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Imagine Registrar\Documents\Finance\Finance FY24\FY24 Financial Stmts\"/>
    </mc:Choice>
  </mc:AlternateContent>
  <bookViews>
    <workbookView xWindow="0" yWindow="0" windowWidth="28800" windowHeight="12300" tabRatio="735" firstSheet="1" activeTab="2"/>
  </bookViews>
  <sheets>
    <sheet name="Assumptions " sheetId="13" r:id="rId1"/>
    <sheet name="Annual Budget" sheetId="14" r:id="rId2"/>
    <sheet name="Board Format" sheetId="25" r:id="rId3"/>
    <sheet name="Monthly Budget" sheetId="15" r:id="rId4"/>
    <sheet name="Trend Report" sheetId="28" r:id="rId5"/>
    <sheet name="Master Salary List" sheetId="23" r:id="rId6"/>
    <sheet name="All charter school calculator" sheetId="22" r:id="rId7"/>
    <sheet name="Sheet1" sheetId="29" r:id="rId8"/>
    <sheet name="Monthly compared to prior month" sheetId="27" r:id="rId9"/>
    <sheet name=" Detail 2022-23 FEFP Third" sheetId="18" r:id="rId10"/>
    <sheet name="111-112-113 ADDITIONAL FUND (2" sheetId="19" r:id="rId11"/>
    <sheet name="Transportation Per Student (2)" sheetId="20" r:id="rId12"/>
    <sheet name="75% or more ESE calculation (2" sheetId="21" r:id="rId13"/>
    <sheet name=" Detail 2014-15 Conf FEFP" sheetId="3" state="hidden" r:id="rId14"/>
    <sheet name="111-112-113 ADDITIONAL FUND" sheetId="9" state="hidden" r:id="rId15"/>
    <sheet name="Transportation Per Student" sheetId="10" state="hidden" r:id="rId16"/>
    <sheet name="75% or more ESE calculation" sheetId="1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1.__2009_10_FEFP_State_and_Local_Funding" localSheetId="16">'75% or more ESE calculation'!$A$4</definedName>
    <definedName name="_1.__2009_10_FEFP_State_and_Local_Funding" localSheetId="12">'75% or more ESE calculation (2'!$A$5</definedName>
    <definedName name="_1.__2009_10_FEFP_State_and_Local_Funding">#REF!</definedName>
    <definedName name="_1.__2010_11_FEFP_State_and_Local_Funding" localSheetId="16">'75% or more ESE calculation'!$A$4</definedName>
    <definedName name="_1.__2010_11_FEFP_State_and_Local_Funding" localSheetId="12">'75% or more ESE calculation (2'!$A$5</definedName>
    <definedName name="_1.__2010_11_FEFP_State_and_Local_Funding">#REF!</definedName>
    <definedName name="_1_0g" localSheetId="16">[1]SUMMARY!#REF!</definedName>
    <definedName name="_101_Basic_K_3" localSheetId="16">'75% or more ESE calculation'!$A$8</definedName>
    <definedName name="_101_Basic_K_3" localSheetId="12">'75% or more ESE calculation (2'!$A$9</definedName>
    <definedName name="_101_Basic_K_3">#REF!</definedName>
    <definedName name="_102_Basic_4_8" localSheetId="16">'75% or more ESE calculation'!$A$10</definedName>
    <definedName name="_102_Basic_4_8" localSheetId="12">'75% or more ESE calculation (2'!$A$11</definedName>
    <definedName name="_102_Basic_4_8">#REF!</definedName>
    <definedName name="_103_Basic_9_12" localSheetId="16">'75% or more ESE calculation'!$A$12</definedName>
    <definedName name="_103_Basic_9_12" localSheetId="12">'75% or more ESE calculation (2'!$A$13</definedName>
    <definedName name="_103_Basic_9_12">#REF!</definedName>
    <definedName name="_111_Basic_K_3_with_ESE_Services" localSheetId="16">'75% or more ESE calculation'!$A$9</definedName>
    <definedName name="_111_Basic_K_3_with_ESE_Services" localSheetId="12">'75% or more ESE calculation (2'!$A$10</definedName>
    <definedName name="_111_Basic_K_3_with_ESE_Services">#REF!</definedName>
    <definedName name="_112_Basic_4_8_with_ESE_Services" localSheetId="16">'75% or more ESE calculation'!$A$11</definedName>
    <definedName name="_112_Basic_4_8_with_ESE_Services" localSheetId="12">'75% or more ESE calculation (2'!$A$12</definedName>
    <definedName name="_112_Basic_4_8_with_ESE_Services">#REF!</definedName>
    <definedName name="_113_Basic_9_12_with_ESE_Services" localSheetId="16">'75% or more ESE calculation'!$A$13</definedName>
    <definedName name="_113_Basic_9_12_with_ESE_Services" localSheetId="12">'75% or more ESE calculation (2'!$A$14</definedName>
    <definedName name="_113_Basic_9_12_with_ESE_Services">#REF!</definedName>
    <definedName name="_130_ESOL__Grade_Level_4_8" localSheetId="16">'75% or more ESE calculation'!$A$21</definedName>
    <definedName name="_130_ESOL__Grade_Level_4_8" localSheetId="12">'75% or more ESE calculation (2'!$A$22</definedName>
    <definedName name="_130_ESOL__Grade_Level_4_8">#REF!</definedName>
    <definedName name="_130_ESOL__Grade_Level_9_12" localSheetId="16">'75% or more ESE calculation'!$A$22</definedName>
    <definedName name="_130_ESOL__Grade_Level_9_12" localSheetId="12">'75% or more ESE calculation (2'!$A$23</definedName>
    <definedName name="_130_ESOL__Grade_Level_9_12">#REF!</definedName>
    <definedName name="_130_ESOL__Grade_Level_PK_3" localSheetId="16">'75% or more ESE calculation'!$A$20</definedName>
    <definedName name="_130_ESOL__Grade_Level_PK_3" localSheetId="12">'75% or more ESE calculation (2'!$A$21</definedName>
    <definedName name="_130_ESOL__Grade_Level_PK_3">#REF!</definedName>
    <definedName name="_2.__ESE_Guaranteed_Allocation" localSheetId="16">'75% or more ESE calculation'!$A$25</definedName>
    <definedName name="_2.__ESE_Guaranteed_Allocation" localSheetId="12">'75% or more ESE calculation (2'!$A$26</definedName>
    <definedName name="_2.__ESE_Guaranteed_Allocation">#REF!</definedName>
    <definedName name="_2_0g" localSheetId="12">[1]SUMMARY!#REF!</definedName>
    <definedName name="_2000_01_District_Cost_Differential">'111-112-113 ADDITIONAL FUND'!$C$2</definedName>
    <definedName name="_2010_11_Base_Funding_WFTE_x_BSA_x_DCD" localSheetId="16">'75% or more ESE calculation'!$H$6</definedName>
    <definedName name="_2010_11_Base_Funding_WFTE_x_BSA_x_DCD" localSheetId="12">'75% or more ESE calculation (2'!$H$7</definedName>
    <definedName name="_2010_11_Base_Funding_WFTE_x_BSA_x_DCD">#REF!</definedName>
    <definedName name="_254_ESE_Level_4__Grade_Level_4_8" localSheetId="16">'75% or more ESE calculation'!$A$15</definedName>
    <definedName name="_254_ESE_Level_4__Grade_Level_4_8" localSheetId="12">'75% or more ESE calculation (2'!$A$16</definedName>
    <definedName name="_254_ESE_Level_4__Grade_Level_4_8">#REF!</definedName>
    <definedName name="_254_ESE_Level_4__Grade_Level_9_12" localSheetId="16">'75% or more ESE calculation'!$A$16</definedName>
    <definedName name="_254_ESE_Level_4__Grade_Level_9_12" localSheetId="12">'75% or more ESE calculation (2'!$A$17</definedName>
    <definedName name="_254_ESE_Level_4__Grade_Level_9_12">#REF!</definedName>
    <definedName name="_254_ESE_Level_4__Grade_Level_PK_3" localSheetId="16">'75% or more ESE calculation'!$A$14</definedName>
    <definedName name="_254_ESE_Level_4__Grade_Level_PK_3" localSheetId="12">'75% or more ESE calculation (2'!$A$15</definedName>
    <definedName name="_254_ESE_Level_4__Grade_Level_PK_3">#REF!</definedName>
    <definedName name="_255_ESE_Level_5__Grade_Level_4_8" localSheetId="16">'75% or more ESE calculation'!$A$18</definedName>
    <definedName name="_255_ESE_Level_5__Grade_Level_4_8" localSheetId="12">'75% or more ESE calculation (2'!$A$19</definedName>
    <definedName name="_255_ESE_Level_5__Grade_Level_4_8">#REF!</definedName>
    <definedName name="_255_ESE_Level_5__Grade_Level_9_12" localSheetId="16">'75% or more ESE calculation'!$A$19</definedName>
    <definedName name="_255_ESE_Level_5__Grade_Level_9_12" localSheetId="12">'75% or more ESE calculation (2'!$A$20</definedName>
    <definedName name="_255_ESE_Level_5__Grade_Level_9_12">#REF!</definedName>
    <definedName name="_255_ESE_Level_5__Grade_Level_PK_3" localSheetId="16">'75% or more ESE calculation'!$A$17</definedName>
    <definedName name="_255_ESE_Level_5__Grade_Level_PK_3" localSheetId="12">'75% or more ESE calculation (2'!$A$18</definedName>
    <definedName name="_255_ESE_Level_5__Grade_Level_PK_3">#REF!</definedName>
    <definedName name="_3.__Supplemental_Academic_Instruction" localSheetId="16">'75% or more ESE calculation'!$A$36</definedName>
    <definedName name="_3.__Supplemental_Academic_Instruction" localSheetId="12">'75% or more ESE calculation (2'!$A$37</definedName>
    <definedName name="_3.__Supplemental_Academic_Instruction">#REF!</definedName>
    <definedName name="_3_0g">[1]SUMMARY!#REF!</definedName>
    <definedName name="_300_Career_Education__Grades_9_12" localSheetId="16">'75% or more ESE calculation'!$A$23</definedName>
    <definedName name="_300_Career_Education__Grades_9_12" localSheetId="12">'75% or more ESE calculation (2'!$A$24</definedName>
    <definedName name="_300_Career_Education__Grades_9_12">#REF!</definedName>
    <definedName name="_4_8" localSheetId="16">'75% or more ESE calculation'!$A$46</definedName>
    <definedName name="_4_8" localSheetId="12">'75% or more ESE calculation (2'!$A$47</definedName>
    <definedName name="_4_8">#REF!</definedName>
    <definedName name="_9_12" localSheetId="16">'75% or more ESE calculation'!$A$47</definedName>
    <definedName name="_9_12" localSheetId="12">'75% or more ESE calculation (2'!$A$48</definedName>
    <definedName name="_9_12">#REF!</definedName>
    <definedName name="_grp1" localSheetId="16">[2]SUMMARY!#REF!</definedName>
    <definedName name="_grp1" localSheetId="12">[2]SUMMARY!#REF!</definedName>
    <definedName name="_grp1">[2]SUMMARY!#REF!</definedName>
    <definedName name="Actual_Additional_.25_Discretionary_Revenue" localSheetId="6">'[3] Detail 2014-15 Conf FEFP'!#REF!</definedName>
    <definedName name="Actual_Additional_.25_Discretionary_Revenue" localSheetId="5">'[4] Detail 2014-15 Conf FEFP'!#REF!</definedName>
    <definedName name="Actual_Additional_.25_Discretionary_Revenue">' Detail 2014-15 Conf FEFP'!#REF!</definedName>
    <definedName name="Actual_Basic_Discretionary_Revenue">' Detail 2014-15 Conf FEFP'!$N$2</definedName>
    <definedName name="Alachua">'111-112-113 ADDITIONAL FUND'!$B$6</definedName>
    <definedName name="Allocation_factors" localSheetId="16">'75% or more ESE calculation'!$E$44</definedName>
    <definedName name="Allocation_factors" localSheetId="12">'75% or more ESE calculation (2'!$E$45</definedName>
    <definedName name="Allocation_factors">#REF!</definedName>
    <definedName name="ARRA_State_Fiscal_Stabilization" localSheetId="6">'[3] Detail 2014-15 Conf FEFP'!#REF!</definedName>
    <definedName name="ARRA_State_Fiscal_Stabilization" localSheetId="5">'[4] Detail 2014-15 Conf FEFP'!#REF!</definedName>
    <definedName name="ARRA_State_Fiscal_Stabilization">' Detail 2014-15 Conf FEFP'!#REF!</definedName>
    <definedName name="Baker">'111-112-113 ADDITIONAL FUND'!$B$7</definedName>
    <definedName name="Base_Student_Allocation" localSheetId="16">'75% or more ESE calculation'!$A$5</definedName>
    <definedName name="Base_Student_Allocation" localSheetId="12">'75% or more ESE calculation (2'!$A$6</definedName>
    <definedName name="Base_Student_Allocation">#REF!</definedName>
    <definedName name="Based_on_the_Second_Calculation_of_the_FEFP_2010_11" localSheetId="16">'75% or more ESE calculation'!$A$2</definedName>
    <definedName name="Based_on_the_Second_Calculation_of_the_FEFP_2010_11" localSheetId="12">'75% or more ESE calculation (2'!$A$3</definedName>
    <definedName name="Based_on_the_Second_Calculation_of_the_FEFP_2010_11">#REF!</definedName>
    <definedName name="Bay">'111-112-113 ADDITIONAL FUND'!$B$8</definedName>
    <definedName name="Beg_Bal">#REF!</definedName>
    <definedName name="Bradford">'111-112-113 ADDITIONAL FUND'!$B$9</definedName>
    <definedName name="Brevard">'111-112-113 ADDITIONAL FUND'!$B$10</definedName>
    <definedName name="Broward">'111-112-113 ADDITIONAL FUND'!$B$11</definedName>
    <definedName name="Calhoun">'111-112-113 ADDITIONAL FUND'!$B$12</definedName>
    <definedName name="CAP" localSheetId="13"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Charlotte">'111-112-113 ADDITIONAL FUND'!$B$13</definedName>
    <definedName name="Citrus">'111-112-113 ADDITIONAL FUND'!$B$14</definedName>
    <definedName name="Class_Size_Allocation_Factors">' Detail 2014-15 Conf FEFP'!$AA$3</definedName>
    <definedName name="Clay">'111-112-113 ADDITIONAL FUND'!$B$15</definedName>
    <definedName name="Collier">'111-112-113 ADDITIONAL FUND'!$B$16</definedName>
    <definedName name="Columbia">'111-112-113 ADDITIONAL FUND'!$B$17</definedName>
    <definedName name="d_grp1" localSheetId="16">[1]SUMMARY!#REF!</definedName>
    <definedName name="d_grp1" localSheetId="12">[1]SUMMARY!#REF!</definedName>
    <definedName name="d_grp1">[1]SUMMARY!#REF!</definedName>
    <definedName name="Data">#REF!</definedName>
    <definedName name="DCD" localSheetId="16">'75% or more ESE calculation'!$C$44</definedName>
    <definedName name="DCD" localSheetId="12">'75% or more ESE calculation (2'!$C$45</definedName>
    <definedName name="DCD">#REF!</definedName>
    <definedName name="Declining_Enrollment_Supplement">' Detail 2014-15 Conf FEFP'!$F$2</definedName>
    <definedName name="DeSoto">'111-112-113 ADDITIONAL FUND'!$B$19</definedName>
    <definedName name="Discretionary__Lottery__District_Discretionary_Funds">' Detail 2014-15 Conf FEFP'!$S$2</definedName>
    <definedName name="Discretionary_Tax_Compression_0.25_mills" localSheetId="6">'[3] Detail 2014-15 Conf FEFP'!#REF!</definedName>
    <definedName name="Discretionary_Tax_Compression_0.25_mills" localSheetId="5">'[4] Detail 2014-15 Conf FEFP'!#REF!</definedName>
    <definedName name="Discretionary_Tax_Compression_0.25_mills">' Detail 2014-15 Conf FEFP'!#REF!</definedName>
    <definedName name="Discretionary_Tax_Compression_0.748_mills">' Detail 2014-15 Conf FEFP'!$I$2</definedName>
    <definedName name="District">' Detail 2014-15 Conf FEFP'!$B$2</definedName>
    <definedName name="District_Cost_Differential" localSheetId="16">'75% or more ESE calculation'!$E$5</definedName>
    <definedName name="District_Cost_Differential" localSheetId="12">'75% or more ESE calculation (2'!$E$6</definedName>
    <definedName name="District_Cost_Differential">#REF!</definedName>
    <definedName name="District_Cost_Differential_DCD">' Detail 2014-15 Conf FEFP'!$C$2</definedName>
    <definedName name="District_SAI_Allocation" localSheetId="16">'75% or more ESE calculation'!$A$37</definedName>
    <definedName name="District_SAI_Allocation" localSheetId="12">'75% or more ESE calculation (2'!$A$38</definedName>
    <definedName name="District_SAI_Allocation">#REF!</definedName>
    <definedName name="Districts">'111-112-113 ADDITIONAL FUND'!$B$2</definedName>
    <definedName name="divided_by_district_FTE" localSheetId="16">'75% or more ESE calculation'!$A$38</definedName>
    <definedName name="divided_by_district_FTE" localSheetId="12">'75% or more ESE calculation (2'!$A$39</definedName>
    <definedName name="divided_by_district_FTE">#REF!</definedName>
    <definedName name="Dixie">'111-112-113 ADDITIONAL FUND'!$B$20</definedName>
    <definedName name="Dual_Enrollment_Allocation">' Detail 2014-15 Conf FEFP'!$U$2</definedName>
    <definedName name="Duval">'111-112-113 ADDITIONAL FUND'!$B$21</definedName>
    <definedName name="End_Bal">#REF!</definedName>
    <definedName name="Equal_Percent_Adjustment" localSheetId="6">'[3] Detail 2014-15 Conf FEFP'!#REF!</definedName>
    <definedName name="Equal_Percent_Adjustment" localSheetId="5">'[4] Detail 2014-15 Conf FEFP'!#REF!</definedName>
    <definedName name="Equal_Percent_Adjustment">' Detail 2014-15 Conf FEFP'!#REF!</definedName>
    <definedName name="Escambia">'111-112-113 ADDITIONAL FUND'!$B$22</definedName>
    <definedName name="ESE_Guaranteed_Allocation_Dollars">' Detail 2014-15 Conf FEFP'!$M$2</definedName>
    <definedName name="ESE_LEVEL_1">'111-112-113 ADDITIONAL FUND'!$D$3</definedName>
    <definedName name="ESE_LEVEL_1_Program_111__Grades_K_3">'111-112-113 ADDITIONAL FUND'!$D$3</definedName>
    <definedName name="ESE_LEVEL_1_Program_112__Grades_4_8">'111-112-113 ADDITIONAL FUND'!$G$3</definedName>
    <definedName name="ESE_LEVEL_1_Program_113__Grades_9_12">'111-112-113 ADDITIONAL FUND'!$J$3</definedName>
    <definedName name="ESE_LEVEL_2_Program_111__Grades_K_3">'111-112-113 ADDITIONAL FUND'!$E$3</definedName>
    <definedName name="ESE_LEVEL_2_Program_112__Grades_4_8">'111-112-113 ADDITIONAL FUND'!$H$3</definedName>
    <definedName name="ESE_LEVEL_2_Program_113__Grades_9_12">'111-112-113 ADDITIONAL FUND'!$K$3</definedName>
    <definedName name="ESE_LEVEL_3_Program_111__Grades_K_3">'111-112-113 ADDITIONAL FUND'!$F$3</definedName>
    <definedName name="ESE_LEVEL_3_Program_112__Grades_4_8">'111-112-113 ADDITIONAL FUND'!$I$3</definedName>
    <definedName name="ESE_LEVEL_3_Program_113__Grades_9_12">'111-112-113 ADDITIONAL FUND'!$L$3</definedName>
    <definedName name="ESE_Program_111__Grades_K_3">'111-112-113 ADDITIONAL FUND'!$F$3:$F$5</definedName>
    <definedName name="Extra_Pay">#REF!</definedName>
    <definedName name="FAMU_Lab_School">'111-112-113 ADDITIONAL FUND'!$B$74</definedName>
    <definedName name="FAU_Lab_School">'111-112-113 ADDITIONAL FUND'!$B$75</definedName>
    <definedName name="FAU_St._Lucie">'111-112-113 ADDITIONAL FUND'!$B$76</definedName>
    <definedName name="Fl_Virtual_School">'111-112-113 ADDITIONAL FUND'!$B$80</definedName>
    <definedName name="Flagler">'111-112-113 ADDITIONAL FUND'!$B$23</definedName>
    <definedName name="Franklin">'111-112-113 ADDITIONAL FUND'!$B$24</definedName>
    <definedName name="FSU_Lab_Broward">'111-112-113 ADDITIONAL FUND'!$B$77</definedName>
    <definedName name="FSU_Lab_Leon">'111-112-113 ADDITIONAL FUND'!$B$78</definedName>
    <definedName name="FTE" localSheetId="16">'75% or more ESE calculation'!$C$25</definedName>
    <definedName name="FTE" localSheetId="12">'75% or more ESE calculation (2'!$C$26</definedName>
    <definedName name="FTE">#REF!</definedName>
    <definedName name="Full_Print">#REF!</definedName>
    <definedName name="Gadsden">'111-112-113 ADDITIONAL FUND'!$B$25</definedName>
    <definedName name="Gilchrist">'111-112-113 ADDITIONAL FUND'!$B$26</definedName>
    <definedName name="Glades">'111-112-113 ADDITIONAL FUND'!$B$27</definedName>
    <definedName name="Grade_Level" localSheetId="16">'75% or more ESE calculation'!$E$25</definedName>
    <definedName name="Grade_Level" localSheetId="12">'75% or more ESE calculation (2'!$E$26</definedName>
    <definedName name="Grade_Level">#REF!</definedName>
    <definedName name="Grades_4_Through_8">' Detail 2014-15 Conf FEFP'!$AC$2</definedName>
    <definedName name="Grades_9_through_12">' Detail 2014-15 Conf FEFP'!$AD$2</definedName>
    <definedName name="Grades_K_Through_3">' Detail 2014-15 Conf FEFP'!$AB$2</definedName>
    <definedName name="Guarantee_Per_Student" localSheetId="16">'75% or more ESE calculation'!$G$25</definedName>
    <definedName name="Guarantee_Per_Student" localSheetId="12">'75% or more ESE calculation (2'!$G$26</definedName>
    <definedName name="Guarantee_Per_Student">#REF!</definedName>
    <definedName name="Gulf">'111-112-113 ADDITIONAL FUND'!$B$28</definedName>
    <definedName name="Hamilton">'111-112-113 ADDITIONAL FUND'!$B$29</definedName>
    <definedName name="Hardee">'111-112-113 ADDITIONAL FUND'!$B$30</definedName>
    <definedName name="Header_Row">ROW(#REF!)</definedName>
    <definedName name="Hendry">'111-112-113 ADDITIONAL FUND'!$B$31</definedName>
    <definedName name="Hernando">'111-112-113 ADDITIONAL FUND'!$B$32</definedName>
    <definedName name="Highlands">'111-112-113 ADDITIONAL FUND'!$B$33</definedName>
    <definedName name="Hillsborough">'111-112-113 ADDITIONAL FUND'!$B$34</definedName>
    <definedName name="Holmes">'111-112-113 ADDITIONAL FUND'!$B$35</definedName>
    <definedName name="HTML_CodePage" hidden="1">1252</definedName>
    <definedName name="HTML_Control" localSheetId="14"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ndian_River">'111-112-113 ADDITIONAL FUND'!$B$36</definedName>
    <definedName name="Instructional_Materials_Allocation__Less_science_lab_and_dual_enrollment">' Detail 2014-15 Conf FEFP'!$W$2</definedName>
    <definedName name="Int">#REF!</definedName>
    <definedName name="Interest_Rate">#REF!</definedName>
    <definedName name="Jackson">'111-112-113 ADDITIONAL FUND'!$B$37</definedName>
    <definedName name="Jefferson">'111-112-113 ADDITIONAL FUND'!$B$38</definedName>
    <definedName name="k_3">' Detail 2014-15 Conf FEFP'!$AB$2</definedName>
    <definedName name="Lab_School_Discretionary_Contribution">' Detail 2014-15 Conf FEFP'!$H$2</definedName>
    <definedName name="Lafayette">'111-112-113 ADDITIONAL FUND'!$B$39</definedName>
    <definedName name="Lake">'111-112-113 ADDITIONAL FUND'!$B$40</definedName>
    <definedName name="Last_Row" localSheetId="6">IF('All charter school calculator'!Values_Entered,Header_Row+'All charter school calculator'!Number_of_Payments,Header_Row)</definedName>
    <definedName name="Last_Row" localSheetId="1">IF('Annual Budget'!Values_Entered,Header_Row+'Annual Budget'!Number_of_Payments,Header_Row)</definedName>
    <definedName name="Last_Row" localSheetId="0">IF('Assumptions '!Values_Entered,Header_Row+'Assumptions '!Number_of_Payments,Header_Row)</definedName>
    <definedName name="Last_Row" localSheetId="5">IF('Master Salary List'!Values_Entered,Header_Row+'Master Salary List'!Number_of_Payments,Header_Row)</definedName>
    <definedName name="Last_Row">IF(Values_Entered,Header_Row+Number_of_Payments,Header_Row)</definedName>
    <definedName name="Lee">'111-112-113 ADDITIONAL FUND'!$B$41</definedName>
    <definedName name="Leon">'111-112-113 ADDITIONAL FUND'!$B$42</definedName>
    <definedName name="Levy">'111-112-113 ADDITIONAL FUND'!$B$43</definedName>
    <definedName name="Liberty">'111-112-113 ADDITIONAL FUND'!$B$44</definedName>
    <definedName name="Loan_Amount">#REF!</definedName>
    <definedName name="Loan_Start">#REF!</definedName>
    <definedName name="Loan_Years">#REF!</definedName>
    <definedName name="Madison">'111-112-113 ADDITIONAL FUND'!$B$45</definedName>
    <definedName name="Manatee">'111-112-113 ADDITIONAL FUND'!$B$46</definedName>
    <definedName name="Marion">'111-112-113 ADDITIONAL FUND'!$B$47</definedName>
    <definedName name="Martin">'111-112-113 ADDITIONAL FUND'!$B$48</definedName>
    <definedName name="Matrix_Level" localSheetId="16">'75% or more ESE calculation'!$F$25</definedName>
    <definedName name="Matrix_Level" localSheetId="12">'75% or more ESE calculation (2'!$F$26</definedName>
    <definedName name="Matrix_Level">#REF!</definedName>
    <definedName name="Miami_Dade">'111-112-113 ADDITIONAL FUND'!$B$18</definedName>
    <definedName name="Minimum_Guarantee_Adjustment">' Detail 2014-15 Conf FEFP'!$L$2</definedName>
    <definedName name="Monroe">'111-112-113 ADDITIONAL FUND'!$B$49</definedName>
    <definedName name="Nassau">'111-112-113 ADDITIONAL FUND'!$B$50</definedName>
    <definedName name="Number_of_FTE" localSheetId="16">'75% or more ESE calculation'!$C$6</definedName>
    <definedName name="Number_of_FTE" localSheetId="12">'75% or more ESE calculation (2'!$C$7</definedName>
    <definedName name="Number_of_FTE">#REF!</definedName>
    <definedName name="Number_of_Payments" localSheetId="6">MATCH(0.01,End_Bal,-1)+1</definedName>
    <definedName name="Number_of_Payments" localSheetId="1">MATCH(0.01,End_Bal,-1)+1</definedName>
    <definedName name="Number_of_Payments" localSheetId="0">MATCH(0.01,End_Bal,-1)+1</definedName>
    <definedName name="Number_of_Payments" localSheetId="5">MATCH(0.01,End_Bal,-1)+1</definedName>
    <definedName name="Number_of_Payments">MATCH(0.01,End_Bal,-1)+1</definedName>
    <definedName name="Okaloosa">'111-112-113 ADDITIONAL FUND'!$B$51</definedName>
    <definedName name="Okeechobee">'111-112-113 ADDITIONAL FUND'!$B$52</definedName>
    <definedName name="Orange">'111-112-113 ADDITIONAL FUND'!$B$53</definedName>
    <definedName name="Osceola">'111-112-113 ADDITIONAL FUND'!$B$54</definedName>
    <definedName name="Palm_Beach">'111-112-113 ADDITIONAL FUND'!$B$55</definedName>
    <definedName name="Pasco">'111-112-113 ADDITIONAL FUND'!$B$56</definedName>
    <definedName name="Pay_Date">#REF!</definedName>
    <definedName name="Pay_Num">#REF!</definedName>
    <definedName name="Payment_Date" localSheetId="6">DATE(YEAR(Loan_Start),MONTH(Loan_Start)+Payment_Number,DAY(Loan_Start))</definedName>
    <definedName name="Payment_Date" localSheetId="1">DATE(YEAR(Loan_Start),MONTH(Loan_Start)+Payment_Number,DAY(Loan_Start))</definedName>
    <definedName name="Payment_Date" localSheetId="0">DATE(YEAR(Loan_Start),MONTH(Loan_Start)+Payment_Number,DAY(Loan_Start))</definedName>
    <definedName name="Payment_Date" localSheetId="5">DATE(YEAR(Loan_Start),MONTH(Loan_Start)+Payment_Number,DAY(Loan_Start))</definedName>
    <definedName name="Payment_Date">DATE(YEAR(Loan_Start),MONTH(Loan_Start)+Payment_Number,DAY(Loan_Start))</definedName>
    <definedName name="Per_Student" localSheetId="16">'75% or more ESE calculation'!$E$37</definedName>
    <definedName name="Per_Student" localSheetId="12">'75% or more ESE calculation (2'!$E$38</definedName>
    <definedName name="Per_Student">#REF!</definedName>
    <definedName name="Pinellas">'111-112-113 ADDITIONAL FUND'!$B$57</definedName>
    <definedName name="PK___3" localSheetId="16">'75% or more ESE calculation'!$A$45</definedName>
    <definedName name="PK___3" localSheetId="12">'75% or more ESE calculation (2'!$A$46</definedName>
    <definedName name="PK___3">#REF!</definedName>
    <definedName name="Polk">'111-112-113 ADDITIONAL FUND'!$B$58</definedName>
    <definedName name="PRACTICE" localSheetId="13"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Princ">#REF!</definedName>
    <definedName name="_xlnm.Print_Area" localSheetId="13">' Detail 2014-15 Conf FEFP'!$A$1:$W$79</definedName>
    <definedName name="_xlnm.Print_Area" localSheetId="9">' Detail 2022-23 FEFP Third'!$A$1:$U$79</definedName>
    <definedName name="_xlnm.Print_Area" localSheetId="14">'111-112-113 ADDITIONAL FUND'!$A$2:$M$84</definedName>
    <definedName name="_xlnm.Print_Area" localSheetId="10">'111-112-113 ADDITIONAL FUND (2'!$A$2:$M$84</definedName>
    <definedName name="_xlnm.Print_Area" localSheetId="16">'75% or more ESE calculation'!$A$2:$H$94</definedName>
    <definedName name="_xlnm.Print_Area" localSheetId="12">'75% or more ESE calculation (2'!$A$2:$H$95</definedName>
    <definedName name="_xlnm.Print_Area" localSheetId="6">'All charter school calculator'!$A$2:$H$108</definedName>
    <definedName name="_xlnm.Print_Area" localSheetId="1">'Annual Budget'!$A$1:$C$83</definedName>
    <definedName name="_xlnm.Print_Area" localSheetId="0">'Assumptions '!$A$1:$I$75</definedName>
    <definedName name="_xlnm.Print_Area" localSheetId="2">'Board Format'!$A$1:$J$98</definedName>
    <definedName name="_xlnm.Print_Area" localSheetId="5">'Master Salary List'!$A$5:$AA$195</definedName>
    <definedName name="_xlnm.Print_Area" localSheetId="3">'Monthly Budget'!$A$1:$W$121</definedName>
    <definedName name="_xlnm.Print_Area" localSheetId="15">'Transportation Per Student'!$B$1:$L$80</definedName>
    <definedName name="_xlnm.Print_Area" localSheetId="11">'Transportation Per Student (2)'!$B$9:$L$92</definedName>
    <definedName name="Print_Area_Reset" localSheetId="6">OFFSET(Full_Print,0,0,'All charter school calculator'!Last_Row)</definedName>
    <definedName name="Print_Area_Reset" localSheetId="1">OFFSET(Full_Print,0,0,'Annual Budget'!Last_Row)</definedName>
    <definedName name="Print_Area_Reset" localSheetId="0">OFFSET(Full_Print,0,0,'Assumptions '!Last_Row)</definedName>
    <definedName name="Print_Area_Reset" localSheetId="5">OFFSET(Full_Print,0,0,'Master Salary List'!Last_Row)</definedName>
    <definedName name="Print_Area_Reset">OFFSET(Full_Print,0,0,Last_Row)</definedName>
    <definedName name="_xlnm.Print_Titles" localSheetId="13">' Detail 2014-15 Conf FEFP'!$A:$B,' Detail 2014-15 Conf FEFP'!$1:$1</definedName>
    <definedName name="_xlnm.Print_Titles" localSheetId="9">' Detail 2022-23 FEFP Third'!$A:$B,' Detail 2022-23 FEFP Third'!$1:$1</definedName>
    <definedName name="_xlnm.Print_Titles" localSheetId="2">'Board Format'!$1:$4</definedName>
    <definedName name="_xlnm.Print_Titles" localSheetId="5">'Master Salary List'!$1:$5</definedName>
    <definedName name="_xlnm.Print_Titles" localSheetId="3">'Monthly Budget'!$1:$4</definedName>
    <definedName name="Program" localSheetId="16">'75% or more ESE calculation'!$A$6</definedName>
    <definedName name="Program" localSheetId="12">'75% or more ESE calculation (2'!$A$7</definedName>
    <definedName name="Program">#REF!</definedName>
    <definedName name="Program______________________________Cost_Factor" localSheetId="16">'75% or more ESE calculation'!$E$6</definedName>
    <definedName name="Program______________________________Cost_Factor" localSheetId="12">'75% or more ESE calculation (2'!$E$7</definedName>
    <definedName name="Program______________________________Cost_Factor">#REF!</definedName>
    <definedName name="Program_111__Grades_K_3">'111-112-113 ADDITIONAL FUND'!$D$2</definedName>
    <definedName name="Program_112__Grades_4_8">'111-112-113 ADDITIONAL FUND'!$G$2</definedName>
    <definedName name="Program_113__Grades_9_12">'111-112-113 ADDITIONAL FUND'!$J$2</definedName>
    <definedName name="Proratioin_to_Veto">' Detail 2014-15 Conf FEFP'!$Q$2</definedName>
    <definedName name="Proration_to_the_Appropriation">' Detail 2014-15 Conf FEFP'!$P$2</definedName>
    <definedName name="Putnam">'111-112-113 ADDITIONAL FUND'!$B$59</definedName>
    <definedName name="Revenue_Estimate_Worksheet_for___________Charter_School" localSheetId="16">'75% or more ESE calculation'!#REF!</definedName>
    <definedName name="Revenue_Estimate_Worksheet_for___________Charter_School" localSheetId="12">'75% or more ESE calculation (2'!$A$2</definedName>
    <definedName name="Revenue_Estimate_Worksheet_for___________Charter_School">#REF!</definedName>
    <definedName name="Safe_Schools_Allocation">' Detail 2014-15 Conf FEFP'!$J$2</definedName>
    <definedName name="Santa_Rosa">'111-112-113 ADDITIONAL FUND'!$B$62</definedName>
    <definedName name="Sarasota">'111-112-113 ADDITIONAL FUND'!$B$63</definedName>
    <definedName name="scenarios" localSheetId="5">[5]Schools!#REF!</definedName>
    <definedName name="scenarios">[5]Schools!#REF!</definedName>
    <definedName name="Sched_Pay">#REF!</definedName>
    <definedName name="Scheduled_Extra_Payments">#REF!</definedName>
    <definedName name="Scheduled_Interest_Rate">#REF!</definedName>
    <definedName name="Scheduled_Monthly_Payment">#REF!</definedName>
    <definedName name="School_District" localSheetId="16">'75% or more ESE calculation'!$A$3</definedName>
    <definedName name="School_District" localSheetId="12">'75% or more ESE calculation (2'!$A$4</definedName>
    <definedName name="School_District">#REF!</definedName>
    <definedName name="Science_Lab_Materials_Allocation" localSheetId="6">'[3] Detail 2014-15 Conf FEFP'!#REF!</definedName>
    <definedName name="Science_Lab_Materials_Allocation" localSheetId="5">'[4] Detail 2014-15 Conf FEFP'!#REF!</definedName>
    <definedName name="Science_Lab_Materials_Allocation">' Detail 2014-15 Conf FEFP'!#REF!</definedName>
    <definedName name="Seminole">'111-112-113 ADDITIONAL FUND'!$B$64</definedName>
    <definedName name="Sparsity_Supplement">' Detail 2014-15 Conf FEFP'!$G$2</definedName>
    <definedName name="St._Johns">'111-112-113 ADDITIONAL FUND'!$B$60</definedName>
    <definedName name="St._Lucie">'111-112-113 ADDITIONAL FUND'!$B$61</definedName>
    <definedName name="Sumter">'111-112-113 ADDITIONAL FUND'!$B$65</definedName>
    <definedName name="Supplemental_Academic_Instruction">' Detail 2014-15 Conf FEFP'!$K$2</definedName>
    <definedName name="Suwannee">'111-112-113 ADDITIONAL FUND'!$B$66</definedName>
    <definedName name="Taylor">'111-112-113 ADDITIONAL FUND'!$B$67</definedName>
    <definedName name="Total" localSheetId="16">'75% or more ESE calculation'!$A$48</definedName>
    <definedName name="Total" localSheetId="12">'75% or more ESE calculation (2'!$A$49</definedName>
    <definedName name="Total">#REF!</definedName>
    <definedName name="Total_Class_Size_Reduction_Funds" localSheetId="16">'75% or more ESE calculation'!$C$48</definedName>
    <definedName name="Total_Class_Size_Reduction_Funds" localSheetId="12">'75% or more ESE calculation (2'!$C$49</definedName>
    <definedName name="Total_Class_Size_Reduction_Funds">#REF!</definedName>
    <definedName name="Total_from_ESE_Guarantee" localSheetId="16">'75% or more ESE calculation'!$E$35</definedName>
    <definedName name="Total_from_ESE_Guarantee" localSheetId="12">'75% or more ESE calculation (2'!$E$36</definedName>
    <definedName name="Total_from_ESE_Guarantee">#REF!</definedName>
    <definedName name="Total_FTE_with_ESE_Services" localSheetId="16">'75% or more ESE calculation'!$A$35</definedName>
    <definedName name="Total_FTE_with_ESE_Services" localSheetId="12">'75% or more ESE calculation (2'!$A$36</definedName>
    <definedName name="Total_FTE_with_ESE_Services">#REF!</definedName>
    <definedName name="Total_Instructional_Materials_Allocation">' Detail 2014-15 Conf FEFP'!$T$2</definedName>
    <definedName name="Total_Interest">#REF!</definedName>
    <definedName name="Total_Pay">#REF!</definedName>
    <definedName name="Total_Payment" localSheetId="6">Scheduled_Payment+Extra_Payment</definedName>
    <definedName name="Total_Payment" localSheetId="1">Scheduled_Payment+Extra_Payment</definedName>
    <definedName name="Total_Payment" localSheetId="0">Scheduled_Payment+Extra_Payment</definedName>
    <definedName name="Total_Payment" localSheetId="5">Scheduled_Payment+Extra_Payment</definedName>
    <definedName name="Total_Payment">Scheduled_Payment+Extra_Payment</definedName>
    <definedName name="Total_Potential_Disc.">' Detail 2014-15 Conf FEFP'!$O$2</definedName>
    <definedName name="Total_Proration_to_Funds_Available">' Detail 2014-15 Conf FEFP'!$R$2</definedName>
    <definedName name="Totals" localSheetId="16">'75% or more ESE calculation'!$A$24</definedName>
    <definedName name="Totals" localSheetId="12">'75% or more ESE calculation (2'!$A$25</definedName>
    <definedName name="Totals">#REF!</definedName>
    <definedName name="UF_Lab_School">'111-112-113 ADDITIONAL FUND'!$B$79</definedName>
    <definedName name="Union">'111-112-113 ADDITIONAL FUND'!$B$68</definedName>
    <definedName name="UnWeighted_FTE">' Detail 2014-15 Conf FEFP'!$D$2</definedName>
    <definedName name="Values_Entered" localSheetId="6">IF(Loan_Amount*Interest_Rate*Loan_Years*Loan_Start&gt;0,1,0)</definedName>
    <definedName name="Values_Entered" localSheetId="1">IF(Loan_Amount*Interest_Rate*Loan_Years*Loan_Start&gt;0,1,0)</definedName>
    <definedName name="Values_Entered" localSheetId="0">IF(Loan_Amount*Interest_Rate*Loan_Years*Loan_Start&gt;0,1,0)</definedName>
    <definedName name="Values_Entered" localSheetId="5">IF(Loan_Amount*Interest_Rate*Loan_Years*Loan_Start&gt;0,1,0)</definedName>
    <definedName name="Values_Entered">IF(Loan_Amount*Interest_Rate*Loan_Years*Loan_Start&gt;0,1,0)</definedName>
    <definedName name="Volusia">'111-112-113 ADDITIONAL FUND'!$B$69</definedName>
    <definedName name="Wakulla">'111-112-113 ADDITIONAL FUND'!$B$70</definedName>
    <definedName name="Walton">'111-112-113 ADDITIONAL FUND'!$B$71</definedName>
    <definedName name="Washington">'111-112-113 ADDITIONAL FUND'!$B$72</definedName>
    <definedName name="Washington_Special">'111-112-113 ADDITIONAL FUND'!$B$73</definedName>
    <definedName name="Weighted_FTE____________b__x__c" localSheetId="16">'75% or more ESE calculation'!$G$6</definedName>
    <definedName name="Weighted_FTE____________b__x__c" localSheetId="12">'75% or more ESE calculation (2'!$G$7</definedName>
    <definedName name="Weighted_FTE____________b__x__c">#REF!</definedName>
    <definedName name="Weighted_FTE__From_Section_1" localSheetId="16">'75% or more ESE calculation'!$B$44</definedName>
    <definedName name="Weighted_FTE__From_Section_1" localSheetId="12">'75% or more ESE calculation (2'!$B$45</definedName>
    <definedName name="Weighted_FTE__From_Section_1">#REF!</definedName>
    <definedName name="Weighted_FTE_Funded">' Detail 2014-15 Conf FEFP'!$E$2</definedName>
    <definedName name="wrn.Base._.Data._.Comparison." localSheetId="13"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3" i="25" l="1"/>
  <c r="C13" i="25"/>
  <c r="C12" i="25"/>
  <c r="C11" i="25"/>
  <c r="C8" i="25"/>
  <c r="AV172" i="23"/>
  <c r="AW172" i="23"/>
  <c r="BA172" i="23" s="1"/>
  <c r="AZ172" i="23"/>
  <c r="AV173" i="23"/>
  <c r="AW173" i="23"/>
  <c r="BA173" i="23" s="1"/>
  <c r="AZ173" i="23"/>
  <c r="AE172" i="23"/>
  <c r="AM172" i="23" s="1"/>
  <c r="AG172" i="23"/>
  <c r="AI172" i="23"/>
  <c r="AJ172" i="23"/>
  <c r="AT172" i="23"/>
  <c r="W172" i="23" s="1"/>
  <c r="N172" i="23"/>
  <c r="U172" i="23" s="1"/>
  <c r="AX173" i="23" l="1"/>
  <c r="BC173" i="23" s="1"/>
  <c r="BF173" i="23" s="1"/>
  <c r="AX172" i="23"/>
  <c r="BB172" i="23" s="1"/>
  <c r="BD172" i="23" s="1"/>
  <c r="V172" i="23"/>
  <c r="R172" i="23"/>
  <c r="T172" i="23" s="1"/>
  <c r="BC172" i="23"/>
  <c r="BE172" i="23" s="1"/>
  <c r="BB173" i="23"/>
  <c r="BD173" i="23" s="1"/>
  <c r="D198" i="15"/>
  <c r="B12" i="14"/>
  <c r="B11" i="14"/>
  <c r="F14" i="15"/>
  <c r="BE173" i="23" l="1"/>
  <c r="BG173" i="23" s="1"/>
  <c r="BF172" i="23"/>
  <c r="BG172" i="23" s="1"/>
  <c r="S172" i="23"/>
  <c r="N74" i="23"/>
  <c r="N73" i="23"/>
  <c r="N72" i="23"/>
  <c r="N71" i="23"/>
  <c r="N70" i="23"/>
  <c r="N69" i="23"/>
  <c r="N68" i="23"/>
  <c r="N67" i="23"/>
  <c r="N66" i="23"/>
  <c r="N186" i="23"/>
  <c r="J185" i="23"/>
  <c r="N185" i="23" s="1"/>
  <c r="J184" i="23"/>
  <c r="N184" i="23" s="1"/>
  <c r="N183" i="23"/>
  <c r="J182" i="23"/>
  <c r="N182" i="23" s="1"/>
  <c r="J181" i="23"/>
  <c r="N181" i="23" s="1"/>
  <c r="N180" i="23"/>
  <c r="N179" i="23"/>
  <c r="N173" i="23"/>
  <c r="N171" i="23"/>
  <c r="N170" i="23"/>
  <c r="N168" i="23"/>
  <c r="N167" i="23"/>
  <c r="N166" i="23"/>
  <c r="N165" i="23"/>
  <c r="N164" i="23"/>
  <c r="N163" i="23"/>
  <c r="N159" i="23"/>
  <c r="N158" i="23"/>
  <c r="N154" i="23"/>
  <c r="N153" i="23"/>
  <c r="N148" i="23"/>
  <c r="N147" i="23"/>
  <c r="N146" i="23"/>
  <c r="N145" i="23"/>
  <c r="N144" i="23"/>
  <c r="N143" i="23"/>
  <c r="N142" i="23"/>
  <c r="N139" i="23"/>
  <c r="N138" i="23"/>
  <c r="N137" i="23"/>
  <c r="N97" i="23"/>
  <c r="N96" i="23"/>
  <c r="N95" i="23"/>
  <c r="N94" i="23"/>
  <c r="N86" i="23"/>
  <c r="N85" i="23"/>
  <c r="N84" i="23"/>
  <c r="N83" i="23"/>
  <c r="N82" i="23"/>
  <c r="N81" i="23"/>
  <c r="N80" i="23"/>
  <c r="N79" i="23"/>
  <c r="N78" i="23"/>
  <c r="N77" i="23"/>
  <c r="N76" i="23"/>
  <c r="N48" i="23"/>
  <c r="N47" i="23"/>
  <c r="N46" i="23"/>
  <c r="N45" i="23"/>
  <c r="N44" i="23"/>
  <c r="N43" i="23"/>
  <c r="N42"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11" i="23"/>
  <c r="N10" i="23"/>
  <c r="N9" i="23"/>
  <c r="N8" i="23"/>
  <c r="N7" i="23"/>
  <c r="N6" i="23"/>
  <c r="N5" i="23"/>
  <c r="H86" i="21"/>
  <c r="H85" i="21"/>
  <c r="C83" i="21"/>
  <c r="C82" i="21"/>
  <c r="G82" i="21" s="1"/>
  <c r="E81" i="21"/>
  <c r="E82" i="21" s="1"/>
  <c r="C81" i="21"/>
  <c r="G81" i="21" s="1"/>
  <c r="C77" i="21"/>
  <c r="E73" i="21"/>
  <c r="E72" i="21"/>
  <c r="E71" i="21"/>
  <c r="E68" i="21"/>
  <c r="E67" i="21"/>
  <c r="E66" i="21"/>
  <c r="E65" i="21"/>
  <c r="E64" i="21"/>
  <c r="E63" i="21"/>
  <c r="H62" i="21"/>
  <c r="H61" i="21"/>
  <c r="E60" i="21"/>
  <c r="E59" i="21"/>
  <c r="E58" i="21"/>
  <c r="E57" i="21"/>
  <c r="G55" i="21"/>
  <c r="G52" i="21"/>
  <c r="C50" i="21"/>
  <c r="G49" i="21"/>
  <c r="H49" i="21" s="1"/>
  <c r="G48" i="21"/>
  <c r="H48" i="21" s="1"/>
  <c r="G47" i="21"/>
  <c r="H47" i="21" s="1"/>
  <c r="G46" i="21"/>
  <c r="H46" i="21" s="1"/>
  <c r="G45" i="21"/>
  <c r="H45" i="21" s="1"/>
  <c r="G44" i="21"/>
  <c r="H44" i="21" s="1"/>
  <c r="G43" i="21"/>
  <c r="H43" i="21" s="1"/>
  <c r="G42" i="21"/>
  <c r="H42" i="21" s="1"/>
  <c r="G41" i="21"/>
  <c r="H41" i="21" s="1"/>
  <c r="E38" i="21"/>
  <c r="C26" i="21"/>
  <c r="G26" i="21" s="1"/>
  <c r="C25" i="21"/>
  <c r="G25" i="21" s="1"/>
  <c r="C24" i="21"/>
  <c r="G24" i="21" s="1"/>
  <c r="C23" i="21"/>
  <c r="G23" i="21" s="1"/>
  <c r="C22" i="21"/>
  <c r="G22" i="21" s="1"/>
  <c r="C21" i="21"/>
  <c r="G21" i="21" s="1"/>
  <c r="C20" i="21"/>
  <c r="G20" i="21" s="1"/>
  <c r="C19" i="21"/>
  <c r="G19" i="21" s="1"/>
  <c r="C18" i="21"/>
  <c r="G18" i="21" s="1"/>
  <c r="C17" i="21"/>
  <c r="G17" i="21" s="1"/>
  <c r="H17" i="21" s="1"/>
  <c r="C16" i="21"/>
  <c r="G16" i="21" s="1"/>
  <c r="C15" i="21"/>
  <c r="G15" i="21" s="1"/>
  <c r="G14" i="21"/>
  <c r="C14" i="21"/>
  <c r="C13" i="21"/>
  <c r="G13" i="21" s="1"/>
  <c r="C12" i="21"/>
  <c r="G12" i="21" s="1"/>
  <c r="C11" i="21"/>
  <c r="G11" i="21" s="1"/>
  <c r="H7" i="21"/>
  <c r="H28" i="21" s="1"/>
  <c r="G6" i="21"/>
  <c r="C73" i="21" s="1"/>
  <c r="C6" i="21"/>
  <c r="C4" i="21"/>
  <c r="A1" i="21"/>
  <c r="G78" i="21" s="1"/>
  <c r="H78" i="21" s="1"/>
  <c r="AB77" i="18"/>
  <c r="AA77" i="18"/>
  <c r="Z77" i="18"/>
  <c r="X77" i="18"/>
  <c r="W77" i="18"/>
  <c r="V77" i="18"/>
  <c r="T77" i="18"/>
  <c r="S77" i="18"/>
  <c r="R77" i="18"/>
  <c r="O77" i="18"/>
  <c r="N77" i="18"/>
  <c r="M77" i="18"/>
  <c r="L77" i="18"/>
  <c r="K77" i="18"/>
  <c r="J77" i="18"/>
  <c r="I77" i="18"/>
  <c r="H77" i="18"/>
  <c r="G77" i="18"/>
  <c r="F77" i="18"/>
  <c r="E77" i="18"/>
  <c r="D77" i="18"/>
  <c r="Y76" i="18"/>
  <c r="U76" i="18"/>
  <c r="P76" i="18"/>
  <c r="Y75" i="18"/>
  <c r="U75" i="18"/>
  <c r="P75" i="18"/>
  <c r="Y74" i="18"/>
  <c r="U74" i="18"/>
  <c r="P74" i="18"/>
  <c r="Y73" i="18"/>
  <c r="U73" i="18"/>
  <c r="P73" i="18"/>
  <c r="Y72" i="18"/>
  <c r="U72" i="18"/>
  <c r="P72" i="18"/>
  <c r="Y71" i="18"/>
  <c r="U71" i="18"/>
  <c r="P71" i="18"/>
  <c r="U70" i="18"/>
  <c r="Y69" i="18"/>
  <c r="U69" i="18"/>
  <c r="P69" i="18"/>
  <c r="Y68" i="18"/>
  <c r="U68" i="18"/>
  <c r="P68" i="18"/>
  <c r="Y67" i="18"/>
  <c r="U67" i="18"/>
  <c r="P67" i="18"/>
  <c r="Y66" i="18"/>
  <c r="U66" i="18"/>
  <c r="P66" i="18"/>
  <c r="Y65" i="18"/>
  <c r="U65" i="18"/>
  <c r="P65" i="18"/>
  <c r="Y64" i="18"/>
  <c r="U64" i="18"/>
  <c r="P64" i="18"/>
  <c r="Y63" i="18"/>
  <c r="U63" i="18"/>
  <c r="P63" i="18"/>
  <c r="Y62" i="18"/>
  <c r="U62" i="18"/>
  <c r="P62" i="18"/>
  <c r="Y61" i="18"/>
  <c r="U61" i="18"/>
  <c r="P61" i="18"/>
  <c r="Y60" i="18"/>
  <c r="U60" i="18"/>
  <c r="P60" i="18"/>
  <c r="Y59" i="18"/>
  <c r="U59" i="18"/>
  <c r="P59" i="18"/>
  <c r="Y58" i="18"/>
  <c r="U58" i="18"/>
  <c r="P58" i="18"/>
  <c r="Y57" i="18"/>
  <c r="U57" i="18"/>
  <c r="P57" i="18"/>
  <c r="Y56" i="18"/>
  <c r="U56" i="18"/>
  <c r="P56" i="18"/>
  <c r="Y55" i="18"/>
  <c r="U55" i="18"/>
  <c r="P55" i="18"/>
  <c r="Y54" i="18"/>
  <c r="U54" i="18"/>
  <c r="P54" i="18"/>
  <c r="Y53" i="18"/>
  <c r="U53" i="18"/>
  <c r="P53" i="18"/>
  <c r="Y52" i="18"/>
  <c r="U52" i="18"/>
  <c r="P52" i="18"/>
  <c r="Y51" i="18"/>
  <c r="U51" i="18"/>
  <c r="P51" i="18"/>
  <c r="Y50" i="18"/>
  <c r="U50" i="18"/>
  <c r="P50" i="18"/>
  <c r="Y49" i="18"/>
  <c r="U49" i="18"/>
  <c r="P49" i="18"/>
  <c r="Y48" i="18"/>
  <c r="U48" i="18"/>
  <c r="P48" i="18"/>
  <c r="Y47" i="18"/>
  <c r="U47" i="18"/>
  <c r="P47" i="18"/>
  <c r="Y46" i="18"/>
  <c r="U46" i="18"/>
  <c r="P46" i="18"/>
  <c r="Y45" i="18"/>
  <c r="U45" i="18"/>
  <c r="P45" i="18"/>
  <c r="Y44" i="18"/>
  <c r="U44" i="18"/>
  <c r="P44" i="18"/>
  <c r="Y43" i="18"/>
  <c r="U43" i="18"/>
  <c r="P43" i="18"/>
  <c r="Y42" i="18"/>
  <c r="U42" i="18"/>
  <c r="P42" i="18"/>
  <c r="Y41" i="18"/>
  <c r="U41" i="18"/>
  <c r="P41" i="18"/>
  <c r="Y40" i="18"/>
  <c r="U40" i="18"/>
  <c r="P40" i="18"/>
  <c r="Y39" i="18"/>
  <c r="U39" i="18"/>
  <c r="P39" i="18"/>
  <c r="Y38" i="18"/>
  <c r="U38" i="18"/>
  <c r="P38" i="18"/>
  <c r="Y37" i="18"/>
  <c r="U37" i="18"/>
  <c r="P37" i="18"/>
  <c r="Y36" i="18"/>
  <c r="U36" i="18"/>
  <c r="P36" i="18"/>
  <c r="Y35" i="18"/>
  <c r="U35" i="18"/>
  <c r="P35" i="18"/>
  <c r="Y34" i="18"/>
  <c r="U34" i="18"/>
  <c r="P34" i="18"/>
  <c r="Y33" i="18"/>
  <c r="U33" i="18"/>
  <c r="P33" i="18"/>
  <c r="Y32" i="18"/>
  <c r="U32" i="18"/>
  <c r="P32" i="18"/>
  <c r="Y31" i="18"/>
  <c r="U31" i="18"/>
  <c r="P31" i="18"/>
  <c r="Y30" i="18"/>
  <c r="U30" i="18"/>
  <c r="P30" i="18"/>
  <c r="Y29" i="18"/>
  <c r="U29" i="18"/>
  <c r="P29" i="18"/>
  <c r="Y28" i="18"/>
  <c r="U28" i="18"/>
  <c r="P28" i="18"/>
  <c r="Y27" i="18"/>
  <c r="U27" i="18"/>
  <c r="P27" i="18"/>
  <c r="Y26" i="18"/>
  <c r="U26" i="18"/>
  <c r="P26" i="18"/>
  <c r="Y25" i="18"/>
  <c r="U25" i="18"/>
  <c r="P25" i="18"/>
  <c r="Y24" i="18"/>
  <c r="U24" i="18"/>
  <c r="P24" i="18"/>
  <c r="Y23" i="18"/>
  <c r="U23" i="18"/>
  <c r="P23" i="18"/>
  <c r="Y22" i="18"/>
  <c r="U22" i="18"/>
  <c r="P22" i="18"/>
  <c r="Y21" i="18"/>
  <c r="U21" i="18"/>
  <c r="P21" i="18"/>
  <c r="Y20" i="18"/>
  <c r="U20" i="18"/>
  <c r="P20" i="18"/>
  <c r="Y19" i="18"/>
  <c r="U19" i="18"/>
  <c r="P19" i="18"/>
  <c r="Y18" i="18"/>
  <c r="U18" i="18"/>
  <c r="P18" i="18"/>
  <c r="Y17" i="18"/>
  <c r="U17" i="18"/>
  <c r="P17" i="18"/>
  <c r="Y16" i="18"/>
  <c r="U16" i="18"/>
  <c r="P16" i="18"/>
  <c r="Y15" i="18"/>
  <c r="U15" i="18"/>
  <c r="P15" i="18"/>
  <c r="Y14" i="18"/>
  <c r="U14" i="18"/>
  <c r="P14" i="18"/>
  <c r="Y13" i="18"/>
  <c r="U13" i="18"/>
  <c r="P13" i="18"/>
  <c r="Y12" i="18"/>
  <c r="U12" i="18"/>
  <c r="P12" i="18"/>
  <c r="Y11" i="18"/>
  <c r="U11" i="18"/>
  <c r="P11" i="18"/>
  <c r="Y10" i="18"/>
  <c r="U10" i="18"/>
  <c r="P10" i="18"/>
  <c r="Y9" i="18"/>
  <c r="U9" i="18"/>
  <c r="P9" i="18"/>
  <c r="Y8" i="18"/>
  <c r="U8" i="18"/>
  <c r="P8" i="18"/>
  <c r="AE7" i="18"/>
  <c r="AG3" i="18" s="1"/>
  <c r="Y7" i="18"/>
  <c r="U7" i="18"/>
  <c r="P7" i="18"/>
  <c r="Y6" i="18"/>
  <c r="U6" i="18"/>
  <c r="P6" i="18"/>
  <c r="Y5" i="18"/>
  <c r="U5" i="18"/>
  <c r="P5" i="18"/>
  <c r="Y4" i="18"/>
  <c r="U4" i="18"/>
  <c r="P4" i="18"/>
  <c r="Y3" i="18"/>
  <c r="U3" i="18"/>
  <c r="P3" i="18"/>
  <c r="H96" i="22"/>
  <c r="G87" i="22"/>
  <c r="G86" i="22"/>
  <c r="E86" i="22"/>
  <c r="E87" i="22" s="1"/>
  <c r="G83" i="22"/>
  <c r="H83" i="22" s="1"/>
  <c r="H82" i="22"/>
  <c r="E78" i="22"/>
  <c r="E77" i="22"/>
  <c r="E76" i="22"/>
  <c r="E73" i="22"/>
  <c r="H72" i="22"/>
  <c r="E68" i="22"/>
  <c r="E66" i="22"/>
  <c r="E65" i="22"/>
  <c r="C49" i="22"/>
  <c r="G48" i="22"/>
  <c r="H48" i="22" s="1"/>
  <c r="G47" i="22"/>
  <c r="H47" i="22" s="1"/>
  <c r="G46" i="22"/>
  <c r="H46" i="22" s="1"/>
  <c r="G45" i="22"/>
  <c r="H45" i="22" s="1"/>
  <c r="G44" i="22"/>
  <c r="H44" i="22" s="1"/>
  <c r="G43" i="22"/>
  <c r="H43" i="22" s="1"/>
  <c r="G42" i="22"/>
  <c r="H42" i="22" s="1"/>
  <c r="G41" i="22"/>
  <c r="H41" i="22" s="1"/>
  <c r="G40" i="22"/>
  <c r="H40" i="22" s="1"/>
  <c r="E37" i="22"/>
  <c r="C27" i="22"/>
  <c r="G26" i="22"/>
  <c r="G25" i="22"/>
  <c r="G24" i="22"/>
  <c r="G23" i="22"/>
  <c r="G22" i="22"/>
  <c r="G21" i="22"/>
  <c r="G20" i="22"/>
  <c r="G19" i="22"/>
  <c r="G18" i="22"/>
  <c r="G17" i="22"/>
  <c r="G16" i="22"/>
  <c r="G15" i="22"/>
  <c r="G14" i="22"/>
  <c r="G13" i="22"/>
  <c r="G12" i="22"/>
  <c r="G11" i="22"/>
  <c r="G6" i="22"/>
  <c r="C77" i="22" s="1"/>
  <c r="C4" i="22"/>
  <c r="H12" i="21" l="1"/>
  <c r="H13" i="22"/>
  <c r="H24" i="21"/>
  <c r="H25" i="21"/>
  <c r="H14" i="21"/>
  <c r="C51" i="22"/>
  <c r="G52" i="22" s="1"/>
  <c r="G65" i="22" s="1"/>
  <c r="H65" i="22" s="1"/>
  <c r="Q10" i="15"/>
  <c r="H21" i="22"/>
  <c r="H14" i="22"/>
  <c r="H19" i="21"/>
  <c r="H26" i="21"/>
  <c r="H37" i="21"/>
  <c r="H22" i="21"/>
  <c r="H16" i="21"/>
  <c r="H23" i="21"/>
  <c r="H17" i="22"/>
  <c r="H25" i="22"/>
  <c r="H26" i="22"/>
  <c r="H20" i="22"/>
  <c r="H18" i="21"/>
  <c r="H15" i="22"/>
  <c r="H32" i="22"/>
  <c r="U77" i="18"/>
  <c r="H20" i="21"/>
  <c r="H16" i="22"/>
  <c r="H22" i="22"/>
  <c r="H86" i="22"/>
  <c r="H21" i="21"/>
  <c r="H24" i="22"/>
  <c r="P77" i="18"/>
  <c r="H23" i="22"/>
  <c r="H12" i="22"/>
  <c r="H18" i="22"/>
  <c r="H19" i="22"/>
  <c r="H31" i="21"/>
  <c r="B77" i="22"/>
  <c r="G77" i="22" s="1"/>
  <c r="G27" i="22"/>
  <c r="E38" i="22" s="1"/>
  <c r="C54" i="22" s="1"/>
  <c r="G55" i="22" s="1"/>
  <c r="B73" i="21"/>
  <c r="G73" i="21" s="1"/>
  <c r="H15" i="21"/>
  <c r="H11" i="21"/>
  <c r="B71" i="21"/>
  <c r="G27" i="21"/>
  <c r="E39" i="21" s="1"/>
  <c r="C55" i="21" s="1"/>
  <c r="G56" i="21" s="1"/>
  <c r="H50" i="21"/>
  <c r="H82" i="21"/>
  <c r="H81" i="21"/>
  <c r="G83" i="21"/>
  <c r="H83" i="21" s="1"/>
  <c r="H13" i="21"/>
  <c r="B72" i="21"/>
  <c r="H32" i="21"/>
  <c r="C72" i="21"/>
  <c r="H33" i="21"/>
  <c r="H34" i="21"/>
  <c r="C27" i="21"/>
  <c r="C52" i="21" s="1"/>
  <c r="G53" i="21" s="1"/>
  <c r="G77" i="21"/>
  <c r="H77" i="21" s="1"/>
  <c r="H36" i="21"/>
  <c r="H35" i="21"/>
  <c r="C71" i="21"/>
  <c r="AF3" i="18"/>
  <c r="AE3" i="18"/>
  <c r="H49" i="22"/>
  <c r="H87" i="22"/>
  <c r="H33" i="22"/>
  <c r="H34" i="22"/>
  <c r="B76" i="22"/>
  <c r="B78" i="22"/>
  <c r="G88" i="22"/>
  <c r="H88" i="22" s="1"/>
  <c r="H35" i="22"/>
  <c r="C76" i="22"/>
  <c r="C78" i="22"/>
  <c r="H11" i="22"/>
  <c r="H36" i="22"/>
  <c r="H30" i="22"/>
  <c r="H31" i="22"/>
  <c r="Q195" i="15"/>
  <c r="G58" i="22" l="1"/>
  <c r="H58" i="22" s="1"/>
  <c r="H38" i="21"/>
  <c r="H27" i="22"/>
  <c r="H89" i="22"/>
  <c r="G64" i="22"/>
  <c r="H64" i="22" s="1"/>
  <c r="G56" i="22"/>
  <c r="H56" i="22" s="1"/>
  <c r="G60" i="22"/>
  <c r="H60" i="22" s="1"/>
  <c r="G59" i="22"/>
  <c r="H59" i="22" s="1"/>
  <c r="H27" i="21"/>
  <c r="H39" i="21" s="1"/>
  <c r="H84" i="21"/>
  <c r="G67" i="22"/>
  <c r="H67" i="22" s="1"/>
  <c r="G73" i="22"/>
  <c r="H73" i="22" s="1"/>
  <c r="G68" i="22"/>
  <c r="H68" i="22" s="1"/>
  <c r="G66" i="22"/>
  <c r="H66" i="22" s="1"/>
  <c r="G67" i="21"/>
  <c r="H67" i="21" s="1"/>
  <c r="G66" i="21"/>
  <c r="H66" i="21" s="1"/>
  <c r="G68" i="21"/>
  <c r="H68" i="21" s="1"/>
  <c r="G65" i="21"/>
  <c r="H65" i="21" s="1"/>
  <c r="G71" i="21"/>
  <c r="B74" i="21"/>
  <c r="G72" i="21"/>
  <c r="G57" i="21"/>
  <c r="H57" i="21" s="1"/>
  <c r="G60" i="21"/>
  <c r="H60" i="21" s="1"/>
  <c r="G63" i="21"/>
  <c r="H63" i="21" s="1"/>
  <c r="G59" i="21"/>
  <c r="H59" i="21" s="1"/>
  <c r="G64" i="21"/>
  <c r="H64" i="21" s="1"/>
  <c r="G58" i="21"/>
  <c r="H58" i="21" s="1"/>
  <c r="G78" i="22"/>
  <c r="H37" i="22"/>
  <c r="B79" i="22"/>
  <c r="G76" i="22"/>
  <c r="Q41" i="15"/>
  <c r="M41" i="15" s="1"/>
  <c r="N41" i="15" l="1"/>
  <c r="K41" i="15"/>
  <c r="H38" i="22"/>
  <c r="F41" i="15"/>
  <c r="G41" i="15"/>
  <c r="I41" i="15"/>
  <c r="H41" i="15"/>
  <c r="H74" i="21"/>
  <c r="H87" i="21" s="1"/>
  <c r="J41" i="15"/>
  <c r="L41" i="15"/>
  <c r="E41" i="15"/>
  <c r="H79" i="22"/>
  <c r="H92" i="22" s="1"/>
  <c r="P205" i="15"/>
  <c r="H94" i="22" l="1"/>
  <c r="J3" i="23"/>
  <c r="J2" i="23" s="1"/>
  <c r="H98" i="22" l="1"/>
  <c r="H99" i="22" s="1"/>
  <c r="Q7" i="15" s="1"/>
  <c r="Q198" i="15"/>
  <c r="D55" i="15"/>
  <c r="D54" i="15"/>
  <c r="N311" i="23"/>
  <c r="G311" i="23"/>
  <c r="W310" i="23"/>
  <c r="S310" i="23"/>
  <c r="K310" i="23"/>
  <c r="J310" i="23"/>
  <c r="F310" i="23"/>
  <c r="C310" i="23"/>
  <c r="D310" i="23" s="1"/>
  <c r="W309" i="23"/>
  <c r="S309" i="23"/>
  <c r="K309" i="23"/>
  <c r="J309" i="23"/>
  <c r="F309" i="23"/>
  <c r="C309" i="23"/>
  <c r="D309" i="23" s="1"/>
  <c r="W308" i="23"/>
  <c r="S308" i="23"/>
  <c r="K308" i="23"/>
  <c r="J308" i="23"/>
  <c r="F308" i="23"/>
  <c r="C308" i="23"/>
  <c r="D308" i="23" s="1"/>
  <c r="W307" i="23"/>
  <c r="S307" i="23"/>
  <c r="K307" i="23"/>
  <c r="J307" i="23"/>
  <c r="F307" i="23"/>
  <c r="C307" i="23"/>
  <c r="D307" i="23" s="1"/>
  <c r="W306" i="23"/>
  <c r="S306" i="23"/>
  <c r="K306" i="23"/>
  <c r="J306" i="23"/>
  <c r="F306" i="23"/>
  <c r="C306" i="23"/>
  <c r="D306" i="23" s="1"/>
  <c r="W305" i="23"/>
  <c r="S305" i="23"/>
  <c r="K305" i="23"/>
  <c r="J305" i="23"/>
  <c r="F305" i="23"/>
  <c r="C305" i="23"/>
  <c r="D305" i="23" s="1"/>
  <c r="W304" i="23"/>
  <c r="S304" i="23"/>
  <c r="K304" i="23"/>
  <c r="J304" i="23"/>
  <c r="F304" i="23"/>
  <c r="C304" i="23"/>
  <c r="D304" i="23" s="1"/>
  <c r="W303" i="23"/>
  <c r="S303" i="23"/>
  <c r="K303" i="23"/>
  <c r="J303" i="23"/>
  <c r="F303" i="23"/>
  <c r="C303" i="23"/>
  <c r="D303" i="23" s="1"/>
  <c r="W302" i="23"/>
  <c r="S302" i="23"/>
  <c r="K302" i="23"/>
  <c r="J302" i="23"/>
  <c r="F302" i="23"/>
  <c r="C302" i="23"/>
  <c r="D302" i="23" s="1"/>
  <c r="W301" i="23"/>
  <c r="S301" i="23"/>
  <c r="K301" i="23"/>
  <c r="J301" i="23"/>
  <c r="F301" i="23"/>
  <c r="C301" i="23"/>
  <c r="D301" i="23" s="1"/>
  <c r="W300" i="23"/>
  <c r="S300" i="23"/>
  <c r="K300" i="23"/>
  <c r="J300" i="23"/>
  <c r="F300" i="23"/>
  <c r="C300" i="23"/>
  <c r="D300" i="23" s="1"/>
  <c r="W299" i="23"/>
  <c r="S299" i="23"/>
  <c r="K299" i="23"/>
  <c r="J299" i="23"/>
  <c r="F299" i="23"/>
  <c r="C299" i="23"/>
  <c r="D299" i="23" s="1"/>
  <c r="W298" i="23"/>
  <c r="S298" i="23"/>
  <c r="K298" i="23"/>
  <c r="J298" i="23"/>
  <c r="F298" i="23"/>
  <c r="C298" i="23"/>
  <c r="D298" i="23" s="1"/>
  <c r="W297" i="23"/>
  <c r="S297" i="23"/>
  <c r="K297" i="23"/>
  <c r="J297" i="23"/>
  <c r="F297" i="23"/>
  <c r="C297" i="23"/>
  <c r="D297" i="23" s="1"/>
  <c r="W296" i="23"/>
  <c r="S296" i="23"/>
  <c r="K296" i="23"/>
  <c r="J296" i="23"/>
  <c r="F296" i="23"/>
  <c r="C296" i="23"/>
  <c r="D296" i="23" s="1"/>
  <c r="W295" i="23"/>
  <c r="S295" i="23"/>
  <c r="K295" i="23"/>
  <c r="J295" i="23"/>
  <c r="F295" i="23"/>
  <c r="C295" i="23"/>
  <c r="D295" i="23" s="1"/>
  <c r="W294" i="23"/>
  <c r="S294" i="23"/>
  <c r="K294" i="23"/>
  <c r="J294" i="23"/>
  <c r="F294" i="23"/>
  <c r="C294" i="23"/>
  <c r="D294" i="23" s="1"/>
  <c r="W293" i="23"/>
  <c r="S293" i="23"/>
  <c r="K293" i="23"/>
  <c r="J293" i="23"/>
  <c r="F293" i="23"/>
  <c r="C293" i="23"/>
  <c r="D293" i="23" s="1"/>
  <c r="W292" i="23"/>
  <c r="S292" i="23"/>
  <c r="K292" i="23"/>
  <c r="J292" i="23"/>
  <c r="F292" i="23"/>
  <c r="C292" i="23"/>
  <c r="D292" i="23" s="1"/>
  <c r="W291" i="23"/>
  <c r="S291" i="23"/>
  <c r="K291" i="23"/>
  <c r="J291" i="23"/>
  <c r="F291" i="23"/>
  <c r="C291" i="23"/>
  <c r="D291" i="23" s="1"/>
  <c r="W290" i="23"/>
  <c r="S290" i="23"/>
  <c r="K290" i="23"/>
  <c r="J290" i="23"/>
  <c r="F290" i="23"/>
  <c r="C290" i="23"/>
  <c r="D290" i="23" s="1"/>
  <c r="W289" i="23"/>
  <c r="S289" i="23"/>
  <c r="K289" i="23"/>
  <c r="J289" i="23"/>
  <c r="F289" i="23"/>
  <c r="C289" i="23"/>
  <c r="D289" i="23" s="1"/>
  <c r="W288" i="23"/>
  <c r="S288" i="23"/>
  <c r="K288" i="23"/>
  <c r="J288" i="23"/>
  <c r="F288" i="23"/>
  <c r="C288" i="23"/>
  <c r="D288" i="23" s="1"/>
  <c r="W287" i="23"/>
  <c r="S287" i="23"/>
  <c r="K287" i="23"/>
  <c r="J287" i="23"/>
  <c r="F287" i="23"/>
  <c r="C287" i="23"/>
  <c r="D287" i="23" s="1"/>
  <c r="W286" i="23"/>
  <c r="S286" i="23"/>
  <c r="K286" i="23"/>
  <c r="J286" i="23"/>
  <c r="F286" i="23"/>
  <c r="C286" i="23"/>
  <c r="D286" i="23" s="1"/>
  <c r="W285" i="23"/>
  <c r="S285" i="23"/>
  <c r="K285" i="23"/>
  <c r="J285" i="23"/>
  <c r="F285" i="23"/>
  <c r="C285" i="23"/>
  <c r="D285" i="23" s="1"/>
  <c r="W284" i="23"/>
  <c r="S284" i="23"/>
  <c r="K284" i="23"/>
  <c r="J284" i="23"/>
  <c r="F284" i="23"/>
  <c r="C284" i="23"/>
  <c r="D284" i="23" s="1"/>
  <c r="W283" i="23"/>
  <c r="S283" i="23"/>
  <c r="K283" i="23"/>
  <c r="J283" i="23"/>
  <c r="F283" i="23"/>
  <c r="C283" i="23"/>
  <c r="D283" i="23" s="1"/>
  <c r="W282" i="23"/>
  <c r="S282" i="23"/>
  <c r="K282" i="23"/>
  <c r="J282" i="23"/>
  <c r="F282" i="23"/>
  <c r="C282" i="23"/>
  <c r="D282" i="23" s="1"/>
  <c r="W281" i="23"/>
  <c r="S281" i="23"/>
  <c r="K281" i="23"/>
  <c r="J281" i="23"/>
  <c r="F281" i="23"/>
  <c r="C281" i="23"/>
  <c r="D281" i="23" s="1"/>
  <c r="W280" i="23"/>
  <c r="S280" i="23"/>
  <c r="K280" i="23"/>
  <c r="J280" i="23"/>
  <c r="F280" i="23"/>
  <c r="C280" i="23"/>
  <c r="D280" i="23" s="1"/>
  <c r="W279" i="23"/>
  <c r="S279" i="23"/>
  <c r="K279" i="23"/>
  <c r="J279" i="23"/>
  <c r="F279" i="23"/>
  <c r="C279" i="23"/>
  <c r="D279" i="23" s="1"/>
  <c r="W278" i="23"/>
  <c r="S278" i="23"/>
  <c r="K278" i="23"/>
  <c r="J278" i="23"/>
  <c r="F278" i="23"/>
  <c r="C278" i="23"/>
  <c r="D278" i="23" s="1"/>
  <c r="W277" i="23"/>
  <c r="S277" i="23"/>
  <c r="K277" i="23"/>
  <c r="J277" i="23"/>
  <c r="F277" i="23"/>
  <c r="C277" i="23"/>
  <c r="D277" i="23" s="1"/>
  <c r="W276" i="23"/>
  <c r="S276" i="23"/>
  <c r="K276" i="23"/>
  <c r="J276" i="23"/>
  <c r="F276" i="23"/>
  <c r="C276" i="23"/>
  <c r="D276" i="23" s="1"/>
  <c r="W275" i="23"/>
  <c r="S275" i="23"/>
  <c r="K275" i="23"/>
  <c r="J275" i="23"/>
  <c r="F275" i="23"/>
  <c r="C275" i="23"/>
  <c r="D275" i="23" s="1"/>
  <c r="W274" i="23"/>
  <c r="S274" i="23"/>
  <c r="K274" i="23"/>
  <c r="J274" i="23"/>
  <c r="F274" i="23"/>
  <c r="C274" i="23"/>
  <c r="D274" i="23" s="1"/>
  <c r="W273" i="23"/>
  <c r="S273" i="23"/>
  <c r="K273" i="23"/>
  <c r="J273" i="23"/>
  <c r="F273" i="23"/>
  <c r="C273" i="23"/>
  <c r="D273" i="23" s="1"/>
  <c r="K272" i="23"/>
  <c r="J272" i="23"/>
  <c r="F272" i="23"/>
  <c r="C272" i="23"/>
  <c r="D272" i="23" s="1"/>
  <c r="K271" i="23"/>
  <c r="J271" i="23"/>
  <c r="F271" i="23"/>
  <c r="C271" i="23"/>
  <c r="D271" i="23" s="1"/>
  <c r="K270" i="23"/>
  <c r="J270" i="23"/>
  <c r="F270" i="23"/>
  <c r="C270" i="23"/>
  <c r="E266" i="23"/>
  <c r="E265" i="23"/>
  <c r="E264" i="23"/>
  <c r="E263" i="23"/>
  <c r="AK81" i="23" s="1"/>
  <c r="E259" i="23"/>
  <c r="E258" i="23"/>
  <c r="E257" i="23"/>
  <c r="E256" i="23"/>
  <c r="E251" i="23"/>
  <c r="E250" i="23"/>
  <c r="E249" i="23"/>
  <c r="AL164" i="23" s="1"/>
  <c r="E248" i="23"/>
  <c r="AL172" i="23" s="1"/>
  <c r="E243" i="23"/>
  <c r="E242" i="23"/>
  <c r="E241" i="23"/>
  <c r="E240" i="23"/>
  <c r="E236" i="23"/>
  <c r="E235" i="23"/>
  <c r="E234" i="23"/>
  <c r="E233" i="23"/>
  <c r="E229" i="23"/>
  <c r="E228" i="23"/>
  <c r="E227" i="23"/>
  <c r="AJ164" i="23" s="1"/>
  <c r="E226" i="23"/>
  <c r="M188" i="23"/>
  <c r="L188" i="23"/>
  <c r="E188" i="23"/>
  <c r="AZ186" i="23"/>
  <c r="AW186" i="23"/>
  <c r="AV186" i="23"/>
  <c r="AT186" i="23"/>
  <c r="W186" i="23" s="1"/>
  <c r="AL186" i="23"/>
  <c r="AK186" i="23"/>
  <c r="AJ186" i="23"/>
  <c r="AI186" i="23"/>
  <c r="AG186" i="23"/>
  <c r="AE186" i="23"/>
  <c r="AA186" i="23"/>
  <c r="AZ185" i="23"/>
  <c r="AW185" i="23"/>
  <c r="AL185" i="23"/>
  <c r="AK185" i="23"/>
  <c r="AJ185" i="23"/>
  <c r="AI185" i="23"/>
  <c r="AG185" i="23"/>
  <c r="AE185" i="23"/>
  <c r="AC185" i="23"/>
  <c r="AZ184" i="23"/>
  <c r="AW184" i="23"/>
  <c r="AL184" i="23"/>
  <c r="AK184" i="23"/>
  <c r="AJ184" i="23"/>
  <c r="AI184" i="23"/>
  <c r="AG184" i="23"/>
  <c r="AE184" i="23"/>
  <c r="AC184" i="23"/>
  <c r="AZ183" i="23"/>
  <c r="AW183" i="23"/>
  <c r="BA183" i="23" s="1"/>
  <c r="AL183" i="23"/>
  <c r="AK183" i="23"/>
  <c r="AJ183" i="23"/>
  <c r="AI183" i="23"/>
  <c r="AG183" i="23"/>
  <c r="AE183" i="23"/>
  <c r="AC183" i="23"/>
  <c r="AV183" i="23"/>
  <c r="AZ182" i="23"/>
  <c r="AW182" i="23"/>
  <c r="AL182" i="23"/>
  <c r="AK182" i="23"/>
  <c r="AN182" i="23" s="1"/>
  <c r="AJ182" i="23"/>
  <c r="AI182" i="23"/>
  <c r="AG182" i="23"/>
  <c r="AE182" i="23"/>
  <c r="AC182" i="23"/>
  <c r="AT182" i="23"/>
  <c r="W182" i="23" s="1"/>
  <c r="AZ181" i="23"/>
  <c r="AW181" i="23"/>
  <c r="AL181" i="23"/>
  <c r="AK181" i="23"/>
  <c r="AN181" i="23" s="1"/>
  <c r="AJ181" i="23"/>
  <c r="AI181" i="23"/>
  <c r="AG181" i="23"/>
  <c r="AE181" i="23"/>
  <c r="AC181" i="23"/>
  <c r="U181" i="23"/>
  <c r="AZ180" i="23"/>
  <c r="AW180" i="23"/>
  <c r="AV180" i="23"/>
  <c r="AT180" i="23"/>
  <c r="W180" i="23" s="1"/>
  <c r="AL180" i="23"/>
  <c r="AK180" i="23"/>
  <c r="AJ180" i="23"/>
  <c r="AI180" i="23"/>
  <c r="AG180" i="23"/>
  <c r="AE180" i="23"/>
  <c r="AC180" i="23"/>
  <c r="AZ179" i="23"/>
  <c r="AW179" i="23"/>
  <c r="AV179" i="23"/>
  <c r="AT179" i="23"/>
  <c r="W179" i="23" s="1"/>
  <c r="AL179" i="23"/>
  <c r="AK179" i="23"/>
  <c r="AJ179" i="23"/>
  <c r="AI179" i="23"/>
  <c r="AG179" i="23"/>
  <c r="AE179" i="23"/>
  <c r="AC179" i="23"/>
  <c r="U179" i="23"/>
  <c r="BI178" i="23"/>
  <c r="U178" i="23"/>
  <c r="AT177" i="23"/>
  <c r="AL177" i="23"/>
  <c r="AK177" i="23"/>
  <c r="AJ177" i="23"/>
  <c r="AI177" i="23"/>
  <c r="AG177" i="23"/>
  <c r="AE177" i="23"/>
  <c r="AC177" i="23"/>
  <c r="W177" i="23"/>
  <c r="N177" i="23"/>
  <c r="U177" i="23" s="1"/>
  <c r="AZ176" i="23"/>
  <c r="AW176" i="23"/>
  <c r="AV176" i="23"/>
  <c r="AT176" i="23"/>
  <c r="W176" i="23" s="1"/>
  <c r="AL176" i="23"/>
  <c r="AK176" i="23"/>
  <c r="AJ176" i="23"/>
  <c r="AI176" i="23"/>
  <c r="AG176" i="23"/>
  <c r="AE176" i="23"/>
  <c r="AC176" i="23"/>
  <c r="N176" i="23"/>
  <c r="B176" i="23"/>
  <c r="AZ175" i="23"/>
  <c r="AW175" i="23"/>
  <c r="AV175" i="23"/>
  <c r="AX175" i="23" s="1"/>
  <c r="AT175" i="23"/>
  <c r="W175" i="23" s="1"/>
  <c r="AL175" i="23"/>
  <c r="AK175" i="23"/>
  <c r="AJ175" i="23"/>
  <c r="AI175" i="23"/>
  <c r="AG175" i="23"/>
  <c r="AE175" i="23"/>
  <c r="AC175" i="23"/>
  <c r="N175" i="23"/>
  <c r="R175" i="23" s="1"/>
  <c r="BI174" i="23"/>
  <c r="U174" i="23"/>
  <c r="AT173" i="23"/>
  <c r="W173" i="23" s="1"/>
  <c r="AL173" i="23"/>
  <c r="AK173" i="23"/>
  <c r="AJ173" i="23"/>
  <c r="AI173" i="23"/>
  <c r="AG173" i="23"/>
  <c r="AE173" i="23"/>
  <c r="AA173" i="23"/>
  <c r="U173" i="23"/>
  <c r="AZ171" i="23"/>
  <c r="AW171" i="23"/>
  <c r="AV171" i="23"/>
  <c r="AT171" i="23"/>
  <c r="W171" i="23" s="1"/>
  <c r="AL171" i="23"/>
  <c r="AJ171" i="23"/>
  <c r="AI171" i="23"/>
  <c r="AG171" i="23"/>
  <c r="AE171" i="23"/>
  <c r="AC171" i="23"/>
  <c r="U171" i="23"/>
  <c r="AZ170" i="23"/>
  <c r="AW170" i="23"/>
  <c r="AV170" i="23"/>
  <c r="AT170" i="23"/>
  <c r="W170" i="23" s="1"/>
  <c r="AL170" i="23"/>
  <c r="AK170" i="23"/>
  <c r="AJ170" i="23"/>
  <c r="AI170" i="23"/>
  <c r="AG170" i="23"/>
  <c r="AE170" i="23"/>
  <c r="AC170" i="23"/>
  <c r="BI169" i="23"/>
  <c r="U169" i="23"/>
  <c r="AZ168" i="23"/>
  <c r="AW168" i="23"/>
  <c r="AV168" i="23"/>
  <c r="AT168" i="23"/>
  <c r="W168" i="23" s="1"/>
  <c r="AL168" i="23"/>
  <c r="AK168" i="23"/>
  <c r="AJ168" i="23"/>
  <c r="AI168" i="23"/>
  <c r="AG168" i="23"/>
  <c r="AE168" i="23"/>
  <c r="AC168" i="23"/>
  <c r="AZ167" i="23"/>
  <c r="AW167" i="23"/>
  <c r="AV167" i="23"/>
  <c r="AT167" i="23"/>
  <c r="W167" i="23" s="1"/>
  <c r="AL167" i="23"/>
  <c r="AK167" i="23"/>
  <c r="AJ167" i="23"/>
  <c r="AI167" i="23"/>
  <c r="AG167" i="23"/>
  <c r="AE167" i="23"/>
  <c r="AC167" i="23"/>
  <c r="AZ166" i="23"/>
  <c r="AW166" i="23"/>
  <c r="AV166" i="23"/>
  <c r="AT166" i="23"/>
  <c r="W166" i="23" s="1"/>
  <c r="AL166" i="23"/>
  <c r="AJ166" i="23"/>
  <c r="AI166" i="23"/>
  <c r="AG166" i="23"/>
  <c r="AE166" i="23"/>
  <c r="AC166" i="23"/>
  <c r="AZ165" i="23"/>
  <c r="AW165" i="23"/>
  <c r="AV165" i="23"/>
  <c r="AT165" i="23"/>
  <c r="W165" i="23" s="1"/>
  <c r="AL165" i="23"/>
  <c r="AJ165" i="23"/>
  <c r="AI165" i="23"/>
  <c r="AG165" i="23"/>
  <c r="AE165" i="23"/>
  <c r="AC165" i="23"/>
  <c r="U165" i="23"/>
  <c r="AZ164" i="23"/>
  <c r="AW164" i="23"/>
  <c r="AV164" i="23"/>
  <c r="AT164" i="23"/>
  <c r="W164" i="23" s="1"/>
  <c r="AK164" i="23"/>
  <c r="AI164" i="23"/>
  <c r="AG164" i="23"/>
  <c r="AE164" i="23"/>
  <c r="AC164" i="23"/>
  <c r="U164" i="23"/>
  <c r="AZ163" i="23"/>
  <c r="AW163" i="23"/>
  <c r="AV163" i="23"/>
  <c r="AT163" i="23"/>
  <c r="W163" i="23" s="1"/>
  <c r="AL163" i="23"/>
  <c r="AK163" i="23"/>
  <c r="AJ163" i="23"/>
  <c r="AI163" i="23"/>
  <c r="AG163" i="23"/>
  <c r="AE163" i="23"/>
  <c r="AC163" i="23"/>
  <c r="BI162" i="23"/>
  <c r="AC162" i="23"/>
  <c r="Y162" i="23"/>
  <c r="X162" i="23"/>
  <c r="W162" i="23"/>
  <c r="N162" i="23"/>
  <c r="R162" i="23" s="1"/>
  <c r="T162" i="23" s="1"/>
  <c r="AC161" i="23"/>
  <c r="Y161" i="23"/>
  <c r="X161" i="23"/>
  <c r="W161" i="23"/>
  <c r="N161" i="23"/>
  <c r="U161" i="23" s="1"/>
  <c r="AC160" i="23"/>
  <c r="Y160" i="23"/>
  <c r="X160" i="23"/>
  <c r="W160" i="23"/>
  <c r="N160" i="23"/>
  <c r="R160" i="23" s="1"/>
  <c r="AT159" i="23"/>
  <c r="W159" i="23" s="1"/>
  <c r="AL159" i="23"/>
  <c r="AK159" i="23"/>
  <c r="AJ159" i="23"/>
  <c r="AI159" i="23"/>
  <c r="AG159" i="23"/>
  <c r="AE159" i="23"/>
  <c r="AC159" i="23"/>
  <c r="U159" i="23"/>
  <c r="AZ158" i="23"/>
  <c r="AW158" i="23"/>
  <c r="AV158" i="23"/>
  <c r="AX158" i="23" s="1"/>
  <c r="AT158" i="23"/>
  <c r="W158" i="23" s="1"/>
  <c r="AL158" i="23"/>
  <c r="AK158" i="23"/>
  <c r="AJ158" i="23"/>
  <c r="AI158" i="23"/>
  <c r="AG158" i="23"/>
  <c r="AE158" i="23"/>
  <c r="AC158" i="23"/>
  <c r="U158" i="23"/>
  <c r="AZ157" i="23"/>
  <c r="AW157" i="23"/>
  <c r="AV157" i="23"/>
  <c r="AT157" i="23"/>
  <c r="AL157" i="23"/>
  <c r="AK157" i="23"/>
  <c r="AJ157" i="23"/>
  <c r="AI157" i="23"/>
  <c r="AG157" i="23"/>
  <c r="AE157" i="23"/>
  <c r="AC157" i="23"/>
  <c r="W157" i="23"/>
  <c r="N157" i="23"/>
  <c r="R157" i="23" s="1"/>
  <c r="BI156" i="23"/>
  <c r="U156" i="23"/>
  <c r="AT155" i="23"/>
  <c r="W155" i="23" s="1"/>
  <c r="AL155" i="23"/>
  <c r="AK155" i="23"/>
  <c r="AJ155" i="23"/>
  <c r="AI155" i="23"/>
  <c r="AG155" i="23"/>
  <c r="AE155" i="23"/>
  <c r="AC155" i="23"/>
  <c r="N155" i="23"/>
  <c r="R155" i="23" s="1"/>
  <c r="AZ154" i="23"/>
  <c r="AW154" i="23"/>
  <c r="AV154" i="23"/>
  <c r="AT154" i="23"/>
  <c r="W154" i="23" s="1"/>
  <c r="AL154" i="23"/>
  <c r="AJ154" i="23"/>
  <c r="AI154" i="23"/>
  <c r="AG154" i="23"/>
  <c r="AE154" i="23"/>
  <c r="AC154" i="23"/>
  <c r="U154" i="23"/>
  <c r="AZ153" i="23"/>
  <c r="AW153" i="23"/>
  <c r="AV153" i="23"/>
  <c r="AT153" i="23"/>
  <c r="W153" i="23" s="1"/>
  <c r="AL153" i="23"/>
  <c r="AK153" i="23"/>
  <c r="AJ153" i="23"/>
  <c r="AI153" i="23"/>
  <c r="AG153" i="23"/>
  <c r="AE153" i="23"/>
  <c r="AC153" i="23"/>
  <c r="U153" i="23"/>
  <c r="BI152" i="23"/>
  <c r="U152" i="23"/>
  <c r="AW151" i="23"/>
  <c r="AV151" i="23"/>
  <c r="AT151" i="23"/>
  <c r="W151" i="23" s="1"/>
  <c r="AL151" i="23"/>
  <c r="AK151" i="23"/>
  <c r="AJ151" i="23"/>
  <c r="AI151" i="23"/>
  <c r="AG151" i="23"/>
  <c r="AE151" i="23"/>
  <c r="AC151" i="23"/>
  <c r="N151" i="23"/>
  <c r="V151" i="23" s="1"/>
  <c r="AW150" i="23"/>
  <c r="BA150" i="23" s="1"/>
  <c r="AV150" i="23"/>
  <c r="AT150" i="23"/>
  <c r="W150" i="23" s="1"/>
  <c r="AL150" i="23"/>
  <c r="AK150" i="23"/>
  <c r="AJ150" i="23"/>
  <c r="AI150" i="23"/>
  <c r="AG150" i="23"/>
  <c r="AE150" i="23"/>
  <c r="AC150" i="23"/>
  <c r="N150" i="23"/>
  <c r="V150" i="23" s="1"/>
  <c r="AW149" i="23"/>
  <c r="BA149" i="23" s="1"/>
  <c r="AV149" i="23"/>
  <c r="AT149" i="23"/>
  <c r="W149" i="23" s="1"/>
  <c r="AL149" i="23"/>
  <c r="AK149" i="23"/>
  <c r="AJ149" i="23"/>
  <c r="AI149" i="23"/>
  <c r="AG149" i="23"/>
  <c r="AE149" i="23"/>
  <c r="AC149" i="23"/>
  <c r="N149" i="23"/>
  <c r="V149" i="23" s="1"/>
  <c r="AW148" i="23"/>
  <c r="BA148" i="23" s="1"/>
  <c r="AV148" i="23"/>
  <c r="AX148" i="23" s="1"/>
  <c r="BC148" i="23" s="1"/>
  <c r="AT148" i="23"/>
  <c r="W148" i="23" s="1"/>
  <c r="AL148" i="23"/>
  <c r="AK148" i="23"/>
  <c r="AJ148" i="23"/>
  <c r="AI148" i="23"/>
  <c r="AG148" i="23"/>
  <c r="AE148" i="23"/>
  <c r="AC148" i="23"/>
  <c r="V148" i="23"/>
  <c r="AW147" i="23"/>
  <c r="BA147" i="23" s="1"/>
  <c r="AV147" i="23"/>
  <c r="AT147" i="23"/>
  <c r="W147" i="23" s="1"/>
  <c r="AL147" i="23"/>
  <c r="AK147" i="23"/>
  <c r="AJ147" i="23"/>
  <c r="AI147" i="23"/>
  <c r="AG147" i="23"/>
  <c r="AE147" i="23"/>
  <c r="AC147" i="23"/>
  <c r="AW146" i="23"/>
  <c r="BA146" i="23" s="1"/>
  <c r="AV146" i="23"/>
  <c r="AT146" i="23"/>
  <c r="AL146" i="23"/>
  <c r="AK146" i="23"/>
  <c r="AJ146" i="23"/>
  <c r="AI146" i="23"/>
  <c r="AG146" i="23"/>
  <c r="AE146" i="23"/>
  <c r="AC146" i="23"/>
  <c r="W146" i="23"/>
  <c r="AW145" i="23"/>
  <c r="BA145" i="23" s="1"/>
  <c r="AV145" i="23"/>
  <c r="AX145" i="23" s="1"/>
  <c r="BC145" i="23" s="1"/>
  <c r="AT145" i="23"/>
  <c r="W145" i="23" s="1"/>
  <c r="AL145" i="23"/>
  <c r="AK145" i="23"/>
  <c r="AJ145" i="23"/>
  <c r="AI145" i="23"/>
  <c r="AG145" i="23"/>
  <c r="AE145" i="23"/>
  <c r="AC145" i="23"/>
  <c r="AW144" i="23"/>
  <c r="BA144" i="23" s="1"/>
  <c r="AV144" i="23"/>
  <c r="AT144" i="23"/>
  <c r="W144" i="23" s="1"/>
  <c r="AL144" i="23"/>
  <c r="AK144" i="23"/>
  <c r="AJ144" i="23"/>
  <c r="AI144" i="23"/>
  <c r="AG144" i="23"/>
  <c r="AE144" i="23"/>
  <c r="AC144" i="23"/>
  <c r="U144" i="23"/>
  <c r="AW143" i="23"/>
  <c r="BA143" i="23" s="1"/>
  <c r="AV143" i="23"/>
  <c r="AT143" i="23"/>
  <c r="W143" i="23" s="1"/>
  <c r="AL143" i="23"/>
  <c r="AK143" i="23"/>
  <c r="AJ143" i="23"/>
  <c r="AI143" i="23"/>
  <c r="AG143" i="23"/>
  <c r="AE143" i="23"/>
  <c r="AM143" i="23" s="1"/>
  <c r="AC143" i="23"/>
  <c r="AW142" i="23"/>
  <c r="BA142" i="23" s="1"/>
  <c r="AV142" i="23"/>
  <c r="AT142" i="23"/>
  <c r="W142" i="23" s="1"/>
  <c r="AL142" i="23"/>
  <c r="AK142" i="23"/>
  <c r="AJ142" i="23"/>
  <c r="AI142" i="23"/>
  <c r="AG142" i="23"/>
  <c r="AE142" i="23"/>
  <c r="AC142" i="23"/>
  <c r="AW141" i="23"/>
  <c r="BA141" i="23" s="1"/>
  <c r="AV141" i="23"/>
  <c r="AT141" i="23"/>
  <c r="W141" i="23" s="1"/>
  <c r="AL141" i="23"/>
  <c r="AK141" i="23"/>
  <c r="AJ141" i="23"/>
  <c r="AI141" i="23"/>
  <c r="AG141" i="23"/>
  <c r="AE141" i="23"/>
  <c r="AC141" i="23"/>
  <c r="N141" i="23"/>
  <c r="U141" i="23" s="1"/>
  <c r="AC140" i="23"/>
  <c r="U140" i="23"/>
  <c r="AT139" i="23"/>
  <c r="W139" i="23" s="1"/>
  <c r="AL139" i="23"/>
  <c r="AK139" i="23"/>
  <c r="AJ139" i="23"/>
  <c r="AI139" i="23"/>
  <c r="AG139" i="23"/>
  <c r="AE139" i="23"/>
  <c r="AC139" i="23"/>
  <c r="AZ138" i="23"/>
  <c r="AW138" i="23"/>
  <c r="AV138" i="23"/>
  <c r="AT138" i="23"/>
  <c r="W138" i="23" s="1"/>
  <c r="AL138" i="23"/>
  <c r="AK138" i="23"/>
  <c r="AJ138" i="23"/>
  <c r="AI138" i="23"/>
  <c r="AG138" i="23"/>
  <c r="AE138" i="23"/>
  <c r="AC138" i="23"/>
  <c r="R138" i="23"/>
  <c r="AZ137" i="23"/>
  <c r="AW137" i="23"/>
  <c r="AV137" i="23"/>
  <c r="AT137" i="23"/>
  <c r="W137" i="23" s="1"/>
  <c r="AL137" i="23"/>
  <c r="AK137" i="23"/>
  <c r="AJ137" i="23"/>
  <c r="AI137" i="23"/>
  <c r="AG137" i="23"/>
  <c r="AE137" i="23"/>
  <c r="AC137" i="23"/>
  <c r="AA137" i="23"/>
  <c r="BI140" i="23" s="1"/>
  <c r="V137" i="23"/>
  <c r="BI136" i="23"/>
  <c r="U136" i="23"/>
  <c r="AZ135" i="23"/>
  <c r="AW135" i="23"/>
  <c r="BA135" i="23" s="1"/>
  <c r="AV135" i="23"/>
  <c r="AT135" i="23"/>
  <c r="W135" i="23" s="1"/>
  <c r="AL135" i="23"/>
  <c r="AK135" i="23"/>
  <c r="AJ135" i="23"/>
  <c r="AI135" i="23"/>
  <c r="AG135" i="23"/>
  <c r="AE135" i="23"/>
  <c r="AC135" i="23"/>
  <c r="Y135" i="23"/>
  <c r="N135" i="23"/>
  <c r="U135" i="23" s="1"/>
  <c r="AZ134" i="23"/>
  <c r="AW134" i="23"/>
  <c r="AV134" i="23"/>
  <c r="AT134" i="23"/>
  <c r="W134" i="23" s="1"/>
  <c r="AL134" i="23"/>
  <c r="AK134" i="23"/>
  <c r="AJ134" i="23"/>
  <c r="AI134" i="23"/>
  <c r="AG134" i="23"/>
  <c r="AE134" i="23"/>
  <c r="Y134" i="23"/>
  <c r="V134" i="23"/>
  <c r="U134" i="23"/>
  <c r="R134" i="23"/>
  <c r="T134" i="23" s="1"/>
  <c r="AZ133" i="23"/>
  <c r="AW133" i="23"/>
  <c r="AV133" i="23"/>
  <c r="AT133" i="23"/>
  <c r="W133" i="23" s="1"/>
  <c r="AL133" i="23"/>
  <c r="AK133" i="23"/>
  <c r="AJ133" i="23"/>
  <c r="AI133" i="23"/>
  <c r="AG133" i="23"/>
  <c r="AE133" i="23"/>
  <c r="AC133" i="23"/>
  <c r="Y133" i="23"/>
  <c r="N133" i="23"/>
  <c r="R133" i="23" s="1"/>
  <c r="BI132" i="23"/>
  <c r="U132" i="23"/>
  <c r="BH131" i="23"/>
  <c r="AT131" i="23"/>
  <c r="W131" i="23" s="1"/>
  <c r="AL131" i="23"/>
  <c r="AK131" i="23"/>
  <c r="AJ131" i="23"/>
  <c r="AI131" i="23"/>
  <c r="AG131" i="23"/>
  <c r="AE131" i="23"/>
  <c r="AC131" i="23"/>
  <c r="Y131" i="23"/>
  <c r="N131" i="23"/>
  <c r="U131" i="23" s="1"/>
  <c r="BH130" i="23"/>
  <c r="AT130" i="23"/>
  <c r="W130" i="23" s="1"/>
  <c r="AL130" i="23"/>
  <c r="AK130" i="23"/>
  <c r="AJ130" i="23"/>
  <c r="AI130" i="23"/>
  <c r="AG130" i="23"/>
  <c r="AE130" i="23"/>
  <c r="AC130" i="23"/>
  <c r="Y130" i="23"/>
  <c r="N130" i="23"/>
  <c r="BI129" i="23"/>
  <c r="U129" i="23"/>
  <c r="AZ128" i="23"/>
  <c r="AW128" i="23"/>
  <c r="AV128" i="23"/>
  <c r="AT128" i="23"/>
  <c r="W128" i="23" s="1"/>
  <c r="AL128" i="23"/>
  <c r="AK128" i="23"/>
  <c r="AJ128" i="23"/>
  <c r="AI128" i="23"/>
  <c r="AG128" i="23"/>
  <c r="AE128" i="23"/>
  <c r="AC128" i="23"/>
  <c r="N128" i="23"/>
  <c r="U128" i="23" s="1"/>
  <c r="AZ127" i="23"/>
  <c r="AW127" i="23"/>
  <c r="AV127" i="23"/>
  <c r="AT127" i="23"/>
  <c r="W127" i="23" s="1"/>
  <c r="AL127" i="23"/>
  <c r="AK127" i="23"/>
  <c r="AJ127" i="23"/>
  <c r="AI127" i="23"/>
  <c r="AG127" i="23"/>
  <c r="AE127" i="23"/>
  <c r="AC127" i="23"/>
  <c r="V127" i="23"/>
  <c r="U127" i="23"/>
  <c r="R127" i="23"/>
  <c r="S127" i="23" s="1"/>
  <c r="AZ126" i="23"/>
  <c r="AW126" i="23"/>
  <c r="AV126" i="23"/>
  <c r="AT126" i="23"/>
  <c r="W126" i="23" s="1"/>
  <c r="AL126" i="23"/>
  <c r="AK126" i="23"/>
  <c r="AJ126" i="23"/>
  <c r="AI126" i="23"/>
  <c r="AG126" i="23"/>
  <c r="AE126" i="23"/>
  <c r="AC126" i="23"/>
  <c r="N126" i="23"/>
  <c r="R126" i="23" s="1"/>
  <c r="S126" i="23" s="1"/>
  <c r="BI125" i="23"/>
  <c r="U125" i="23"/>
  <c r="AT124" i="23"/>
  <c r="W124" i="23" s="1"/>
  <c r="AL124" i="23"/>
  <c r="AK124" i="23"/>
  <c r="AJ124" i="23"/>
  <c r="AI124" i="23"/>
  <c r="AG124" i="23"/>
  <c r="AE124" i="23"/>
  <c r="AC124" i="23"/>
  <c r="N124" i="23"/>
  <c r="V124" i="23" s="1"/>
  <c r="BH123" i="23"/>
  <c r="AT123" i="23"/>
  <c r="W123" i="23" s="1"/>
  <c r="AL123" i="23"/>
  <c r="AK123" i="23"/>
  <c r="AJ123" i="23"/>
  <c r="AI123" i="23"/>
  <c r="AG123" i="23"/>
  <c r="AE123" i="23"/>
  <c r="AC123" i="23"/>
  <c r="N123" i="23"/>
  <c r="BH122" i="23"/>
  <c r="AT122" i="23"/>
  <c r="W122" i="23" s="1"/>
  <c r="AL122" i="23"/>
  <c r="AK122" i="23"/>
  <c r="AJ122" i="23"/>
  <c r="AI122" i="23"/>
  <c r="AG122" i="23"/>
  <c r="AE122" i="23"/>
  <c r="AM122" i="23" s="1"/>
  <c r="AC122" i="23"/>
  <c r="N122" i="23"/>
  <c r="BI121" i="23"/>
  <c r="U121" i="23"/>
  <c r="AT120" i="23"/>
  <c r="W120" i="23" s="1"/>
  <c r="AL120" i="23"/>
  <c r="AK120" i="23"/>
  <c r="AJ120" i="23"/>
  <c r="AI120" i="23"/>
  <c r="AG120" i="23"/>
  <c r="AE120" i="23"/>
  <c r="AC120" i="23"/>
  <c r="Y120" i="23"/>
  <c r="N120" i="23"/>
  <c r="R120" i="23" s="1"/>
  <c r="S120" i="23" s="1"/>
  <c r="Y119" i="23"/>
  <c r="W119" i="23"/>
  <c r="V119" i="23"/>
  <c r="U119" i="23"/>
  <c r="R119" i="23"/>
  <c r="T119" i="23" s="1"/>
  <c r="AT118" i="23"/>
  <c r="W118" i="23" s="1"/>
  <c r="AL118" i="23"/>
  <c r="AK118" i="23"/>
  <c r="AJ118" i="23"/>
  <c r="AI118" i="23"/>
  <c r="AG118" i="23"/>
  <c r="AE118" i="23"/>
  <c r="AC118" i="23"/>
  <c r="Y118" i="23"/>
  <c r="N118" i="23"/>
  <c r="V118" i="23" s="1"/>
  <c r="AT117" i="23"/>
  <c r="W117" i="23" s="1"/>
  <c r="AL117" i="23"/>
  <c r="AK117" i="23"/>
  <c r="AJ117" i="23"/>
  <c r="AI117" i="23"/>
  <c r="AG117" i="23"/>
  <c r="AE117" i="23"/>
  <c r="AC117" i="23"/>
  <c r="Y117" i="23"/>
  <c r="N117" i="23"/>
  <c r="AT116" i="23"/>
  <c r="W116" i="23" s="1"/>
  <c r="AL116" i="23"/>
  <c r="AK116" i="23"/>
  <c r="AJ116" i="23"/>
  <c r="AI116" i="23"/>
  <c r="AG116" i="23"/>
  <c r="AE116" i="23"/>
  <c r="AC116" i="23"/>
  <c r="Y116" i="23"/>
  <c r="N116" i="23"/>
  <c r="AT115" i="23"/>
  <c r="W115" i="23" s="1"/>
  <c r="AL115" i="23"/>
  <c r="AK115" i="23"/>
  <c r="AJ115" i="23"/>
  <c r="AI115" i="23"/>
  <c r="AG115" i="23"/>
  <c r="AE115" i="23"/>
  <c r="AC115" i="23"/>
  <c r="Y115" i="23"/>
  <c r="N115" i="23"/>
  <c r="AT114" i="23"/>
  <c r="W114" i="23" s="1"/>
  <c r="AL114" i="23"/>
  <c r="AK114" i="23"/>
  <c r="AJ114" i="23"/>
  <c r="AI114" i="23"/>
  <c r="AG114" i="23"/>
  <c r="AE114" i="23"/>
  <c r="AC114" i="23"/>
  <c r="Y114" i="23"/>
  <c r="N114" i="23"/>
  <c r="V114" i="23" s="1"/>
  <c r="AT113" i="23"/>
  <c r="AL113" i="23"/>
  <c r="AK113" i="23"/>
  <c r="AJ113" i="23"/>
  <c r="AI113" i="23"/>
  <c r="AG113" i="23"/>
  <c r="AE113" i="23"/>
  <c r="AC113" i="23"/>
  <c r="Y113" i="23"/>
  <c r="W113" i="23"/>
  <c r="N113" i="23"/>
  <c r="V113" i="23" s="1"/>
  <c r="AT112" i="23"/>
  <c r="W112" i="23" s="1"/>
  <c r="AL112" i="23"/>
  <c r="AK112" i="23"/>
  <c r="AJ112" i="23"/>
  <c r="AI112" i="23"/>
  <c r="AG112" i="23"/>
  <c r="AE112" i="23"/>
  <c r="AC112" i="23"/>
  <c r="Y112" i="23"/>
  <c r="N112" i="23"/>
  <c r="AT111" i="23"/>
  <c r="W111" i="23" s="1"/>
  <c r="AL111" i="23"/>
  <c r="AK111" i="23"/>
  <c r="AJ111" i="23"/>
  <c r="AI111" i="23"/>
  <c r="AG111" i="23"/>
  <c r="AE111" i="23"/>
  <c r="AC111" i="23"/>
  <c r="Y111" i="23"/>
  <c r="N111" i="23"/>
  <c r="AT110" i="23"/>
  <c r="W110" i="23" s="1"/>
  <c r="AL110" i="23"/>
  <c r="AK110" i="23"/>
  <c r="AJ110" i="23"/>
  <c r="AI110" i="23"/>
  <c r="AG110" i="23"/>
  <c r="AE110" i="23"/>
  <c r="AC110" i="23"/>
  <c r="Y110" i="23"/>
  <c r="N110" i="23"/>
  <c r="U110" i="23" s="1"/>
  <c r="AT109" i="23"/>
  <c r="W109" i="23" s="1"/>
  <c r="AL109" i="23"/>
  <c r="AK109" i="23"/>
  <c r="AJ109" i="23"/>
  <c r="AI109" i="23"/>
  <c r="AG109" i="23"/>
  <c r="AE109" i="23"/>
  <c r="AC109" i="23"/>
  <c r="Y109" i="23"/>
  <c r="N109" i="23"/>
  <c r="AT108" i="23"/>
  <c r="W108" i="23" s="1"/>
  <c r="AL108" i="23"/>
  <c r="AK108" i="23"/>
  <c r="AJ108" i="23"/>
  <c r="AI108" i="23"/>
  <c r="AG108" i="23"/>
  <c r="AE108" i="23"/>
  <c r="AC108" i="23"/>
  <c r="Y108" i="23"/>
  <c r="N108" i="23"/>
  <c r="R108" i="23" s="1"/>
  <c r="AT107" i="23"/>
  <c r="W107" i="23" s="1"/>
  <c r="AL107" i="23"/>
  <c r="AK107" i="23"/>
  <c r="AJ107" i="23"/>
  <c r="AI107" i="23"/>
  <c r="AG107" i="23"/>
  <c r="AE107" i="23"/>
  <c r="AC107" i="23"/>
  <c r="Y107" i="23"/>
  <c r="N107" i="23"/>
  <c r="AT106" i="23"/>
  <c r="W106" i="23" s="1"/>
  <c r="AL106" i="23"/>
  <c r="AK106" i="23"/>
  <c r="AJ106" i="23"/>
  <c r="AI106" i="23"/>
  <c r="AG106" i="23"/>
  <c r="AE106" i="23"/>
  <c r="AC106" i="23"/>
  <c r="Y106" i="23"/>
  <c r="N106" i="23"/>
  <c r="U106" i="23" s="1"/>
  <c r="BH105" i="23"/>
  <c r="AT105" i="23"/>
  <c r="W105" i="23" s="1"/>
  <c r="AL105" i="23"/>
  <c r="AK105" i="23"/>
  <c r="AJ105" i="23"/>
  <c r="AI105" i="23"/>
  <c r="AG105" i="23"/>
  <c r="AE105" i="23"/>
  <c r="AC105" i="23"/>
  <c r="Y105" i="23"/>
  <c r="N105" i="23"/>
  <c r="BH104" i="23"/>
  <c r="AT104" i="23"/>
  <c r="W104" i="23" s="1"/>
  <c r="AL104" i="23"/>
  <c r="AK104" i="23"/>
  <c r="AJ104" i="23"/>
  <c r="AI104" i="23"/>
  <c r="AG104" i="23"/>
  <c r="AE104" i="23"/>
  <c r="AC104" i="23"/>
  <c r="Y104" i="23"/>
  <c r="N104" i="23"/>
  <c r="BI103" i="23"/>
  <c r="U103" i="23"/>
  <c r="AT102" i="23"/>
  <c r="W102" i="23" s="1"/>
  <c r="AL102" i="23"/>
  <c r="AK102" i="23"/>
  <c r="AJ102" i="23"/>
  <c r="AI102" i="23"/>
  <c r="AG102" i="23"/>
  <c r="AE102" i="23"/>
  <c r="AC102" i="23"/>
  <c r="Y102" i="23"/>
  <c r="N102" i="23"/>
  <c r="BH101" i="23"/>
  <c r="AT101" i="23"/>
  <c r="W101" i="23" s="1"/>
  <c r="AL101" i="23"/>
  <c r="AK101" i="23"/>
  <c r="AJ101" i="23"/>
  <c r="AI101" i="23"/>
  <c r="AG101" i="23"/>
  <c r="AE101" i="23"/>
  <c r="AC101" i="23"/>
  <c r="Y101" i="23"/>
  <c r="N101" i="23"/>
  <c r="BH100" i="23"/>
  <c r="BH103" i="23" s="1"/>
  <c r="AT100" i="23"/>
  <c r="AL100" i="23"/>
  <c r="AK100" i="23"/>
  <c r="AJ100" i="23"/>
  <c r="AI100" i="23"/>
  <c r="AG100" i="23"/>
  <c r="AE100" i="23"/>
  <c r="AC100" i="23"/>
  <c r="Y100" i="23"/>
  <c r="W100" i="23"/>
  <c r="N100" i="23"/>
  <c r="BI99" i="23"/>
  <c r="U99" i="23"/>
  <c r="AZ98" i="23"/>
  <c r="AW98" i="23"/>
  <c r="AV98" i="23"/>
  <c r="AT98" i="23"/>
  <c r="W98" i="23" s="1"/>
  <c r="AL98" i="23"/>
  <c r="AK98" i="23"/>
  <c r="AJ98" i="23"/>
  <c r="AI98" i="23"/>
  <c r="AG98" i="23"/>
  <c r="AE98" i="23"/>
  <c r="AC98" i="23"/>
  <c r="N98" i="23"/>
  <c r="U98" i="23" s="1"/>
  <c r="AZ97" i="23"/>
  <c r="AW97" i="23"/>
  <c r="AV97" i="23"/>
  <c r="AT97" i="23"/>
  <c r="W97" i="23" s="1"/>
  <c r="AL97" i="23"/>
  <c r="AK97" i="23"/>
  <c r="AJ97" i="23"/>
  <c r="AI97" i="23"/>
  <c r="AG97" i="23"/>
  <c r="AE97" i="23"/>
  <c r="AC97" i="23"/>
  <c r="R97" i="23"/>
  <c r="AZ96" i="23"/>
  <c r="AW96" i="23"/>
  <c r="AV96" i="23"/>
  <c r="AT96" i="23"/>
  <c r="W96" i="23" s="1"/>
  <c r="AL96" i="23"/>
  <c r="AK96" i="23"/>
  <c r="AJ96" i="23"/>
  <c r="AI96" i="23"/>
  <c r="AG96" i="23"/>
  <c r="AE96" i="23"/>
  <c r="AC96" i="23"/>
  <c r="V96" i="23"/>
  <c r="AZ95" i="23"/>
  <c r="AW95" i="23"/>
  <c r="AV95" i="23"/>
  <c r="AT95" i="23"/>
  <c r="W95" i="23" s="1"/>
  <c r="AL95" i="23"/>
  <c r="AK95" i="23"/>
  <c r="AJ95" i="23"/>
  <c r="AI95" i="23"/>
  <c r="AG95" i="23"/>
  <c r="AE95" i="23"/>
  <c r="AC95" i="23"/>
  <c r="R95" i="23"/>
  <c r="AZ94" i="23"/>
  <c r="AW94" i="23"/>
  <c r="AV94" i="23"/>
  <c r="AT94" i="23"/>
  <c r="W94" i="23" s="1"/>
  <c r="AL94" i="23"/>
  <c r="AK94" i="23"/>
  <c r="AJ94" i="23"/>
  <c r="AI94" i="23"/>
  <c r="AG94" i="23"/>
  <c r="AE94" i="23"/>
  <c r="AC94" i="23"/>
  <c r="U94" i="23"/>
  <c r="BI93" i="23"/>
  <c r="U93" i="23"/>
  <c r="AT92" i="23"/>
  <c r="AL92" i="23"/>
  <c r="AK92" i="23"/>
  <c r="AJ92" i="23"/>
  <c r="AI92" i="23"/>
  <c r="AG92" i="23"/>
  <c r="AE92" i="23"/>
  <c r="AC92" i="23"/>
  <c r="N92" i="23"/>
  <c r="T92" i="23" s="1"/>
  <c r="BH91" i="23"/>
  <c r="AT91" i="23"/>
  <c r="W91" i="23" s="1"/>
  <c r="AL91" i="23"/>
  <c r="AK91" i="23"/>
  <c r="AJ91" i="23"/>
  <c r="AI91" i="23"/>
  <c r="AG91" i="23"/>
  <c r="AE91" i="23"/>
  <c r="AC91" i="23"/>
  <c r="U91" i="23"/>
  <c r="N91" i="23"/>
  <c r="V91" i="23" s="1"/>
  <c r="BH90" i="23"/>
  <c r="AT90" i="23"/>
  <c r="W90" i="23" s="1"/>
  <c r="AL90" i="23"/>
  <c r="AK90" i="23"/>
  <c r="AJ90" i="23"/>
  <c r="AI90" i="23"/>
  <c r="AG90" i="23"/>
  <c r="AE90" i="23"/>
  <c r="AC90" i="23"/>
  <c r="N90" i="23"/>
  <c r="BI89" i="23"/>
  <c r="AT89" i="23"/>
  <c r="U89" i="23"/>
  <c r="AZ88" i="23"/>
  <c r="AW88" i="23"/>
  <c r="AV88" i="23"/>
  <c r="AT88" i="23"/>
  <c r="W88" i="23" s="1"/>
  <c r="AL88" i="23"/>
  <c r="AK88" i="23"/>
  <c r="AJ88" i="23"/>
  <c r="AI88" i="23"/>
  <c r="AG88" i="23"/>
  <c r="AE88" i="23"/>
  <c r="AC88" i="23"/>
  <c r="N88" i="23"/>
  <c r="U88" i="23" s="1"/>
  <c r="AT87" i="23"/>
  <c r="W87" i="23" s="1"/>
  <c r="AL87" i="23"/>
  <c r="AK87" i="23"/>
  <c r="AJ87" i="23"/>
  <c r="AI87" i="23"/>
  <c r="AG87" i="23"/>
  <c r="AE87" i="23"/>
  <c r="AC87" i="23"/>
  <c r="N87" i="23"/>
  <c r="AT86" i="23"/>
  <c r="W86" i="23" s="1"/>
  <c r="AL86" i="23"/>
  <c r="AK86" i="23"/>
  <c r="AJ86" i="23"/>
  <c r="AI86" i="23"/>
  <c r="AG86" i="23"/>
  <c r="AE86" i="23"/>
  <c r="AC86" i="23"/>
  <c r="P86" i="23"/>
  <c r="AZ85" i="23"/>
  <c r="AW85" i="23"/>
  <c r="BA85" i="23" s="1"/>
  <c r="AV85" i="23"/>
  <c r="AT85" i="23"/>
  <c r="W85" i="23" s="1"/>
  <c r="AL85" i="23"/>
  <c r="AK85" i="23"/>
  <c r="AJ85" i="23"/>
  <c r="AI85" i="23"/>
  <c r="AG85" i="23"/>
  <c r="AE85" i="23"/>
  <c r="AM85" i="23" s="1"/>
  <c r="AC85" i="23"/>
  <c r="AZ84" i="23"/>
  <c r="AW84" i="23"/>
  <c r="AV84" i="23"/>
  <c r="AT84" i="23"/>
  <c r="W84" i="23" s="1"/>
  <c r="AL84" i="23"/>
  <c r="AK84" i="23"/>
  <c r="AJ84" i="23"/>
  <c r="AI84" i="23"/>
  <c r="AG84" i="23"/>
  <c r="AE84" i="23"/>
  <c r="AC84" i="23"/>
  <c r="AZ83" i="23"/>
  <c r="AW83" i="23"/>
  <c r="AV83" i="23"/>
  <c r="AT83" i="23"/>
  <c r="W83" i="23" s="1"/>
  <c r="AL83" i="23"/>
  <c r="AK83" i="23"/>
  <c r="AJ83" i="23"/>
  <c r="AI83" i="23"/>
  <c r="AG83" i="23"/>
  <c r="AE83" i="23"/>
  <c r="AC83" i="23"/>
  <c r="AZ82" i="23"/>
  <c r="AW82" i="23"/>
  <c r="AV82" i="23"/>
  <c r="AT82" i="23"/>
  <c r="AL82" i="23"/>
  <c r="AK82" i="23"/>
  <c r="AJ82" i="23"/>
  <c r="AI82" i="23"/>
  <c r="AG82" i="23"/>
  <c r="AE82" i="23"/>
  <c r="AC82" i="23"/>
  <c r="W82" i="23"/>
  <c r="V82" i="23"/>
  <c r="AZ81" i="23"/>
  <c r="AW81" i="23"/>
  <c r="AV81" i="23"/>
  <c r="AT81" i="23"/>
  <c r="W81" i="23" s="1"/>
  <c r="AL81" i="23"/>
  <c r="AJ81" i="23"/>
  <c r="AI81" i="23"/>
  <c r="AG81" i="23"/>
  <c r="AE81" i="23"/>
  <c r="AC81" i="23"/>
  <c r="AZ80" i="23"/>
  <c r="AW80" i="23"/>
  <c r="AV80" i="23"/>
  <c r="AT80" i="23"/>
  <c r="W80" i="23" s="1"/>
  <c r="AL80" i="23"/>
  <c r="AK80" i="23"/>
  <c r="AJ80" i="23"/>
  <c r="AI80" i="23"/>
  <c r="AG80" i="23"/>
  <c r="AE80" i="23"/>
  <c r="AC80" i="23"/>
  <c r="P80" i="23"/>
  <c r="AZ79" i="23"/>
  <c r="AW79" i="23"/>
  <c r="AV79" i="23"/>
  <c r="AT79" i="23"/>
  <c r="AL79" i="23"/>
  <c r="AK79" i="23"/>
  <c r="AJ79" i="23"/>
  <c r="AI79" i="23"/>
  <c r="AG79" i="23"/>
  <c r="AE79" i="23"/>
  <c r="AC79" i="23"/>
  <c r="W79" i="23"/>
  <c r="AZ78" i="23"/>
  <c r="AW78" i="23"/>
  <c r="AV78" i="23"/>
  <c r="AT78" i="23"/>
  <c r="AL78" i="23"/>
  <c r="AK78" i="23"/>
  <c r="AJ78" i="23"/>
  <c r="AI78" i="23"/>
  <c r="AG78" i="23"/>
  <c r="AE78" i="23"/>
  <c r="AC78" i="23"/>
  <c r="W78" i="23"/>
  <c r="AZ77" i="23"/>
  <c r="AW77" i="23"/>
  <c r="AV77" i="23"/>
  <c r="AT77" i="23"/>
  <c r="AL77" i="23"/>
  <c r="AK77" i="23"/>
  <c r="AJ77" i="23"/>
  <c r="AI77" i="23"/>
  <c r="AG77" i="23"/>
  <c r="AE77" i="23"/>
  <c r="AC77" i="23"/>
  <c r="W77" i="23"/>
  <c r="AZ76" i="23"/>
  <c r="AW76" i="23"/>
  <c r="AV76" i="23"/>
  <c r="AT76" i="23"/>
  <c r="AL76" i="23"/>
  <c r="AK76" i="23"/>
  <c r="AJ76" i="23"/>
  <c r="AI76" i="23"/>
  <c r="AG76" i="23"/>
  <c r="AE76" i="23"/>
  <c r="AC76" i="23"/>
  <c r="W76" i="23"/>
  <c r="U76" i="23"/>
  <c r="BH75" i="23"/>
  <c r="AI75" i="23"/>
  <c r="AG75" i="23"/>
  <c r="AE75" i="23"/>
  <c r="N75" i="23"/>
  <c r="U75" i="23" s="1"/>
  <c r="AT74" i="23"/>
  <c r="W74" i="23" s="1"/>
  <c r="AL74" i="23"/>
  <c r="AK74" i="23"/>
  <c r="AJ74" i="23"/>
  <c r="AI74" i="23"/>
  <c r="AG74" i="23"/>
  <c r="AM74" i="23" s="1"/>
  <c r="AE74" i="23"/>
  <c r="AC74" i="23"/>
  <c r="AA74" i="23"/>
  <c r="BI75" i="23" s="1"/>
  <c r="V74" i="23"/>
  <c r="AT73" i="23"/>
  <c r="W73" i="23" s="1"/>
  <c r="AL73" i="23"/>
  <c r="AK73" i="23"/>
  <c r="AJ73" i="23"/>
  <c r="AI73" i="23"/>
  <c r="AG73" i="23"/>
  <c r="AE73" i="23"/>
  <c r="AC73" i="23"/>
  <c r="V73" i="23"/>
  <c r="AT72" i="23"/>
  <c r="W72" i="23" s="1"/>
  <c r="AL72" i="23"/>
  <c r="AK72" i="23"/>
  <c r="AJ72" i="23"/>
  <c r="AI72" i="23"/>
  <c r="AG72" i="23"/>
  <c r="AE72" i="23"/>
  <c r="AC72" i="23"/>
  <c r="V72" i="23"/>
  <c r="AT71" i="23"/>
  <c r="W71" i="23" s="1"/>
  <c r="AL71" i="23"/>
  <c r="AK71" i="23"/>
  <c r="AJ71" i="23"/>
  <c r="AI71" i="23"/>
  <c r="AG71" i="23"/>
  <c r="AE71" i="23"/>
  <c r="AT70" i="23"/>
  <c r="W70" i="23" s="1"/>
  <c r="AL70" i="23"/>
  <c r="AJ70" i="23"/>
  <c r="AI70" i="23"/>
  <c r="AG70" i="23"/>
  <c r="AE70" i="23"/>
  <c r="AC70" i="23"/>
  <c r="V70" i="23"/>
  <c r="AT69" i="23"/>
  <c r="W69" i="23" s="1"/>
  <c r="AL69" i="23"/>
  <c r="AK69" i="23"/>
  <c r="AJ69" i="23"/>
  <c r="AI69" i="23"/>
  <c r="AG69" i="23"/>
  <c r="AE69" i="23"/>
  <c r="AC69" i="23"/>
  <c r="V69" i="23"/>
  <c r="AT68" i="23"/>
  <c r="W68" i="23" s="1"/>
  <c r="AL68" i="23"/>
  <c r="AK68" i="23"/>
  <c r="AJ68" i="23"/>
  <c r="AI68" i="23"/>
  <c r="AG68" i="23"/>
  <c r="AE68" i="23"/>
  <c r="AC68" i="23"/>
  <c r="R68" i="23"/>
  <c r="AT67" i="23"/>
  <c r="W67" i="23" s="1"/>
  <c r="AL67" i="23"/>
  <c r="AK67" i="23"/>
  <c r="AJ67" i="23"/>
  <c r="AI67" i="23"/>
  <c r="AG67" i="23"/>
  <c r="AE67" i="23"/>
  <c r="AC67" i="23"/>
  <c r="V67" i="23"/>
  <c r="AT66" i="23"/>
  <c r="W66" i="23" s="1"/>
  <c r="AL66" i="23"/>
  <c r="AK66" i="23"/>
  <c r="AJ66" i="23"/>
  <c r="AI66" i="23"/>
  <c r="AG66" i="23"/>
  <c r="AE66" i="23"/>
  <c r="AC66" i="23"/>
  <c r="R66" i="23"/>
  <c r="T66" i="23" s="1"/>
  <c r="BI65" i="23"/>
  <c r="U65" i="23"/>
  <c r="AE64" i="23"/>
  <c r="AC64" i="23"/>
  <c r="N64" i="23"/>
  <c r="U64" i="23" s="1"/>
  <c r="Z64" i="23" s="1"/>
  <c r="AZ63" i="23"/>
  <c r="AW63" i="23"/>
  <c r="AL63" i="23"/>
  <c r="AK63" i="23"/>
  <c r="AJ63" i="23"/>
  <c r="AI63" i="23"/>
  <c r="AG63" i="23"/>
  <c r="AE63" i="23"/>
  <c r="AC63" i="23"/>
  <c r="AZ62" i="23"/>
  <c r="AW62" i="23"/>
  <c r="AV62" i="23"/>
  <c r="AT62" i="23"/>
  <c r="W62" i="23" s="1"/>
  <c r="AL62" i="23"/>
  <c r="AK62" i="23"/>
  <c r="AJ62" i="23"/>
  <c r="AI62" i="23"/>
  <c r="AG62" i="23"/>
  <c r="AE62" i="23"/>
  <c r="AC62" i="23"/>
  <c r="N62" i="23"/>
  <c r="V62" i="23" s="1"/>
  <c r="AZ61" i="23"/>
  <c r="AW61" i="23"/>
  <c r="AV61" i="23"/>
  <c r="AT61" i="23"/>
  <c r="W61" i="23" s="1"/>
  <c r="AL61" i="23"/>
  <c r="AK61" i="23"/>
  <c r="AJ61" i="23"/>
  <c r="AI61" i="23"/>
  <c r="AG61" i="23"/>
  <c r="AE61" i="23"/>
  <c r="AC61" i="23"/>
  <c r="N61" i="23"/>
  <c r="AZ60" i="23"/>
  <c r="AW60" i="23"/>
  <c r="AV60" i="23"/>
  <c r="AT60" i="23"/>
  <c r="W60" i="23" s="1"/>
  <c r="AL60" i="23"/>
  <c r="AK60" i="23"/>
  <c r="AJ60" i="23"/>
  <c r="AI60" i="23"/>
  <c r="AG60" i="23"/>
  <c r="AE60" i="23"/>
  <c r="AC60" i="23"/>
  <c r="N60" i="23"/>
  <c r="V60" i="23" s="1"/>
  <c r="AZ59" i="23"/>
  <c r="AW59" i="23"/>
  <c r="AV59" i="23"/>
  <c r="AT59" i="23"/>
  <c r="AL59" i="23"/>
  <c r="AK59" i="23"/>
  <c r="AJ59" i="23"/>
  <c r="AI59" i="23"/>
  <c r="AG59" i="23"/>
  <c r="AE59" i="23"/>
  <c r="AC59" i="23"/>
  <c r="W59" i="23"/>
  <c r="N59" i="23"/>
  <c r="AZ58" i="23"/>
  <c r="AW58" i="23"/>
  <c r="AV58" i="23"/>
  <c r="AT58" i="23"/>
  <c r="W58" i="23" s="1"/>
  <c r="AL58" i="23"/>
  <c r="AK58" i="23"/>
  <c r="AJ58" i="23"/>
  <c r="AI58" i="23"/>
  <c r="AG58" i="23"/>
  <c r="AE58" i="23"/>
  <c r="AC58" i="23"/>
  <c r="N58" i="23"/>
  <c r="AZ57" i="23"/>
  <c r="AW57" i="23"/>
  <c r="AV57" i="23"/>
  <c r="AT57" i="23"/>
  <c r="W57" i="23" s="1"/>
  <c r="AL57" i="23"/>
  <c r="AK57" i="23"/>
  <c r="AJ57" i="23"/>
  <c r="AI57" i="23"/>
  <c r="AG57" i="23"/>
  <c r="AE57" i="23"/>
  <c r="AC57" i="23"/>
  <c r="N57" i="23"/>
  <c r="V57" i="23" s="1"/>
  <c r="AZ56" i="23"/>
  <c r="AW56" i="23"/>
  <c r="AV56" i="23"/>
  <c r="AT56" i="23"/>
  <c r="W56" i="23" s="1"/>
  <c r="AL56" i="23"/>
  <c r="AK56" i="23"/>
  <c r="AJ56" i="23"/>
  <c r="AI56" i="23"/>
  <c r="AG56" i="23"/>
  <c r="AE56" i="23"/>
  <c r="AC56" i="23"/>
  <c r="N56" i="23"/>
  <c r="AZ55" i="23"/>
  <c r="AW55" i="23"/>
  <c r="AV55" i="23"/>
  <c r="AT55" i="23"/>
  <c r="W55" i="23" s="1"/>
  <c r="AL55" i="23"/>
  <c r="AK55" i="23"/>
  <c r="AJ55" i="23"/>
  <c r="AI55" i="23"/>
  <c r="AG55" i="23"/>
  <c r="AE55" i="23"/>
  <c r="AC55" i="23"/>
  <c r="N55" i="23"/>
  <c r="AZ54" i="23"/>
  <c r="AW54" i="23"/>
  <c r="AV54" i="23"/>
  <c r="AT54" i="23"/>
  <c r="W54" i="23" s="1"/>
  <c r="AL54" i="23"/>
  <c r="AK54" i="23"/>
  <c r="AJ54" i="23"/>
  <c r="AI54" i="23"/>
  <c r="AG54" i="23"/>
  <c r="AE54" i="23"/>
  <c r="AC54" i="23"/>
  <c r="N54" i="23"/>
  <c r="V54" i="23" s="1"/>
  <c r="AZ53" i="23"/>
  <c r="AW53" i="23"/>
  <c r="AV53" i="23"/>
  <c r="AT53" i="23"/>
  <c r="W53" i="23" s="1"/>
  <c r="AL53" i="23"/>
  <c r="AK53" i="23"/>
  <c r="AJ53" i="23"/>
  <c r="AI53" i="23"/>
  <c r="AG53" i="23"/>
  <c r="AE53" i="23"/>
  <c r="AC53" i="23"/>
  <c r="N53" i="23"/>
  <c r="AZ52" i="23"/>
  <c r="AW52" i="23"/>
  <c r="AV52" i="23"/>
  <c r="AT52" i="23"/>
  <c r="W52" i="23" s="1"/>
  <c r="AL52" i="23"/>
  <c r="AK52" i="23"/>
  <c r="AJ52" i="23"/>
  <c r="AI52" i="23"/>
  <c r="AG52" i="23"/>
  <c r="AE52" i="23"/>
  <c r="AC52" i="23"/>
  <c r="N52" i="23"/>
  <c r="AZ51" i="23"/>
  <c r="AW51" i="23"/>
  <c r="AV51" i="23"/>
  <c r="AT51" i="23"/>
  <c r="W51" i="23" s="1"/>
  <c r="AL51" i="23"/>
  <c r="AK51" i="23"/>
  <c r="AJ51" i="23"/>
  <c r="AI51" i="23"/>
  <c r="AG51" i="23"/>
  <c r="AE51" i="23"/>
  <c r="AC51" i="23"/>
  <c r="N51" i="23"/>
  <c r="AZ50" i="23"/>
  <c r="AW50" i="23"/>
  <c r="AV50" i="23"/>
  <c r="AT50" i="23"/>
  <c r="W50" i="23" s="1"/>
  <c r="AL50" i="23"/>
  <c r="AK50" i="23"/>
  <c r="AJ50" i="23"/>
  <c r="AI50" i="23"/>
  <c r="AG50" i="23"/>
  <c r="AE50" i="23"/>
  <c r="AC50" i="23"/>
  <c r="N50" i="23"/>
  <c r="AT49" i="23"/>
  <c r="Y49" i="23"/>
  <c r="X49" i="23"/>
  <c r="V49" i="23"/>
  <c r="U49" i="23"/>
  <c r="T49" i="23"/>
  <c r="S49" i="23"/>
  <c r="AZ48" i="23"/>
  <c r="AW48" i="23"/>
  <c r="AV48" i="23"/>
  <c r="AT48" i="23"/>
  <c r="W48" i="23" s="1"/>
  <c r="AL48" i="23"/>
  <c r="AK48" i="23"/>
  <c r="AJ48" i="23"/>
  <c r="AI48" i="23"/>
  <c r="AG48" i="23"/>
  <c r="AE48" i="23"/>
  <c r="AC48" i="23"/>
  <c r="AZ47" i="23"/>
  <c r="AW47" i="23"/>
  <c r="AV47" i="23"/>
  <c r="AT47" i="23"/>
  <c r="W47" i="23" s="1"/>
  <c r="AL47" i="23"/>
  <c r="AK47" i="23"/>
  <c r="AJ47" i="23"/>
  <c r="AI47" i="23"/>
  <c r="AG47" i="23"/>
  <c r="AE47" i="23"/>
  <c r="AC47" i="23"/>
  <c r="V47" i="23"/>
  <c r="AZ46" i="23"/>
  <c r="AW46" i="23"/>
  <c r="AV46" i="23"/>
  <c r="AT46" i="23"/>
  <c r="W46" i="23" s="1"/>
  <c r="AL46" i="23"/>
  <c r="AK46" i="23"/>
  <c r="AJ46" i="23"/>
  <c r="AI46" i="23"/>
  <c r="AG46" i="23"/>
  <c r="AE46" i="23"/>
  <c r="AC46" i="23"/>
  <c r="V46" i="23"/>
  <c r="AZ45" i="23"/>
  <c r="AW45" i="23"/>
  <c r="AV45" i="23"/>
  <c r="AT45" i="23"/>
  <c r="W45" i="23" s="1"/>
  <c r="AL45" i="23"/>
  <c r="AK45" i="23"/>
  <c r="AJ45" i="23"/>
  <c r="AI45" i="23"/>
  <c r="AG45" i="23"/>
  <c r="AE45" i="23"/>
  <c r="AC45" i="23"/>
  <c r="V45" i="23"/>
  <c r="AZ44" i="23"/>
  <c r="AW44" i="23"/>
  <c r="AV44" i="23"/>
  <c r="AT44" i="23"/>
  <c r="AL44" i="23"/>
  <c r="AK44" i="23"/>
  <c r="AJ44" i="23"/>
  <c r="AI44" i="23"/>
  <c r="AG44" i="23"/>
  <c r="AE44" i="23"/>
  <c r="AC44" i="23"/>
  <c r="W44" i="23"/>
  <c r="V44" i="23"/>
  <c r="AZ43" i="23"/>
  <c r="AW43" i="23"/>
  <c r="AV43" i="23"/>
  <c r="AT43" i="23"/>
  <c r="W43" i="23" s="1"/>
  <c r="AL43" i="23"/>
  <c r="AK43" i="23"/>
  <c r="AJ43" i="23"/>
  <c r="AI43" i="23"/>
  <c r="AG43" i="23"/>
  <c r="AE43" i="23"/>
  <c r="AC43" i="23"/>
  <c r="V43" i="23"/>
  <c r="AZ42" i="23"/>
  <c r="AW42" i="23"/>
  <c r="AV42" i="23"/>
  <c r="AX42" i="23" s="1"/>
  <c r="AT42" i="23"/>
  <c r="W42" i="23" s="1"/>
  <c r="AL42" i="23"/>
  <c r="AJ42" i="23"/>
  <c r="AI42" i="23"/>
  <c r="AG42" i="23"/>
  <c r="AE42" i="23"/>
  <c r="AC42" i="23"/>
  <c r="U42" i="23"/>
  <c r="AZ41" i="23"/>
  <c r="AW41" i="23"/>
  <c r="AV41" i="23"/>
  <c r="AT41" i="23"/>
  <c r="W41" i="23" s="1"/>
  <c r="AL41" i="23"/>
  <c r="AK41" i="23"/>
  <c r="AJ41" i="23"/>
  <c r="AI41" i="23"/>
  <c r="AG41" i="23"/>
  <c r="AE41" i="23"/>
  <c r="AC41" i="23"/>
  <c r="AZ40" i="23"/>
  <c r="AW40" i="23"/>
  <c r="AV40" i="23"/>
  <c r="AT40" i="23"/>
  <c r="W40" i="23" s="1"/>
  <c r="AL40" i="23"/>
  <c r="AK40" i="23"/>
  <c r="AJ40" i="23"/>
  <c r="AI40" i="23"/>
  <c r="AG40" i="23"/>
  <c r="AE40" i="23"/>
  <c r="AC40" i="23"/>
  <c r="AZ39" i="23"/>
  <c r="AW39" i="23"/>
  <c r="AV39" i="23"/>
  <c r="AT39" i="23"/>
  <c r="W39" i="23" s="1"/>
  <c r="AL39" i="23"/>
  <c r="AK39" i="23"/>
  <c r="AJ39" i="23"/>
  <c r="AI39" i="23"/>
  <c r="AG39" i="23"/>
  <c r="AE39" i="23"/>
  <c r="AC39" i="23"/>
  <c r="AZ38" i="23"/>
  <c r="AW38" i="23"/>
  <c r="AV38" i="23"/>
  <c r="AT38" i="23"/>
  <c r="AL38" i="23"/>
  <c r="AJ38" i="23"/>
  <c r="AI38" i="23"/>
  <c r="AG38" i="23"/>
  <c r="AE38" i="23"/>
  <c r="AC38" i="23"/>
  <c r="W38" i="23"/>
  <c r="V38" i="23"/>
  <c r="AZ37" i="23"/>
  <c r="AW37" i="23"/>
  <c r="AV37" i="23"/>
  <c r="AT37" i="23"/>
  <c r="W37" i="23" s="1"/>
  <c r="AL37" i="23"/>
  <c r="AK37" i="23"/>
  <c r="AJ37" i="23"/>
  <c r="AI37" i="23"/>
  <c r="AG37" i="23"/>
  <c r="AE37" i="23"/>
  <c r="AC37" i="23"/>
  <c r="V37" i="23"/>
  <c r="AZ36" i="23"/>
  <c r="AW36" i="23"/>
  <c r="AV36" i="23"/>
  <c r="AT36" i="23"/>
  <c r="W36" i="23" s="1"/>
  <c r="AL36" i="23"/>
  <c r="AK36" i="23"/>
  <c r="AJ36" i="23"/>
  <c r="AI36" i="23"/>
  <c r="AG36" i="23"/>
  <c r="AE36" i="23"/>
  <c r="AC36" i="23"/>
  <c r="V36" i="23"/>
  <c r="AV35" i="23"/>
  <c r="AT35" i="23"/>
  <c r="W35" i="23" s="1"/>
  <c r="AL35" i="23"/>
  <c r="AJ35" i="23"/>
  <c r="AI35" i="23"/>
  <c r="AG35" i="23"/>
  <c r="AE35" i="23"/>
  <c r="AC35" i="23"/>
  <c r="V35" i="23"/>
  <c r="AZ34" i="23"/>
  <c r="AW34" i="23"/>
  <c r="BA34" i="23" s="1"/>
  <c r="AV34" i="23"/>
  <c r="AT34" i="23"/>
  <c r="AL34" i="23"/>
  <c r="AK34" i="23"/>
  <c r="AJ34" i="23"/>
  <c r="AI34" i="23"/>
  <c r="AG34" i="23"/>
  <c r="AE34" i="23"/>
  <c r="AC34" i="23"/>
  <c r="W34" i="23"/>
  <c r="R34" i="23"/>
  <c r="T34" i="23" s="1"/>
  <c r="AZ33" i="23"/>
  <c r="AW33" i="23"/>
  <c r="AV33" i="23"/>
  <c r="AT33" i="23"/>
  <c r="W33" i="23" s="1"/>
  <c r="AL33" i="23"/>
  <c r="AK33" i="23"/>
  <c r="AJ33" i="23"/>
  <c r="AI33" i="23"/>
  <c r="AG33" i="23"/>
  <c r="AE33" i="23"/>
  <c r="AC33" i="23"/>
  <c r="V33" i="23"/>
  <c r="AZ32" i="23"/>
  <c r="AW32" i="23"/>
  <c r="AV32" i="23"/>
  <c r="AT32" i="23"/>
  <c r="W32" i="23" s="1"/>
  <c r="AL32" i="23"/>
  <c r="AK32" i="23"/>
  <c r="AJ32" i="23"/>
  <c r="AI32" i="23"/>
  <c r="AG32" i="23"/>
  <c r="AE32" i="23"/>
  <c r="AC32" i="23"/>
  <c r="U32" i="23"/>
  <c r="AZ31" i="23"/>
  <c r="AW31" i="23"/>
  <c r="AV31" i="23"/>
  <c r="AT31" i="23"/>
  <c r="W31" i="23" s="1"/>
  <c r="AL31" i="23"/>
  <c r="AK31" i="23"/>
  <c r="AJ31" i="23"/>
  <c r="AI31" i="23"/>
  <c r="AG31" i="23"/>
  <c r="AE31" i="23"/>
  <c r="AC31" i="23"/>
  <c r="V31" i="23"/>
  <c r="AZ30" i="23"/>
  <c r="AW30" i="23"/>
  <c r="AV30" i="23"/>
  <c r="AT30" i="23"/>
  <c r="W30" i="23" s="1"/>
  <c r="AL30" i="23"/>
  <c r="AK30" i="23"/>
  <c r="AJ30" i="23"/>
  <c r="AI30" i="23"/>
  <c r="AG30" i="23"/>
  <c r="AE30" i="23"/>
  <c r="AC30" i="23"/>
  <c r="R30" i="23"/>
  <c r="T30" i="23" s="1"/>
  <c r="AZ29" i="23"/>
  <c r="AW29" i="23"/>
  <c r="AV29" i="23"/>
  <c r="AT29" i="23"/>
  <c r="W29" i="23" s="1"/>
  <c r="AL29" i="23"/>
  <c r="AK29" i="23"/>
  <c r="AJ29" i="23"/>
  <c r="AI29" i="23"/>
  <c r="AG29" i="23"/>
  <c r="AE29" i="23"/>
  <c r="AC29" i="23"/>
  <c r="R29" i="23"/>
  <c r="T29" i="23" s="1"/>
  <c r="AZ28" i="23"/>
  <c r="AW28" i="23"/>
  <c r="AV28" i="23"/>
  <c r="AT28" i="23"/>
  <c r="W28" i="23" s="1"/>
  <c r="AL28" i="23"/>
  <c r="AK28" i="23"/>
  <c r="AJ28" i="23"/>
  <c r="AI28" i="23"/>
  <c r="AG28" i="23"/>
  <c r="AE28" i="23"/>
  <c r="AC28" i="23"/>
  <c r="V28" i="23"/>
  <c r="AZ27" i="23"/>
  <c r="AW27" i="23"/>
  <c r="AV27" i="23"/>
  <c r="AT27" i="23"/>
  <c r="W27" i="23" s="1"/>
  <c r="AL27" i="23"/>
  <c r="AK27" i="23"/>
  <c r="AJ27" i="23"/>
  <c r="AI27" i="23"/>
  <c r="AG27" i="23"/>
  <c r="AE27" i="23"/>
  <c r="AC27" i="23"/>
  <c r="R27" i="23"/>
  <c r="AZ26" i="23"/>
  <c r="AW26" i="23"/>
  <c r="AV26" i="23"/>
  <c r="AT26" i="23"/>
  <c r="W26" i="23" s="1"/>
  <c r="AL26" i="23"/>
  <c r="AK26" i="23"/>
  <c r="AJ26" i="23"/>
  <c r="AI26" i="23"/>
  <c r="AG26" i="23"/>
  <c r="AE26" i="23"/>
  <c r="AC26" i="23"/>
  <c r="R26" i="23"/>
  <c r="AZ25" i="23"/>
  <c r="AW25" i="23"/>
  <c r="AV25" i="23"/>
  <c r="AX25" i="23" s="1"/>
  <c r="AT25" i="23"/>
  <c r="W25" i="23" s="1"/>
  <c r="AL25" i="23"/>
  <c r="AK25" i="23"/>
  <c r="AJ25" i="23"/>
  <c r="AI25" i="23"/>
  <c r="AG25" i="23"/>
  <c r="AE25" i="23"/>
  <c r="AC25" i="23"/>
  <c r="V25" i="23"/>
  <c r="AZ24" i="23"/>
  <c r="AW24" i="23"/>
  <c r="AV24" i="23"/>
  <c r="AT24" i="23"/>
  <c r="W24" i="23" s="1"/>
  <c r="AL24" i="23"/>
  <c r="AK24" i="23"/>
  <c r="AJ24" i="23"/>
  <c r="AI24" i="23"/>
  <c r="AG24" i="23"/>
  <c r="AE24" i="23"/>
  <c r="AC24" i="23"/>
  <c r="U24" i="23"/>
  <c r="AZ23" i="23"/>
  <c r="AW23" i="23"/>
  <c r="AV23" i="23"/>
  <c r="AT23" i="23"/>
  <c r="W23" i="23" s="1"/>
  <c r="AL23" i="23"/>
  <c r="AK23" i="23"/>
  <c r="AJ23" i="23"/>
  <c r="AI23" i="23"/>
  <c r="AG23" i="23"/>
  <c r="AE23" i="23"/>
  <c r="AC23" i="23"/>
  <c r="U23" i="23"/>
  <c r="AV22" i="23"/>
  <c r="AT22" i="23"/>
  <c r="W22" i="23" s="1"/>
  <c r="AL22" i="23"/>
  <c r="AK22" i="23"/>
  <c r="AJ22" i="23"/>
  <c r="AI22" i="23"/>
  <c r="AG22" i="23"/>
  <c r="AE22" i="23"/>
  <c r="AC22" i="23"/>
  <c r="U22" i="23"/>
  <c r="AZ21" i="23"/>
  <c r="AW21" i="23"/>
  <c r="AV21" i="23"/>
  <c r="AT21" i="23"/>
  <c r="W21" i="23" s="1"/>
  <c r="AL21" i="23"/>
  <c r="AK21" i="23"/>
  <c r="AJ21" i="23"/>
  <c r="AI21" i="23"/>
  <c r="AG21" i="23"/>
  <c r="AE21" i="23"/>
  <c r="AC21" i="23"/>
  <c r="R21" i="23"/>
  <c r="T21" i="23" s="1"/>
  <c r="AZ20" i="23"/>
  <c r="AW20" i="23"/>
  <c r="BA20" i="23" s="1"/>
  <c r="AV20" i="23"/>
  <c r="AT20" i="23"/>
  <c r="W20" i="23" s="1"/>
  <c r="AL20" i="23"/>
  <c r="AK20" i="23"/>
  <c r="AJ20" i="23"/>
  <c r="AI20" i="23"/>
  <c r="AG20" i="23"/>
  <c r="AE20" i="23"/>
  <c r="AC20" i="23"/>
  <c r="V20" i="23"/>
  <c r="AZ19" i="23"/>
  <c r="AW19" i="23"/>
  <c r="BA19" i="23" s="1"/>
  <c r="AV19" i="23"/>
  <c r="AT19" i="23"/>
  <c r="W19" i="23" s="1"/>
  <c r="AL19" i="23"/>
  <c r="AK19" i="23"/>
  <c r="AJ19" i="23"/>
  <c r="AI19" i="23"/>
  <c r="AG19" i="23"/>
  <c r="AE19" i="23"/>
  <c r="AC19" i="23"/>
  <c r="U19" i="23"/>
  <c r="AZ18" i="23"/>
  <c r="AW18" i="23"/>
  <c r="AV18" i="23"/>
  <c r="AT18" i="23"/>
  <c r="W18" i="23" s="1"/>
  <c r="AL18" i="23"/>
  <c r="AK18" i="23"/>
  <c r="AJ18" i="23"/>
  <c r="AI18" i="23"/>
  <c r="AG18" i="23"/>
  <c r="AE18" i="23"/>
  <c r="AC18" i="23"/>
  <c r="U18" i="23"/>
  <c r="AZ17" i="23"/>
  <c r="AW17" i="23"/>
  <c r="AV17" i="23"/>
  <c r="AT17" i="23"/>
  <c r="W17" i="23" s="1"/>
  <c r="AL17" i="23"/>
  <c r="AK17" i="23"/>
  <c r="AJ17" i="23"/>
  <c r="AI17" i="23"/>
  <c r="AG17" i="23"/>
  <c r="AE17" i="23"/>
  <c r="AC17" i="23"/>
  <c r="V17" i="23"/>
  <c r="AZ16" i="23"/>
  <c r="AW16" i="23"/>
  <c r="AV16" i="23"/>
  <c r="AT16" i="23"/>
  <c r="W16" i="23" s="1"/>
  <c r="AL16" i="23"/>
  <c r="AK16" i="23"/>
  <c r="AJ16" i="23"/>
  <c r="AI16" i="23"/>
  <c r="AG16" i="23"/>
  <c r="AE16" i="23"/>
  <c r="AC16" i="23"/>
  <c r="R16" i="23"/>
  <c r="T16" i="23" s="1"/>
  <c r="AZ15" i="23"/>
  <c r="AW15" i="23"/>
  <c r="AV15" i="23"/>
  <c r="AT15" i="23"/>
  <c r="W15" i="23" s="1"/>
  <c r="AL15" i="23"/>
  <c r="AK15" i="23"/>
  <c r="AJ15" i="23"/>
  <c r="AI15" i="23"/>
  <c r="AG15" i="23"/>
  <c r="AE15" i="23"/>
  <c r="AC15" i="23"/>
  <c r="U15" i="23"/>
  <c r="AZ14" i="23"/>
  <c r="AW14" i="23"/>
  <c r="AV14" i="23"/>
  <c r="AT14" i="23"/>
  <c r="W14" i="23" s="1"/>
  <c r="AL14" i="23"/>
  <c r="AK14" i="23"/>
  <c r="AJ14" i="23"/>
  <c r="AI14" i="23"/>
  <c r="AG14" i="23"/>
  <c r="AE14" i="23"/>
  <c r="AC14" i="23"/>
  <c r="U14" i="23"/>
  <c r="AZ13" i="23"/>
  <c r="AW13" i="23"/>
  <c r="AV13" i="23"/>
  <c r="AT13" i="23"/>
  <c r="W13" i="23" s="1"/>
  <c r="AL13" i="23"/>
  <c r="AK13" i="23"/>
  <c r="AJ13" i="23"/>
  <c r="AI13" i="23"/>
  <c r="AG13" i="23"/>
  <c r="AE13" i="23"/>
  <c r="AC13" i="23"/>
  <c r="V13" i="23"/>
  <c r="AZ12" i="23"/>
  <c r="AW12" i="23"/>
  <c r="AV12" i="23"/>
  <c r="AT12" i="23"/>
  <c r="W12" i="23" s="1"/>
  <c r="AL12" i="23"/>
  <c r="AK12" i="23"/>
  <c r="AJ12" i="23"/>
  <c r="AI12" i="23"/>
  <c r="AM12" i="23" s="1"/>
  <c r="AG12" i="23"/>
  <c r="AE12" i="23"/>
  <c r="AC12" i="23"/>
  <c r="R12" i="23"/>
  <c r="T12" i="23" s="1"/>
  <c r="AZ11" i="23"/>
  <c r="AW11" i="23"/>
  <c r="AV11" i="23"/>
  <c r="AT11" i="23"/>
  <c r="W11" i="23" s="1"/>
  <c r="AL11" i="23"/>
  <c r="AK11" i="23"/>
  <c r="AJ11" i="23"/>
  <c r="AI11" i="23"/>
  <c r="AG11" i="23"/>
  <c r="AE11" i="23"/>
  <c r="AC11" i="23"/>
  <c r="AZ10" i="23"/>
  <c r="AW10" i="23"/>
  <c r="AV10" i="23"/>
  <c r="AT10" i="23"/>
  <c r="W10" i="23" s="1"/>
  <c r="AL10" i="23"/>
  <c r="AK10" i="23"/>
  <c r="AJ10" i="23"/>
  <c r="AI10" i="23"/>
  <c r="AG10" i="23"/>
  <c r="AE10" i="23"/>
  <c r="AC10" i="23"/>
  <c r="U10" i="23"/>
  <c r="AZ9" i="23"/>
  <c r="AW9" i="23"/>
  <c r="AV9" i="23"/>
  <c r="AT9" i="23"/>
  <c r="W9" i="23" s="1"/>
  <c r="AL9" i="23"/>
  <c r="AK9" i="23"/>
  <c r="AJ9" i="23"/>
  <c r="AI9" i="23"/>
  <c r="AG9" i="23"/>
  <c r="AE9" i="23"/>
  <c r="AC9" i="23"/>
  <c r="AZ8" i="23"/>
  <c r="AW8" i="23"/>
  <c r="AV8" i="23"/>
  <c r="AT8" i="23"/>
  <c r="W8" i="23" s="1"/>
  <c r="AL8" i="23"/>
  <c r="AK8" i="23"/>
  <c r="AJ8" i="23"/>
  <c r="AI8" i="23"/>
  <c r="AG8" i="23"/>
  <c r="AE8" i="23"/>
  <c r="AC8" i="23"/>
  <c r="U8" i="23"/>
  <c r="AZ7" i="23"/>
  <c r="AW7" i="23"/>
  <c r="BA7" i="23" s="1"/>
  <c r="AV7" i="23"/>
  <c r="AT7" i="23"/>
  <c r="W7" i="23" s="1"/>
  <c r="AL7" i="23"/>
  <c r="AK7" i="23"/>
  <c r="AJ7" i="23"/>
  <c r="AI7" i="23"/>
  <c r="AG7" i="23"/>
  <c r="AE7" i="23"/>
  <c r="AC7" i="23"/>
  <c r="R7" i="23"/>
  <c r="T7" i="23" s="1"/>
  <c r="AZ6" i="23"/>
  <c r="AW6" i="23"/>
  <c r="BA6" i="23" s="1"/>
  <c r="AV6" i="23"/>
  <c r="AT6" i="23"/>
  <c r="W6" i="23" s="1"/>
  <c r="AL6" i="23"/>
  <c r="AK6" i="23"/>
  <c r="AJ6" i="23"/>
  <c r="AI6" i="23"/>
  <c r="AG6" i="23"/>
  <c r="AE6" i="23"/>
  <c r="AC6" i="23"/>
  <c r="V6" i="23"/>
  <c r="U6" i="23"/>
  <c r="R6" i="23"/>
  <c r="T6" i="23" s="1"/>
  <c r="AZ5" i="23"/>
  <c r="AW5" i="23"/>
  <c r="AV5" i="23"/>
  <c r="AT5" i="23"/>
  <c r="AL5" i="23"/>
  <c r="AK5" i="23"/>
  <c r="AJ5" i="23"/>
  <c r="AI5" i="23"/>
  <c r="AG5" i="23"/>
  <c r="AE5" i="23"/>
  <c r="AC5" i="23"/>
  <c r="I59" i="15"/>
  <c r="K58" i="15"/>
  <c r="J58" i="15"/>
  <c r="I58" i="15"/>
  <c r="F58" i="15"/>
  <c r="E58" i="15"/>
  <c r="K55" i="15"/>
  <c r="J55" i="15"/>
  <c r="I55" i="15"/>
  <c r="H55" i="15"/>
  <c r="G55" i="15"/>
  <c r="F55" i="15"/>
  <c r="E55" i="15"/>
  <c r="K54" i="15"/>
  <c r="J54" i="15"/>
  <c r="I54" i="15"/>
  <c r="H54" i="15"/>
  <c r="G54" i="15"/>
  <c r="F54" i="15"/>
  <c r="E54" i="15"/>
  <c r="I52" i="15"/>
  <c r="H52" i="15"/>
  <c r="AM31" i="23" l="1"/>
  <c r="U126" i="23"/>
  <c r="AM13" i="23"/>
  <c r="V126" i="23"/>
  <c r="AN130" i="23"/>
  <c r="AK171" i="23"/>
  <c r="AK172" i="23"/>
  <c r="AN172" i="23" s="1"/>
  <c r="AM6" i="23"/>
  <c r="AK42" i="23"/>
  <c r="AK35" i="23"/>
  <c r="AK38" i="23"/>
  <c r="AN38" i="23" s="1"/>
  <c r="X38" i="23" s="1"/>
  <c r="AM126" i="23"/>
  <c r="AN110" i="23"/>
  <c r="R114" i="23"/>
  <c r="T114" i="23" s="1"/>
  <c r="AX142" i="23"/>
  <c r="BC142" i="23" s="1"/>
  <c r="BE142" i="23" s="1"/>
  <c r="AK166" i="23"/>
  <c r="AN173" i="23"/>
  <c r="AM184" i="23"/>
  <c r="AN101" i="23"/>
  <c r="U114" i="23"/>
  <c r="AK154" i="23"/>
  <c r="AK165" i="23"/>
  <c r="AN165" i="23" s="1"/>
  <c r="AK70" i="23"/>
  <c r="AN70" i="23" s="1"/>
  <c r="AN78" i="23"/>
  <c r="AN122" i="23"/>
  <c r="AN17" i="23"/>
  <c r="BA12" i="23"/>
  <c r="AN128" i="23"/>
  <c r="Y128" i="23" s="1"/>
  <c r="BA186" i="23"/>
  <c r="AM10" i="23"/>
  <c r="BA10" i="23"/>
  <c r="BA29" i="23"/>
  <c r="AN30" i="23"/>
  <c r="AN35" i="23"/>
  <c r="AN150" i="23"/>
  <c r="Y150" i="23" s="1"/>
  <c r="AX146" i="23"/>
  <c r="BC146" i="23" s="1"/>
  <c r="BE146" i="23" s="1"/>
  <c r="AN108" i="23"/>
  <c r="AX9" i="23"/>
  <c r="AX12" i="23"/>
  <c r="AX15" i="23"/>
  <c r="BC15" i="23" s="1"/>
  <c r="AX16" i="23"/>
  <c r="BC16" i="23" s="1"/>
  <c r="AX36" i="23"/>
  <c r="BA77" i="23"/>
  <c r="BA80" i="23"/>
  <c r="AX147" i="23"/>
  <c r="BC147" i="23" s="1"/>
  <c r="U151" i="23"/>
  <c r="AM151" i="23"/>
  <c r="BA164" i="23"/>
  <c r="AN7" i="23"/>
  <c r="AX8" i="23"/>
  <c r="BC8" i="23" s="1"/>
  <c r="AN9" i="23"/>
  <c r="AN22" i="23"/>
  <c r="AN43" i="23"/>
  <c r="U67" i="23"/>
  <c r="AX79" i="23"/>
  <c r="BC79" i="23" s="1"/>
  <c r="BA84" i="23"/>
  <c r="R110" i="23"/>
  <c r="T110" i="23" s="1"/>
  <c r="AM112" i="23"/>
  <c r="BA128" i="23"/>
  <c r="BB128" i="23" s="1"/>
  <c r="BD128" i="23" s="1"/>
  <c r="BA182" i="23"/>
  <c r="AM157" i="23"/>
  <c r="V177" i="23"/>
  <c r="AN100" i="23"/>
  <c r="AM14" i="23"/>
  <c r="BA14" i="23"/>
  <c r="AN15" i="23"/>
  <c r="BA16" i="23"/>
  <c r="AM73" i="23"/>
  <c r="AN77" i="23"/>
  <c r="AN80" i="23"/>
  <c r="AM81" i="23"/>
  <c r="AX83" i="23"/>
  <c r="BC83" i="23" s="1"/>
  <c r="AM87" i="23"/>
  <c r="AM97" i="23"/>
  <c r="AN145" i="23"/>
  <c r="R149" i="23"/>
  <c r="T149" i="23" s="1"/>
  <c r="AX165" i="23"/>
  <c r="AN166" i="23"/>
  <c r="AX167" i="23"/>
  <c r="BC167" i="23" s="1"/>
  <c r="BE167" i="23" s="1"/>
  <c r="BG167" i="23" s="1"/>
  <c r="AN168" i="23"/>
  <c r="X168" i="23" s="1"/>
  <c r="V110" i="23"/>
  <c r="BB12" i="23"/>
  <c r="AM28" i="23"/>
  <c r="AX46" i="23"/>
  <c r="AX48" i="23"/>
  <c r="BC48" i="23" s="1"/>
  <c r="AX51" i="23"/>
  <c r="AN72" i="23"/>
  <c r="Y72" i="23" s="1"/>
  <c r="AN86" i="23"/>
  <c r="BA96" i="23"/>
  <c r="AN109" i="23"/>
  <c r="AM115" i="23"/>
  <c r="BA137" i="23"/>
  <c r="AM139" i="23"/>
  <c r="BF142" i="23"/>
  <c r="BG142" i="23" s="1"/>
  <c r="U149" i="23"/>
  <c r="BA153" i="23"/>
  <c r="AM155" i="23"/>
  <c r="AM183" i="23"/>
  <c r="H59" i="15"/>
  <c r="BA180" i="23"/>
  <c r="AM51" i="23"/>
  <c r="U157" i="23"/>
  <c r="AM7" i="23"/>
  <c r="AM34" i="23"/>
  <c r="AM105" i="23"/>
  <c r="V106" i="23"/>
  <c r="AN124" i="23"/>
  <c r="V141" i="23"/>
  <c r="BA13" i="23"/>
  <c r="AM15" i="23"/>
  <c r="BA15" i="23"/>
  <c r="BB15" i="23" s="1"/>
  <c r="AX19" i="23"/>
  <c r="AN67" i="23"/>
  <c r="AM71" i="23"/>
  <c r="AM80" i="23"/>
  <c r="AN90" i="23"/>
  <c r="AX138" i="23"/>
  <c r="BC138" i="23" s="1"/>
  <c r="AX143" i="23"/>
  <c r="BC143" i="23" s="1"/>
  <c r="BB145" i="23"/>
  <c r="AX154" i="23"/>
  <c r="V157" i="23"/>
  <c r="BA158" i="23"/>
  <c r="AN163" i="23"/>
  <c r="AX166" i="23"/>
  <c r="BC166" i="23" s="1"/>
  <c r="BA170" i="23"/>
  <c r="AM176" i="23"/>
  <c r="AM16" i="23"/>
  <c r="AN19" i="23"/>
  <c r="AO19" i="23" s="1"/>
  <c r="AM21" i="23"/>
  <c r="BA21" i="23"/>
  <c r="AN23" i="23"/>
  <c r="AM27" i="23"/>
  <c r="AM29" i="23"/>
  <c r="V77" i="23"/>
  <c r="P77" i="23"/>
  <c r="V85" i="23"/>
  <c r="P85" i="23"/>
  <c r="AN98" i="23"/>
  <c r="U108" i="23"/>
  <c r="AN134" i="23"/>
  <c r="AM141" i="23"/>
  <c r="AN142" i="23"/>
  <c r="AN147" i="23"/>
  <c r="Y147" i="23" s="1"/>
  <c r="R150" i="23"/>
  <c r="T150" i="23" s="1"/>
  <c r="AN154" i="23"/>
  <c r="U160" i="23"/>
  <c r="AM175" i="23"/>
  <c r="AN177" i="23"/>
  <c r="Y177" i="23" s="1"/>
  <c r="AO7" i="23"/>
  <c r="J59" i="15"/>
  <c r="K59" i="15"/>
  <c r="AX6" i="23"/>
  <c r="BC6" i="23" s="1"/>
  <c r="BA9" i="23"/>
  <c r="BB9" i="23" s="1"/>
  <c r="BA11" i="23"/>
  <c r="AM18" i="23"/>
  <c r="BA18" i="23"/>
  <c r="BA26" i="23"/>
  <c r="AX38" i="23"/>
  <c r="AX40" i="23"/>
  <c r="AX55" i="23"/>
  <c r="BC55" i="23" s="1"/>
  <c r="BA62" i="23"/>
  <c r="AN66" i="23"/>
  <c r="R74" i="23"/>
  <c r="AX80" i="23"/>
  <c r="BC80" i="23" s="1"/>
  <c r="BF80" i="23" s="1"/>
  <c r="U82" i="23"/>
  <c r="P82" i="23"/>
  <c r="AM83" i="23"/>
  <c r="V108" i="23"/>
  <c r="AM120" i="23"/>
  <c r="AX126" i="23"/>
  <c r="BC126" i="23" s="1"/>
  <c r="AM131" i="23"/>
  <c r="AM146" i="23"/>
  <c r="U150" i="23"/>
  <c r="V160" i="23"/>
  <c r="AN170" i="23"/>
  <c r="R177" i="23"/>
  <c r="T177" i="23" s="1"/>
  <c r="AN180" i="23"/>
  <c r="Y180" i="23" s="1"/>
  <c r="AT181" i="23"/>
  <c r="W181" i="23" s="1"/>
  <c r="AX186" i="23"/>
  <c r="BB186" i="23" s="1"/>
  <c r="BA8" i="23"/>
  <c r="BB8" i="23" s="1"/>
  <c r="BD8" i="23" s="1"/>
  <c r="AN11" i="23"/>
  <c r="AO15" i="23"/>
  <c r="AM50" i="23"/>
  <c r="AM57" i="23"/>
  <c r="J188" i="23"/>
  <c r="U72" i="23"/>
  <c r="V84" i="23"/>
  <c r="P84" i="23"/>
  <c r="AX85" i="23"/>
  <c r="BC85" i="23" s="1"/>
  <c r="BF85" i="23" s="1"/>
  <c r="R88" i="23"/>
  <c r="AM96" i="23"/>
  <c r="AX96" i="23"/>
  <c r="BB96" i="23" s="1"/>
  <c r="V98" i="23"/>
  <c r="AN105" i="23"/>
  <c r="R107" i="23"/>
  <c r="S107" i="23" s="1"/>
  <c r="R118" i="23"/>
  <c r="AO122" i="23"/>
  <c r="R128" i="23"/>
  <c r="AN153" i="23"/>
  <c r="X153" i="23" s="1"/>
  <c r="AN175" i="23"/>
  <c r="AO175" i="23" s="1"/>
  <c r="V76" i="23"/>
  <c r="P76" i="23"/>
  <c r="U79" i="23"/>
  <c r="P79" i="23"/>
  <c r="AM5" i="23"/>
  <c r="AN14" i="23"/>
  <c r="AX17" i="23"/>
  <c r="BC17" i="23" s="1"/>
  <c r="BF17" i="23" s="1"/>
  <c r="AN18" i="23"/>
  <c r="BC19" i="23"/>
  <c r="BE19" i="23" s="1"/>
  <c r="BC25" i="23"/>
  <c r="BF25" i="23" s="1"/>
  <c r="AM30" i="23"/>
  <c r="AO30" i="23" s="1"/>
  <c r="AN31" i="23"/>
  <c r="AO31" i="23" s="1"/>
  <c r="BC42" i="23"/>
  <c r="AX54" i="23"/>
  <c r="AX61" i="23"/>
  <c r="AN62" i="23"/>
  <c r="AM104" i="23"/>
  <c r="AM117" i="23"/>
  <c r="U118" i="23"/>
  <c r="AN126" i="23"/>
  <c r="Y126" i="23" s="1"/>
  <c r="AN127" i="23"/>
  <c r="V128" i="23"/>
  <c r="BH132" i="23"/>
  <c r="AN146" i="23"/>
  <c r="X146" i="23" s="1"/>
  <c r="AM150" i="23"/>
  <c r="AN151" i="23"/>
  <c r="Y151" i="23" s="1"/>
  <c r="AM167" i="23"/>
  <c r="AO80" i="23"/>
  <c r="T88" i="23"/>
  <c r="E59" i="15"/>
  <c r="F59" i="15"/>
  <c r="G59" i="15"/>
  <c r="AN13" i="23"/>
  <c r="Y13" i="23" s="1"/>
  <c r="AN16" i="23"/>
  <c r="BA17" i="23"/>
  <c r="AM22" i="23"/>
  <c r="AO22" i="23" s="1"/>
  <c r="AM23" i="23"/>
  <c r="AO23" i="23" s="1"/>
  <c r="BA23" i="23"/>
  <c r="AX27" i="23"/>
  <c r="BC27" i="23" s="1"/>
  <c r="BF27" i="23" s="1"/>
  <c r="AM35" i="23"/>
  <c r="AO35" i="23" s="1"/>
  <c r="AX41" i="23"/>
  <c r="AM44" i="23"/>
  <c r="AN50" i="23"/>
  <c r="BA54" i="23"/>
  <c r="AX58" i="23"/>
  <c r="AX76" i="23"/>
  <c r="BC76" i="23" s="1"/>
  <c r="U78" i="23"/>
  <c r="P78" i="23"/>
  <c r="V81" i="23"/>
  <c r="P81" i="23"/>
  <c r="AX82" i="23"/>
  <c r="V88" i="23"/>
  <c r="AN112" i="23"/>
  <c r="AO112" i="23" s="1"/>
  <c r="AM130" i="23"/>
  <c r="AO130" i="23" s="1"/>
  <c r="BA134" i="23"/>
  <c r="R141" i="23"/>
  <c r="AN143" i="23"/>
  <c r="X143" i="23" s="1"/>
  <c r="AM147" i="23"/>
  <c r="R151" i="23"/>
  <c r="S151" i="23" s="1"/>
  <c r="AX157" i="23"/>
  <c r="BC157" i="23" s="1"/>
  <c r="BF157" i="23" s="1"/>
  <c r="BA185" i="23"/>
  <c r="AN6" i="23"/>
  <c r="Y6" i="23" s="1"/>
  <c r="AN8" i="23"/>
  <c r="AM19" i="23"/>
  <c r="AX21" i="23"/>
  <c r="BC21" i="23" s="1"/>
  <c r="BA32" i="23"/>
  <c r="AX34" i="23"/>
  <c r="BC34" i="23" s="1"/>
  <c r="BE34" i="23" s="1"/>
  <c r="AN71" i="23"/>
  <c r="X71" i="23" s="1"/>
  <c r="R73" i="23"/>
  <c r="T73" i="23" s="1"/>
  <c r="R83" i="23"/>
  <c r="T83" i="23" s="1"/>
  <c r="P83" i="23"/>
  <c r="AM88" i="23"/>
  <c r="AO88" i="23" s="1"/>
  <c r="BA88" i="23"/>
  <c r="AM95" i="23"/>
  <c r="AM107" i="23"/>
  <c r="AM113" i="23"/>
  <c r="S114" i="23"/>
  <c r="Z114" i="23" s="1"/>
  <c r="U124" i="23"/>
  <c r="AX144" i="23"/>
  <c r="BC144" i="23" s="1"/>
  <c r="V179" i="23"/>
  <c r="AV63" i="23"/>
  <c r="AX63" i="23" s="1"/>
  <c r="BC63" i="23" s="1"/>
  <c r="BF63" i="23" s="1"/>
  <c r="G44" i="15"/>
  <c r="U97" i="23"/>
  <c r="V97" i="23"/>
  <c r="E44" i="15"/>
  <c r="F44" i="15"/>
  <c r="H44" i="15"/>
  <c r="R94" i="23"/>
  <c r="T94" i="23" s="1"/>
  <c r="I44" i="15"/>
  <c r="J44" i="15"/>
  <c r="K44" i="15"/>
  <c r="D58" i="15"/>
  <c r="F56" i="15"/>
  <c r="G56" i="15"/>
  <c r="H56" i="15"/>
  <c r="I56" i="15"/>
  <c r="R164" i="23"/>
  <c r="T164" i="23" s="1"/>
  <c r="R154" i="23"/>
  <c r="S154" i="23" s="1"/>
  <c r="V153" i="23"/>
  <c r="Y71" i="23"/>
  <c r="AM69" i="23"/>
  <c r="BB146" i="23"/>
  <c r="BD146" i="23" s="1"/>
  <c r="BC9" i="23"/>
  <c r="BE9" i="23" s="1"/>
  <c r="BC12" i="23"/>
  <c r="BD12" i="23" s="1"/>
  <c r="AM17" i="23"/>
  <c r="AO17" i="23" s="1"/>
  <c r="AM20" i="23"/>
  <c r="AN21" i="23"/>
  <c r="Y21" i="23" s="1"/>
  <c r="BA25" i="23"/>
  <c r="BB25" i="23" s="1"/>
  <c r="AN26" i="23"/>
  <c r="Y26" i="23" s="1"/>
  <c r="U27" i="23"/>
  <c r="AX31" i="23"/>
  <c r="BC31" i="23" s="1"/>
  <c r="BE31" i="23" s="1"/>
  <c r="AN32" i="23"/>
  <c r="Y32" i="23" s="1"/>
  <c r="AN55" i="23"/>
  <c r="Y55" i="23" s="1"/>
  <c r="AN84" i="23"/>
  <c r="Y84" i="23" s="1"/>
  <c r="AO105" i="23"/>
  <c r="V115" i="23"/>
  <c r="R115" i="23"/>
  <c r="T115" i="23" s="1"/>
  <c r="AN123" i="23"/>
  <c r="BC165" i="23"/>
  <c r="BF165" i="23" s="1"/>
  <c r="BA165" i="23"/>
  <c r="BB165" i="23" s="1"/>
  <c r="BD165" i="23" s="1"/>
  <c r="V180" i="23"/>
  <c r="U180" i="23"/>
  <c r="X170" i="23"/>
  <c r="Y170" i="23"/>
  <c r="AX29" i="23"/>
  <c r="BC29" i="23" s="1"/>
  <c r="BF29" i="23" s="1"/>
  <c r="U138" i="23"/>
  <c r="V138" i="23"/>
  <c r="S138" i="23"/>
  <c r="AX5" i="23"/>
  <c r="BC5" i="23" s="1"/>
  <c r="BA5" i="23"/>
  <c r="AM9" i="23"/>
  <c r="AO9" i="23" s="1"/>
  <c r="AN10" i="23"/>
  <c r="AO10" i="23" s="1"/>
  <c r="U11" i="23"/>
  <c r="V11" i="23"/>
  <c r="Y30" i="23"/>
  <c r="X30" i="23"/>
  <c r="BA31" i="23"/>
  <c r="AN47" i="23"/>
  <c r="Y47" i="23" s="1"/>
  <c r="AM52" i="23"/>
  <c r="AN74" i="23"/>
  <c r="X74" i="23" s="1"/>
  <c r="BA83" i="23"/>
  <c r="BA95" i="23"/>
  <c r="AM101" i="23"/>
  <c r="AO101" i="23" s="1"/>
  <c r="AN106" i="23"/>
  <c r="BA127" i="23"/>
  <c r="R135" i="23"/>
  <c r="T135" i="23" s="1"/>
  <c r="V135" i="23"/>
  <c r="T138" i="23"/>
  <c r="V116" i="23"/>
  <c r="U116" i="23"/>
  <c r="R116" i="23"/>
  <c r="S116" i="23" s="1"/>
  <c r="AM8" i="23"/>
  <c r="AO8" i="23" s="1"/>
  <c r="AM11" i="23"/>
  <c r="AO11" i="23" s="1"/>
  <c r="AN12" i="23"/>
  <c r="AO12" i="23" s="1"/>
  <c r="AN20" i="23"/>
  <c r="Y20" i="23" s="1"/>
  <c r="AM82" i="23"/>
  <c r="V112" i="23"/>
  <c r="U112" i="23"/>
  <c r="R112" i="23"/>
  <c r="AN120" i="23"/>
  <c r="AO120" i="23" s="1"/>
  <c r="S134" i="23"/>
  <c r="BB6" i="23"/>
  <c r="BD6" i="23" s="1"/>
  <c r="AO16" i="23"/>
  <c r="AX30" i="23"/>
  <c r="BC30" i="23" s="1"/>
  <c r="BF30" i="23" s="1"/>
  <c r="BA30" i="23"/>
  <c r="BC36" i="23"/>
  <c r="BF36" i="23" s="1"/>
  <c r="AN39" i="23"/>
  <c r="Y39" i="23" s="1"/>
  <c r="BC40" i="23"/>
  <c r="BH93" i="23"/>
  <c r="AM109" i="23"/>
  <c r="AM111" i="23"/>
  <c r="BA126" i="23"/>
  <c r="BB126" i="23" s="1"/>
  <c r="AO147" i="23"/>
  <c r="X56" i="15"/>
  <c r="AM168" i="23"/>
  <c r="AO168" i="23" s="1"/>
  <c r="V102" i="23"/>
  <c r="U102" i="23"/>
  <c r="AN5" i="23"/>
  <c r="AX7" i="23"/>
  <c r="BC7" i="23" s="1"/>
  <c r="BE7" i="23" s="1"/>
  <c r="BB16" i="23"/>
  <c r="BD16" i="23" s="1"/>
  <c r="AX18" i="23"/>
  <c r="BC18" i="23" s="1"/>
  <c r="BF18" i="23" s="1"/>
  <c r="BB19" i="23"/>
  <c r="BD19" i="23" s="1"/>
  <c r="BE27" i="23"/>
  <c r="AX32" i="23"/>
  <c r="BC32" i="23" s="1"/>
  <c r="BF32" i="23" s="1"/>
  <c r="AN33" i="23"/>
  <c r="AM38" i="23"/>
  <c r="BA38" i="23"/>
  <c r="BB38" i="23" s="1"/>
  <c r="AX59" i="23"/>
  <c r="BC59" i="23" s="1"/>
  <c r="AM60" i="23"/>
  <c r="AM62" i="23"/>
  <c r="AO62" i="23" s="1"/>
  <c r="AM68" i="23"/>
  <c r="AN107" i="23"/>
  <c r="AO107" i="23" s="1"/>
  <c r="T126" i="23"/>
  <c r="AN131" i="23"/>
  <c r="AN133" i="23"/>
  <c r="AX10" i="23"/>
  <c r="BC10" i="23" s="1"/>
  <c r="BE10" i="23" s="1"/>
  <c r="AX11" i="23"/>
  <c r="BC11" i="23" s="1"/>
  <c r="BE11" i="23" s="1"/>
  <c r="AX20" i="23"/>
  <c r="BC20" i="23" s="1"/>
  <c r="BF20" i="23" s="1"/>
  <c r="AX23" i="23"/>
  <c r="BC23" i="23" s="1"/>
  <c r="BE23" i="23" s="1"/>
  <c r="AN24" i="23"/>
  <c r="Y24" i="23" s="1"/>
  <c r="AN27" i="23"/>
  <c r="AM32" i="23"/>
  <c r="AN34" i="23"/>
  <c r="Y34" i="23" s="1"/>
  <c r="AM41" i="23"/>
  <c r="BA41" i="23"/>
  <c r="AX44" i="23"/>
  <c r="BC44" i="23" s="1"/>
  <c r="BF44" i="23" s="1"/>
  <c r="AX52" i="23"/>
  <c r="AN53" i="23"/>
  <c r="Y53" i="23" s="1"/>
  <c r="BA57" i="23"/>
  <c r="AX60" i="23"/>
  <c r="AX62" i="23"/>
  <c r="BC62" i="23" s="1"/>
  <c r="AN63" i="23"/>
  <c r="X63" i="23" s="1"/>
  <c r="AM66" i="23"/>
  <c r="BA76" i="23"/>
  <c r="AN79" i="23"/>
  <c r="Y79" i="23" s="1"/>
  <c r="AN92" i="23"/>
  <c r="V94" i="23"/>
  <c r="AX95" i="23"/>
  <c r="BC95" i="23" s="1"/>
  <c r="AN97" i="23"/>
  <c r="X97" i="23" s="1"/>
  <c r="R98" i="23"/>
  <c r="BH121" i="23"/>
  <c r="R106" i="23"/>
  <c r="AN113" i="23"/>
  <c r="AO113" i="23" s="1"/>
  <c r="AN114" i="23"/>
  <c r="BH125" i="23"/>
  <c r="AX128" i="23"/>
  <c r="BC128" i="23" s="1"/>
  <c r="AN139" i="23"/>
  <c r="Y139" i="23" s="1"/>
  <c r="AN144" i="23"/>
  <c r="BB147" i="23"/>
  <c r="BD147" i="23" s="1"/>
  <c r="AN148" i="23"/>
  <c r="X148" i="23" s="1"/>
  <c r="AN149" i="23"/>
  <c r="AM154" i="23"/>
  <c r="AX164" i="23"/>
  <c r="BC164" i="23" s="1"/>
  <c r="AN167" i="23"/>
  <c r="AX168" i="23"/>
  <c r="BC168" i="23" s="1"/>
  <c r="R183" i="23"/>
  <c r="S183" i="23" s="1"/>
  <c r="AN183" i="23"/>
  <c r="X183" i="23" s="1"/>
  <c r="D59" i="15"/>
  <c r="AM153" i="23"/>
  <c r="AN159" i="23"/>
  <c r="Y159" i="23" s="1"/>
  <c r="AN179" i="23"/>
  <c r="Y179" i="23" s="1"/>
  <c r="AT183" i="23"/>
  <c r="W183" i="23" s="1"/>
  <c r="AM40" i="23"/>
  <c r="BA40" i="23"/>
  <c r="AN41" i="23"/>
  <c r="Y41" i="23" s="1"/>
  <c r="AM46" i="23"/>
  <c r="BA46" i="23"/>
  <c r="AM48" i="23"/>
  <c r="BA48" i="23"/>
  <c r="AM54" i="23"/>
  <c r="AX56" i="23"/>
  <c r="BC56" i="23" s="1"/>
  <c r="AM59" i="23"/>
  <c r="AT63" i="23"/>
  <c r="W63" i="23" s="1"/>
  <c r="AM70" i="23"/>
  <c r="AM72" i="23"/>
  <c r="AN73" i="23"/>
  <c r="Y73" i="23" s="1"/>
  <c r="U74" i="23"/>
  <c r="AN76" i="23"/>
  <c r="AN87" i="23"/>
  <c r="Y87" i="23" s="1"/>
  <c r="AM90" i="23"/>
  <c r="AO90" i="23" s="1"/>
  <c r="AM91" i="23"/>
  <c r="AM94" i="23"/>
  <c r="BA94" i="23"/>
  <c r="AM108" i="23"/>
  <c r="AO108" i="23" s="1"/>
  <c r="AM118" i="23"/>
  <c r="AN137" i="23"/>
  <c r="AN138" i="23"/>
  <c r="Y138" i="23" s="1"/>
  <c r="AX141" i="23"/>
  <c r="U148" i="23"/>
  <c r="R153" i="23"/>
  <c r="T153" i="23" s="1"/>
  <c r="AM158" i="23"/>
  <c r="AM164" i="23"/>
  <c r="AX171" i="23"/>
  <c r="BC171" i="23" s="1"/>
  <c r="BE171" i="23" s="1"/>
  <c r="AM177" i="23"/>
  <c r="AV182" i="23"/>
  <c r="AX182" i="23" s="1"/>
  <c r="X44" i="15"/>
  <c r="AX180" i="23"/>
  <c r="BC180" i="23" s="1"/>
  <c r="BA181" i="23"/>
  <c r="AM182" i="23"/>
  <c r="AO182" i="23" s="1"/>
  <c r="AM185" i="23"/>
  <c r="AN171" i="23"/>
  <c r="AX14" i="23"/>
  <c r="BC14" i="23" s="1"/>
  <c r="BE14" i="23" s="1"/>
  <c r="AM24" i="23"/>
  <c r="AX24" i="23"/>
  <c r="BC24" i="23" s="1"/>
  <c r="BF24" i="23" s="1"/>
  <c r="AN25" i="23"/>
  <c r="BA27" i="23"/>
  <c r="BB27" i="23" s="1"/>
  <c r="BD27" i="23" s="1"/>
  <c r="BA28" i="23"/>
  <c r="AX33" i="23"/>
  <c r="BC33" i="23" s="1"/>
  <c r="BE33" i="23" s="1"/>
  <c r="AX50" i="23"/>
  <c r="AM56" i="23"/>
  <c r="AM58" i="23"/>
  <c r="AN59" i="23"/>
  <c r="Y59" i="23" s="1"/>
  <c r="BA61" i="23"/>
  <c r="BA63" i="23"/>
  <c r="AM67" i="23"/>
  <c r="AO67" i="23" s="1"/>
  <c r="AX78" i="23"/>
  <c r="BC78" i="23" s="1"/>
  <c r="BF78" i="23" s="1"/>
  <c r="BA79" i="23"/>
  <c r="BB79" i="23" s="1"/>
  <c r="BA97" i="23"/>
  <c r="AN116" i="23"/>
  <c r="AM149" i="23"/>
  <c r="AX149" i="23"/>
  <c r="BC149" i="23" s="1"/>
  <c r="BA157" i="23"/>
  <c r="BA171" i="23"/>
  <c r="AX179" i="23"/>
  <c r="BC179" i="23" s="1"/>
  <c r="AX13" i="23"/>
  <c r="BC13" i="23" s="1"/>
  <c r="BA24" i="23"/>
  <c r="AX26" i="23"/>
  <c r="BC26" i="23" s="1"/>
  <c r="BE26" i="23" s="1"/>
  <c r="AN29" i="23"/>
  <c r="Y29" i="23" s="1"/>
  <c r="AM33" i="23"/>
  <c r="BA33" i="23"/>
  <c r="BA37" i="23"/>
  <c r="BA45" i="23"/>
  <c r="AN46" i="23"/>
  <c r="X46" i="23" s="1"/>
  <c r="AX47" i="23"/>
  <c r="BC47" i="23" s="1"/>
  <c r="AN51" i="23"/>
  <c r="Y51" i="23" s="1"/>
  <c r="AM53" i="23"/>
  <c r="AM61" i="23"/>
  <c r="AN69" i="23"/>
  <c r="X69" i="23" s="1"/>
  <c r="AX77" i="23"/>
  <c r="BA78" i="23"/>
  <c r="AN81" i="23"/>
  <c r="AX84" i="23"/>
  <c r="BA98" i="23"/>
  <c r="AM100" i="23"/>
  <c r="AO100" i="23" s="1"/>
  <c r="AM110" i="23"/>
  <c r="AO110" i="23" s="1"/>
  <c r="AN118" i="23"/>
  <c r="AM124" i="23"/>
  <c r="AO124" i="23" s="1"/>
  <c r="AX133" i="23"/>
  <c r="AX134" i="23"/>
  <c r="BC134" i="23" s="1"/>
  <c r="BF134" i="23" s="1"/>
  <c r="AX135" i="23"/>
  <c r="BC135" i="23" s="1"/>
  <c r="BE135" i="23" s="1"/>
  <c r="S141" i="23"/>
  <c r="AM144" i="23"/>
  <c r="F53" i="15"/>
  <c r="AX150" i="23"/>
  <c r="BC150" i="23" s="1"/>
  <c r="AN164" i="23"/>
  <c r="AN58" i="23"/>
  <c r="X58" i="23" s="1"/>
  <c r="AM123" i="23"/>
  <c r="AO123" i="23" s="1"/>
  <c r="AM134" i="23"/>
  <c r="AO134" i="23" s="1"/>
  <c r="AM135" i="23"/>
  <c r="AM138" i="23"/>
  <c r="AN141" i="23"/>
  <c r="BB144" i="23"/>
  <c r="BD144" i="23" s="1"/>
  <c r="AN155" i="23"/>
  <c r="AO155" i="23" s="1"/>
  <c r="AN157" i="23"/>
  <c r="AO157" i="23" s="1"/>
  <c r="AM166" i="23"/>
  <c r="AO166" i="23" s="1"/>
  <c r="BA179" i="23"/>
  <c r="AX183" i="23"/>
  <c r="BB183" i="23" s="1"/>
  <c r="AN185" i="23"/>
  <c r="AM186" i="23"/>
  <c r="G58" i="15"/>
  <c r="V171" i="23"/>
  <c r="H58" i="15"/>
  <c r="X58" i="15"/>
  <c r="E56" i="15"/>
  <c r="V159" i="23"/>
  <c r="X55" i="15"/>
  <c r="X54" i="15"/>
  <c r="U147" i="23"/>
  <c r="K53" i="15"/>
  <c r="V147" i="23"/>
  <c r="J53" i="15"/>
  <c r="J52" i="15"/>
  <c r="V79" i="23"/>
  <c r="V78" i="23"/>
  <c r="U16" i="23"/>
  <c r="V19" i="23"/>
  <c r="V16" i="23"/>
  <c r="V8" i="23"/>
  <c r="R147" i="23"/>
  <c r="T147" i="23" s="1"/>
  <c r="R137" i="23"/>
  <c r="S137" i="23" s="1"/>
  <c r="E52" i="15"/>
  <c r="F52" i="15"/>
  <c r="U137" i="23"/>
  <c r="X52" i="15"/>
  <c r="K52" i="15"/>
  <c r="G52" i="15"/>
  <c r="U84" i="23"/>
  <c r="X42" i="15"/>
  <c r="R84" i="23"/>
  <c r="T84" i="23" s="1"/>
  <c r="R81" i="23"/>
  <c r="S81" i="23" s="1"/>
  <c r="U81" i="23"/>
  <c r="U77" i="23"/>
  <c r="F42" i="15"/>
  <c r="U80" i="23"/>
  <c r="V80" i="23"/>
  <c r="J42" i="15"/>
  <c r="R80" i="23"/>
  <c r="T80" i="23" s="1"/>
  <c r="E42" i="15"/>
  <c r="V34" i="23"/>
  <c r="U34" i="23"/>
  <c r="U30" i="23"/>
  <c r="V30" i="23"/>
  <c r="U25" i="23"/>
  <c r="R19" i="23"/>
  <c r="T19" i="23" s="1"/>
  <c r="V22" i="23"/>
  <c r="V26" i="23"/>
  <c r="V24" i="23"/>
  <c r="U45" i="23"/>
  <c r="V23" i="23"/>
  <c r="V27" i="23"/>
  <c r="U26" i="23"/>
  <c r="U33" i="23"/>
  <c r="V18" i="23"/>
  <c r="V15" i="23"/>
  <c r="U12" i="23"/>
  <c r="V12" i="23"/>
  <c r="R165" i="23"/>
  <c r="S165" i="23" s="1"/>
  <c r="V165" i="23"/>
  <c r="V164" i="23"/>
  <c r="J56" i="15"/>
  <c r="U163" i="23"/>
  <c r="D56" i="15"/>
  <c r="K56" i="15"/>
  <c r="E53" i="15"/>
  <c r="G53" i="15"/>
  <c r="H53" i="15"/>
  <c r="X53" i="15"/>
  <c r="I53" i="15"/>
  <c r="D53" i="15"/>
  <c r="U70" i="23"/>
  <c r="X40" i="15"/>
  <c r="R69" i="23"/>
  <c r="T69" i="23" s="1"/>
  <c r="T27" i="23"/>
  <c r="S27" i="23"/>
  <c r="S26" i="23"/>
  <c r="T26" i="23"/>
  <c r="R9" i="23"/>
  <c r="T9" i="23" s="1"/>
  <c r="U37" i="23"/>
  <c r="U44" i="23"/>
  <c r="U9" i="23"/>
  <c r="R13" i="23"/>
  <c r="T13" i="23" s="1"/>
  <c r="R31" i="23"/>
  <c r="T31" i="23" s="1"/>
  <c r="R35" i="23"/>
  <c r="T35" i="23" s="1"/>
  <c r="U43" i="23"/>
  <c r="V9" i="23"/>
  <c r="U13" i="23"/>
  <c r="R28" i="23"/>
  <c r="T28" i="23" s="1"/>
  <c r="U31" i="23"/>
  <c r="U35" i="23"/>
  <c r="U7" i="23"/>
  <c r="R18" i="23"/>
  <c r="T18" i="23" s="1"/>
  <c r="U21" i="23"/>
  <c r="R23" i="23"/>
  <c r="S23" i="23" s="1"/>
  <c r="U29" i="23"/>
  <c r="R33" i="23"/>
  <c r="T33" i="23" s="1"/>
  <c r="V7" i="23"/>
  <c r="R8" i="23"/>
  <c r="T8" i="23" s="1"/>
  <c r="V10" i="23"/>
  <c r="R11" i="23"/>
  <c r="T11" i="23" s="1"/>
  <c r="V14" i="23"/>
  <c r="R15" i="23"/>
  <c r="T15" i="23" s="1"/>
  <c r="V21" i="23"/>
  <c r="R22" i="23"/>
  <c r="T22" i="23" s="1"/>
  <c r="R25" i="23"/>
  <c r="S25" i="23" s="1"/>
  <c r="V29" i="23"/>
  <c r="V32" i="23"/>
  <c r="R20" i="23"/>
  <c r="T20" i="23" s="1"/>
  <c r="R10" i="23"/>
  <c r="T10" i="23" s="1"/>
  <c r="R17" i="23"/>
  <c r="T17" i="23" s="1"/>
  <c r="U20" i="23"/>
  <c r="R14" i="23"/>
  <c r="T14" i="23" s="1"/>
  <c r="U17" i="23"/>
  <c r="U28" i="23"/>
  <c r="R32" i="23"/>
  <c r="S32" i="23" s="1"/>
  <c r="U47" i="23"/>
  <c r="R24" i="23"/>
  <c r="S24" i="23" s="1"/>
  <c r="BF23" i="23"/>
  <c r="BE44" i="23"/>
  <c r="BA53" i="23"/>
  <c r="AX53" i="23"/>
  <c r="BC53" i="23" s="1"/>
  <c r="R61" i="23"/>
  <c r="S61" i="23" s="1"/>
  <c r="V61" i="23"/>
  <c r="U61" i="23"/>
  <c r="BA81" i="23"/>
  <c r="AX81" i="23"/>
  <c r="BC81" i="23" s="1"/>
  <c r="BC46" i="23"/>
  <c r="BF8" i="23"/>
  <c r="BE8" i="23"/>
  <c r="Y10" i="23"/>
  <c r="X10" i="23"/>
  <c r="Y23" i="23"/>
  <c r="X23" i="23"/>
  <c r="X5" i="23"/>
  <c r="S6" i="23"/>
  <c r="Y18" i="23"/>
  <c r="X18" i="23"/>
  <c r="Y50" i="23"/>
  <c r="X50" i="23"/>
  <c r="Y22" i="23"/>
  <c r="X22" i="23"/>
  <c r="S7" i="23"/>
  <c r="Y11" i="23"/>
  <c r="X11" i="23"/>
  <c r="Y33" i="23"/>
  <c r="X33" i="23"/>
  <c r="V5" i="23"/>
  <c r="U5" i="23"/>
  <c r="Y25" i="23"/>
  <c r="X25" i="23"/>
  <c r="AM26" i="23"/>
  <c r="R55" i="23"/>
  <c r="U55" i="23"/>
  <c r="V55" i="23"/>
  <c r="X87" i="23"/>
  <c r="AN28" i="23"/>
  <c r="Y5" i="23"/>
  <c r="BF16" i="23"/>
  <c r="BE16" i="23"/>
  <c r="AO5" i="23"/>
  <c r="Y7" i="23"/>
  <c r="X7" i="23"/>
  <c r="Y15" i="23"/>
  <c r="X15" i="23"/>
  <c r="BG27" i="23"/>
  <c r="R39" i="23"/>
  <c r="T39" i="23" s="1"/>
  <c r="U39" i="23"/>
  <c r="V39" i="23"/>
  <c r="Y67" i="23"/>
  <c r="X67" i="23"/>
  <c r="Y14" i="23"/>
  <c r="X14" i="23"/>
  <c r="Y43" i="23"/>
  <c r="X43" i="23"/>
  <c r="R50" i="23"/>
  <c r="S50" i="23" s="1"/>
  <c r="V50" i="23"/>
  <c r="U50" i="23"/>
  <c r="T118" i="23"/>
  <c r="S118" i="23"/>
  <c r="Y19" i="23"/>
  <c r="X19" i="23"/>
  <c r="BE6" i="23"/>
  <c r="BG6" i="23" s="1"/>
  <c r="BF6" i="23"/>
  <c r="Y8" i="23"/>
  <c r="X8" i="23"/>
  <c r="S12" i="23"/>
  <c r="BF14" i="23"/>
  <c r="Y16" i="23"/>
  <c r="X16" i="23"/>
  <c r="AX28" i="23"/>
  <c r="BC28" i="23" s="1"/>
  <c r="Y63" i="23"/>
  <c r="R5" i="23"/>
  <c r="S5" i="23" s="1"/>
  <c r="BF19" i="23"/>
  <c r="AO33" i="23"/>
  <c r="X47" i="23"/>
  <c r="BF13" i="23"/>
  <c r="BE13" i="23"/>
  <c r="BF34" i="23"/>
  <c r="BG34" i="23" s="1"/>
  <c r="BC38" i="23"/>
  <c r="Y12" i="23"/>
  <c r="X12" i="23"/>
  <c r="S16" i="23"/>
  <c r="X20" i="23"/>
  <c r="BF31" i="23"/>
  <c r="Y9" i="23"/>
  <c r="X9" i="23"/>
  <c r="Y17" i="23"/>
  <c r="X17" i="23"/>
  <c r="S21" i="23"/>
  <c r="AM25" i="23"/>
  <c r="X32" i="23"/>
  <c r="AN36" i="23"/>
  <c r="BF42" i="23"/>
  <c r="BE42" i="23"/>
  <c r="Y66" i="23"/>
  <c r="X66" i="23"/>
  <c r="R51" i="23"/>
  <c r="S51" i="23" s="1"/>
  <c r="AX88" i="23"/>
  <c r="S30" i="23"/>
  <c r="BB40" i="23"/>
  <c r="U46" i="23"/>
  <c r="R48" i="23"/>
  <c r="S48" i="23" s="1"/>
  <c r="V48" i="23"/>
  <c r="U51" i="23"/>
  <c r="R53" i="23"/>
  <c r="T53" i="23" s="1"/>
  <c r="U53" i="23"/>
  <c r="BB54" i="23"/>
  <c r="R58" i="23"/>
  <c r="R59" i="23"/>
  <c r="T59" i="23" s="1"/>
  <c r="Y81" i="23"/>
  <c r="X81" i="23"/>
  <c r="S86" i="23"/>
  <c r="BE134" i="23"/>
  <c r="BE145" i="23"/>
  <c r="BF145" i="23"/>
  <c r="BC51" i="23"/>
  <c r="AX45" i="23"/>
  <c r="BC45" i="23" s="1"/>
  <c r="V51" i="23"/>
  <c r="V53" i="23"/>
  <c r="X55" i="23"/>
  <c r="R56" i="23"/>
  <c r="T56" i="23" s="1"/>
  <c r="U56" i="23"/>
  <c r="U58" i="23"/>
  <c r="U59" i="23"/>
  <c r="BC82" i="23"/>
  <c r="V86" i="23"/>
  <c r="U100" i="23"/>
  <c r="V100" i="23"/>
  <c r="BE147" i="23"/>
  <c r="BF147" i="23"/>
  <c r="Y77" i="23"/>
  <c r="X77" i="23"/>
  <c r="R41" i="23"/>
  <c r="T41" i="23" s="1"/>
  <c r="U41" i="23"/>
  <c r="AO66" i="23"/>
  <c r="V101" i="23"/>
  <c r="U101" i="23"/>
  <c r="R101" i="23"/>
  <c r="T101" i="23" s="1"/>
  <c r="H42" i="15"/>
  <c r="S29" i="23"/>
  <c r="U38" i="23"/>
  <c r="R40" i="23"/>
  <c r="T40" i="23" s="1"/>
  <c r="V40" i="23"/>
  <c r="V41" i="23"/>
  <c r="I42" i="15"/>
  <c r="S34" i="23"/>
  <c r="AM36" i="23"/>
  <c r="AO36" i="23" s="1"/>
  <c r="AX37" i="23"/>
  <c r="BC37" i="23" s="1"/>
  <c r="AM42" i="23"/>
  <c r="R44" i="23"/>
  <c r="T44" i="23" s="1"/>
  <c r="AM47" i="23"/>
  <c r="BA47" i="23"/>
  <c r="U48" i="23"/>
  <c r="BA50" i="23"/>
  <c r="BB50" i="23" s="1"/>
  <c r="BC54" i="23"/>
  <c r="V56" i="23"/>
  <c r="AN56" i="23"/>
  <c r="V58" i="23"/>
  <c r="V59" i="23"/>
  <c r="AM63" i="23"/>
  <c r="V71" i="23"/>
  <c r="U71" i="23"/>
  <c r="R71" i="23"/>
  <c r="Y76" i="23"/>
  <c r="X76" i="23"/>
  <c r="Y78" i="23"/>
  <c r="X78" i="23"/>
  <c r="AN82" i="23"/>
  <c r="BA82" i="23"/>
  <c r="AX94" i="23"/>
  <c r="BC94" i="23" s="1"/>
  <c r="R100" i="23"/>
  <c r="T100" i="23" s="1"/>
  <c r="AM128" i="23"/>
  <c r="AO128" i="23" s="1"/>
  <c r="BE128" i="23"/>
  <c r="BG128" i="23" s="1"/>
  <c r="BA133" i="23"/>
  <c r="BB133" i="23" s="1"/>
  <c r="BC133" i="23"/>
  <c r="R57" i="23"/>
  <c r="U57" i="23"/>
  <c r="BC58" i="23"/>
  <c r="R62" i="23"/>
  <c r="S62" i="23" s="1"/>
  <c r="U62" i="23"/>
  <c r="Y35" i="23"/>
  <c r="X35" i="23"/>
  <c r="Y58" i="23"/>
  <c r="W5" i="23"/>
  <c r="R36" i="23"/>
  <c r="AM39" i="23"/>
  <c r="BA39" i="23"/>
  <c r="U40" i="23"/>
  <c r="AN45" i="23"/>
  <c r="Y46" i="23"/>
  <c r="AO50" i="23"/>
  <c r="X51" i="23"/>
  <c r="R52" i="23"/>
  <c r="T52" i="23" s="1"/>
  <c r="U52" i="23"/>
  <c r="R54" i="23"/>
  <c r="T54" i="23" s="1"/>
  <c r="AN54" i="23"/>
  <c r="AN60" i="23"/>
  <c r="V87" i="23"/>
  <c r="U87" i="23"/>
  <c r="T87" i="23"/>
  <c r="Y124" i="23"/>
  <c r="X124" i="23"/>
  <c r="R46" i="23"/>
  <c r="S46" i="23" s="1"/>
  <c r="V122" i="23"/>
  <c r="U122" i="23"/>
  <c r="R122" i="23"/>
  <c r="S122" i="23" s="1"/>
  <c r="R38" i="23"/>
  <c r="S38" i="23" s="1"/>
  <c r="T86" i="23"/>
  <c r="U86" i="23"/>
  <c r="G42" i="15"/>
  <c r="K42" i="15"/>
  <c r="BB34" i="23"/>
  <c r="BD34" i="23" s="1"/>
  <c r="U36" i="23"/>
  <c r="AN37" i="23"/>
  <c r="AX39" i="23"/>
  <c r="BC39" i="23" s="1"/>
  <c r="R42" i="23"/>
  <c r="T42" i="23" s="1"/>
  <c r="V42" i="23"/>
  <c r="BA43" i="23"/>
  <c r="AX43" i="23"/>
  <c r="BC43" i="23" s="1"/>
  <c r="AN44" i="23"/>
  <c r="R47" i="23"/>
  <c r="T47" i="23" s="1"/>
  <c r="BC50" i="23"/>
  <c r="V52" i="23"/>
  <c r="AN52" i="23"/>
  <c r="U54" i="23"/>
  <c r="AM55" i="23"/>
  <c r="AO55" i="23" s="1"/>
  <c r="AX57" i="23"/>
  <c r="BC57" i="23" s="1"/>
  <c r="BA58" i="23"/>
  <c r="BB58" i="23" s="1"/>
  <c r="X59" i="23"/>
  <c r="Y62" i="23"/>
  <c r="X62" i="23"/>
  <c r="V66" i="23"/>
  <c r="U66" i="23"/>
  <c r="S66" i="23"/>
  <c r="AM86" i="23"/>
  <c r="AO86" i="23" s="1"/>
  <c r="S87" i="23"/>
  <c r="V90" i="23"/>
  <c r="U90" i="23"/>
  <c r="R90" i="23"/>
  <c r="Y90" i="23"/>
  <c r="X90" i="23"/>
  <c r="Y137" i="23"/>
  <c r="X137" i="23"/>
  <c r="BB61" i="23"/>
  <c r="U68" i="23"/>
  <c r="T68" i="23"/>
  <c r="S68" i="23"/>
  <c r="AO73" i="23"/>
  <c r="AM84" i="23"/>
  <c r="U85" i="23"/>
  <c r="R85" i="23"/>
  <c r="S85" i="23" s="1"/>
  <c r="AN88" i="23"/>
  <c r="S92" i="23"/>
  <c r="V92" i="23"/>
  <c r="AX98" i="23"/>
  <c r="BC98" i="23" s="1"/>
  <c r="BC141" i="23"/>
  <c r="BB141" i="23"/>
  <c r="Y144" i="23"/>
  <c r="X144" i="23"/>
  <c r="X142" i="23"/>
  <c r="Y142" i="23"/>
  <c r="U143" i="23"/>
  <c r="V143" i="23"/>
  <c r="R143" i="23"/>
  <c r="S143" i="23" s="1"/>
  <c r="U145" i="23"/>
  <c r="R145" i="23"/>
  <c r="V145" i="23"/>
  <c r="AN40" i="23"/>
  <c r="BA42" i="23"/>
  <c r="BB42" i="23" s="1"/>
  <c r="BD42" i="23" s="1"/>
  <c r="R43" i="23"/>
  <c r="T43" i="23" s="1"/>
  <c r="AM43" i="23"/>
  <c r="AO43" i="23" s="1"/>
  <c r="AN48" i="23"/>
  <c r="BA52" i="23"/>
  <c r="BA56" i="23"/>
  <c r="BA60" i="23"/>
  <c r="BB60" i="23" s="1"/>
  <c r="BC61" i="23"/>
  <c r="V68" i="23"/>
  <c r="U73" i="23"/>
  <c r="AM76" i="23"/>
  <c r="AO76" i="23" s="1"/>
  <c r="AM77" i="23"/>
  <c r="AO77" i="23" s="1"/>
  <c r="AM78" i="23"/>
  <c r="AO78" i="23" s="1"/>
  <c r="AM79" i="23"/>
  <c r="AO79" i="23" s="1"/>
  <c r="Y80" i="23"/>
  <c r="X80" i="23"/>
  <c r="S83" i="23"/>
  <c r="V83" i="23"/>
  <c r="U83" i="23"/>
  <c r="AN85" i="23"/>
  <c r="U92" i="23"/>
  <c r="AN94" i="23"/>
  <c r="AM98" i="23"/>
  <c r="AO98" i="23" s="1"/>
  <c r="S119" i="23"/>
  <c r="R142" i="23"/>
  <c r="T142" i="23" s="1"/>
  <c r="V142" i="23"/>
  <c r="U142" i="23"/>
  <c r="V167" i="23"/>
  <c r="R167" i="23"/>
  <c r="U167" i="23"/>
  <c r="X167" i="23"/>
  <c r="Y167" i="23"/>
  <c r="AN57" i="23"/>
  <c r="R60" i="23"/>
  <c r="S60" i="23" s="1"/>
  <c r="AN61" i="23"/>
  <c r="AN68" i="23"/>
  <c r="AO68" i="23" s="1"/>
  <c r="Y86" i="23"/>
  <c r="X86" i="23"/>
  <c r="AN91" i="23"/>
  <c r="AO91" i="23" s="1"/>
  <c r="AN96" i="23"/>
  <c r="AO96" i="23" s="1"/>
  <c r="AN111" i="23"/>
  <c r="AO111" i="23" s="1"/>
  <c r="T133" i="23"/>
  <c r="S133" i="23"/>
  <c r="BG135" i="23"/>
  <c r="BA36" i="23"/>
  <c r="BB36" i="23" s="1"/>
  <c r="R37" i="23"/>
  <c r="T37" i="23" s="1"/>
  <c r="AM37" i="23"/>
  <c r="AN42" i="23"/>
  <c r="BA44" i="23"/>
  <c r="R45" i="23"/>
  <c r="T45" i="23" s="1"/>
  <c r="AM45" i="23"/>
  <c r="BA51" i="23"/>
  <c r="BB51" i="23" s="1"/>
  <c r="BC52" i="23"/>
  <c r="BA55" i="23"/>
  <c r="BB55" i="23" s="1"/>
  <c r="BA59" i="23"/>
  <c r="U60" i="23"/>
  <c r="BC60" i="23"/>
  <c r="U69" i="23"/>
  <c r="AM92" i="23"/>
  <c r="T95" i="23"/>
  <c r="S95" i="23"/>
  <c r="V95" i="23"/>
  <c r="U95" i="23"/>
  <c r="Y98" i="23"/>
  <c r="X98" i="23"/>
  <c r="AN115" i="23"/>
  <c r="AO115" i="23" s="1"/>
  <c r="BA138" i="23"/>
  <c r="X139" i="23"/>
  <c r="Y163" i="23"/>
  <c r="X163" i="23"/>
  <c r="BA151" i="23"/>
  <c r="AX151" i="23"/>
  <c r="BC151" i="23" s="1"/>
  <c r="X154" i="23"/>
  <c r="Y154" i="23"/>
  <c r="BE165" i="23"/>
  <c r="S82" i="23"/>
  <c r="U109" i="23"/>
  <c r="V109" i="23"/>
  <c r="R109" i="23"/>
  <c r="T109" i="23" s="1"/>
  <c r="U117" i="23"/>
  <c r="S128" i="23"/>
  <c r="AO143" i="23"/>
  <c r="N63" i="23"/>
  <c r="K40" i="15" s="1"/>
  <c r="R70" i="23"/>
  <c r="T70" i="23" s="1"/>
  <c r="R82" i="23"/>
  <c r="T82" i="23" s="1"/>
  <c r="S88" i="23"/>
  <c r="R91" i="23"/>
  <c r="T91" i="23" s="1"/>
  <c r="R96" i="23"/>
  <c r="T96" i="23" s="1"/>
  <c r="R102" i="23"/>
  <c r="T102" i="23" s="1"/>
  <c r="AM102" i="23"/>
  <c r="AM106" i="23"/>
  <c r="AO106" i="23" s="1"/>
  <c r="U107" i="23"/>
  <c r="V107" i="23"/>
  <c r="R117" i="23"/>
  <c r="AN117" i="23"/>
  <c r="Y122" i="23"/>
  <c r="X122" i="23"/>
  <c r="Y127" i="23"/>
  <c r="X127" i="23"/>
  <c r="T128" i="23"/>
  <c r="V139" i="23"/>
  <c r="U139" i="23"/>
  <c r="R139" i="23"/>
  <c r="S139" i="23" s="1"/>
  <c r="R67" i="23"/>
  <c r="R72" i="23"/>
  <c r="R76" i="23"/>
  <c r="R77" i="23"/>
  <c r="R78" i="23"/>
  <c r="R79" i="23"/>
  <c r="T81" i="23"/>
  <c r="AN83" i="23"/>
  <c r="AO83" i="23" s="1"/>
  <c r="AN95" i="23"/>
  <c r="AO95" i="23" s="1"/>
  <c r="U96" i="23"/>
  <c r="T97" i="23"/>
  <c r="S97" i="23"/>
  <c r="T108" i="23"/>
  <c r="S108" i="23"/>
  <c r="V117" i="23"/>
  <c r="BE148" i="23"/>
  <c r="BF148" i="23"/>
  <c r="BA176" i="23"/>
  <c r="AX176" i="23"/>
  <c r="BB95" i="23"/>
  <c r="AX97" i="23"/>
  <c r="BC97" i="23" s="1"/>
  <c r="AN102" i="23"/>
  <c r="R104" i="23"/>
  <c r="V104" i="23"/>
  <c r="U104" i="23"/>
  <c r="AO109" i="23"/>
  <c r="AM127" i="23"/>
  <c r="AO127" i="23" s="1"/>
  <c r="AX127" i="23"/>
  <c r="BC127" i="23" s="1"/>
  <c r="BD145" i="23"/>
  <c r="BB148" i="23"/>
  <c r="BD148" i="23" s="1"/>
  <c r="BC154" i="23"/>
  <c r="BA154" i="23"/>
  <c r="BB154" i="23" s="1"/>
  <c r="Y173" i="23"/>
  <c r="X173" i="23"/>
  <c r="V166" i="23"/>
  <c r="U166" i="23"/>
  <c r="Y185" i="23"/>
  <c r="X185" i="23"/>
  <c r="V105" i="23"/>
  <c r="U105" i="23"/>
  <c r="U111" i="23"/>
  <c r="R123" i="23"/>
  <c r="T123" i="23" s="1"/>
  <c r="V123" i="23"/>
  <c r="U130" i="23"/>
  <c r="V146" i="23"/>
  <c r="U146" i="23"/>
  <c r="R166" i="23"/>
  <c r="T166" i="23" s="1"/>
  <c r="BA184" i="23"/>
  <c r="R105" i="23"/>
  <c r="S105" i="23" s="1"/>
  <c r="S110" i="23"/>
  <c r="Z110" i="23" s="1"/>
  <c r="R111" i="23"/>
  <c r="T111" i="23" s="1"/>
  <c r="U113" i="23"/>
  <c r="AM114" i="23"/>
  <c r="R130" i="23"/>
  <c r="R131" i="23"/>
  <c r="T131" i="23" s="1"/>
  <c r="V131" i="23"/>
  <c r="Y145" i="23"/>
  <c r="X145" i="23"/>
  <c r="R146" i="23"/>
  <c r="S146" i="23" s="1"/>
  <c r="Y148" i="23"/>
  <c r="T155" i="23"/>
  <c r="AN104" i="23"/>
  <c r="AO104" i="23" s="1"/>
  <c r="V111" i="23"/>
  <c r="R113" i="23"/>
  <c r="U115" i="23"/>
  <c r="AM116" i="23"/>
  <c r="V120" i="23"/>
  <c r="U120" i="23"/>
  <c r="T120" i="23"/>
  <c r="T127" i="23"/>
  <c r="V130" i="23"/>
  <c r="S135" i="23"/>
  <c r="AM137" i="23"/>
  <c r="AO137" i="23" s="1"/>
  <c r="AO139" i="23"/>
  <c r="T141" i="23"/>
  <c r="BF146" i="23"/>
  <c r="BG146" i="23" s="1"/>
  <c r="S149" i="23"/>
  <c r="BA168" i="23"/>
  <c r="BB168" i="23" s="1"/>
  <c r="V185" i="23"/>
  <c r="U185" i="23"/>
  <c r="R185" i="23"/>
  <c r="S185" i="23" s="1"/>
  <c r="U123" i="23"/>
  <c r="AM133" i="23"/>
  <c r="AN135" i="23"/>
  <c r="AO144" i="23"/>
  <c r="BF144" i="23"/>
  <c r="BE144" i="23"/>
  <c r="AM145" i="23"/>
  <c r="AO145" i="23" s="1"/>
  <c r="X147" i="23"/>
  <c r="U133" i="23"/>
  <c r="AX137" i="23"/>
  <c r="BC137" i="23" s="1"/>
  <c r="AM142" i="23"/>
  <c r="AO142" i="23" s="1"/>
  <c r="S150" i="23"/>
  <c r="BB158" i="23"/>
  <c r="X166" i="23"/>
  <c r="Y166" i="23"/>
  <c r="Y168" i="23"/>
  <c r="AM173" i="23"/>
  <c r="AO173" i="23" s="1"/>
  <c r="BC176" i="23"/>
  <c r="Y171" i="23"/>
  <c r="X171" i="23"/>
  <c r="X126" i="23"/>
  <c r="Z126" i="23" s="1"/>
  <c r="X128" i="23"/>
  <c r="V133" i="23"/>
  <c r="V144" i="23"/>
  <c r="BC158" i="23"/>
  <c r="AM165" i="23"/>
  <c r="AM171" i="23"/>
  <c r="AO171" i="23" s="1"/>
  <c r="AV184" i="23"/>
  <c r="AX184" i="23" s="1"/>
  <c r="BC184" i="23" s="1"/>
  <c r="AT184" i="23"/>
  <c r="C311" i="23"/>
  <c r="R124" i="23"/>
  <c r="BB142" i="23"/>
  <c r="BD142" i="23" s="1"/>
  <c r="R144" i="23"/>
  <c r="S144" i="23" s="1"/>
  <c r="T151" i="23"/>
  <c r="AO154" i="23"/>
  <c r="AN176" i="23"/>
  <c r="AO176" i="23" s="1"/>
  <c r="AM180" i="23"/>
  <c r="AM181" i="23"/>
  <c r="AO181" i="23" s="1"/>
  <c r="Y182" i="23"/>
  <c r="X182" i="23"/>
  <c r="Y164" i="23"/>
  <c r="X164" i="23"/>
  <c r="D270" i="23"/>
  <c r="D311" i="23" s="1"/>
  <c r="AO167" i="23"/>
  <c r="R170" i="23"/>
  <c r="T170" i="23" s="1"/>
  <c r="U170" i="23"/>
  <c r="BC182" i="23"/>
  <c r="BB182" i="23"/>
  <c r="Y183" i="23"/>
  <c r="R148" i="23"/>
  <c r="AM148" i="23"/>
  <c r="X159" i="23"/>
  <c r="BA163" i="23"/>
  <c r="AX163" i="23"/>
  <c r="BC163" i="23" s="1"/>
  <c r="BA166" i="23"/>
  <c r="BA167" i="23"/>
  <c r="V170" i="23"/>
  <c r="V176" i="23"/>
  <c r="U176" i="23"/>
  <c r="R176" i="23"/>
  <c r="T176" i="23" s="1"/>
  <c r="V154" i="23"/>
  <c r="R158" i="23"/>
  <c r="AX170" i="23"/>
  <c r="BC170" i="23" s="1"/>
  <c r="V175" i="23"/>
  <c r="U175" i="23"/>
  <c r="T175" i="23"/>
  <c r="AM179" i="23"/>
  <c r="AO183" i="23"/>
  <c r="T157" i="23"/>
  <c r="S157" i="23"/>
  <c r="AN158" i="23"/>
  <c r="V168" i="23"/>
  <c r="BC175" i="23"/>
  <c r="R181" i="23"/>
  <c r="T181" i="23" s="1"/>
  <c r="V181" i="23"/>
  <c r="AN184" i="23"/>
  <c r="AO184" i="23" s="1"/>
  <c r="V158" i="23"/>
  <c r="AM159" i="23"/>
  <c r="R168" i="23"/>
  <c r="AM170" i="23"/>
  <c r="AO170" i="23" s="1"/>
  <c r="S175" i="23"/>
  <c r="BA175" i="23"/>
  <c r="BB175" i="23" s="1"/>
  <c r="AV185" i="23"/>
  <c r="AX185" i="23" s="1"/>
  <c r="AT185" i="23"/>
  <c r="W185" i="23" s="1"/>
  <c r="K311" i="23"/>
  <c r="W311" i="23"/>
  <c r="V186" i="23"/>
  <c r="U186" i="23"/>
  <c r="R186" i="23"/>
  <c r="S186" i="23" s="1"/>
  <c r="AN186" i="23"/>
  <c r="AO186" i="23" s="1"/>
  <c r="AX153" i="23"/>
  <c r="BC153" i="23" s="1"/>
  <c r="T154" i="23"/>
  <c r="V155" i="23"/>
  <c r="U155" i="23"/>
  <c r="S155" i="23"/>
  <c r="T160" i="23"/>
  <c r="S160" i="23"/>
  <c r="V162" i="23"/>
  <c r="U162" i="23"/>
  <c r="S162" i="23"/>
  <c r="AM163" i="23"/>
  <c r="AO163" i="23" s="1"/>
  <c r="U168" i="23"/>
  <c r="Y181" i="23"/>
  <c r="X181" i="23"/>
  <c r="V183" i="23"/>
  <c r="U183" i="23"/>
  <c r="V161" i="23"/>
  <c r="V163" i="23"/>
  <c r="V173" i="23"/>
  <c r="AV181" i="23"/>
  <c r="AX181" i="23" s="1"/>
  <c r="BC181" i="23" s="1"/>
  <c r="S177" i="23"/>
  <c r="R159" i="23"/>
  <c r="T159" i="23" s="1"/>
  <c r="R171" i="23"/>
  <c r="R179" i="23"/>
  <c r="R180" i="23"/>
  <c r="T180" i="23" s="1"/>
  <c r="R161" i="23"/>
  <c r="R163" i="23"/>
  <c r="R173" i="23"/>
  <c r="Y165" i="23" l="1"/>
  <c r="X165" i="23"/>
  <c r="BF15" i="23"/>
  <c r="BE15" i="23"/>
  <c r="BF126" i="23"/>
  <c r="BE126" i="23"/>
  <c r="Z138" i="23"/>
  <c r="Y146" i="23"/>
  <c r="AO29" i="23"/>
  <c r="AO165" i="23"/>
  <c r="Y175" i="23"/>
  <c r="X29" i="23"/>
  <c r="Z29" i="23" s="1"/>
  <c r="X175" i="23"/>
  <c r="AO28" i="23"/>
  <c r="BD126" i="23"/>
  <c r="AO172" i="23"/>
  <c r="X172" i="23"/>
  <c r="Z172" i="23" s="1"/>
  <c r="Y172" i="23"/>
  <c r="T183" i="23"/>
  <c r="S131" i="23"/>
  <c r="BB143" i="23"/>
  <c r="BE24" i="23"/>
  <c r="BB157" i="23"/>
  <c r="BD157" i="23" s="1"/>
  <c r="AO180" i="23"/>
  <c r="X155" i="23"/>
  <c r="X150" i="23"/>
  <c r="BD15" i="23"/>
  <c r="AO150" i="23"/>
  <c r="Y155" i="23"/>
  <c r="X31" i="23"/>
  <c r="Y31" i="23"/>
  <c r="AO32" i="23"/>
  <c r="BB135" i="23"/>
  <c r="BD135" i="23" s="1"/>
  <c r="X180" i="23"/>
  <c r="BE157" i="23"/>
  <c r="BB149" i="23"/>
  <c r="BD149" i="23" s="1"/>
  <c r="X138" i="23"/>
  <c r="AO63" i="23"/>
  <c r="X41" i="23"/>
  <c r="BG14" i="23"/>
  <c r="BG23" i="23"/>
  <c r="BB41" i="23"/>
  <c r="AO14" i="23"/>
  <c r="AO71" i="23"/>
  <c r="AO146" i="23"/>
  <c r="BB180" i="23"/>
  <c r="BD180" i="23" s="1"/>
  <c r="BE32" i="23"/>
  <c r="BG32" i="23" s="1"/>
  <c r="S73" i="23"/>
  <c r="Z73" i="23" s="1"/>
  <c r="BF171" i="23"/>
  <c r="BG171" i="23" s="1"/>
  <c r="T146" i="23"/>
  <c r="BG147" i="23"/>
  <c r="BF83" i="23"/>
  <c r="BE83" i="23"/>
  <c r="BB82" i="23"/>
  <c r="BE85" i="23"/>
  <c r="BB85" i="23"/>
  <c r="BD85" i="23" s="1"/>
  <c r="BB83" i="23"/>
  <c r="BF48" i="23"/>
  <c r="BE48" i="23"/>
  <c r="BG48" i="23" s="1"/>
  <c r="BB24" i="23"/>
  <c r="BD24" i="23" s="1"/>
  <c r="BF11" i="23"/>
  <c r="BG11" i="23" s="1"/>
  <c r="BF9" i="23"/>
  <c r="BD36" i="23"/>
  <c r="BB48" i="23"/>
  <c r="BD48" i="23" s="1"/>
  <c r="BF7" i="23"/>
  <c r="BG7" i="23" s="1"/>
  <c r="BF12" i="23"/>
  <c r="S22" i="23"/>
  <c r="BE12" i="23"/>
  <c r="BB5" i="23"/>
  <c r="BE79" i="23"/>
  <c r="BF79" i="23"/>
  <c r="Z160" i="23"/>
  <c r="AO135" i="23"/>
  <c r="AO116" i="23"/>
  <c r="BB56" i="23"/>
  <c r="BC41" i="23"/>
  <c r="BF41" i="23" s="1"/>
  <c r="BB88" i="23"/>
  <c r="BF26" i="23"/>
  <c r="BG26" i="23" s="1"/>
  <c r="X34" i="23"/>
  <c r="BD25" i="23"/>
  <c r="AO18" i="23"/>
  <c r="AO151" i="23"/>
  <c r="BB134" i="23"/>
  <c r="BD134" i="23" s="1"/>
  <c r="AO117" i="23"/>
  <c r="Y97" i="23"/>
  <c r="AO97" i="23"/>
  <c r="AO87" i="23"/>
  <c r="AO34" i="23"/>
  <c r="BB84" i="23"/>
  <c r="BE80" i="23"/>
  <c r="BG80" i="23" s="1"/>
  <c r="Y143" i="23"/>
  <c r="S52" i="23"/>
  <c r="BB62" i="23"/>
  <c r="S19" i="23"/>
  <c r="AO81" i="23"/>
  <c r="AO13" i="23"/>
  <c r="Z150" i="23"/>
  <c r="BG44" i="23"/>
  <c r="BB44" i="23"/>
  <c r="BD44" i="23" s="1"/>
  <c r="BB167" i="23"/>
  <c r="BD167" i="23" s="1"/>
  <c r="BB166" i="23"/>
  <c r="T185" i="23"/>
  <c r="T107" i="23"/>
  <c r="BB138" i="23"/>
  <c r="AO37" i="23"/>
  <c r="X72" i="23"/>
  <c r="BB47" i="23"/>
  <c r="X13" i="23"/>
  <c r="BB26" i="23"/>
  <c r="BD26" i="23" s="1"/>
  <c r="BD79" i="23"/>
  <c r="BB57" i="23"/>
  <c r="BD57" i="23" s="1"/>
  <c r="AO27" i="23"/>
  <c r="BC186" i="23"/>
  <c r="BD186" i="23" s="1"/>
  <c r="AO94" i="23"/>
  <c r="AO47" i="23"/>
  <c r="BE25" i="23"/>
  <c r="BG25" i="23" s="1"/>
  <c r="BD5" i="23"/>
  <c r="AO185" i="23"/>
  <c r="AO164" i="23"/>
  <c r="BD83" i="23"/>
  <c r="BD9" i="23"/>
  <c r="AO148" i="23"/>
  <c r="X151" i="23"/>
  <c r="BG42" i="23"/>
  <c r="AO138" i="23"/>
  <c r="AO72" i="23"/>
  <c r="BB46" i="23"/>
  <c r="BB80" i="23"/>
  <c r="BD80" i="23" s="1"/>
  <c r="BF180" i="23"/>
  <c r="BE180" i="23"/>
  <c r="BE76" i="23"/>
  <c r="BF76" i="23"/>
  <c r="BE55" i="23"/>
  <c r="BF55" i="23"/>
  <c r="BD154" i="23"/>
  <c r="BD60" i="23"/>
  <c r="S53" i="23"/>
  <c r="Y27" i="23"/>
  <c r="X59" i="15"/>
  <c r="BB37" i="23"/>
  <c r="BD37" i="23" s="1"/>
  <c r="BB171" i="23"/>
  <c r="BD171" i="23" s="1"/>
  <c r="BB28" i="23"/>
  <c r="BD28" i="23" s="1"/>
  <c r="BC96" i="23"/>
  <c r="BE96" i="23" s="1"/>
  <c r="AO48" i="23"/>
  <c r="AO131" i="23"/>
  <c r="BB14" i="23"/>
  <c r="BD14" i="23" s="1"/>
  <c r="AO177" i="23"/>
  <c r="S115" i="23"/>
  <c r="Z115" i="23" s="1"/>
  <c r="BG165" i="23"/>
  <c r="BG16" i="23"/>
  <c r="AO61" i="23"/>
  <c r="BB94" i="23"/>
  <c r="BD94" i="23" s="1"/>
  <c r="AO153" i="23"/>
  <c r="BB32" i="23"/>
  <c r="BD32" i="23" s="1"/>
  <c r="BB21" i="23"/>
  <c r="BD21" i="23" s="1"/>
  <c r="BD38" i="23"/>
  <c r="BD182" i="23"/>
  <c r="X177" i="23"/>
  <c r="Z177" i="23" s="1"/>
  <c r="BB33" i="23"/>
  <c r="BD33" i="23" s="1"/>
  <c r="X26" i="23"/>
  <c r="BE30" i="23"/>
  <c r="BG30" i="23" s="1"/>
  <c r="BB76" i="23"/>
  <c r="BD76" i="23" s="1"/>
  <c r="BB13" i="23"/>
  <c r="BD13" i="23" s="1"/>
  <c r="AO20" i="23"/>
  <c r="BB29" i="23"/>
  <c r="BD29" i="23" s="1"/>
  <c r="Z146" i="23"/>
  <c r="T60" i="23"/>
  <c r="AO6" i="23"/>
  <c r="AO57" i="23"/>
  <c r="Z92" i="23"/>
  <c r="AO42" i="23"/>
  <c r="BG145" i="23"/>
  <c r="BE17" i="23"/>
  <c r="BG17" i="23" s="1"/>
  <c r="X6" i="23"/>
  <c r="Z6" i="23" s="1"/>
  <c r="AO26" i="23"/>
  <c r="BB170" i="23"/>
  <c r="BD170" i="23" s="1"/>
  <c r="S84" i="23"/>
  <c r="BG134" i="23"/>
  <c r="BE29" i="23"/>
  <c r="BG29" i="23" s="1"/>
  <c r="BG8" i="23"/>
  <c r="T61" i="23"/>
  <c r="Y153" i="23"/>
  <c r="AO60" i="23"/>
  <c r="BB17" i="23"/>
  <c r="BD17" i="23" s="1"/>
  <c r="AO126" i="23"/>
  <c r="S74" i="23"/>
  <c r="T74" i="23"/>
  <c r="T144" i="23"/>
  <c r="Z108" i="23"/>
  <c r="BD55" i="23"/>
  <c r="BB30" i="23"/>
  <c r="BD30" i="23" s="1"/>
  <c r="BB63" i="23"/>
  <c r="BD63" i="23" s="1"/>
  <c r="BE63" i="23"/>
  <c r="BG63" i="23" s="1"/>
  <c r="S164" i="23"/>
  <c r="Z164" i="23" s="1"/>
  <c r="BE20" i="23"/>
  <c r="BG20" i="23" s="1"/>
  <c r="BB20" i="23"/>
  <c r="BD20" i="23" s="1"/>
  <c r="S14" i="23"/>
  <c r="Z14" i="23" s="1"/>
  <c r="BF10" i="23"/>
  <c r="BG10" i="23" s="1"/>
  <c r="BC84" i="23"/>
  <c r="BF84" i="23" s="1"/>
  <c r="S94" i="23"/>
  <c r="S166" i="23"/>
  <c r="Z166" i="23" s="1"/>
  <c r="BE179" i="23"/>
  <c r="BF179" i="23"/>
  <c r="Y141" i="23"/>
  <c r="X141" i="23"/>
  <c r="Z141" i="23" s="1"/>
  <c r="BE40" i="23"/>
  <c r="BF40" i="23"/>
  <c r="S59" i="23"/>
  <c r="BB164" i="23"/>
  <c r="BD164" i="23" s="1"/>
  <c r="Y149" i="23"/>
  <c r="X149" i="23"/>
  <c r="AO141" i="23"/>
  <c r="BC183" i="23"/>
  <c r="BD183" i="23" s="1"/>
  <c r="Z155" i="23"/>
  <c r="T186" i="23"/>
  <c r="S181" i="23"/>
  <c r="Z181" i="23" s="1"/>
  <c r="AO158" i="23"/>
  <c r="S170" i="23"/>
  <c r="Z170" i="23" s="1"/>
  <c r="Z97" i="23"/>
  <c r="I40" i="15"/>
  <c r="X41" i="15"/>
  <c r="T165" i="23"/>
  <c r="Z165" i="23" s="1"/>
  <c r="S142" i="23"/>
  <c r="Z142" i="23" s="1"/>
  <c r="S90" i="23"/>
  <c r="BB150" i="23"/>
  <c r="T62" i="23"/>
  <c r="Z62" i="23" s="1"/>
  <c r="S101" i="23"/>
  <c r="Z101" i="23" s="1"/>
  <c r="AO74" i="23"/>
  <c r="S56" i="23"/>
  <c r="T51" i="23"/>
  <c r="Z51" i="23" s="1"/>
  <c r="Y69" i="23"/>
  <c r="H40" i="15"/>
  <c r="Z22" i="23"/>
  <c r="S10" i="23"/>
  <c r="Z10" i="23" s="1"/>
  <c r="S80" i="23"/>
  <c r="Z80" i="23" s="1"/>
  <c r="AO53" i="23"/>
  <c r="BE149" i="23"/>
  <c r="BF149" i="23"/>
  <c r="AO46" i="23"/>
  <c r="T106" i="23"/>
  <c r="S106" i="23"/>
  <c r="AO38" i="23"/>
  <c r="AO51" i="23"/>
  <c r="T116" i="23"/>
  <c r="Z116" i="23" s="1"/>
  <c r="AO21" i="23"/>
  <c r="X179" i="23"/>
  <c r="T122" i="23"/>
  <c r="Z122" i="23" s="1"/>
  <c r="BB81" i="23"/>
  <c r="BD81" i="23" s="1"/>
  <c r="S54" i="23"/>
  <c r="Z118" i="23"/>
  <c r="BB179" i="23"/>
  <c r="BD179" i="23" s="1"/>
  <c r="S153" i="23"/>
  <c r="S109" i="23"/>
  <c r="Z109" i="23" s="1"/>
  <c r="AO45" i="23"/>
  <c r="BD56" i="23"/>
  <c r="BD141" i="23"/>
  <c r="T90" i="23"/>
  <c r="BE78" i="23"/>
  <c r="BG78" i="23" s="1"/>
  <c r="X53" i="23"/>
  <c r="X73" i="23"/>
  <c r="BG83" i="23"/>
  <c r="BG15" i="23"/>
  <c r="BB23" i="23"/>
  <c r="BD23" i="23" s="1"/>
  <c r="BE36" i="23"/>
  <c r="BG36" i="23" s="1"/>
  <c r="AO149" i="23"/>
  <c r="BB176" i="23"/>
  <c r="BD176" i="23" s="1"/>
  <c r="U182" i="23"/>
  <c r="V182" i="23"/>
  <c r="R182" i="23"/>
  <c r="S182" i="23" s="1"/>
  <c r="AO179" i="23"/>
  <c r="BB151" i="23"/>
  <c r="BD151" i="23" s="1"/>
  <c r="BF33" i="23"/>
  <c r="BG33" i="23" s="1"/>
  <c r="BE18" i="23"/>
  <c r="BG18" i="23" s="1"/>
  <c r="BE21" i="23"/>
  <c r="X21" i="23"/>
  <c r="X39" i="23"/>
  <c r="Y157" i="23"/>
  <c r="X157" i="23"/>
  <c r="AO58" i="23"/>
  <c r="AO24" i="23"/>
  <c r="AO59" i="23"/>
  <c r="T98" i="23"/>
  <c r="S98" i="23"/>
  <c r="AO41" i="23"/>
  <c r="X123" i="23"/>
  <c r="Y123" i="23"/>
  <c r="BC77" i="23"/>
  <c r="BB77" i="23"/>
  <c r="Z151" i="23"/>
  <c r="AO92" i="23"/>
  <c r="Y38" i="23"/>
  <c r="Z183" i="23"/>
  <c r="Z185" i="23"/>
  <c r="Z135" i="23"/>
  <c r="Z120" i="23"/>
  <c r="AO114" i="23"/>
  <c r="BB137" i="23"/>
  <c r="BD137" i="23" s="1"/>
  <c r="BG148" i="23"/>
  <c r="Z128" i="23"/>
  <c r="AA129" i="23" s="1"/>
  <c r="X84" i="23"/>
  <c r="BB52" i="23"/>
  <c r="BD52" i="23" s="1"/>
  <c r="BD58" i="23"/>
  <c r="Z86" i="23"/>
  <c r="S100" i="23"/>
  <c r="Z100" i="23" s="1"/>
  <c r="Y74" i="23"/>
  <c r="BD40" i="23"/>
  <c r="X79" i="23"/>
  <c r="X24" i="23"/>
  <c r="BF21" i="23"/>
  <c r="T50" i="23"/>
  <c r="Z50" i="23" s="1"/>
  <c r="G40" i="15"/>
  <c r="BB31" i="23"/>
  <c r="BD31" i="23" s="1"/>
  <c r="BB18" i="23"/>
  <c r="BD18" i="23" s="1"/>
  <c r="BB11" i="23"/>
  <c r="BD11" i="23" s="1"/>
  <c r="BG13" i="23"/>
  <c r="Z12" i="23"/>
  <c r="AO159" i="23"/>
  <c r="AO133" i="23"/>
  <c r="S123" i="23"/>
  <c r="BD61" i="23"/>
  <c r="AO39" i="23"/>
  <c r="BB45" i="23"/>
  <c r="BD45" i="23" s="1"/>
  <c r="S176" i="23"/>
  <c r="Z149" i="23"/>
  <c r="BD95" i="23"/>
  <c r="BB59" i="23"/>
  <c r="BD59" i="23" s="1"/>
  <c r="AO84" i="23"/>
  <c r="BD82" i="23"/>
  <c r="BG31" i="23"/>
  <c r="BG19" i="23"/>
  <c r="X27" i="23"/>
  <c r="BG9" i="23"/>
  <c r="BB53" i="23"/>
  <c r="BD53" i="23" s="1"/>
  <c r="BG24" i="23"/>
  <c r="T137" i="23"/>
  <c r="Z137" i="23" s="1"/>
  <c r="BB78" i="23"/>
  <c r="BD78" i="23" s="1"/>
  <c r="AO118" i="23"/>
  <c r="S112" i="23"/>
  <c r="T112" i="23"/>
  <c r="BB7" i="23"/>
  <c r="BD7" i="23" s="1"/>
  <c r="AO69" i="23"/>
  <c r="BB10" i="23"/>
  <c r="BD10" i="23" s="1"/>
  <c r="S147" i="23"/>
  <c r="Z147" i="23" s="1"/>
  <c r="S69" i="23"/>
  <c r="Z34" i="23"/>
  <c r="Z30" i="23"/>
  <c r="S17" i="23"/>
  <c r="Z17" i="23" s="1"/>
  <c r="Z26" i="23"/>
  <c r="T24" i="23"/>
  <c r="T46" i="23"/>
  <c r="Z46" i="23" s="1"/>
  <c r="S28" i="23"/>
  <c r="T38" i="23"/>
  <c r="S9" i="23"/>
  <c r="Z9" i="23" s="1"/>
  <c r="T32" i="23"/>
  <c r="Z32" i="23" s="1"/>
  <c r="S20" i="23"/>
  <c r="Z20" i="23" s="1"/>
  <c r="S33" i="23"/>
  <c r="Z33" i="23" s="1"/>
  <c r="S31" i="23"/>
  <c r="Z31" i="23" s="1"/>
  <c r="Z154" i="23"/>
  <c r="Z81" i="23"/>
  <c r="S42" i="23"/>
  <c r="S39" i="23"/>
  <c r="S47" i="23"/>
  <c r="Z47" i="23" s="1"/>
  <c r="Z7" i="23"/>
  <c r="T25" i="23"/>
  <c r="Z25" i="23" s="1"/>
  <c r="S45" i="23"/>
  <c r="T48" i="23"/>
  <c r="S11" i="23"/>
  <c r="Z11" i="23" s="1"/>
  <c r="T23" i="23"/>
  <c r="Z23" i="23" s="1"/>
  <c r="S15" i="23"/>
  <c r="Z15" i="23" s="1"/>
  <c r="S35" i="23"/>
  <c r="Z35" i="23" s="1"/>
  <c r="S13" i="23"/>
  <c r="S8" i="23"/>
  <c r="Z8" i="23" s="1"/>
  <c r="S18" i="23"/>
  <c r="Z18" i="23" s="1"/>
  <c r="BF175" i="23"/>
  <c r="BE175" i="23"/>
  <c r="BH175" i="23"/>
  <c r="BF51" i="23"/>
  <c r="BE51" i="23"/>
  <c r="S158" i="23"/>
  <c r="T158" i="23"/>
  <c r="BH163" i="23"/>
  <c r="BE163" i="23"/>
  <c r="BF163" i="23"/>
  <c r="BF52" i="23"/>
  <c r="BE52" i="23"/>
  <c r="S168" i="23"/>
  <c r="BE50" i="23"/>
  <c r="BF50" i="23"/>
  <c r="BD50" i="23"/>
  <c r="T179" i="23"/>
  <c r="S179" i="23"/>
  <c r="T168" i="23"/>
  <c r="T57" i="23"/>
  <c r="S57" i="23"/>
  <c r="T105" i="23"/>
  <c r="Z105" i="23" s="1"/>
  <c r="Z66" i="23"/>
  <c r="T58" i="23"/>
  <c r="S58" i="23"/>
  <c r="BC185" i="23"/>
  <c r="BB185" i="23"/>
  <c r="BD185" i="23" s="1"/>
  <c r="BG157" i="23"/>
  <c r="S36" i="23"/>
  <c r="T36" i="23"/>
  <c r="Z133" i="23"/>
  <c r="BE39" i="23"/>
  <c r="BF39" i="23"/>
  <c r="BH170" i="23"/>
  <c r="BE170" i="23"/>
  <c r="BH171" i="23" s="1"/>
  <c r="BF170" i="23"/>
  <c r="BH173" i="23" s="1"/>
  <c r="AO25" i="23"/>
  <c r="AM188" i="23"/>
  <c r="AM189" i="23" s="1"/>
  <c r="W184" i="23"/>
  <c r="W188" i="23" s="1"/>
  <c r="AT188" i="23"/>
  <c r="T117" i="23"/>
  <c r="S117" i="23"/>
  <c r="BF184" i="23"/>
  <c r="BE184" i="23"/>
  <c r="Z59" i="23"/>
  <c r="T171" i="23"/>
  <c r="S171" i="23"/>
  <c r="T67" i="23"/>
  <c r="S67" i="23"/>
  <c r="T173" i="23"/>
  <c r="S173" i="23"/>
  <c r="Z162" i="23"/>
  <c r="BG144" i="23"/>
  <c r="BF43" i="23"/>
  <c r="BE43" i="23"/>
  <c r="BE166" i="23"/>
  <c r="BG166" i="23" s="1"/>
  <c r="BF158" i="23"/>
  <c r="BH159" i="23" s="1"/>
  <c r="BE158" i="23"/>
  <c r="BE168" i="23"/>
  <c r="BG168" i="23" s="1"/>
  <c r="S130" i="23"/>
  <c r="S76" i="23"/>
  <c r="T76" i="23"/>
  <c r="BF138" i="23"/>
  <c r="BE138" i="23"/>
  <c r="BF56" i="23"/>
  <c r="BE56" i="23"/>
  <c r="X96" i="23"/>
  <c r="Y96" i="23"/>
  <c r="Y52" i="23"/>
  <c r="X52" i="23"/>
  <c r="Y54" i="23"/>
  <c r="X54" i="23"/>
  <c r="BF58" i="23"/>
  <c r="BE58" i="23"/>
  <c r="BF133" i="23"/>
  <c r="BH135" i="23" s="1"/>
  <c r="BE133" i="23"/>
  <c r="BH134" i="23" s="1"/>
  <c r="BH133" i="23"/>
  <c r="BF5" i="23"/>
  <c r="BE5" i="23"/>
  <c r="BF46" i="23"/>
  <c r="BE46" i="23"/>
  <c r="V184" i="23"/>
  <c r="U184" i="23"/>
  <c r="R184" i="23"/>
  <c r="T184" i="23" s="1"/>
  <c r="BE137" i="23"/>
  <c r="BH137" i="23"/>
  <c r="BF137" i="23"/>
  <c r="T130" i="23"/>
  <c r="S111" i="23"/>
  <c r="Z111" i="23" s="1"/>
  <c r="BE127" i="23"/>
  <c r="BF127" i="23"/>
  <c r="BH128" i="23" s="1"/>
  <c r="S104" i="23"/>
  <c r="Y83" i="23"/>
  <c r="X83" i="23"/>
  <c r="T72" i="23"/>
  <c r="S72" i="23"/>
  <c r="T139" i="23"/>
  <c r="Z139" i="23" s="1"/>
  <c r="AO102" i="23"/>
  <c r="X42" i="23"/>
  <c r="Y42" i="23"/>
  <c r="X91" i="23"/>
  <c r="Y91" i="23"/>
  <c r="T167" i="23"/>
  <c r="BE57" i="23"/>
  <c r="BF57" i="23"/>
  <c r="S43" i="23"/>
  <c r="Z43" i="23" s="1"/>
  <c r="BB43" i="23"/>
  <c r="BD43" i="23" s="1"/>
  <c r="Y37" i="23"/>
  <c r="X37" i="23"/>
  <c r="BD133" i="23"/>
  <c r="Y82" i="23"/>
  <c r="X82" i="23"/>
  <c r="AO52" i="23"/>
  <c r="S44" i="23"/>
  <c r="S40" i="23"/>
  <c r="S41" i="23"/>
  <c r="Z41" i="23" s="1"/>
  <c r="BE45" i="23"/>
  <c r="BF45" i="23"/>
  <c r="AO82" i="23"/>
  <c r="BE28" i="23"/>
  <c r="BF28" i="23"/>
  <c r="BB98" i="23"/>
  <c r="BD98" i="23" s="1"/>
  <c r="BH153" i="23"/>
  <c r="BE153" i="23"/>
  <c r="BF153" i="23"/>
  <c r="BG153" i="23" s="1"/>
  <c r="BB184" i="23"/>
  <c r="BD184" i="23" s="1"/>
  <c r="BD51" i="23"/>
  <c r="X40" i="23"/>
  <c r="AO40" i="23"/>
  <c r="Y40" i="23"/>
  <c r="BE47" i="23"/>
  <c r="BF47" i="23"/>
  <c r="X158" i="23"/>
  <c r="Y158" i="23"/>
  <c r="BF154" i="23"/>
  <c r="BE154" i="23"/>
  <c r="S102" i="23"/>
  <c r="Z102" i="23" s="1"/>
  <c r="X68" i="23"/>
  <c r="Y68" i="23"/>
  <c r="Y94" i="23"/>
  <c r="X94" i="23"/>
  <c r="S70" i="23"/>
  <c r="S145" i="23"/>
  <c r="T143" i="23"/>
  <c r="Z143" i="23" s="1"/>
  <c r="BF94" i="23"/>
  <c r="BE94" i="23"/>
  <c r="BH94" i="23"/>
  <c r="Y88" i="23"/>
  <c r="X88" i="23"/>
  <c r="Z87" i="23"/>
  <c r="BH127" i="23"/>
  <c r="S71" i="23"/>
  <c r="BD47" i="23"/>
  <c r="BD62" i="23"/>
  <c r="BC88" i="23"/>
  <c r="X36" i="23"/>
  <c r="Y36" i="23"/>
  <c r="S55" i="23"/>
  <c r="E40" i="15"/>
  <c r="BE37" i="23"/>
  <c r="BF37" i="23"/>
  <c r="T163" i="23"/>
  <c r="S163" i="23"/>
  <c r="BE97" i="23"/>
  <c r="BF97" i="23"/>
  <c r="Y70" i="23"/>
  <c r="AO70" i="23"/>
  <c r="X70" i="23"/>
  <c r="X184" i="23"/>
  <c r="Y184" i="23"/>
  <c r="BD158" i="23"/>
  <c r="S113" i="23"/>
  <c r="BB153" i="23"/>
  <c r="BD153" i="23" s="1"/>
  <c r="T104" i="23"/>
  <c r="S180" i="23"/>
  <c r="Z180" i="23" s="1"/>
  <c r="BE95" i="23"/>
  <c r="BG95" i="23" s="1"/>
  <c r="BF95" i="23"/>
  <c r="S79" i="23"/>
  <c r="T79" i="23"/>
  <c r="Z107" i="23"/>
  <c r="R63" i="23"/>
  <c r="S63" i="23" s="1"/>
  <c r="V63" i="23"/>
  <c r="V188" i="23" s="1"/>
  <c r="U63" i="23"/>
  <c r="BF60" i="23"/>
  <c r="BE60" i="23"/>
  <c r="S37" i="23"/>
  <c r="X61" i="23"/>
  <c r="Y61" i="23"/>
  <c r="X48" i="23"/>
  <c r="Y48" i="23"/>
  <c r="T145" i="23"/>
  <c r="BE141" i="23"/>
  <c r="BF141" i="23"/>
  <c r="BH149" i="23"/>
  <c r="Y45" i="23"/>
  <c r="X45" i="23"/>
  <c r="BB127" i="23"/>
  <c r="BD127" i="23" s="1"/>
  <c r="T71" i="23"/>
  <c r="X56" i="23"/>
  <c r="Y56" i="23"/>
  <c r="AO54" i="23"/>
  <c r="BE59" i="23"/>
  <c r="BF59" i="23"/>
  <c r="Z16" i="23"/>
  <c r="Y28" i="23"/>
  <c r="X28" i="23"/>
  <c r="T55" i="23"/>
  <c r="F40" i="15"/>
  <c r="J40" i="15"/>
  <c r="BB163" i="23"/>
  <c r="BD163" i="23" s="1"/>
  <c r="BF164" i="23"/>
  <c r="BE164" i="23"/>
  <c r="BF81" i="23"/>
  <c r="BE81" i="23"/>
  <c r="BH157" i="23"/>
  <c r="BE53" i="23"/>
  <c r="BF53" i="23"/>
  <c r="BB97" i="23"/>
  <c r="BD97" i="23" s="1"/>
  <c r="T161" i="23"/>
  <c r="S161" i="23"/>
  <c r="BD175" i="23"/>
  <c r="BB181" i="23"/>
  <c r="BD181" i="23" s="1"/>
  <c r="Z144" i="23"/>
  <c r="BF183" i="23"/>
  <c r="BE183" i="23"/>
  <c r="Y186" i="23"/>
  <c r="X186" i="23"/>
  <c r="Z175" i="23"/>
  <c r="S159" i="23"/>
  <c r="Z159" i="23" s="1"/>
  <c r="BE186" i="23"/>
  <c r="BF186" i="23"/>
  <c r="Y176" i="23"/>
  <c r="X176" i="23"/>
  <c r="T124" i="23"/>
  <c r="S124" i="23"/>
  <c r="Z124" i="23" s="1"/>
  <c r="BE176" i="23"/>
  <c r="BF176" i="23"/>
  <c r="T113" i="23"/>
  <c r="X95" i="23"/>
  <c r="Y95" i="23"/>
  <c r="S78" i="23"/>
  <c r="T78" i="23"/>
  <c r="S96" i="23"/>
  <c r="Z96" i="23" s="1"/>
  <c r="BE151" i="23"/>
  <c r="BF151" i="23"/>
  <c r="Y85" i="23"/>
  <c r="X85" i="23"/>
  <c r="S91" i="23"/>
  <c r="BF98" i="23"/>
  <c r="BE98" i="23"/>
  <c r="T85" i="23"/>
  <c r="BG85" i="23"/>
  <c r="BD150" i="23"/>
  <c r="BG126" i="23"/>
  <c r="Y60" i="23"/>
  <c r="X60" i="23"/>
  <c r="BD143" i="23"/>
  <c r="AO85" i="23"/>
  <c r="AO56" i="23"/>
  <c r="L40" i="15"/>
  <c r="BD46" i="23"/>
  <c r="T5" i="23"/>
  <c r="N192" i="23"/>
  <c r="AN188" i="23"/>
  <c r="AN189" i="23" s="1"/>
  <c r="BF182" i="23"/>
  <c r="BE182" i="23"/>
  <c r="Y57" i="23"/>
  <c r="X57" i="23"/>
  <c r="BF181" i="23"/>
  <c r="BE181" i="23"/>
  <c r="BD166" i="23"/>
  <c r="T148" i="23"/>
  <c r="S148" i="23"/>
  <c r="BD168" i="23"/>
  <c r="Z131" i="23"/>
  <c r="S77" i="23"/>
  <c r="T77" i="23"/>
  <c r="BD138" i="23"/>
  <c r="S167" i="23"/>
  <c r="Z167" i="23" s="1"/>
  <c r="BE61" i="23"/>
  <c r="BF61" i="23"/>
  <c r="BF62" i="23"/>
  <c r="BE62" i="23"/>
  <c r="Y44" i="23"/>
  <c r="X44" i="23"/>
  <c r="AO44" i="23"/>
  <c r="BE150" i="23"/>
  <c r="BF150" i="23"/>
  <c r="BH126" i="23"/>
  <c r="BB39" i="23"/>
  <c r="BD39" i="23" s="1"/>
  <c r="BE143" i="23"/>
  <c r="BF143" i="23"/>
  <c r="BE54" i="23"/>
  <c r="BF54" i="23"/>
  <c r="BE82" i="23"/>
  <c r="BF82" i="23"/>
  <c r="BG82" i="23" s="1"/>
  <c r="BD54" i="23"/>
  <c r="Z21" i="23"/>
  <c r="BF38" i="23"/>
  <c r="BE38" i="23"/>
  <c r="Z19" i="23"/>
  <c r="N188" i="23"/>
  <c r="O279" i="28"/>
  <c r="N279" i="28"/>
  <c r="M279" i="28"/>
  <c r="O265" i="28"/>
  <c r="O258" i="28"/>
  <c r="O267" i="28" s="1"/>
  <c r="O53" i="28"/>
  <c r="Z38" i="23" l="1"/>
  <c r="BG150" i="23"/>
  <c r="Z58" i="23"/>
  <c r="BG59" i="23"/>
  <c r="Z13" i="23"/>
  <c r="BG127" i="23"/>
  <c r="O269" i="28"/>
  <c r="Z27" i="23"/>
  <c r="Z123" i="23"/>
  <c r="Z53" i="23"/>
  <c r="Z173" i="23"/>
  <c r="AO188" i="23"/>
  <c r="AO189" i="23" s="1"/>
  <c r="BG58" i="23"/>
  <c r="Z39" i="23"/>
  <c r="Z106" i="23"/>
  <c r="BG79" i="23"/>
  <c r="Z117" i="23"/>
  <c r="BG47" i="23"/>
  <c r="BG12" i="23"/>
  <c r="BG180" i="23"/>
  <c r="BG154" i="23"/>
  <c r="AA103" i="23"/>
  <c r="BG143" i="23"/>
  <c r="BD41" i="23"/>
  <c r="Z83" i="23"/>
  <c r="BH62" i="23"/>
  <c r="BE41" i="23"/>
  <c r="BG41" i="23" s="1"/>
  <c r="Z84" i="23"/>
  <c r="Z85" i="23"/>
  <c r="Z61" i="23"/>
  <c r="BG158" i="23"/>
  <c r="BG61" i="23"/>
  <c r="Z148" i="23"/>
  <c r="Z68" i="23"/>
  <c r="Z67" i="23"/>
  <c r="Z98" i="23"/>
  <c r="BG141" i="23"/>
  <c r="BG60" i="23"/>
  <c r="Z52" i="23"/>
  <c r="BG39" i="23"/>
  <c r="Z171" i="23"/>
  <c r="BG54" i="23"/>
  <c r="BH139" i="23"/>
  <c r="BH140" i="23" s="1"/>
  <c r="BG46" i="23"/>
  <c r="BD77" i="23"/>
  <c r="BG55" i="23"/>
  <c r="BG151" i="23"/>
  <c r="BG176" i="23"/>
  <c r="Z130" i="23"/>
  <c r="Z48" i="23"/>
  <c r="T182" i="23"/>
  <c r="Z182" i="23" s="1"/>
  <c r="Z157" i="23"/>
  <c r="BD96" i="23"/>
  <c r="BE84" i="23"/>
  <c r="BG84" i="23" s="1"/>
  <c r="Z45" i="23"/>
  <c r="BD84" i="23"/>
  <c r="BG182" i="23"/>
  <c r="BG98" i="23"/>
  <c r="Z55" i="23"/>
  <c r="BG56" i="23"/>
  <c r="BG184" i="23"/>
  <c r="BG149" i="23"/>
  <c r="Z90" i="23"/>
  <c r="BG76" i="23"/>
  <c r="Z113" i="23"/>
  <c r="Z168" i="23"/>
  <c r="Z74" i="23"/>
  <c r="Z153" i="23"/>
  <c r="AA156" i="23" s="1"/>
  <c r="Z60" i="23"/>
  <c r="Z91" i="23"/>
  <c r="AA93" i="23" s="1"/>
  <c r="BG53" i="23"/>
  <c r="BG57" i="23"/>
  <c r="BG138" i="23"/>
  <c r="BF96" i="23"/>
  <c r="BG96" i="23" s="1"/>
  <c r="BG21" i="23"/>
  <c r="BG179" i="23"/>
  <c r="T63" i="23"/>
  <c r="Z24" i="23"/>
  <c r="Z69" i="23"/>
  <c r="AA125" i="23"/>
  <c r="BG52" i="23"/>
  <c r="BE77" i="23"/>
  <c r="BH80" i="23" s="1"/>
  <c r="BF77" i="23"/>
  <c r="BH81" i="23" s="1"/>
  <c r="Z95" i="23"/>
  <c r="Z37" i="23"/>
  <c r="BG186" i="23"/>
  <c r="BG62" i="23"/>
  <c r="Z57" i="23"/>
  <c r="Z56" i="23"/>
  <c r="Z163" i="23"/>
  <c r="AA169" i="23" s="1"/>
  <c r="Z88" i="23"/>
  <c r="BG28" i="23"/>
  <c r="AA140" i="23"/>
  <c r="Z104" i="23"/>
  <c r="Z76" i="23"/>
  <c r="Z179" i="23"/>
  <c r="BG51" i="23"/>
  <c r="BG40" i="23"/>
  <c r="BG97" i="23"/>
  <c r="O281" i="28"/>
  <c r="Z161" i="23"/>
  <c r="Z82" i="23"/>
  <c r="BH158" i="23"/>
  <c r="BH162" i="23" s="1"/>
  <c r="U188" i="23"/>
  <c r="U190" i="23" s="1"/>
  <c r="BG5" i="23"/>
  <c r="BG190" i="23" s="1"/>
  <c r="AA132" i="23"/>
  <c r="BG43" i="23"/>
  <c r="AA136" i="23"/>
  <c r="BH138" i="23"/>
  <c r="BG133" i="23"/>
  <c r="Z186" i="23"/>
  <c r="Y188" i="23"/>
  <c r="Y192" i="23" s="1"/>
  <c r="BG37" i="23"/>
  <c r="BC190" i="23"/>
  <c r="BG181" i="23"/>
  <c r="BG38" i="23"/>
  <c r="Z176" i="23"/>
  <c r="AA178" i="23" s="1"/>
  <c r="BG183" i="23"/>
  <c r="BH79" i="23"/>
  <c r="BG164" i="23"/>
  <c r="BG45" i="23"/>
  <c r="Z54" i="23"/>
  <c r="BH174" i="23"/>
  <c r="BG50" i="23"/>
  <c r="Z112" i="23"/>
  <c r="Z79" i="23"/>
  <c r="Z28" i="23"/>
  <c r="Z145" i="23"/>
  <c r="AA152" i="23" s="1"/>
  <c r="Z158" i="23"/>
  <c r="Z77" i="23"/>
  <c r="V190" i="23"/>
  <c r="Z71" i="23"/>
  <c r="Z42" i="23"/>
  <c r="W190" i="23"/>
  <c r="Z36" i="23"/>
  <c r="BH96" i="23"/>
  <c r="BG137" i="23"/>
  <c r="BB190" i="23"/>
  <c r="X188" i="23"/>
  <c r="X190" i="23" s="1"/>
  <c r="BH150" i="23"/>
  <c r="BH165" i="23"/>
  <c r="BH176" i="23"/>
  <c r="T188" i="23"/>
  <c r="T190" i="23" s="1"/>
  <c r="BH64" i="23"/>
  <c r="Z70" i="23"/>
  <c r="Z40" i="23"/>
  <c r="BH136" i="23"/>
  <c r="BG163" i="23"/>
  <c r="BH177" i="23"/>
  <c r="Z5" i="23"/>
  <c r="BH151" i="23"/>
  <c r="Z63" i="23"/>
  <c r="BH168" i="23"/>
  <c r="BH167" i="23"/>
  <c r="BH166" i="23"/>
  <c r="BG81" i="23"/>
  <c r="BF88" i="23"/>
  <c r="BE88" i="23"/>
  <c r="BG94" i="23"/>
  <c r="Z94" i="23"/>
  <c r="BH155" i="23"/>
  <c r="Z44" i="23"/>
  <c r="Z72" i="23"/>
  <c r="S184" i="23"/>
  <c r="Z184" i="23" s="1"/>
  <c r="BD88" i="23"/>
  <c r="BG175" i="23"/>
  <c r="Z193" i="23"/>
  <c r="N193" i="23"/>
  <c r="Z78" i="23"/>
  <c r="R188" i="23"/>
  <c r="BH129" i="23"/>
  <c r="BH99" i="23"/>
  <c r="BH154" i="23"/>
  <c r="BG170" i="23"/>
  <c r="BE185" i="23"/>
  <c r="BF185" i="23"/>
  <c r="AA121" i="23" l="1"/>
  <c r="AA174" i="23"/>
  <c r="AA187" i="23"/>
  <c r="BH152" i="23"/>
  <c r="BD190" i="23"/>
  <c r="BH63" i="23"/>
  <c r="BH65" i="23" s="1"/>
  <c r="AA99" i="23"/>
  <c r="BG88" i="23"/>
  <c r="BH89" i="23"/>
  <c r="BE190" i="23"/>
  <c r="BE191" i="23" s="1"/>
  <c r="BH156" i="23"/>
  <c r="BG185" i="23"/>
  <c r="BG77" i="23"/>
  <c r="S188" i="23"/>
  <c r="K61" i="15" s="1"/>
  <c r="BH178" i="23"/>
  <c r="BH169" i="23"/>
  <c r="Y190" i="23"/>
  <c r="BF190" i="23"/>
  <c r="BF191" i="23" s="1"/>
  <c r="AA75" i="23"/>
  <c r="AA89" i="23"/>
  <c r="R190" i="23"/>
  <c r="Z188" i="23"/>
  <c r="AA65" i="23"/>
  <c r="Y189" i="23"/>
  <c r="L223" i="28"/>
  <c r="AA189" i="23" l="1"/>
  <c r="AC192" i="23"/>
  <c r="AC193" i="23" s="1"/>
  <c r="BH190" i="23"/>
  <c r="BH191" i="23" s="1"/>
  <c r="E61" i="15"/>
  <c r="J61" i="15"/>
  <c r="S190" i="23"/>
  <c r="Z190" i="23" s="1"/>
  <c r="G61" i="15"/>
  <c r="I61" i="15"/>
  <c r="H61" i="15"/>
  <c r="F61" i="15"/>
  <c r="Z192" i="23"/>
  <c r="Z194" i="23" s="1"/>
  <c r="BF192" i="23"/>
  <c r="K102" i="15"/>
  <c r="K166" i="15"/>
  <c r="K127" i="15"/>
  <c r="K119" i="15"/>
  <c r="K101" i="15"/>
  <c r="K100" i="15"/>
  <c r="K9" i="15"/>
  <c r="K8" i="15"/>
  <c r="K129" i="15" l="1"/>
  <c r="K185" i="15"/>
  <c r="K162" i="15"/>
  <c r="K197" i="15"/>
  <c r="K97" i="15"/>
  <c r="K62" i="15"/>
  <c r="K115" i="15"/>
  <c r="K32" i="15"/>
  <c r="K68" i="15"/>
  <c r="K103" i="15"/>
  <c r="F87" i="25"/>
  <c r="F86" i="25"/>
  <c r="F83" i="25"/>
  <c r="F74" i="25"/>
  <c r="F73" i="25"/>
  <c r="F72" i="25"/>
  <c r="F71" i="25"/>
  <c r="F70" i="25"/>
  <c r="F65" i="25"/>
  <c r="F64" i="25"/>
  <c r="F63" i="25"/>
  <c r="F85" i="25" s="1"/>
  <c r="F62" i="25"/>
  <c r="F59" i="25"/>
  <c r="F55" i="25"/>
  <c r="F56" i="25" s="1"/>
  <c r="F52" i="25"/>
  <c r="F43" i="25"/>
  <c r="F42" i="25"/>
  <c r="F41" i="25"/>
  <c r="F37" i="25"/>
  <c r="F38" i="25" s="1"/>
  <c r="F34" i="25"/>
  <c r="F29" i="25"/>
  <c r="F30" i="25" s="1"/>
  <c r="F24" i="25"/>
  <c r="F21" i="25"/>
  <c r="F19" i="25"/>
  <c r="F18" i="25"/>
  <c r="F17" i="25"/>
  <c r="F16" i="25"/>
  <c r="F11" i="25"/>
  <c r="F10" i="25"/>
  <c r="F9" i="25"/>
  <c r="F8" i="25"/>
  <c r="F5" i="25"/>
  <c r="F66" i="25" l="1"/>
  <c r="F67" i="25" s="1"/>
  <c r="F13" i="25"/>
  <c r="F22" i="25"/>
  <c r="F75" i="25"/>
  <c r="F47" i="25"/>
  <c r="F48" i="25" s="1"/>
  <c r="F77" i="25" l="1"/>
  <c r="F26" i="25"/>
  <c r="F81" i="25" s="1"/>
  <c r="F89" i="25" s="1"/>
  <c r="F91" i="25" s="1"/>
  <c r="X198" i="15" l="1"/>
  <c r="X112" i="15"/>
  <c r="M177" i="15"/>
  <c r="M176" i="15"/>
  <c r="O143" i="15"/>
  <c r="X8" i="15"/>
  <c r="X9" i="15"/>
  <c r="X10" i="15"/>
  <c r="X11" i="15"/>
  <c r="X12" i="15"/>
  <c r="X13" i="15"/>
  <c r="X14" i="15"/>
  <c r="X15" i="15"/>
  <c r="X16" i="15"/>
  <c r="X17" i="15"/>
  <c r="X18" i="15"/>
  <c r="X19" i="15"/>
  <c r="X20" i="15"/>
  <c r="X21" i="15"/>
  <c r="X22" i="15"/>
  <c r="X23" i="15"/>
  <c r="X24" i="15"/>
  <c r="X25" i="15"/>
  <c r="X26" i="15"/>
  <c r="X27" i="15"/>
  <c r="X28" i="15"/>
  <c r="X29" i="15"/>
  <c r="X30" i="15"/>
  <c r="X31" i="15"/>
  <c r="X33" i="15"/>
  <c r="X35" i="15"/>
  <c r="X37" i="15"/>
  <c r="X38" i="15"/>
  <c r="X39" i="15"/>
  <c r="X43" i="15"/>
  <c r="X45" i="15"/>
  <c r="X46" i="15"/>
  <c r="X47" i="15"/>
  <c r="X48" i="15"/>
  <c r="X49" i="15"/>
  <c r="X50" i="15"/>
  <c r="X51" i="15"/>
  <c r="X57" i="15"/>
  <c r="X60" i="15"/>
  <c r="X61" i="15"/>
  <c r="X63" i="15"/>
  <c r="X64" i="15"/>
  <c r="X65" i="15"/>
  <c r="X66" i="15"/>
  <c r="X67"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8" i="15"/>
  <c r="X99" i="15"/>
  <c r="X100" i="15"/>
  <c r="X101" i="15"/>
  <c r="X104" i="15"/>
  <c r="X105" i="15"/>
  <c r="X106" i="15"/>
  <c r="X107" i="15"/>
  <c r="X108" i="15"/>
  <c r="X109" i="15"/>
  <c r="X110" i="15"/>
  <c r="X111" i="15"/>
  <c r="X113" i="15"/>
  <c r="X114" i="15"/>
  <c r="X116" i="15"/>
  <c r="X117" i="15"/>
  <c r="X118" i="15"/>
  <c r="X120" i="15"/>
  <c r="X121" i="15"/>
  <c r="X122" i="15"/>
  <c r="X123" i="15"/>
  <c r="X125" i="15"/>
  <c r="X126" i="15"/>
  <c r="X127" i="15"/>
  <c r="X128"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3" i="15"/>
  <c r="X164" i="15"/>
  <c r="X165" i="15"/>
  <c r="X167" i="15"/>
  <c r="X168" i="15"/>
  <c r="X169" i="15"/>
  <c r="X170" i="15"/>
  <c r="X171" i="15"/>
  <c r="X172" i="15"/>
  <c r="X173" i="15"/>
  <c r="X174" i="15"/>
  <c r="X175" i="15"/>
  <c r="X176" i="15"/>
  <c r="X177" i="15"/>
  <c r="X178" i="15"/>
  <c r="X179" i="15"/>
  <c r="X180" i="15"/>
  <c r="X181" i="15"/>
  <c r="X182" i="15"/>
  <c r="X183" i="15"/>
  <c r="X184" i="15"/>
  <c r="X186" i="15"/>
  <c r="X188" i="15"/>
  <c r="X190" i="15"/>
  <c r="X191" i="15"/>
  <c r="X192" i="15"/>
  <c r="X193" i="15"/>
  <c r="X194" i="15"/>
  <c r="X195" i="15"/>
  <c r="X196" i="15"/>
  <c r="X197" i="15"/>
  <c r="X199" i="15"/>
  <c r="X200" i="15"/>
  <c r="X202" i="15"/>
  <c r="X7" i="15"/>
  <c r="U17" i="15"/>
  <c r="U33" i="15"/>
  <c r="U35" i="15"/>
  <c r="U37" i="15"/>
  <c r="U38" i="15"/>
  <c r="U39" i="15"/>
  <c r="U63" i="15"/>
  <c r="U69" i="15"/>
  <c r="U70" i="15"/>
  <c r="U98" i="15"/>
  <c r="U99" i="15"/>
  <c r="U104" i="15"/>
  <c r="U105" i="15"/>
  <c r="U116" i="15"/>
  <c r="U117" i="15"/>
  <c r="U120" i="15"/>
  <c r="U121" i="15"/>
  <c r="U125" i="15"/>
  <c r="U126" i="15"/>
  <c r="U130" i="15"/>
  <c r="U131" i="15"/>
  <c r="U163" i="15"/>
  <c r="U164" i="15"/>
  <c r="U167" i="15"/>
  <c r="U168" i="15"/>
  <c r="U186" i="15"/>
  <c r="U188" i="15"/>
  <c r="U190" i="15"/>
  <c r="U192" i="15"/>
  <c r="U193" i="15"/>
  <c r="U194" i="15"/>
  <c r="U195" i="15"/>
  <c r="U196" i="15"/>
  <c r="U202" i="15"/>
  <c r="N262" i="28" l="1"/>
  <c r="N265" i="28" l="1"/>
  <c r="M265" i="28"/>
  <c r="L279" i="28"/>
  <c r="O177" i="15"/>
  <c r="E75" i="25"/>
  <c r="E67" i="25"/>
  <c r="E56" i="25"/>
  <c r="E52" i="25"/>
  <c r="E48" i="25"/>
  <c r="E38" i="25"/>
  <c r="E34" i="25"/>
  <c r="E30" i="25"/>
  <c r="E22" i="25"/>
  <c r="E26" i="25" s="1"/>
  <c r="E81" i="25" s="1"/>
  <c r="E13" i="25"/>
  <c r="L262" i="28" l="1"/>
  <c r="N219" i="28"/>
  <c r="O59" i="15"/>
  <c r="N59" i="15"/>
  <c r="M59" i="15"/>
  <c r="L59" i="15"/>
  <c r="O53" i="15"/>
  <c r="O56" i="15" l="1"/>
  <c r="O55" i="15"/>
  <c r="O54" i="15"/>
  <c r="M258" i="28"/>
  <c r="M267" i="28" s="1"/>
  <c r="M269" i="28" s="1"/>
  <c r="M281" i="28" s="1"/>
  <c r="N258" i="28"/>
  <c r="N267" i="28" s="1"/>
  <c r="M53" i="28"/>
  <c r="N53" i="28"/>
  <c r="N269" i="28" l="1"/>
  <c r="N281" i="28" s="1"/>
  <c r="J166" i="15"/>
  <c r="J127" i="15"/>
  <c r="J119" i="15"/>
  <c r="J101" i="15"/>
  <c r="J100" i="15"/>
  <c r="J68" i="15"/>
  <c r="J9" i="15"/>
  <c r="J8" i="15"/>
  <c r="O66" i="15"/>
  <c r="J103" i="15" l="1"/>
  <c r="J32" i="15"/>
  <c r="J185" i="15"/>
  <c r="J129" i="15"/>
  <c r="J197" i="15"/>
  <c r="J97" i="15"/>
  <c r="J62" i="15"/>
  <c r="J115" i="15"/>
  <c r="J162" i="15"/>
  <c r="O176" i="15" l="1"/>
  <c r="K14" i="25"/>
  <c r="K15" i="25"/>
  <c r="K23" i="25"/>
  <c r="K25" i="25"/>
  <c r="K27" i="25"/>
  <c r="K28" i="25"/>
  <c r="K31" i="25"/>
  <c r="K32" i="25"/>
  <c r="K35" i="25"/>
  <c r="K36" i="25"/>
  <c r="K39" i="25"/>
  <c r="K40" i="25"/>
  <c r="K50" i="25"/>
  <c r="K53" i="25"/>
  <c r="K54" i="25"/>
  <c r="K57" i="25"/>
  <c r="K58" i="25"/>
  <c r="K60" i="25"/>
  <c r="K61" i="25"/>
  <c r="K68" i="25"/>
  <c r="K69" i="25"/>
  <c r="K76" i="25"/>
  <c r="K78" i="25"/>
  <c r="K79" i="25"/>
  <c r="K80" i="25"/>
  <c r="K82" i="25"/>
  <c r="K84" i="25"/>
  <c r="K88" i="25"/>
  <c r="K90" i="25"/>
  <c r="M143" i="15" l="1"/>
  <c r="M135" i="15"/>
  <c r="L53" i="28" l="1"/>
  <c r="L219" i="28"/>
  <c r="L258" i="28"/>
  <c r="L267" i="28" s="1"/>
  <c r="L269" i="28" s="1"/>
  <c r="L281" i="28" s="1"/>
  <c r="L265" i="28"/>
  <c r="I166" i="15"/>
  <c r="I127" i="15"/>
  <c r="I129" i="15" s="1"/>
  <c r="I119" i="15"/>
  <c r="I102" i="15"/>
  <c r="I101" i="15"/>
  <c r="I100" i="15"/>
  <c r="I88" i="27"/>
  <c r="I68" i="15"/>
  <c r="I9" i="15"/>
  <c r="I8" i="15"/>
  <c r="L282" i="28" l="1"/>
  <c r="I115" i="15"/>
  <c r="I162" i="15"/>
  <c r="I103" i="15"/>
  <c r="I62" i="15"/>
  <c r="I185" i="15"/>
  <c r="I32" i="15"/>
  <c r="I97" i="15"/>
  <c r="U198" i="15"/>
  <c r="I74" i="27"/>
  <c r="K217" i="28" l="1"/>
  <c r="H183" i="27" l="1"/>
  <c r="H181" i="27"/>
  <c r="H180" i="27"/>
  <c r="H179" i="27"/>
  <c r="H178" i="27"/>
  <c r="H177" i="27"/>
  <c r="H176" i="27"/>
  <c r="H175" i="27"/>
  <c r="H174" i="27"/>
  <c r="H173" i="27"/>
  <c r="H172" i="27"/>
  <c r="H171" i="27"/>
  <c r="H170" i="27"/>
  <c r="H169" i="27"/>
  <c r="H166" i="15"/>
  <c r="H160" i="27"/>
  <c r="H159" i="27"/>
  <c r="H158" i="27"/>
  <c r="H157" i="27"/>
  <c r="H156" i="27"/>
  <c r="H155" i="27"/>
  <c r="H154" i="27"/>
  <c r="H152" i="27"/>
  <c r="H151" i="27"/>
  <c r="H150" i="27"/>
  <c r="H149" i="27"/>
  <c r="H148" i="27"/>
  <c r="H147" i="27"/>
  <c r="H146" i="27"/>
  <c r="H145" i="27"/>
  <c r="H144" i="27"/>
  <c r="H143" i="27"/>
  <c r="H142" i="27"/>
  <c r="H141" i="27"/>
  <c r="H140" i="27"/>
  <c r="H139" i="27"/>
  <c r="H138" i="27"/>
  <c r="H137" i="27"/>
  <c r="H136" i="27"/>
  <c r="H134" i="27"/>
  <c r="H133" i="27"/>
  <c r="H132" i="27"/>
  <c r="H128" i="27"/>
  <c r="H127" i="15"/>
  <c r="H119" i="15"/>
  <c r="H114" i="27"/>
  <c r="H113" i="27"/>
  <c r="H112" i="27"/>
  <c r="H111" i="27"/>
  <c r="H110" i="27"/>
  <c r="H109" i="27"/>
  <c r="H108" i="27"/>
  <c r="H107" i="27"/>
  <c r="H106" i="27"/>
  <c r="H102" i="15"/>
  <c r="H101" i="15"/>
  <c r="H101" i="27" s="1"/>
  <c r="H100" i="15"/>
  <c r="H100" i="27" s="1"/>
  <c r="H95" i="27"/>
  <c r="H94" i="27"/>
  <c r="H93" i="27"/>
  <c r="H91" i="27"/>
  <c r="H90" i="27"/>
  <c r="H89" i="27"/>
  <c r="H88" i="27"/>
  <c r="H87" i="27"/>
  <c r="H86" i="27"/>
  <c r="H85" i="27"/>
  <c r="H84" i="27"/>
  <c r="H83" i="27"/>
  <c r="H82" i="27"/>
  <c r="H81" i="27"/>
  <c r="H80" i="27"/>
  <c r="H79" i="27"/>
  <c r="H78" i="27"/>
  <c r="H77" i="27"/>
  <c r="H76" i="27"/>
  <c r="H75" i="27"/>
  <c r="H74" i="27"/>
  <c r="H73" i="27"/>
  <c r="H72" i="27"/>
  <c r="H71" i="27"/>
  <c r="H66" i="27"/>
  <c r="H65" i="27"/>
  <c r="H61" i="27"/>
  <c r="H59" i="27"/>
  <c r="H58" i="27"/>
  <c r="H57" i="27"/>
  <c r="H56" i="27"/>
  <c r="H54" i="27"/>
  <c r="H53" i="27"/>
  <c r="H52" i="27"/>
  <c r="H51" i="27"/>
  <c r="H50" i="27"/>
  <c r="H49" i="27"/>
  <c r="H48" i="27"/>
  <c r="H46" i="27"/>
  <c r="H45" i="27"/>
  <c r="H44" i="27"/>
  <c r="H43" i="27"/>
  <c r="H42" i="27"/>
  <c r="H40" i="27"/>
  <c r="H31" i="27"/>
  <c r="H30" i="27"/>
  <c r="H29" i="27"/>
  <c r="H28" i="27"/>
  <c r="H27" i="27"/>
  <c r="H26" i="27"/>
  <c r="H25" i="27"/>
  <c r="H24" i="27"/>
  <c r="H23" i="27"/>
  <c r="H22" i="27"/>
  <c r="H21" i="27"/>
  <c r="H20" i="27"/>
  <c r="H19" i="27"/>
  <c r="H12" i="27"/>
  <c r="H9" i="27"/>
  <c r="H8" i="15"/>
  <c r="H11" i="27"/>
  <c r="H13" i="27"/>
  <c r="H14" i="27"/>
  <c r="H38" i="27"/>
  <c r="H41" i="27"/>
  <c r="H47" i="27"/>
  <c r="H55" i="27"/>
  <c r="H60" i="27"/>
  <c r="H92" i="27"/>
  <c r="H96" i="27"/>
  <c r="H118" i="27"/>
  <c r="H119" i="27" s="1"/>
  <c r="H135" i="27"/>
  <c r="H153" i="27"/>
  <c r="H161" i="27"/>
  <c r="H166" i="27"/>
  <c r="H182" i="27"/>
  <c r="H184" i="27"/>
  <c r="H198" i="27"/>
  <c r="H199" i="27"/>
  <c r="H68" i="15" l="1"/>
  <c r="H102" i="27"/>
  <c r="H103" i="27" s="1"/>
  <c r="H192" i="27"/>
  <c r="H129" i="15"/>
  <c r="H197" i="15"/>
  <c r="H67" i="27"/>
  <c r="H68" i="27" s="1"/>
  <c r="H185" i="15"/>
  <c r="H32" i="15"/>
  <c r="H97" i="15"/>
  <c r="H8" i="27"/>
  <c r="H127" i="27"/>
  <c r="H129" i="27" s="1"/>
  <c r="H122" i="27"/>
  <c r="H97" i="27"/>
  <c r="H115" i="15"/>
  <c r="H18" i="27"/>
  <c r="H32" i="27" s="1"/>
  <c r="H62" i="15"/>
  <c r="H162" i="15"/>
  <c r="H103" i="15"/>
  <c r="H115" i="27"/>
  <c r="H185" i="27"/>
  <c r="H162" i="27"/>
  <c r="H197" i="27"/>
  <c r="H62" i="27"/>
  <c r="J19" i="25"/>
  <c r="J18" i="25"/>
  <c r="J71" i="25"/>
  <c r="J72" i="25"/>
  <c r="K196" i="28"/>
  <c r="K195" i="28"/>
  <c r="K219" i="28" l="1"/>
  <c r="K262" i="28"/>
  <c r="K279" i="28"/>
  <c r="K265" i="28"/>
  <c r="K258" i="28"/>
  <c r="K53" i="28"/>
  <c r="K267" i="28" l="1"/>
  <c r="K269" i="28" s="1"/>
  <c r="K281" i="28" s="1"/>
  <c r="G166" i="15" l="1"/>
  <c r="G127" i="15"/>
  <c r="G119" i="15"/>
  <c r="G101" i="15"/>
  <c r="G100" i="15"/>
  <c r="G9" i="15"/>
  <c r="G8" i="15"/>
  <c r="G115" i="15" l="1"/>
  <c r="G68" i="15"/>
  <c r="G129" i="15"/>
  <c r="G62" i="15"/>
  <c r="G32" i="15"/>
  <c r="G103" i="15"/>
  <c r="G185" i="15"/>
  <c r="G197" i="15"/>
  <c r="G97" i="15"/>
  <c r="G162" i="15"/>
  <c r="J46" i="25"/>
  <c r="J42" i="25"/>
  <c r="J17" i="25"/>
  <c r="H21" i="25"/>
  <c r="H20" i="25"/>
  <c r="H19" i="25"/>
  <c r="H18" i="25"/>
  <c r="H17" i="25"/>
  <c r="H16" i="25"/>
  <c r="H46" i="25"/>
  <c r="H45" i="25"/>
  <c r="H44" i="25"/>
  <c r="H43" i="25"/>
  <c r="H42" i="25"/>
  <c r="H41" i="25"/>
  <c r="J86" i="25"/>
  <c r="H47" i="25" l="1"/>
  <c r="J192" i="28"/>
  <c r="J217" i="28"/>
  <c r="D87" i="25"/>
  <c r="D86" i="25"/>
  <c r="D74" i="25"/>
  <c r="D73" i="25"/>
  <c r="D72" i="25"/>
  <c r="D71" i="25"/>
  <c r="D70" i="25"/>
  <c r="D65" i="25"/>
  <c r="D64" i="25"/>
  <c r="D63" i="25"/>
  <c r="D85" i="25" s="1"/>
  <c r="D62" i="25"/>
  <c r="D43" i="25"/>
  <c r="D42" i="25"/>
  <c r="D41" i="25"/>
  <c r="D21" i="25"/>
  <c r="D19" i="25"/>
  <c r="D18" i="25"/>
  <c r="D17" i="25"/>
  <c r="D16" i="25"/>
  <c r="D11" i="25"/>
  <c r="D10" i="25"/>
  <c r="D9" i="25"/>
  <c r="D8" i="25"/>
  <c r="D5" i="25"/>
  <c r="R34" i="15"/>
  <c r="X34" i="15" s="1"/>
  <c r="R32" i="15"/>
  <c r="X32" i="15" s="1"/>
  <c r="R36" i="15" l="1"/>
  <c r="X36" i="15" s="1"/>
  <c r="D24" i="25"/>
  <c r="D75" i="25"/>
  <c r="D13" i="25"/>
  <c r="D22" i="25"/>
  <c r="D26" i="25" l="1"/>
  <c r="R62" i="15"/>
  <c r="R68" i="15"/>
  <c r="R97" i="15"/>
  <c r="R115" i="15"/>
  <c r="R119" i="15"/>
  <c r="X119" i="15" s="1"/>
  <c r="R124" i="15"/>
  <c r="R129" i="15"/>
  <c r="R162" i="15"/>
  <c r="R166" i="15"/>
  <c r="X166" i="15" s="1"/>
  <c r="R185" i="15"/>
  <c r="X185" i="15" s="1"/>
  <c r="G66" i="13"/>
  <c r="G67" i="13" s="1"/>
  <c r="G65" i="13"/>
  <c r="G64" i="13"/>
  <c r="G63" i="13"/>
  <c r="D29" i="25" l="1"/>
  <c r="D30" i="25" s="1"/>
  <c r="X62" i="15"/>
  <c r="D47" i="25"/>
  <c r="D48" i="25" s="1"/>
  <c r="X97" i="15"/>
  <c r="D37" i="25"/>
  <c r="D38" i="25" s="1"/>
  <c r="X68" i="15"/>
  <c r="D66" i="25"/>
  <c r="D67" i="25" s="1"/>
  <c r="X162" i="15"/>
  <c r="D55" i="25"/>
  <c r="D56" i="25" s="1"/>
  <c r="X124" i="15"/>
  <c r="D59" i="25"/>
  <c r="X129" i="15"/>
  <c r="D51" i="25"/>
  <c r="D52" i="25" s="1"/>
  <c r="X115" i="15"/>
  <c r="F100" i="15"/>
  <c r="R102" i="15"/>
  <c r="F101" i="15"/>
  <c r="R103" i="15" l="1"/>
  <c r="X103" i="15" s="1"/>
  <c r="X102" i="15"/>
  <c r="R187" i="15" l="1"/>
  <c r="D33" i="25"/>
  <c r="D34" i="25" s="1"/>
  <c r="D77" i="25" s="1"/>
  <c r="D81" i="25" s="1"/>
  <c r="D89" i="25" s="1"/>
  <c r="D91" i="25" s="1"/>
  <c r="R189" i="15" l="1"/>
  <c r="R201" i="15"/>
  <c r="G199" i="27"/>
  <c r="G198" i="27"/>
  <c r="G195" i="27"/>
  <c r="G192" i="27"/>
  <c r="G184" i="27"/>
  <c r="G183" i="27"/>
  <c r="G182" i="27"/>
  <c r="G181" i="27"/>
  <c r="G180" i="27"/>
  <c r="G179" i="27"/>
  <c r="G178" i="27"/>
  <c r="G177" i="27"/>
  <c r="G176" i="27"/>
  <c r="G175" i="27"/>
  <c r="G174" i="27"/>
  <c r="G173" i="27"/>
  <c r="G172" i="27"/>
  <c r="G171" i="27"/>
  <c r="G170" i="27"/>
  <c r="G169" i="27"/>
  <c r="G166"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4" i="27"/>
  <c r="G133" i="27"/>
  <c r="G132" i="27"/>
  <c r="G128" i="27"/>
  <c r="G127" i="27"/>
  <c r="G122" i="27"/>
  <c r="G118" i="27"/>
  <c r="G119" i="27" s="1"/>
  <c r="G114" i="27"/>
  <c r="G113" i="27"/>
  <c r="G112" i="27"/>
  <c r="G111" i="27"/>
  <c r="G110" i="27"/>
  <c r="G109" i="27"/>
  <c r="G108" i="27"/>
  <c r="G107" i="27"/>
  <c r="G106" i="27"/>
  <c r="G102" i="27"/>
  <c r="G101" i="27"/>
  <c r="G100" i="27"/>
  <c r="G96" i="27"/>
  <c r="G95" i="27"/>
  <c r="G94" i="27"/>
  <c r="G93" i="27"/>
  <c r="G92" i="27"/>
  <c r="G91" i="27"/>
  <c r="G90" i="27"/>
  <c r="G89" i="27"/>
  <c r="G88" i="27"/>
  <c r="G86" i="27"/>
  <c r="G85" i="27"/>
  <c r="G84" i="27"/>
  <c r="G83" i="27"/>
  <c r="G82" i="27"/>
  <c r="G81" i="27"/>
  <c r="G80" i="27"/>
  <c r="G79" i="27"/>
  <c r="G78" i="27"/>
  <c r="G77" i="27"/>
  <c r="G76" i="27"/>
  <c r="G75" i="27"/>
  <c r="G74" i="27"/>
  <c r="G72" i="27"/>
  <c r="G71" i="27"/>
  <c r="G67" i="27"/>
  <c r="G66" i="27"/>
  <c r="G65" i="27"/>
  <c r="G60" i="27"/>
  <c r="G51" i="27"/>
  <c r="G50" i="27"/>
  <c r="G49" i="27"/>
  <c r="G48" i="27"/>
  <c r="G47" i="27"/>
  <c r="G46" i="27"/>
  <c r="G45" i="27"/>
  <c r="G43" i="27"/>
  <c r="G38" i="27"/>
  <c r="G31" i="27"/>
  <c r="G30" i="27"/>
  <c r="G29" i="27"/>
  <c r="G28" i="27"/>
  <c r="G27" i="27"/>
  <c r="G26" i="27"/>
  <c r="G25" i="27"/>
  <c r="G24" i="27"/>
  <c r="G23" i="27"/>
  <c r="G22" i="27"/>
  <c r="G21" i="27"/>
  <c r="G20" i="27"/>
  <c r="G19" i="27"/>
  <c r="G18" i="27"/>
  <c r="G14" i="27"/>
  <c r="G13" i="27"/>
  <c r="G12" i="27"/>
  <c r="G11" i="27"/>
  <c r="G9" i="27"/>
  <c r="G8" i="27"/>
  <c r="F166" i="15"/>
  <c r="F127" i="15"/>
  <c r="F119" i="15"/>
  <c r="F103" i="15"/>
  <c r="F9" i="15"/>
  <c r="F8" i="15"/>
  <c r="J219" i="28"/>
  <c r="J258" i="28" s="1"/>
  <c r="H219" i="28"/>
  <c r="J262" i="28"/>
  <c r="J265" i="28" s="1"/>
  <c r="J279" i="28"/>
  <c r="J53" i="28"/>
  <c r="H27" i="28"/>
  <c r="R203" i="15" l="1"/>
  <c r="X203" i="15" s="1"/>
  <c r="X201" i="15"/>
  <c r="F68" i="15"/>
  <c r="F62" i="15"/>
  <c r="F32" i="15"/>
  <c r="F162" i="15"/>
  <c r="G185" i="27"/>
  <c r="F97" i="15"/>
  <c r="F197" i="15"/>
  <c r="F129" i="15"/>
  <c r="F185" i="15"/>
  <c r="G68" i="27"/>
  <c r="G197" i="27"/>
  <c r="G32" i="27"/>
  <c r="G115" i="27"/>
  <c r="F115" i="15"/>
  <c r="G103" i="27"/>
  <c r="G129" i="27"/>
  <c r="J267" i="28"/>
  <c r="J269" i="28" s="1"/>
  <c r="J281" i="28" s="1"/>
  <c r="J87" i="25" l="1"/>
  <c r="J85" i="25"/>
  <c r="J63" i="25"/>
  <c r="J55" i="25"/>
  <c r="J29" i="25"/>
  <c r="J10" i="25"/>
  <c r="J8" i="25"/>
  <c r="Q199" i="15"/>
  <c r="G87" i="27" l="1"/>
  <c r="I10" i="15" l="1"/>
  <c r="L10" i="15"/>
  <c r="K10" i="15"/>
  <c r="H10" i="15"/>
  <c r="H10" i="27" s="1"/>
  <c r="G10" i="15"/>
  <c r="J10" i="15"/>
  <c r="O10" i="15"/>
  <c r="N10" i="15"/>
  <c r="F10" i="15"/>
  <c r="M10" i="15"/>
  <c r="E10" i="15"/>
  <c r="U10" i="15"/>
  <c r="I7" i="15" l="1"/>
  <c r="I15" i="15" s="1"/>
  <c r="I36" i="15" s="1"/>
  <c r="J7" i="15"/>
  <c r="J15" i="15" s="1"/>
  <c r="J36" i="15" s="1"/>
  <c r="K7" i="15"/>
  <c r="K15" i="15" s="1"/>
  <c r="K36" i="15" s="1"/>
  <c r="N7" i="15"/>
  <c r="M7" i="15"/>
  <c r="H7" i="15"/>
  <c r="O7" i="15"/>
  <c r="L7" i="15"/>
  <c r="D7" i="15"/>
  <c r="E7" i="15"/>
  <c r="F7" i="15"/>
  <c r="F15" i="15" s="1"/>
  <c r="G7" i="15"/>
  <c r="G15" i="15" s="1"/>
  <c r="G36" i="15" s="1"/>
  <c r="U7" i="15"/>
  <c r="E166" i="15"/>
  <c r="E127" i="15"/>
  <c r="E119" i="15"/>
  <c r="E102" i="15"/>
  <c r="E101" i="15"/>
  <c r="E100" i="15"/>
  <c r="E9" i="15"/>
  <c r="E8" i="15"/>
  <c r="I279" i="28"/>
  <c r="P279" i="28"/>
  <c r="Q279" i="28"/>
  <c r="R279" i="28"/>
  <c r="S279" i="28"/>
  <c r="H279" i="28"/>
  <c r="P265" i="28"/>
  <c r="Q265" i="28"/>
  <c r="R265" i="28"/>
  <c r="S265" i="28"/>
  <c r="P258" i="28"/>
  <c r="Q258" i="28"/>
  <c r="Q267" i="28" s="1"/>
  <c r="R258" i="28"/>
  <c r="S258" i="28"/>
  <c r="H258" i="28"/>
  <c r="T277" i="28"/>
  <c r="T276" i="28"/>
  <c r="T275" i="28"/>
  <c r="T274" i="28"/>
  <c r="T273" i="28"/>
  <c r="T263" i="28"/>
  <c r="T261" i="28"/>
  <c r="T260" i="28"/>
  <c r="T256" i="28"/>
  <c r="T255" i="28"/>
  <c r="T254" i="28"/>
  <c r="T253" i="28"/>
  <c r="T252" i="28"/>
  <c r="T251" i="28"/>
  <c r="T250" i="28"/>
  <c r="T249" i="28"/>
  <c r="T248" i="28"/>
  <c r="T247" i="28"/>
  <c r="T246" i="28"/>
  <c r="T245" i="28"/>
  <c r="T244" i="28"/>
  <c r="T243" i="28"/>
  <c r="T242" i="28"/>
  <c r="T241" i="28"/>
  <c r="T240" i="28"/>
  <c r="T239" i="28"/>
  <c r="T238" i="28"/>
  <c r="T237" i="28"/>
  <c r="T236" i="28"/>
  <c r="T235" i="28"/>
  <c r="T234" i="28"/>
  <c r="T233" i="28"/>
  <c r="T232" i="28"/>
  <c r="T231" i="28"/>
  <c r="T230" i="28"/>
  <c r="T229" i="28"/>
  <c r="T228" i="28"/>
  <c r="T227" i="28"/>
  <c r="T226" i="28"/>
  <c r="T225" i="28"/>
  <c r="T224" i="28"/>
  <c r="T223" i="28"/>
  <c r="T222" i="28"/>
  <c r="T221" i="28"/>
  <c r="T220" i="28"/>
  <c r="T218" i="28"/>
  <c r="T217" i="28"/>
  <c r="T216" i="28"/>
  <c r="T215" i="28"/>
  <c r="T214" i="28"/>
  <c r="T213" i="28"/>
  <c r="T212" i="28"/>
  <c r="T211" i="28"/>
  <c r="T210" i="28"/>
  <c r="T209" i="28"/>
  <c r="T208" i="28"/>
  <c r="T207" i="28"/>
  <c r="T206" i="28"/>
  <c r="T205" i="28"/>
  <c r="T204" i="28"/>
  <c r="T203" i="28"/>
  <c r="T202" i="28"/>
  <c r="T201" i="28"/>
  <c r="T200" i="28"/>
  <c r="T199" i="28"/>
  <c r="T198" i="28"/>
  <c r="T197" i="28"/>
  <c r="T196" i="28"/>
  <c r="T195" i="28"/>
  <c r="T194" i="28"/>
  <c r="T193" i="28"/>
  <c r="T192" i="28"/>
  <c r="T191" i="28"/>
  <c r="T190" i="28"/>
  <c r="T189" i="28"/>
  <c r="T188" i="28"/>
  <c r="T187" i="28"/>
  <c r="T186" i="28"/>
  <c r="T185" i="28"/>
  <c r="T184" i="28"/>
  <c r="T183" i="28"/>
  <c r="T182" i="28"/>
  <c r="T181" i="28"/>
  <c r="T180" i="28"/>
  <c r="T179" i="28"/>
  <c r="T178" i="28"/>
  <c r="T177" i="28"/>
  <c r="T176" i="28"/>
  <c r="T175" i="28"/>
  <c r="T174" i="28"/>
  <c r="T173" i="28"/>
  <c r="T172" i="28"/>
  <c r="T171" i="28"/>
  <c r="T170" i="28"/>
  <c r="T169" i="28"/>
  <c r="T168" i="28"/>
  <c r="T167" i="28"/>
  <c r="T166" i="28"/>
  <c r="T165" i="28"/>
  <c r="T164" i="28"/>
  <c r="T163" i="28"/>
  <c r="T162" i="28"/>
  <c r="T161" i="28"/>
  <c r="T160" i="28"/>
  <c r="T159" i="28"/>
  <c r="T158" i="28"/>
  <c r="T157" i="28"/>
  <c r="T156" i="28"/>
  <c r="T155" i="28"/>
  <c r="T154" i="28"/>
  <c r="T153" i="28"/>
  <c r="T152" i="28"/>
  <c r="T151" i="28"/>
  <c r="T150" i="28"/>
  <c r="T149" i="28"/>
  <c r="T148" i="28"/>
  <c r="T147" i="28"/>
  <c r="T146" i="28"/>
  <c r="T145" i="28"/>
  <c r="T144" i="28"/>
  <c r="T143" i="28"/>
  <c r="T142" i="28"/>
  <c r="T141" i="28"/>
  <c r="T140" i="28"/>
  <c r="T139" i="28"/>
  <c r="T138" i="28"/>
  <c r="T137" i="28"/>
  <c r="T136" i="28"/>
  <c r="T135" i="28"/>
  <c r="T134" i="28"/>
  <c r="T133" i="28"/>
  <c r="T132" i="28"/>
  <c r="T131" i="28"/>
  <c r="T130" i="28"/>
  <c r="T129" i="28"/>
  <c r="T128" i="28"/>
  <c r="T127" i="28"/>
  <c r="T126" i="28"/>
  <c r="T125" i="28"/>
  <c r="T124" i="28"/>
  <c r="T123" i="28"/>
  <c r="T122" i="28"/>
  <c r="T121" i="28"/>
  <c r="T120" i="28"/>
  <c r="T119" i="28"/>
  <c r="T118" i="28"/>
  <c r="T117" i="28"/>
  <c r="T116" i="28"/>
  <c r="T115" i="28"/>
  <c r="T114" i="28"/>
  <c r="T113" i="28"/>
  <c r="T112" i="28"/>
  <c r="T111" i="28"/>
  <c r="T110" i="28"/>
  <c r="T109" i="28"/>
  <c r="T108" i="28"/>
  <c r="T107" i="28"/>
  <c r="T106" i="28"/>
  <c r="T105" i="28"/>
  <c r="T104" i="28"/>
  <c r="T103" i="28"/>
  <c r="T102" i="28"/>
  <c r="T101" i="28"/>
  <c r="T100" i="28"/>
  <c r="T99" i="28"/>
  <c r="T98" i="28"/>
  <c r="T97" i="28"/>
  <c r="T96" i="28"/>
  <c r="T95" i="28"/>
  <c r="T94" i="28"/>
  <c r="T93" i="28"/>
  <c r="T92" i="28"/>
  <c r="T91" i="28"/>
  <c r="T90" i="28"/>
  <c r="T89" i="28"/>
  <c r="T88" i="28"/>
  <c r="T87" i="28"/>
  <c r="T86" i="28"/>
  <c r="T85" i="28"/>
  <c r="T84" i="28"/>
  <c r="T83" i="28"/>
  <c r="T82" i="28"/>
  <c r="T81" i="28"/>
  <c r="T80" i="28"/>
  <c r="T79" i="28"/>
  <c r="T78" i="28"/>
  <c r="T77" i="28"/>
  <c r="T76" i="28"/>
  <c r="T75" i="28"/>
  <c r="T74" i="28"/>
  <c r="T73" i="28"/>
  <c r="T72" i="28"/>
  <c r="T71" i="28"/>
  <c r="T70" i="28"/>
  <c r="T69" i="28"/>
  <c r="T68" i="28"/>
  <c r="T67" i="28"/>
  <c r="T66" i="28"/>
  <c r="T65" i="28"/>
  <c r="T64" i="28"/>
  <c r="T63" i="28"/>
  <c r="T62" i="28"/>
  <c r="T61" i="28"/>
  <c r="T60" i="28"/>
  <c r="T59" i="28"/>
  <c r="T58" i="28"/>
  <c r="T57"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10" i="28"/>
  <c r="I53" i="28"/>
  <c r="P53" i="28"/>
  <c r="Q53" i="28"/>
  <c r="R53" i="28"/>
  <c r="S53" i="28"/>
  <c r="H53" i="28"/>
  <c r="I262" i="28"/>
  <c r="I265" i="28" s="1"/>
  <c r="I219" i="28"/>
  <c r="I258" i="28" s="1"/>
  <c r="S267" i="28" l="1"/>
  <c r="R267" i="28"/>
  <c r="I267" i="28"/>
  <c r="S269" i="28"/>
  <c r="S281" i="28" s="1"/>
  <c r="T219" i="28"/>
  <c r="T258" i="28" s="1"/>
  <c r="R269" i="28"/>
  <c r="R281" i="28" s="1"/>
  <c r="Q269" i="28"/>
  <c r="Q281" i="28" s="1"/>
  <c r="H7" i="27"/>
  <c r="H15" i="27" s="1"/>
  <c r="H36" i="27" s="1"/>
  <c r="H15" i="15"/>
  <c r="H36" i="15" s="1"/>
  <c r="P267" i="28"/>
  <c r="P269" i="28" s="1"/>
  <c r="P281" i="28" s="1"/>
  <c r="I269" i="28"/>
  <c r="I281" i="28" s="1"/>
  <c r="T279" i="28"/>
  <c r="E62" i="15"/>
  <c r="E15" i="15"/>
  <c r="E129" i="15"/>
  <c r="E115" i="15"/>
  <c r="E68" i="15"/>
  <c r="E32" i="15"/>
  <c r="E185" i="15"/>
  <c r="E162" i="15"/>
  <c r="E97" i="15"/>
  <c r="E103" i="15"/>
  <c r="T53" i="28"/>
  <c r="H87" i="25"/>
  <c r="H86" i="25"/>
  <c r="H74" i="25"/>
  <c r="H73" i="25"/>
  <c r="H72" i="25"/>
  <c r="H71" i="25"/>
  <c r="H70" i="25"/>
  <c r="H65" i="25"/>
  <c r="H64" i="25"/>
  <c r="H63" i="25"/>
  <c r="H85" i="25" s="1"/>
  <c r="H62" i="25"/>
  <c r="H59" i="25"/>
  <c r="H55" i="25"/>
  <c r="H56" i="25" s="1"/>
  <c r="H51" i="25"/>
  <c r="H52" i="25" s="1"/>
  <c r="H37" i="25"/>
  <c r="H38" i="25" s="1"/>
  <c r="H33" i="25"/>
  <c r="H34" i="25" s="1"/>
  <c r="H29" i="25"/>
  <c r="H30" i="25" s="1"/>
  <c r="H24" i="25"/>
  <c r="H11" i="25"/>
  <c r="H10" i="25"/>
  <c r="H9" i="25"/>
  <c r="H8" i="25"/>
  <c r="H262" i="28"/>
  <c r="D76" i="27"/>
  <c r="D77" i="27"/>
  <c r="D78" i="27"/>
  <c r="D79" i="27"/>
  <c r="D80" i="27"/>
  <c r="D81" i="27"/>
  <c r="D82" i="27"/>
  <c r="D84" i="27"/>
  <c r="D85" i="27"/>
  <c r="D86" i="27"/>
  <c r="D87" i="27"/>
  <c r="D88" i="27"/>
  <c r="D89" i="27"/>
  <c r="D91" i="27"/>
  <c r="D92" i="27"/>
  <c r="D93" i="27"/>
  <c r="D94" i="27"/>
  <c r="D95" i="27"/>
  <c r="E76" i="27"/>
  <c r="F76" i="27"/>
  <c r="I76" i="27"/>
  <c r="J76" i="27"/>
  <c r="K76" i="27"/>
  <c r="M76" i="27"/>
  <c r="N76" i="27"/>
  <c r="O76" i="27"/>
  <c r="P76" i="27"/>
  <c r="E77" i="27"/>
  <c r="F77" i="27"/>
  <c r="I77" i="27"/>
  <c r="J77" i="27"/>
  <c r="K77" i="27"/>
  <c r="M77" i="27"/>
  <c r="N77" i="27"/>
  <c r="O77" i="27"/>
  <c r="P77" i="27"/>
  <c r="E78" i="27"/>
  <c r="F78" i="27"/>
  <c r="I78" i="27"/>
  <c r="J78" i="27"/>
  <c r="K78" i="27"/>
  <c r="M78" i="27"/>
  <c r="N78" i="27"/>
  <c r="O78" i="27"/>
  <c r="P78" i="27"/>
  <c r="E79" i="27"/>
  <c r="F79" i="27"/>
  <c r="I79" i="27"/>
  <c r="J79" i="27"/>
  <c r="K79" i="27"/>
  <c r="M79" i="27"/>
  <c r="N79" i="27"/>
  <c r="O79" i="27"/>
  <c r="P79" i="27"/>
  <c r="E80" i="27"/>
  <c r="F80" i="27"/>
  <c r="I80" i="27"/>
  <c r="J80" i="27"/>
  <c r="K80" i="27"/>
  <c r="M80" i="27"/>
  <c r="N80" i="27"/>
  <c r="O80" i="27"/>
  <c r="P80" i="27"/>
  <c r="E81" i="27"/>
  <c r="F81" i="27"/>
  <c r="I81" i="27"/>
  <c r="J81" i="27"/>
  <c r="K81" i="27"/>
  <c r="M81" i="27"/>
  <c r="N81" i="27"/>
  <c r="O81" i="27"/>
  <c r="P81" i="27"/>
  <c r="E82" i="27"/>
  <c r="F82" i="27"/>
  <c r="I82" i="27"/>
  <c r="J82" i="27"/>
  <c r="K82" i="27"/>
  <c r="M82" i="27"/>
  <c r="N82" i="27"/>
  <c r="O82" i="27"/>
  <c r="P82" i="27"/>
  <c r="E83" i="27"/>
  <c r="F83" i="27"/>
  <c r="I83" i="27"/>
  <c r="J83" i="27"/>
  <c r="K83" i="27"/>
  <c r="M83" i="27"/>
  <c r="N83" i="27"/>
  <c r="O83" i="27"/>
  <c r="P83" i="27"/>
  <c r="E84" i="27"/>
  <c r="F84" i="27"/>
  <c r="I84" i="27"/>
  <c r="J84" i="27"/>
  <c r="K84" i="27"/>
  <c r="M84" i="27"/>
  <c r="N84" i="27"/>
  <c r="O84" i="27"/>
  <c r="P84" i="27"/>
  <c r="E85" i="27"/>
  <c r="F85" i="27"/>
  <c r="I85" i="27"/>
  <c r="J85" i="27"/>
  <c r="K85" i="27"/>
  <c r="M85" i="27"/>
  <c r="N85" i="27"/>
  <c r="O85" i="27"/>
  <c r="P85" i="27"/>
  <c r="E86" i="27"/>
  <c r="F86" i="27"/>
  <c r="I86" i="27"/>
  <c r="J86" i="27"/>
  <c r="K86" i="27"/>
  <c r="M86" i="27"/>
  <c r="N86" i="27"/>
  <c r="O86" i="27"/>
  <c r="P86" i="27"/>
  <c r="E87" i="27"/>
  <c r="F87" i="27"/>
  <c r="I87" i="27"/>
  <c r="J87" i="27"/>
  <c r="K87" i="27"/>
  <c r="M87" i="27"/>
  <c r="N87" i="27"/>
  <c r="O87" i="27"/>
  <c r="P87" i="27"/>
  <c r="E88" i="27"/>
  <c r="F88" i="27"/>
  <c r="J88" i="27"/>
  <c r="K88" i="27"/>
  <c r="M88" i="27"/>
  <c r="N88" i="27"/>
  <c r="O88" i="27"/>
  <c r="P88" i="27"/>
  <c r="E89" i="27"/>
  <c r="F89" i="27"/>
  <c r="I89" i="27"/>
  <c r="J89" i="27"/>
  <c r="K89" i="27"/>
  <c r="M89" i="27"/>
  <c r="N89" i="27"/>
  <c r="O89" i="27"/>
  <c r="P89" i="27"/>
  <c r="E90" i="27"/>
  <c r="F90" i="27"/>
  <c r="I90" i="27"/>
  <c r="J90" i="27"/>
  <c r="K90" i="27"/>
  <c r="M90" i="27"/>
  <c r="N90" i="27"/>
  <c r="O90" i="27"/>
  <c r="P90" i="27"/>
  <c r="E91" i="27"/>
  <c r="F91" i="27"/>
  <c r="I91" i="27"/>
  <c r="J91" i="27"/>
  <c r="K91" i="27"/>
  <c r="M91" i="27"/>
  <c r="N91" i="27"/>
  <c r="O91" i="27"/>
  <c r="P91" i="27"/>
  <c r="E92" i="27"/>
  <c r="F92" i="27"/>
  <c r="I92" i="27"/>
  <c r="J92" i="27"/>
  <c r="K92" i="27"/>
  <c r="M92" i="27"/>
  <c r="N92" i="27"/>
  <c r="O92" i="27"/>
  <c r="P92" i="27"/>
  <c r="E93" i="27"/>
  <c r="F93" i="27"/>
  <c r="I93" i="27"/>
  <c r="J93" i="27"/>
  <c r="K93" i="27"/>
  <c r="M93" i="27"/>
  <c r="N93" i="27"/>
  <c r="O93" i="27"/>
  <c r="P93" i="27"/>
  <c r="E94" i="27"/>
  <c r="F94" i="27"/>
  <c r="I94" i="27"/>
  <c r="J94" i="27"/>
  <c r="K94" i="27"/>
  <c r="M94" i="27"/>
  <c r="N94" i="27"/>
  <c r="O94" i="27"/>
  <c r="P94" i="27"/>
  <c r="E95" i="27"/>
  <c r="F95" i="27"/>
  <c r="I95" i="27"/>
  <c r="J95" i="27"/>
  <c r="K95" i="27"/>
  <c r="M95" i="27"/>
  <c r="N95" i="27"/>
  <c r="O95" i="27"/>
  <c r="P95" i="27"/>
  <c r="E96" i="27"/>
  <c r="F96" i="27"/>
  <c r="I96" i="27"/>
  <c r="J96" i="27"/>
  <c r="K96" i="27"/>
  <c r="M96" i="27"/>
  <c r="N96" i="27"/>
  <c r="O96" i="27"/>
  <c r="P96" i="27"/>
  <c r="D83" i="27"/>
  <c r="D90" i="27"/>
  <c r="D96" i="27"/>
  <c r="H265" i="28" l="1"/>
  <c r="H267" i="28" s="1"/>
  <c r="H269" i="28" s="1"/>
  <c r="H281" i="28" s="1"/>
  <c r="T262" i="28"/>
  <c r="T265" i="28" s="1"/>
  <c r="T267" i="28" s="1"/>
  <c r="T269" i="28" s="1"/>
  <c r="T281" i="28" s="1"/>
  <c r="Q77" i="15"/>
  <c r="K83" i="25"/>
  <c r="G83" i="25"/>
  <c r="E36" i="15"/>
  <c r="H75" i="25"/>
  <c r="Q76" i="15"/>
  <c r="H13" i="25"/>
  <c r="H22" i="25"/>
  <c r="H66" i="25"/>
  <c r="H67" i="25" s="1"/>
  <c r="H48" i="25"/>
  <c r="U76" i="15" l="1"/>
  <c r="U77" i="15"/>
  <c r="H26" i="25"/>
  <c r="H77" i="25"/>
  <c r="H81" i="25" l="1"/>
  <c r="H89" i="25" s="1"/>
  <c r="H91" i="25" s="1"/>
  <c r="D57" i="15"/>
  <c r="D127" i="15"/>
  <c r="D129" i="15" s="1"/>
  <c r="Q112" i="15"/>
  <c r="U112" i="15" s="1"/>
  <c r="D102" i="15"/>
  <c r="Q102" i="15" s="1"/>
  <c r="U102" i="15" s="1"/>
  <c r="D101" i="15"/>
  <c r="D100" i="15"/>
  <c r="D68" i="15"/>
  <c r="D61" i="15"/>
  <c r="D10" i="15"/>
  <c r="D9" i="15"/>
  <c r="D8" i="15"/>
  <c r="D166" i="15"/>
  <c r="D119" i="15"/>
  <c r="U41" i="15" l="1"/>
  <c r="Y41" i="15"/>
  <c r="F36" i="15"/>
  <c r="G10" i="27"/>
  <c r="D103" i="15"/>
  <c r="D197" i="15"/>
  <c r="D185" i="15"/>
  <c r="D162" i="15"/>
  <c r="D32" i="15"/>
  <c r="D97" i="15"/>
  <c r="D115" i="15"/>
  <c r="D62" i="15"/>
  <c r="D15" i="15" l="1"/>
  <c r="D36" i="15" s="1"/>
  <c r="G7" i="27"/>
  <c r="G15" i="27" s="1"/>
  <c r="G36" i="27" s="1"/>
  <c r="G73" i="27" l="1"/>
  <c r="G97" i="27" s="1"/>
  <c r="G135" i="27" l="1"/>
  <c r="G162" i="27" s="1"/>
  <c r="N135" i="15"/>
  <c r="O135" i="15"/>
  <c r="N55" i="15" l="1"/>
  <c r="M55" i="15"/>
  <c r="L55" i="15"/>
  <c r="G55" i="27"/>
  <c r="N54" i="15"/>
  <c r="M54" i="15"/>
  <c r="L54" i="15"/>
  <c r="G54" i="27"/>
  <c r="P44" i="15" l="1"/>
  <c r="P42" i="15"/>
  <c r="P40" i="15"/>
  <c r="P52" i="15"/>
  <c r="B42" i="13"/>
  <c r="B41" i="13"/>
  <c r="B40" i="13"/>
  <c r="C7" i="13" s="1"/>
  <c r="B39" i="13"/>
  <c r="B38" i="13"/>
  <c r="B37" i="13"/>
  <c r="C6" i="13" l="1"/>
  <c r="O58" i="15"/>
  <c r="G58" i="27"/>
  <c r="N58" i="15"/>
  <c r="M58" i="15"/>
  <c r="L58" i="15"/>
  <c r="L56" i="15"/>
  <c r="M56" i="15"/>
  <c r="N56" i="15"/>
  <c r="G56" i="27"/>
  <c r="G57" i="27"/>
  <c r="N44" i="15"/>
  <c r="M44" i="15"/>
  <c r="L44" i="15"/>
  <c r="G44" i="27"/>
  <c r="M42" i="15"/>
  <c r="G42" i="27"/>
  <c r="N42" i="15"/>
  <c r="L42" i="15"/>
  <c r="G52" i="27"/>
  <c r="N52" i="15"/>
  <c r="M52" i="15"/>
  <c r="L52" i="15"/>
  <c r="N53" i="15"/>
  <c r="G53" i="27"/>
  <c r="M53" i="15"/>
  <c r="L53" i="15"/>
  <c r="Q58" i="15" l="1"/>
  <c r="G59" i="27"/>
  <c r="Q59" i="15"/>
  <c r="U59" i="15" l="1"/>
  <c r="Y59" i="15"/>
  <c r="U58" i="15"/>
  <c r="Y58" i="15"/>
  <c r="Q14" i="15"/>
  <c r="U14" i="15" s="1"/>
  <c r="L32" i="15" l="1"/>
  <c r="L68" i="15"/>
  <c r="L97" i="15"/>
  <c r="L103" i="15"/>
  <c r="L115" i="15"/>
  <c r="L119" i="15"/>
  <c r="M122" i="27"/>
  <c r="L129" i="15"/>
  <c r="L162" i="15"/>
  <c r="L185" i="15"/>
  <c r="L166" i="15"/>
  <c r="K122" i="27"/>
  <c r="M8" i="27"/>
  <c r="M9" i="27"/>
  <c r="M11" i="27"/>
  <c r="M12" i="27"/>
  <c r="M13" i="27"/>
  <c r="M14" i="27"/>
  <c r="M18" i="27"/>
  <c r="M19" i="27"/>
  <c r="M20" i="27"/>
  <c r="M21" i="27"/>
  <c r="M22" i="27"/>
  <c r="M23" i="27"/>
  <c r="M24" i="27"/>
  <c r="M25" i="27"/>
  <c r="M26" i="27"/>
  <c r="M27" i="27"/>
  <c r="M28" i="27"/>
  <c r="M29" i="27"/>
  <c r="M30" i="27"/>
  <c r="M31" i="27"/>
  <c r="M38" i="27"/>
  <c r="M43" i="27"/>
  <c r="M45" i="27"/>
  <c r="M46" i="27"/>
  <c r="M47" i="27"/>
  <c r="M48" i="27"/>
  <c r="M49" i="27"/>
  <c r="M50" i="27"/>
  <c r="M51" i="27"/>
  <c r="M57" i="27"/>
  <c r="M58" i="27"/>
  <c r="M60" i="27"/>
  <c r="M65" i="27"/>
  <c r="M66" i="27"/>
  <c r="M67" i="27"/>
  <c r="M71" i="27"/>
  <c r="M72" i="27"/>
  <c r="M73" i="27"/>
  <c r="M74" i="27"/>
  <c r="M75" i="27"/>
  <c r="M100" i="27"/>
  <c r="M101" i="27"/>
  <c r="M102" i="27"/>
  <c r="M106" i="27"/>
  <c r="M107" i="27"/>
  <c r="M108" i="27"/>
  <c r="M109" i="27"/>
  <c r="M110" i="27"/>
  <c r="M111" i="27"/>
  <c r="M112" i="27"/>
  <c r="M113" i="27"/>
  <c r="M114" i="27"/>
  <c r="M118" i="27"/>
  <c r="M119" i="27" s="1"/>
  <c r="M127" i="27"/>
  <c r="M128"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6" i="27"/>
  <c r="M169" i="27"/>
  <c r="M170" i="27"/>
  <c r="M171" i="27"/>
  <c r="M172" i="27"/>
  <c r="M173" i="27"/>
  <c r="M174" i="27"/>
  <c r="M175" i="27"/>
  <c r="M176" i="27"/>
  <c r="M177" i="27"/>
  <c r="M178" i="27"/>
  <c r="M179" i="27"/>
  <c r="M180" i="27"/>
  <c r="M181" i="27"/>
  <c r="M182" i="27"/>
  <c r="M183" i="27"/>
  <c r="M184" i="27"/>
  <c r="M198" i="27"/>
  <c r="M199" i="27"/>
  <c r="J122" i="27"/>
  <c r="I122" i="27"/>
  <c r="I197" i="15"/>
  <c r="O14" i="27"/>
  <c r="N14" i="27"/>
  <c r="K14" i="27"/>
  <c r="J14" i="27"/>
  <c r="I14" i="27"/>
  <c r="Q22" i="15"/>
  <c r="Q23" i="15"/>
  <c r="U23" i="15" s="1"/>
  <c r="F122" i="27"/>
  <c r="O56" i="27"/>
  <c r="F25" i="27"/>
  <c r="F26" i="27"/>
  <c r="E122" i="27"/>
  <c r="C187" i="15"/>
  <c r="Q65" i="15"/>
  <c r="U65" i="15" s="1"/>
  <c r="Q66" i="15"/>
  <c r="Q67" i="15"/>
  <c r="Q71" i="15"/>
  <c r="Q72" i="15"/>
  <c r="Q74" i="15"/>
  <c r="Q84" i="15"/>
  <c r="U84" i="15" s="1"/>
  <c r="Q85" i="15"/>
  <c r="Q88" i="15"/>
  <c r="Q73" i="15"/>
  <c r="Q75" i="15"/>
  <c r="Q78" i="15"/>
  <c r="Q79" i="15"/>
  <c r="Q80" i="15"/>
  <c r="U80" i="15" s="1"/>
  <c r="Q81" i="15"/>
  <c r="U81" i="15" s="1"/>
  <c r="Q82" i="15"/>
  <c r="Q83" i="15"/>
  <c r="Q86" i="15"/>
  <c r="Q87" i="15"/>
  <c r="U87" i="15" s="1"/>
  <c r="Q89" i="15"/>
  <c r="Q90" i="15"/>
  <c r="Q91" i="15"/>
  <c r="Q92" i="15"/>
  <c r="Q93" i="15"/>
  <c r="Q94" i="15"/>
  <c r="Q95" i="15"/>
  <c r="Q96" i="15"/>
  <c r="Q100" i="15"/>
  <c r="Q101" i="15"/>
  <c r="Q106" i="15"/>
  <c r="Q107" i="15"/>
  <c r="Q108" i="15"/>
  <c r="Q109" i="15"/>
  <c r="Q110" i="15"/>
  <c r="Q111" i="15"/>
  <c r="Q113" i="15"/>
  <c r="Q114" i="15"/>
  <c r="Q118" i="15"/>
  <c r="Q127" i="15"/>
  <c r="Q128" i="15"/>
  <c r="Q132" i="15"/>
  <c r="Q133" i="15"/>
  <c r="Q134" i="15"/>
  <c r="Q135" i="15"/>
  <c r="Q136" i="15"/>
  <c r="Q137" i="15"/>
  <c r="U137" i="15" s="1"/>
  <c r="Q138" i="15"/>
  <c r="Q139" i="15"/>
  <c r="Q140" i="15"/>
  <c r="U140" i="15" s="1"/>
  <c r="Q141" i="15"/>
  <c r="Q142" i="15"/>
  <c r="Q143" i="15"/>
  <c r="Q144" i="15"/>
  <c r="Q145" i="15"/>
  <c r="Q146" i="15"/>
  <c r="Q147" i="15"/>
  <c r="Q148" i="15"/>
  <c r="Q149" i="15"/>
  <c r="Q150" i="15"/>
  <c r="Q151" i="15"/>
  <c r="U151" i="15" s="1"/>
  <c r="Q152" i="15"/>
  <c r="Q153" i="15"/>
  <c r="Q154" i="15"/>
  <c r="Q155" i="15"/>
  <c r="Q156" i="15"/>
  <c r="Q157" i="15"/>
  <c r="Q158" i="15"/>
  <c r="Q159" i="15"/>
  <c r="Q160" i="15"/>
  <c r="Q161" i="15"/>
  <c r="Q165" i="15"/>
  <c r="Q169" i="15"/>
  <c r="Q170" i="15"/>
  <c r="Q171" i="15"/>
  <c r="Q172" i="15"/>
  <c r="Q173" i="15"/>
  <c r="Q174" i="15"/>
  <c r="Q175" i="15"/>
  <c r="Q176" i="15"/>
  <c r="Q177" i="15"/>
  <c r="Q179" i="15"/>
  <c r="U179" i="15" s="1"/>
  <c r="Q180" i="15"/>
  <c r="Q181" i="15"/>
  <c r="Q182" i="15"/>
  <c r="Q184" i="15"/>
  <c r="U184" i="15" s="1"/>
  <c r="P43" i="15"/>
  <c r="I44" i="27"/>
  <c r="J44" i="27"/>
  <c r="M44" i="27"/>
  <c r="O44" i="15"/>
  <c r="Q44" i="27"/>
  <c r="Q45" i="15"/>
  <c r="Q46" i="15"/>
  <c r="Q47" i="15"/>
  <c r="Q48" i="15"/>
  <c r="Q49" i="15"/>
  <c r="Q50" i="15"/>
  <c r="Q51" i="15"/>
  <c r="F52" i="27"/>
  <c r="J52" i="27"/>
  <c r="M52" i="27"/>
  <c r="N52" i="27"/>
  <c r="O52" i="27"/>
  <c r="O52" i="15"/>
  <c r="P52" i="27" s="1"/>
  <c r="Q52" i="27"/>
  <c r="I54" i="27"/>
  <c r="M54" i="27"/>
  <c r="N54" i="27"/>
  <c r="P54" i="27"/>
  <c r="F55" i="27"/>
  <c r="J55" i="27"/>
  <c r="K55" i="27"/>
  <c r="M55" i="27"/>
  <c r="O55" i="27"/>
  <c r="E56" i="27"/>
  <c r="F56" i="27"/>
  <c r="J56" i="27"/>
  <c r="K56" i="27"/>
  <c r="M56" i="27"/>
  <c r="N56" i="27"/>
  <c r="Q57" i="15"/>
  <c r="Q60" i="15"/>
  <c r="Q19" i="15"/>
  <c r="Q20" i="15"/>
  <c r="Q21" i="15"/>
  <c r="Q24" i="15"/>
  <c r="Q25" i="15"/>
  <c r="Q26" i="15"/>
  <c r="Q27" i="15"/>
  <c r="U27" i="15" s="1"/>
  <c r="Q28" i="15"/>
  <c r="U28" i="15" s="1"/>
  <c r="Q29" i="15"/>
  <c r="Q30" i="15"/>
  <c r="P198" i="27"/>
  <c r="O198" i="27"/>
  <c r="N198" i="27"/>
  <c r="Q8" i="15"/>
  <c r="P7" i="15" s="1"/>
  <c r="P135" i="27"/>
  <c r="O135" i="27"/>
  <c r="N135" i="27"/>
  <c r="P134" i="27"/>
  <c r="O134" i="27"/>
  <c r="N134" i="27"/>
  <c r="P133" i="27"/>
  <c r="P132"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O133" i="27"/>
  <c r="N133" i="27"/>
  <c r="I135" i="27"/>
  <c r="F135" i="27"/>
  <c r="E135" i="27"/>
  <c r="D135" i="27"/>
  <c r="I134" i="27"/>
  <c r="F134" i="27"/>
  <c r="E134" i="27"/>
  <c r="D134" i="27"/>
  <c r="I30" i="27"/>
  <c r="F30" i="27"/>
  <c r="E30" i="27"/>
  <c r="D30" i="27"/>
  <c r="D8" i="27"/>
  <c r="E8" i="27"/>
  <c r="D9" i="27"/>
  <c r="E9" i="27"/>
  <c r="D10" i="27"/>
  <c r="D11" i="27"/>
  <c r="E11" i="27"/>
  <c r="F11" i="27"/>
  <c r="I11" i="27"/>
  <c r="J11" i="27"/>
  <c r="K11" i="27"/>
  <c r="D12" i="27"/>
  <c r="E12" i="27"/>
  <c r="D13" i="27"/>
  <c r="E13" i="27"/>
  <c r="F13" i="27"/>
  <c r="I13" i="27"/>
  <c r="I8" i="27"/>
  <c r="I9" i="27"/>
  <c r="I12" i="27"/>
  <c r="J13" i="27"/>
  <c r="K13" i="27"/>
  <c r="D14" i="27"/>
  <c r="E14" i="27"/>
  <c r="F14" i="27"/>
  <c r="D18" i="27"/>
  <c r="E18" i="27"/>
  <c r="E19" i="27"/>
  <c r="E20" i="27"/>
  <c r="E21" i="27"/>
  <c r="E22" i="27"/>
  <c r="E23" i="27"/>
  <c r="E24" i="27"/>
  <c r="E25" i="27"/>
  <c r="E26" i="27"/>
  <c r="E27" i="27"/>
  <c r="E28" i="27"/>
  <c r="E29" i="27"/>
  <c r="F33" i="27" s="1"/>
  <c r="E31" i="27"/>
  <c r="D19" i="27"/>
  <c r="D20" i="27"/>
  <c r="D21" i="27"/>
  <c r="D22" i="27"/>
  <c r="D23" i="27"/>
  <c r="D24" i="27"/>
  <c r="D25" i="27"/>
  <c r="D26" i="27"/>
  <c r="D27" i="27"/>
  <c r="D28" i="27"/>
  <c r="D29" i="27"/>
  <c r="D31" i="27"/>
  <c r="D38" i="27"/>
  <c r="E38" i="27"/>
  <c r="F38" i="27"/>
  <c r="I38" i="27"/>
  <c r="K38" i="27"/>
  <c r="D45" i="27"/>
  <c r="E45" i="27"/>
  <c r="D46" i="27"/>
  <c r="E46" i="27"/>
  <c r="D47" i="27"/>
  <c r="E47" i="27"/>
  <c r="F47" i="27"/>
  <c r="I47" i="27"/>
  <c r="J47" i="27"/>
  <c r="K47" i="27"/>
  <c r="D48" i="27"/>
  <c r="E48" i="27"/>
  <c r="D49" i="27"/>
  <c r="E49" i="27"/>
  <c r="D50" i="27"/>
  <c r="E50" i="27"/>
  <c r="D51" i="27"/>
  <c r="E51" i="27"/>
  <c r="D54" i="27"/>
  <c r="E54" i="27"/>
  <c r="D56" i="27"/>
  <c r="D57" i="27"/>
  <c r="E57" i="27"/>
  <c r="D58" i="27"/>
  <c r="D59" i="27"/>
  <c r="E59" i="27"/>
  <c r="D60" i="27"/>
  <c r="E60" i="27"/>
  <c r="F60" i="27"/>
  <c r="I60" i="27"/>
  <c r="J60" i="27"/>
  <c r="K60" i="27"/>
  <c r="C62" i="27"/>
  <c r="C187" i="27" s="1"/>
  <c r="D65" i="27"/>
  <c r="E65" i="27"/>
  <c r="D66" i="27"/>
  <c r="E66" i="27"/>
  <c r="D67" i="27"/>
  <c r="E67" i="27"/>
  <c r="D71" i="27"/>
  <c r="D72" i="27"/>
  <c r="D73" i="27"/>
  <c r="D74" i="27"/>
  <c r="D75" i="27"/>
  <c r="E71" i="27"/>
  <c r="E72" i="27"/>
  <c r="E73" i="27"/>
  <c r="E74" i="27"/>
  <c r="E75" i="27"/>
  <c r="D100" i="27"/>
  <c r="D101" i="27"/>
  <c r="D102" i="27"/>
  <c r="E100" i="27"/>
  <c r="E101" i="27"/>
  <c r="E102" i="27"/>
  <c r="D106" i="27"/>
  <c r="E106" i="27"/>
  <c r="D107" i="27"/>
  <c r="E107" i="27"/>
  <c r="D108" i="27"/>
  <c r="E108" i="27"/>
  <c r="D109" i="27"/>
  <c r="E109" i="27"/>
  <c r="D110" i="27"/>
  <c r="E110" i="27"/>
  <c r="D111" i="27"/>
  <c r="E111" i="27"/>
  <c r="E112" i="27"/>
  <c r="D113" i="27"/>
  <c r="E113" i="27"/>
  <c r="D114" i="27"/>
  <c r="E114" i="27"/>
  <c r="I118" i="27"/>
  <c r="I119" i="27" s="1"/>
  <c r="J118" i="27"/>
  <c r="J119" i="27" s="1"/>
  <c r="K118" i="27"/>
  <c r="K119" i="27" s="1"/>
  <c r="D119" i="27"/>
  <c r="E119" i="27"/>
  <c r="F119" i="27"/>
  <c r="D122" i="27"/>
  <c r="D127" i="27"/>
  <c r="D128" i="27"/>
  <c r="E127" i="27"/>
  <c r="E128" i="27"/>
  <c r="D132" i="27"/>
  <c r="E132" i="27"/>
  <c r="D133"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E133"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F161" i="27"/>
  <c r="I161" i="27"/>
  <c r="J161" i="27"/>
  <c r="K161" i="27"/>
  <c r="D166" i="27"/>
  <c r="E166" i="27"/>
  <c r="F166" i="27"/>
  <c r="I166" i="27"/>
  <c r="J166" i="27"/>
  <c r="K166" i="27"/>
  <c r="D169" i="27"/>
  <c r="E169" i="27"/>
  <c r="E170" i="27"/>
  <c r="E171" i="27"/>
  <c r="E172" i="27"/>
  <c r="E173" i="27"/>
  <c r="E174" i="27"/>
  <c r="E175" i="27"/>
  <c r="E176" i="27"/>
  <c r="E177" i="27"/>
  <c r="E178" i="27"/>
  <c r="E179" i="27"/>
  <c r="E180" i="27"/>
  <c r="E181" i="27"/>
  <c r="E182" i="27"/>
  <c r="E183" i="27"/>
  <c r="E184" i="27"/>
  <c r="D170" i="27"/>
  <c r="D171" i="27"/>
  <c r="D172" i="27"/>
  <c r="D173" i="27"/>
  <c r="D174" i="27"/>
  <c r="D175" i="27"/>
  <c r="D176" i="27"/>
  <c r="D177" i="27"/>
  <c r="D178" i="27"/>
  <c r="F178" i="27"/>
  <c r="I178" i="27"/>
  <c r="J178" i="27"/>
  <c r="K178" i="27"/>
  <c r="N178" i="27"/>
  <c r="O178" i="27"/>
  <c r="P178" i="27"/>
  <c r="D179" i="27"/>
  <c r="K179" i="27"/>
  <c r="D180" i="27"/>
  <c r="D181" i="27"/>
  <c r="D182" i="27"/>
  <c r="D183" i="27"/>
  <c r="D184" i="27"/>
  <c r="D195" i="27"/>
  <c r="R195" i="27" s="1"/>
  <c r="D198" i="27"/>
  <c r="E198" i="27"/>
  <c r="F198" i="27"/>
  <c r="I198" i="27"/>
  <c r="J198" i="27"/>
  <c r="K198" i="27"/>
  <c r="D199" i="27"/>
  <c r="E199" i="27"/>
  <c r="F199" i="27"/>
  <c r="I199" i="27"/>
  <c r="J199" i="27"/>
  <c r="K199" i="27"/>
  <c r="N8" i="27"/>
  <c r="O8" i="27"/>
  <c r="P8" i="27"/>
  <c r="N9" i="27"/>
  <c r="O9" i="27"/>
  <c r="P9" i="27"/>
  <c r="N11" i="27"/>
  <c r="O11" i="27"/>
  <c r="P11" i="27"/>
  <c r="N12" i="27"/>
  <c r="O12" i="27"/>
  <c r="P12" i="27"/>
  <c r="N13" i="27"/>
  <c r="O13" i="27"/>
  <c r="P13" i="27"/>
  <c r="P14" i="27"/>
  <c r="N18" i="27"/>
  <c r="N19" i="27"/>
  <c r="N20" i="27"/>
  <c r="N21" i="27"/>
  <c r="N22" i="27"/>
  <c r="N23" i="27"/>
  <c r="N24" i="27"/>
  <c r="N25" i="27"/>
  <c r="N26" i="27"/>
  <c r="N27" i="27"/>
  <c r="N28" i="27"/>
  <c r="N29" i="27"/>
  <c r="N31" i="27"/>
  <c r="O18" i="27"/>
  <c r="O19" i="27"/>
  <c r="O20" i="27"/>
  <c r="O21" i="27"/>
  <c r="O22" i="27"/>
  <c r="O23" i="27"/>
  <c r="O24" i="27"/>
  <c r="O25" i="27"/>
  <c r="O26" i="27"/>
  <c r="O27" i="27"/>
  <c r="O28" i="27"/>
  <c r="O29" i="27"/>
  <c r="O31" i="27"/>
  <c r="P18" i="27"/>
  <c r="P19" i="27"/>
  <c r="P20" i="27"/>
  <c r="P21" i="27"/>
  <c r="P22" i="27"/>
  <c r="P23" i="27"/>
  <c r="P24" i="27"/>
  <c r="P25" i="27"/>
  <c r="P26" i="27"/>
  <c r="P27" i="27"/>
  <c r="P28" i="27"/>
  <c r="P29" i="27"/>
  <c r="P31" i="27"/>
  <c r="R34" i="27"/>
  <c r="A34" i="27" s="1"/>
  <c r="N38" i="27"/>
  <c r="O38" i="27"/>
  <c r="P38" i="27"/>
  <c r="Q38" i="27"/>
  <c r="Q41" i="27"/>
  <c r="N43" i="27"/>
  <c r="O43" i="27"/>
  <c r="P43" i="27"/>
  <c r="N45" i="27"/>
  <c r="O45" i="27"/>
  <c r="P45" i="27"/>
  <c r="Q45" i="27"/>
  <c r="N46" i="27"/>
  <c r="O46" i="27"/>
  <c r="P46" i="27"/>
  <c r="Q46" i="27"/>
  <c r="N47" i="27"/>
  <c r="O47" i="27"/>
  <c r="P47" i="27"/>
  <c r="Q47" i="27"/>
  <c r="N48" i="27"/>
  <c r="O48" i="27"/>
  <c r="P48" i="27"/>
  <c r="Q48" i="27"/>
  <c r="N49" i="27"/>
  <c r="O49" i="27"/>
  <c r="P49" i="27"/>
  <c r="Q49" i="27"/>
  <c r="N50" i="27"/>
  <c r="O50" i="27"/>
  <c r="P50" i="27"/>
  <c r="Q50" i="27"/>
  <c r="N51" i="27"/>
  <c r="O51" i="27"/>
  <c r="P51" i="27"/>
  <c r="Q51" i="27"/>
  <c r="Q53" i="27"/>
  <c r="Q54" i="27"/>
  <c r="P55" i="27"/>
  <c r="Q55" i="27"/>
  <c r="N57" i="27"/>
  <c r="O57" i="27"/>
  <c r="P57" i="27"/>
  <c r="Q57" i="27"/>
  <c r="N58" i="27"/>
  <c r="O58" i="27"/>
  <c r="P58" i="27"/>
  <c r="Q58" i="27"/>
  <c r="N60" i="27"/>
  <c r="O60" i="27"/>
  <c r="P60" i="27"/>
  <c r="Q60" i="27"/>
  <c r="R63" i="27"/>
  <c r="R64" i="27"/>
  <c r="N65" i="27"/>
  <c r="O65" i="27"/>
  <c r="P65" i="27"/>
  <c r="P66" i="27"/>
  <c r="P67" i="27"/>
  <c r="N66" i="27"/>
  <c r="N67" i="27"/>
  <c r="O66" i="27"/>
  <c r="O67" i="27"/>
  <c r="N71" i="27"/>
  <c r="N72" i="27"/>
  <c r="N73" i="27"/>
  <c r="N74" i="27"/>
  <c r="N75" i="27"/>
  <c r="O71" i="27"/>
  <c r="P71" i="27"/>
  <c r="P72" i="27"/>
  <c r="P73" i="27"/>
  <c r="P74" i="27"/>
  <c r="P75" i="27"/>
  <c r="O72" i="27"/>
  <c r="O73" i="27"/>
  <c r="O74" i="27"/>
  <c r="O75" i="27"/>
  <c r="N100" i="27"/>
  <c r="N101" i="27"/>
  <c r="N102" i="27"/>
  <c r="O100" i="27"/>
  <c r="P100" i="27"/>
  <c r="O101" i="27"/>
  <c r="P101" i="27"/>
  <c r="O102" i="27"/>
  <c r="P102" i="27"/>
  <c r="R104" i="27"/>
  <c r="R105" i="27"/>
  <c r="N106" i="27"/>
  <c r="N107" i="27"/>
  <c r="N108" i="27"/>
  <c r="N109" i="27"/>
  <c r="N110" i="27"/>
  <c r="N111" i="27"/>
  <c r="N112" i="27"/>
  <c r="N113" i="27"/>
  <c r="N114" i="27"/>
  <c r="O106" i="27"/>
  <c r="P106" i="27"/>
  <c r="O107" i="27"/>
  <c r="P107" i="27"/>
  <c r="P108" i="27"/>
  <c r="P109" i="27"/>
  <c r="P110" i="27"/>
  <c r="P111" i="27"/>
  <c r="P112" i="27"/>
  <c r="P113" i="27"/>
  <c r="P114" i="27"/>
  <c r="O108" i="27"/>
  <c r="O109" i="27"/>
  <c r="O110" i="27"/>
  <c r="O111" i="27"/>
  <c r="O112" i="27"/>
  <c r="O113" i="27"/>
  <c r="O114" i="27"/>
  <c r="N118" i="27"/>
  <c r="N119" i="27" s="1"/>
  <c r="O118" i="27"/>
  <c r="O119" i="27" s="1"/>
  <c r="P118" i="27"/>
  <c r="P119" i="27" s="1"/>
  <c r="N122" i="27"/>
  <c r="O122" i="27"/>
  <c r="P122" i="27"/>
  <c r="N127" i="27"/>
  <c r="O127" i="27"/>
  <c r="O128" i="27"/>
  <c r="P127" i="27"/>
  <c r="N128" i="27"/>
  <c r="P128" i="27"/>
  <c r="N132" i="27"/>
  <c r="O132" i="27"/>
  <c r="N136" i="27"/>
  <c r="O136" i="27"/>
  <c r="N137" i="27"/>
  <c r="O137" i="27"/>
  <c r="N138" i="27"/>
  <c r="O138" i="27"/>
  <c r="N139" i="27"/>
  <c r="O139" i="27"/>
  <c r="N140" i="27"/>
  <c r="O140" i="27"/>
  <c r="N141" i="27"/>
  <c r="O141" i="27"/>
  <c r="N142" i="27"/>
  <c r="O142" i="27"/>
  <c r="N143" i="27"/>
  <c r="O143" i="27"/>
  <c r="N144" i="27"/>
  <c r="O144" i="27"/>
  <c r="N145" i="27"/>
  <c r="O145" i="27"/>
  <c r="N146" i="27"/>
  <c r="O146" i="27"/>
  <c r="N147" i="27"/>
  <c r="N148" i="27"/>
  <c r="N149" i="27"/>
  <c r="N150" i="27"/>
  <c r="N151" i="27"/>
  <c r="O147" i="27"/>
  <c r="O148" i="27"/>
  <c r="O149" i="27"/>
  <c r="O150" i="27"/>
  <c r="O151" i="27"/>
  <c r="N152" i="27"/>
  <c r="O152" i="27"/>
  <c r="N153" i="27"/>
  <c r="O153" i="27"/>
  <c r="N154" i="27"/>
  <c r="O154" i="27"/>
  <c r="N155" i="27"/>
  <c r="O155" i="27"/>
  <c r="N156" i="27"/>
  <c r="O156" i="27"/>
  <c r="N157" i="27"/>
  <c r="O157" i="27"/>
  <c r="N158" i="27"/>
  <c r="O158" i="27"/>
  <c r="N159" i="27"/>
  <c r="O159" i="27"/>
  <c r="N160" i="27"/>
  <c r="O160" i="27"/>
  <c r="N161" i="27"/>
  <c r="O161" i="27"/>
  <c r="R165" i="27"/>
  <c r="R166" i="27" s="1"/>
  <c r="N166" i="27"/>
  <c r="O166" i="27"/>
  <c r="P166" i="27"/>
  <c r="N169" i="27"/>
  <c r="O169" i="27"/>
  <c r="N170" i="27"/>
  <c r="O170" i="27"/>
  <c r="P170" i="27"/>
  <c r="N171" i="27"/>
  <c r="O171" i="27"/>
  <c r="P171" i="27"/>
  <c r="N172" i="27"/>
  <c r="O172" i="27"/>
  <c r="P172" i="27"/>
  <c r="N173" i="27"/>
  <c r="O173" i="27"/>
  <c r="P173" i="27"/>
  <c r="N174" i="27"/>
  <c r="O174" i="27"/>
  <c r="P174" i="27"/>
  <c r="N175" i="27"/>
  <c r="O175" i="27"/>
  <c r="P175" i="27"/>
  <c r="F175" i="27"/>
  <c r="I175" i="27"/>
  <c r="J175" i="27"/>
  <c r="K175" i="27"/>
  <c r="N176" i="27"/>
  <c r="O176" i="27"/>
  <c r="P176" i="27"/>
  <c r="N177" i="27"/>
  <c r="O177" i="27"/>
  <c r="P177" i="27"/>
  <c r="N179" i="27"/>
  <c r="O179" i="27"/>
  <c r="P179" i="27"/>
  <c r="N180" i="27"/>
  <c r="O180" i="27"/>
  <c r="P180" i="27"/>
  <c r="N181" i="27"/>
  <c r="O181" i="27"/>
  <c r="P181" i="27"/>
  <c r="N182" i="27"/>
  <c r="O182" i="27"/>
  <c r="P182" i="27"/>
  <c r="N183" i="27"/>
  <c r="N184" i="27"/>
  <c r="O183" i="27"/>
  <c r="P183" i="27"/>
  <c r="O184" i="27"/>
  <c r="P184" i="27"/>
  <c r="N199" i="27"/>
  <c r="O199" i="27"/>
  <c r="P199" i="27"/>
  <c r="R200" i="27"/>
  <c r="K30" i="27"/>
  <c r="J30" i="27"/>
  <c r="K9" i="27"/>
  <c r="K12" i="27"/>
  <c r="K18" i="27"/>
  <c r="K19" i="27"/>
  <c r="K20" i="27"/>
  <c r="K21" i="27"/>
  <c r="K22" i="27"/>
  <c r="K23" i="27"/>
  <c r="K24" i="27"/>
  <c r="K25" i="27"/>
  <c r="K26" i="27"/>
  <c r="K27" i="27"/>
  <c r="K28" i="27"/>
  <c r="K29" i="27"/>
  <c r="K31" i="27"/>
  <c r="K43" i="27"/>
  <c r="K45" i="27"/>
  <c r="K46" i="27"/>
  <c r="K48" i="27"/>
  <c r="K49" i="27"/>
  <c r="K50" i="27"/>
  <c r="K51" i="27"/>
  <c r="K54" i="27"/>
  <c r="K57" i="27"/>
  <c r="K58" i="27"/>
  <c r="K65" i="27"/>
  <c r="K66" i="27"/>
  <c r="K67" i="27"/>
  <c r="K71" i="27"/>
  <c r="K72" i="27"/>
  <c r="K73" i="27"/>
  <c r="K74" i="27"/>
  <c r="K75" i="27"/>
  <c r="K100" i="27"/>
  <c r="K101" i="27"/>
  <c r="K102" i="27"/>
  <c r="K107" i="27"/>
  <c r="K108" i="27"/>
  <c r="K109" i="27"/>
  <c r="K110" i="27"/>
  <c r="K111" i="27"/>
  <c r="K112" i="27"/>
  <c r="K113" i="27"/>
  <c r="K114" i="27"/>
  <c r="K127" i="27"/>
  <c r="K128" i="27"/>
  <c r="K132" i="27"/>
  <c r="K133" i="27"/>
  <c r="K134" i="27"/>
  <c r="K135" i="27"/>
  <c r="K136" i="27"/>
  <c r="K137" i="27"/>
  <c r="K138" i="27"/>
  <c r="K139" i="27"/>
  <c r="K140" i="27"/>
  <c r="K141" i="27"/>
  <c r="F141" i="27"/>
  <c r="I141" i="27"/>
  <c r="J141" i="27"/>
  <c r="K142" i="27"/>
  <c r="K143" i="27"/>
  <c r="K144" i="27"/>
  <c r="K145" i="27"/>
  <c r="K146" i="27"/>
  <c r="K147" i="27"/>
  <c r="K148" i="27"/>
  <c r="K149" i="27"/>
  <c r="K150" i="27"/>
  <c r="K151" i="27"/>
  <c r="K152" i="27"/>
  <c r="K153" i="27"/>
  <c r="K154" i="27"/>
  <c r="F154" i="27"/>
  <c r="I154" i="27"/>
  <c r="J154" i="27"/>
  <c r="K155" i="27"/>
  <c r="K156" i="27"/>
  <c r="K157" i="27"/>
  <c r="K158" i="27"/>
  <c r="K159" i="27"/>
  <c r="K160" i="27"/>
  <c r="K169" i="27"/>
  <c r="K170" i="27"/>
  <c r="F170" i="27"/>
  <c r="I170" i="27"/>
  <c r="J170" i="27"/>
  <c r="K171" i="27"/>
  <c r="K172" i="27"/>
  <c r="K173" i="27"/>
  <c r="K174" i="27"/>
  <c r="K176" i="27"/>
  <c r="K177" i="27"/>
  <c r="K180" i="27"/>
  <c r="K181" i="27"/>
  <c r="K182" i="27"/>
  <c r="K183" i="27"/>
  <c r="K184" i="27"/>
  <c r="J179" i="27"/>
  <c r="K106" i="27"/>
  <c r="J135" i="27"/>
  <c r="J134" i="27"/>
  <c r="K8" i="27"/>
  <c r="D55" i="27"/>
  <c r="E55" i="27"/>
  <c r="D42" i="27"/>
  <c r="E42" i="27"/>
  <c r="K44" i="27"/>
  <c r="D44" i="27"/>
  <c r="E44" i="27"/>
  <c r="E53" i="27"/>
  <c r="D53" i="27"/>
  <c r="E52" i="27"/>
  <c r="K52" i="27"/>
  <c r="D52" i="27"/>
  <c r="D41" i="27"/>
  <c r="K192" i="27"/>
  <c r="J111" i="27"/>
  <c r="J29" i="27"/>
  <c r="J8" i="27"/>
  <c r="J9" i="27"/>
  <c r="J12" i="27"/>
  <c r="J18" i="27"/>
  <c r="J19" i="27"/>
  <c r="J20" i="27"/>
  <c r="J21" i="27"/>
  <c r="J22" i="27"/>
  <c r="J23" i="27"/>
  <c r="J24" i="27"/>
  <c r="J25" i="27"/>
  <c r="J26" i="27"/>
  <c r="J27" i="27"/>
  <c r="J28" i="27"/>
  <c r="J31" i="27"/>
  <c r="J43" i="27"/>
  <c r="J45" i="27"/>
  <c r="J46" i="27"/>
  <c r="J48" i="27"/>
  <c r="J49" i="27"/>
  <c r="J50" i="27"/>
  <c r="J51" i="27"/>
  <c r="J54" i="27"/>
  <c r="J57" i="27"/>
  <c r="J58" i="27"/>
  <c r="J65" i="27"/>
  <c r="J66" i="27"/>
  <c r="J67" i="27"/>
  <c r="J71" i="27"/>
  <c r="J72" i="27"/>
  <c r="J73" i="27"/>
  <c r="J74" i="27"/>
  <c r="J75" i="27"/>
  <c r="J100" i="27"/>
  <c r="J102" i="27"/>
  <c r="J101" i="27"/>
  <c r="J106" i="27"/>
  <c r="J107" i="27"/>
  <c r="J108" i="27"/>
  <c r="J109" i="27"/>
  <c r="J110" i="27"/>
  <c r="J112" i="27"/>
  <c r="J113" i="27"/>
  <c r="J114" i="27"/>
  <c r="J127" i="27"/>
  <c r="J128" i="27"/>
  <c r="J132" i="27"/>
  <c r="J133" i="27"/>
  <c r="J136" i="27"/>
  <c r="J137" i="27"/>
  <c r="J138" i="27"/>
  <c r="J139" i="27"/>
  <c r="J140" i="27"/>
  <c r="J142" i="27"/>
  <c r="J143" i="27"/>
  <c r="J144" i="27"/>
  <c r="J145" i="27"/>
  <c r="J146" i="27"/>
  <c r="J147" i="27"/>
  <c r="J148" i="27"/>
  <c r="J149" i="27"/>
  <c r="J150" i="27"/>
  <c r="J151" i="27"/>
  <c r="J152" i="27"/>
  <c r="J153" i="27"/>
  <c r="J155" i="27"/>
  <c r="J156" i="27"/>
  <c r="J157" i="27"/>
  <c r="J158" i="27"/>
  <c r="J159" i="27"/>
  <c r="J160" i="27"/>
  <c r="J169" i="27"/>
  <c r="J171" i="27"/>
  <c r="J172" i="27"/>
  <c r="J173" i="27"/>
  <c r="J174" i="27"/>
  <c r="J176" i="27"/>
  <c r="J177" i="27"/>
  <c r="J180" i="27"/>
  <c r="J181" i="27"/>
  <c r="J182" i="27"/>
  <c r="J183" i="27"/>
  <c r="J184" i="27"/>
  <c r="J192" i="27"/>
  <c r="I18" i="27"/>
  <c r="I19" i="27"/>
  <c r="I20" i="27"/>
  <c r="I21" i="27"/>
  <c r="I22" i="27"/>
  <c r="I23" i="27"/>
  <c r="I24" i="27"/>
  <c r="I25" i="27"/>
  <c r="I26" i="27"/>
  <c r="I27" i="27"/>
  <c r="I28" i="27"/>
  <c r="I29" i="27"/>
  <c r="I31" i="27"/>
  <c r="I43" i="27"/>
  <c r="I45" i="27"/>
  <c r="I46" i="27"/>
  <c r="I48" i="27"/>
  <c r="I49" i="27"/>
  <c r="F49" i="27"/>
  <c r="I50" i="27"/>
  <c r="I51" i="27"/>
  <c r="I52" i="27"/>
  <c r="I56" i="27"/>
  <c r="I57" i="27"/>
  <c r="I58" i="27"/>
  <c r="I59" i="27"/>
  <c r="I65" i="27"/>
  <c r="I66" i="27"/>
  <c r="I67" i="27"/>
  <c r="I71" i="27"/>
  <c r="I72" i="27"/>
  <c r="I73" i="27"/>
  <c r="I75" i="27"/>
  <c r="I100" i="27"/>
  <c r="I101" i="27"/>
  <c r="I102" i="27"/>
  <c r="I106" i="27"/>
  <c r="I107" i="27"/>
  <c r="I108" i="27"/>
  <c r="I109" i="27"/>
  <c r="I110" i="27"/>
  <c r="I111" i="27"/>
  <c r="I112" i="27"/>
  <c r="I113" i="27"/>
  <c r="I114" i="27"/>
  <c r="I127" i="27"/>
  <c r="I128" i="27"/>
  <c r="I132" i="27"/>
  <c r="I133" i="27"/>
  <c r="I136" i="27"/>
  <c r="I137" i="27"/>
  <c r="I138" i="27"/>
  <c r="I139" i="27"/>
  <c r="I140" i="27"/>
  <c r="I142" i="27"/>
  <c r="I143" i="27"/>
  <c r="I144" i="27"/>
  <c r="I145" i="27"/>
  <c r="I146" i="27"/>
  <c r="I147" i="27"/>
  <c r="I148" i="27"/>
  <c r="I149" i="27"/>
  <c r="I150" i="27"/>
  <c r="I151" i="27"/>
  <c r="I152" i="27"/>
  <c r="I153" i="27"/>
  <c r="I155" i="27"/>
  <c r="I156" i="27"/>
  <c r="I157" i="27"/>
  <c r="I158" i="27"/>
  <c r="I159" i="27"/>
  <c r="I160" i="27"/>
  <c r="I169" i="27"/>
  <c r="I171" i="27"/>
  <c r="I172" i="27"/>
  <c r="I173" i="27"/>
  <c r="I174" i="27"/>
  <c r="I176" i="27"/>
  <c r="I177" i="27"/>
  <c r="I179" i="27"/>
  <c r="I180" i="27"/>
  <c r="I181" i="27"/>
  <c r="I182" i="27"/>
  <c r="I183" i="27"/>
  <c r="I184" i="27"/>
  <c r="I192" i="27"/>
  <c r="F27" i="27"/>
  <c r="Q9" i="15"/>
  <c r="B2" i="25"/>
  <c r="I84" i="25"/>
  <c r="I79" i="25"/>
  <c r="B2" i="27"/>
  <c r="F138" i="27"/>
  <c r="F139" i="27"/>
  <c r="F137" i="27"/>
  <c r="F184" i="27"/>
  <c r="F183" i="27"/>
  <c r="F182" i="27"/>
  <c r="F181" i="27"/>
  <c r="F180" i="27"/>
  <c r="F179" i="27"/>
  <c r="F177" i="27"/>
  <c r="F176" i="27"/>
  <c r="F174" i="27"/>
  <c r="F173" i="27"/>
  <c r="F172" i="27"/>
  <c r="F169" i="27"/>
  <c r="F171" i="27"/>
  <c r="F160" i="27"/>
  <c r="F159" i="27"/>
  <c r="F158" i="27"/>
  <c r="F157" i="27"/>
  <c r="F156" i="27"/>
  <c r="F155" i="27"/>
  <c r="F153" i="27"/>
  <c r="F152" i="27"/>
  <c r="F151" i="27"/>
  <c r="F150" i="27"/>
  <c r="F149" i="27"/>
  <c r="F148" i="27"/>
  <c r="F147" i="27"/>
  <c r="F146" i="27"/>
  <c r="F145" i="27"/>
  <c r="F144" i="27"/>
  <c r="F143" i="27"/>
  <c r="F142" i="27"/>
  <c r="F140" i="27"/>
  <c r="F136" i="27"/>
  <c r="F133" i="27"/>
  <c r="F132" i="27"/>
  <c r="F128" i="27"/>
  <c r="F127" i="27"/>
  <c r="F114" i="27"/>
  <c r="F113" i="27"/>
  <c r="F112" i="27"/>
  <c r="F111" i="27"/>
  <c r="F110" i="27"/>
  <c r="F109" i="27"/>
  <c r="F108" i="27"/>
  <c r="F107" i="27"/>
  <c r="F106" i="27"/>
  <c r="F102" i="27"/>
  <c r="F100" i="27"/>
  <c r="F101" i="27"/>
  <c r="F75" i="27"/>
  <c r="F74" i="27"/>
  <c r="F73" i="27"/>
  <c r="F72" i="27"/>
  <c r="F71" i="27"/>
  <c r="F67" i="27"/>
  <c r="F66" i="27"/>
  <c r="F65" i="27"/>
  <c r="F59" i="27"/>
  <c r="F58" i="27"/>
  <c r="F57" i="27"/>
  <c r="F51" i="27"/>
  <c r="F50" i="27"/>
  <c r="F48" i="27"/>
  <c r="F46" i="27"/>
  <c r="F45" i="27"/>
  <c r="F43" i="27"/>
  <c r="F31" i="27"/>
  <c r="F29" i="27"/>
  <c r="F28" i="27"/>
  <c r="F24" i="27"/>
  <c r="F23" i="27"/>
  <c r="F22" i="27"/>
  <c r="F21" i="27"/>
  <c r="F20" i="27"/>
  <c r="F19" i="27"/>
  <c r="F18" i="27"/>
  <c r="F12" i="27"/>
  <c r="F9" i="27"/>
  <c r="F8" i="27"/>
  <c r="C86" i="25"/>
  <c r="Q64" i="15"/>
  <c r="U64" i="15" s="1"/>
  <c r="Q18" i="15"/>
  <c r="P169" i="27"/>
  <c r="O103" i="15"/>
  <c r="N103" i="15"/>
  <c r="M103" i="15"/>
  <c r="E43" i="27"/>
  <c r="E58" i="27"/>
  <c r="E197" i="15"/>
  <c r="O185" i="15"/>
  <c r="N185" i="15"/>
  <c r="M185" i="15"/>
  <c r="B74" i="14"/>
  <c r="P56" i="27"/>
  <c r="O54" i="27"/>
  <c r="O197" i="15"/>
  <c r="N197" i="15"/>
  <c r="M197" i="15"/>
  <c r="L197" i="15"/>
  <c r="O166" i="15"/>
  <c r="N166" i="15"/>
  <c r="M166" i="15"/>
  <c r="O162" i="15"/>
  <c r="N162" i="15"/>
  <c r="M162" i="15"/>
  <c r="O129" i="15"/>
  <c r="N129" i="15"/>
  <c r="M129" i="15"/>
  <c r="O119" i="15"/>
  <c r="N119" i="15"/>
  <c r="M119" i="15"/>
  <c r="O115" i="15"/>
  <c r="N115" i="15"/>
  <c r="M115" i="15"/>
  <c r="O97" i="15"/>
  <c r="M97" i="15"/>
  <c r="O68" i="15"/>
  <c r="N68" i="15"/>
  <c r="M68" i="15"/>
  <c r="O32" i="15"/>
  <c r="N32" i="15"/>
  <c r="M32" i="15"/>
  <c r="N97" i="15"/>
  <c r="Q13" i="15"/>
  <c r="U13" i="15" s="1"/>
  <c r="Q200" i="15"/>
  <c r="U200" i="15" s="1"/>
  <c r="O44" i="27"/>
  <c r="N44" i="27"/>
  <c r="B4" i="14"/>
  <c r="A2" i="14"/>
  <c r="B50" i="13"/>
  <c r="C54" i="13" s="1"/>
  <c r="B32" i="13"/>
  <c r="B24" i="13"/>
  <c r="C8" i="13"/>
  <c r="C11" i="13" s="1"/>
  <c r="C10" i="13" s="1"/>
  <c r="B11" i="13" s="1"/>
  <c r="Q34" i="15"/>
  <c r="Q31" i="15"/>
  <c r="D43" i="27"/>
  <c r="D40" i="27"/>
  <c r="D61" i="27"/>
  <c r="AB3" i="3"/>
  <c r="E45" i="11" s="1"/>
  <c r="Y79"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W5" i="3"/>
  <c r="W4" i="3"/>
  <c r="W3" i="3"/>
  <c r="V79" i="3"/>
  <c r="X79"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O9" i="3"/>
  <c r="O8" i="3"/>
  <c r="O7" i="3"/>
  <c r="O6" i="3"/>
  <c r="O5" i="3"/>
  <c r="O4" i="3"/>
  <c r="O3" i="3"/>
  <c r="E72" i="11"/>
  <c r="C5" i="11"/>
  <c r="C23" i="11"/>
  <c r="G23" i="11" s="1"/>
  <c r="A1" i="11"/>
  <c r="C58" i="11" s="1"/>
  <c r="C22" i="11"/>
  <c r="G22" i="11" s="1"/>
  <c r="C21" i="11"/>
  <c r="G21" i="11" s="1"/>
  <c r="C20" i="11"/>
  <c r="G20" i="11"/>
  <c r="C19" i="11"/>
  <c r="G19" i="11" s="1"/>
  <c r="C18" i="11"/>
  <c r="G18" i="11" s="1"/>
  <c r="C17" i="11"/>
  <c r="G17" i="11" s="1"/>
  <c r="C16" i="11"/>
  <c r="G16" i="11" s="1"/>
  <c r="C15" i="11"/>
  <c r="G15" i="11" s="1"/>
  <c r="C14" i="11"/>
  <c r="G14" i="11" s="1"/>
  <c r="C13" i="11"/>
  <c r="G13" i="11" s="1"/>
  <c r="C12" i="11"/>
  <c r="G12" i="11" s="1"/>
  <c r="C11" i="11"/>
  <c r="G11" i="11" s="1"/>
  <c r="C10" i="11"/>
  <c r="G10" i="11" s="1"/>
  <c r="C9" i="11"/>
  <c r="G9" i="11" s="1"/>
  <c r="C8" i="11"/>
  <c r="G8" i="11" s="1"/>
  <c r="G24" i="11" s="1"/>
  <c r="C51" i="11" s="1"/>
  <c r="C35" i="11"/>
  <c r="AD3" i="3"/>
  <c r="E47" i="11" s="1"/>
  <c r="AC3" i="3"/>
  <c r="E46" i="11" s="1"/>
  <c r="J76" i="10"/>
  <c r="F76" i="10"/>
  <c r="J75" i="10"/>
  <c r="F75" i="10"/>
  <c r="J74" i="10"/>
  <c r="F74" i="10"/>
  <c r="L74" i="10" s="1"/>
  <c r="J73" i="10"/>
  <c r="F73" i="10"/>
  <c r="J72" i="10"/>
  <c r="F72" i="10"/>
  <c r="J71" i="10"/>
  <c r="F71" i="10"/>
  <c r="L71" i="10" s="1"/>
  <c r="J70" i="10"/>
  <c r="L70" i="10" s="1"/>
  <c r="F70" i="10"/>
  <c r="J69" i="10"/>
  <c r="F69" i="10"/>
  <c r="J68" i="10"/>
  <c r="F68" i="10"/>
  <c r="J67" i="10"/>
  <c r="F67" i="10"/>
  <c r="J66" i="10"/>
  <c r="L66" i="10" s="1"/>
  <c r="F66" i="10"/>
  <c r="J65" i="10"/>
  <c r="F65" i="10"/>
  <c r="J64" i="10"/>
  <c r="F64" i="10"/>
  <c r="J63" i="10"/>
  <c r="F63" i="10"/>
  <c r="J62" i="10"/>
  <c r="F62" i="10"/>
  <c r="J61" i="10"/>
  <c r="F61" i="10"/>
  <c r="J60" i="10"/>
  <c r="F60" i="10"/>
  <c r="J59" i="10"/>
  <c r="F59" i="10"/>
  <c r="J58" i="10"/>
  <c r="L58" i="10" s="1"/>
  <c r="F58" i="10"/>
  <c r="J57" i="10"/>
  <c r="F57" i="10"/>
  <c r="J56" i="10"/>
  <c r="F56" i="10"/>
  <c r="J55" i="10"/>
  <c r="L55" i="10" s="1"/>
  <c r="F55" i="10"/>
  <c r="J54" i="10"/>
  <c r="L54" i="10" s="1"/>
  <c r="F54" i="10"/>
  <c r="J53" i="10"/>
  <c r="F53" i="10"/>
  <c r="J52" i="10"/>
  <c r="L52" i="10" s="1"/>
  <c r="F52" i="10"/>
  <c r="J51" i="10"/>
  <c r="F51" i="10"/>
  <c r="J50" i="10"/>
  <c r="F50" i="10"/>
  <c r="L50" i="10" s="1"/>
  <c r="J49" i="10"/>
  <c r="F49" i="10"/>
  <c r="J48" i="10"/>
  <c r="F48" i="10"/>
  <c r="J47" i="10"/>
  <c r="F47" i="10"/>
  <c r="J46" i="10"/>
  <c r="L46" i="10" s="1"/>
  <c r="F46" i="10"/>
  <c r="J45" i="10"/>
  <c r="F45" i="10"/>
  <c r="J44" i="10"/>
  <c r="F44" i="10"/>
  <c r="J43" i="10"/>
  <c r="F43" i="10"/>
  <c r="J42" i="10"/>
  <c r="L42" i="10" s="1"/>
  <c r="F42" i="10"/>
  <c r="J41" i="10"/>
  <c r="F41" i="10"/>
  <c r="J40" i="10"/>
  <c r="F40" i="10"/>
  <c r="J39" i="10"/>
  <c r="F39" i="10"/>
  <c r="J38" i="10"/>
  <c r="F38" i="10"/>
  <c r="L38" i="10" s="1"/>
  <c r="J37" i="10"/>
  <c r="F37" i="10"/>
  <c r="L37" i="10" s="1"/>
  <c r="J36" i="10"/>
  <c r="F36" i="10"/>
  <c r="J35" i="10"/>
  <c r="L35" i="10" s="1"/>
  <c r="F35" i="10"/>
  <c r="J34" i="10"/>
  <c r="F34" i="10"/>
  <c r="J33" i="10"/>
  <c r="F33" i="10"/>
  <c r="J32" i="10"/>
  <c r="F32" i="10"/>
  <c r="J31" i="10"/>
  <c r="L31" i="10" s="1"/>
  <c r="F31" i="10"/>
  <c r="J30" i="10"/>
  <c r="F30" i="10"/>
  <c r="J29" i="10"/>
  <c r="F29" i="10"/>
  <c r="L29" i="10" s="1"/>
  <c r="J28" i="10"/>
  <c r="L28" i="10" s="1"/>
  <c r="F28" i="10"/>
  <c r="J27" i="10"/>
  <c r="F27" i="10"/>
  <c r="J26" i="10"/>
  <c r="F26" i="10"/>
  <c r="J25" i="10"/>
  <c r="F25" i="10"/>
  <c r="L25" i="10" s="1"/>
  <c r="J24" i="10"/>
  <c r="L24" i="10" s="1"/>
  <c r="F24" i="10"/>
  <c r="J23" i="10"/>
  <c r="L23" i="10" s="1"/>
  <c r="F23" i="10"/>
  <c r="J22" i="10"/>
  <c r="L22" i="10" s="1"/>
  <c r="F22" i="10"/>
  <c r="J21" i="10"/>
  <c r="L21" i="10" s="1"/>
  <c r="F21" i="10"/>
  <c r="J20" i="10"/>
  <c r="F20" i="10"/>
  <c r="L20" i="10" s="1"/>
  <c r="J19" i="10"/>
  <c r="L19" i="10" s="1"/>
  <c r="F19" i="10"/>
  <c r="J18" i="10"/>
  <c r="F18" i="10"/>
  <c r="J17" i="10"/>
  <c r="F17" i="10"/>
  <c r="L17" i="10" s="1"/>
  <c r="J16" i="10"/>
  <c r="F16" i="10"/>
  <c r="J15" i="10"/>
  <c r="F15" i="10"/>
  <c r="J14" i="10"/>
  <c r="F14" i="10"/>
  <c r="J13" i="10"/>
  <c r="F13" i="10"/>
  <c r="J12" i="10"/>
  <c r="F12" i="10"/>
  <c r="J11" i="10"/>
  <c r="F11" i="10"/>
  <c r="I77" i="10"/>
  <c r="H77" i="10"/>
  <c r="E77" i="10"/>
  <c r="F10" i="10"/>
  <c r="J10" i="10"/>
  <c r="D77" i="10"/>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D79" i="3"/>
  <c r="E79" i="3"/>
  <c r="F79" i="3"/>
  <c r="G79" i="3"/>
  <c r="H79" i="3"/>
  <c r="I79" i="3"/>
  <c r="J79" i="3"/>
  <c r="K79" i="3"/>
  <c r="L79" i="3"/>
  <c r="M79" i="3"/>
  <c r="N79" i="3"/>
  <c r="P79" i="3"/>
  <c r="Q79" i="3"/>
  <c r="S79" i="3"/>
  <c r="T79" i="3"/>
  <c r="U79" i="3"/>
  <c r="L13" i="10"/>
  <c r="L33" i="10"/>
  <c r="L57" i="10"/>
  <c r="C62" i="11"/>
  <c r="H48" i="11"/>
  <c r="G32" i="11"/>
  <c r="H32" i="11" s="1"/>
  <c r="L34" i="10"/>
  <c r="L30" i="10"/>
  <c r="L65" i="10"/>
  <c r="L73" i="10"/>
  <c r="L41" i="10"/>
  <c r="L45" i="10"/>
  <c r="L53" i="10"/>
  <c r="L18" i="10"/>
  <c r="L36" i="10"/>
  <c r="L69" i="10"/>
  <c r="J77" i="10"/>
  <c r="L61" i="10"/>
  <c r="L49" i="10"/>
  <c r="E192" i="27"/>
  <c r="N53" i="27"/>
  <c r="I53" i="27"/>
  <c r="O53" i="27"/>
  <c r="M53" i="27"/>
  <c r="F53" i="27"/>
  <c r="J53" i="27"/>
  <c r="P53" i="27"/>
  <c r="K53" i="27"/>
  <c r="I42" i="27"/>
  <c r="N55" i="27"/>
  <c r="I55" i="27"/>
  <c r="D112" i="27"/>
  <c r="F44" i="27"/>
  <c r="F54" i="27"/>
  <c r="F42" i="27"/>
  <c r="F192" i="27"/>
  <c r="O59" i="27"/>
  <c r="O42" i="27"/>
  <c r="Q42" i="27"/>
  <c r="M42" i="27"/>
  <c r="N59" i="27"/>
  <c r="Q56" i="27"/>
  <c r="O42" i="15"/>
  <c r="Q42" i="15" s="1"/>
  <c r="Y42" i="15" s="1"/>
  <c r="M59" i="27"/>
  <c r="P59" i="27"/>
  <c r="K59" i="27"/>
  <c r="Q59" i="27"/>
  <c r="K42" i="27"/>
  <c r="N42" i="27"/>
  <c r="J59" i="27"/>
  <c r="J42" i="27"/>
  <c r="Q55" i="15"/>
  <c r="Y55" i="15" s="1"/>
  <c r="Q56" i="15"/>
  <c r="Y56" i="15" s="1"/>
  <c r="L14" i="10" l="1"/>
  <c r="L26" i="10"/>
  <c r="L44" i="10"/>
  <c r="L62" i="10"/>
  <c r="L39" i="10"/>
  <c r="C3" i="11"/>
  <c r="G73" i="11"/>
  <c r="H73" i="11" s="1"/>
  <c r="G5" i="11"/>
  <c r="H11" i="11" s="1"/>
  <c r="C60" i="11"/>
  <c r="G72" i="11"/>
  <c r="H72" i="11" s="1"/>
  <c r="C38" i="11"/>
  <c r="G28" i="11"/>
  <c r="H28" i="11" s="1"/>
  <c r="G33" i="11"/>
  <c r="H33" i="11" s="1"/>
  <c r="G26" i="11"/>
  <c r="H26" i="11" s="1"/>
  <c r="H35" i="11" s="1"/>
  <c r="L10" i="10"/>
  <c r="L68" i="10"/>
  <c r="L72" i="10"/>
  <c r="R79" i="3"/>
  <c r="H9" i="11"/>
  <c r="F77" i="10"/>
  <c r="L77" i="10" s="1"/>
  <c r="C47" i="11"/>
  <c r="L12" i="10"/>
  <c r="L16" i="10"/>
  <c r="L32" i="10"/>
  <c r="L40" i="10"/>
  <c r="L48" i="10"/>
  <c r="L56" i="10"/>
  <c r="L60" i="10"/>
  <c r="L64" i="10"/>
  <c r="L76" i="10"/>
  <c r="C9" i="13"/>
  <c r="B9" i="13" s="1"/>
  <c r="H16" i="11"/>
  <c r="H22" i="11"/>
  <c r="O79" i="3"/>
  <c r="W79" i="3"/>
  <c r="C24" i="11"/>
  <c r="C54" i="11" s="1"/>
  <c r="D64" i="11"/>
  <c r="H17" i="11"/>
  <c r="H21" i="11"/>
  <c r="H18" i="11"/>
  <c r="H15" i="11"/>
  <c r="L11" i="10"/>
  <c r="L15" i="10"/>
  <c r="L27" i="10"/>
  <c r="L43" i="10"/>
  <c r="L47" i="10"/>
  <c r="L51" i="10"/>
  <c r="L59" i="10"/>
  <c r="L63" i="10"/>
  <c r="L67" i="10"/>
  <c r="L75" i="10"/>
  <c r="U22" i="15"/>
  <c r="W22" i="15"/>
  <c r="U11" i="15"/>
  <c r="U19" i="15"/>
  <c r="U183" i="15"/>
  <c r="U161" i="15"/>
  <c r="U106" i="15"/>
  <c r="U12" i="15"/>
  <c r="U60" i="15"/>
  <c r="U182" i="15"/>
  <c r="U160" i="15"/>
  <c r="U144" i="15"/>
  <c r="U114" i="15"/>
  <c r="C87" i="25"/>
  <c r="G87" i="25" s="1"/>
  <c r="U199" i="15"/>
  <c r="U51" i="15"/>
  <c r="B57" i="14"/>
  <c r="U181" i="15"/>
  <c r="U159" i="15"/>
  <c r="U143" i="15"/>
  <c r="U113" i="15"/>
  <c r="U90" i="15"/>
  <c r="U72" i="15"/>
  <c r="U24" i="15"/>
  <c r="U48" i="15"/>
  <c r="U178" i="15"/>
  <c r="U170" i="15"/>
  <c r="U156" i="15"/>
  <c r="U148" i="15"/>
  <c r="U132" i="15"/>
  <c r="U109" i="15"/>
  <c r="U95" i="15"/>
  <c r="U86" i="15"/>
  <c r="U73" i="15"/>
  <c r="U66" i="15"/>
  <c r="U9" i="15"/>
  <c r="U30" i="15"/>
  <c r="U20" i="15"/>
  <c r="U46" i="15"/>
  <c r="U176" i="15"/>
  <c r="Q166" i="15"/>
  <c r="U165" i="15"/>
  <c r="U154" i="15"/>
  <c r="U146" i="15"/>
  <c r="U138" i="15"/>
  <c r="U127" i="15"/>
  <c r="U107" i="15"/>
  <c r="U93" i="15"/>
  <c r="U82" i="15"/>
  <c r="U85" i="15"/>
  <c r="U29" i="15"/>
  <c r="U45" i="15"/>
  <c r="U175" i="15"/>
  <c r="U153" i="15"/>
  <c r="U145" i="15"/>
  <c r="U118" i="15"/>
  <c r="U92" i="15"/>
  <c r="U174" i="15"/>
  <c r="U152" i="15"/>
  <c r="U136" i="15"/>
  <c r="U91" i="15"/>
  <c r="C42" i="25"/>
  <c r="G42" i="25" s="1"/>
  <c r="U74" i="15"/>
  <c r="U173" i="15"/>
  <c r="U135" i="15"/>
  <c r="U101" i="15"/>
  <c r="U79" i="15"/>
  <c r="U56" i="15"/>
  <c r="U8" i="15"/>
  <c r="U26" i="15"/>
  <c r="U57" i="15"/>
  <c r="U50" i="15"/>
  <c r="U180" i="15"/>
  <c r="U172" i="15"/>
  <c r="U158" i="15"/>
  <c r="U150" i="15"/>
  <c r="U142" i="15"/>
  <c r="U134" i="15"/>
  <c r="U111" i="15"/>
  <c r="U100" i="15"/>
  <c r="B33" i="14"/>
  <c r="U89" i="15"/>
  <c r="U78" i="15"/>
  <c r="U71" i="15"/>
  <c r="U55" i="15"/>
  <c r="C18" i="25"/>
  <c r="I18" i="25" s="1"/>
  <c r="U25" i="15"/>
  <c r="U49" i="15"/>
  <c r="U171" i="15"/>
  <c r="U157" i="15"/>
  <c r="U149" i="15"/>
  <c r="U141" i="15"/>
  <c r="U133" i="15"/>
  <c r="U110" i="15"/>
  <c r="U96" i="15"/>
  <c r="U75" i="15"/>
  <c r="U67" i="15"/>
  <c r="U42" i="15"/>
  <c r="U31" i="15"/>
  <c r="C16" i="25"/>
  <c r="K16" i="25" s="1"/>
  <c r="U18" i="15"/>
  <c r="C24" i="25"/>
  <c r="K24" i="25" s="1"/>
  <c r="U34" i="15"/>
  <c r="U21" i="15"/>
  <c r="U47" i="15"/>
  <c r="U177" i="15"/>
  <c r="B54" i="14"/>
  <c r="U169" i="15"/>
  <c r="U155" i="15"/>
  <c r="U147" i="15"/>
  <c r="U139" i="15"/>
  <c r="U128" i="15"/>
  <c r="U108" i="15"/>
  <c r="U94" i="15"/>
  <c r="U83" i="15"/>
  <c r="U88" i="15"/>
  <c r="K86" i="25"/>
  <c r="G86" i="25"/>
  <c r="B77" i="14"/>
  <c r="Q119" i="15"/>
  <c r="U119" i="15" s="1"/>
  <c r="C44" i="25"/>
  <c r="G44" i="25" s="1"/>
  <c r="C46" i="25"/>
  <c r="G46" i="25" s="1"/>
  <c r="C45" i="25"/>
  <c r="G45" i="25" s="1"/>
  <c r="C20" i="25"/>
  <c r="G20" i="25" s="1"/>
  <c r="C21" i="25"/>
  <c r="Q43" i="27"/>
  <c r="R43" i="27" s="1"/>
  <c r="T43" i="27" s="1"/>
  <c r="P129" i="27"/>
  <c r="K103" i="27"/>
  <c r="O103" i="27"/>
  <c r="T165" i="27"/>
  <c r="T166" i="27" s="1"/>
  <c r="K10" i="27"/>
  <c r="M10" i="27"/>
  <c r="N10" i="27"/>
  <c r="P10" i="27"/>
  <c r="O10" i="27"/>
  <c r="I10" i="27"/>
  <c r="J10" i="27"/>
  <c r="N129" i="27"/>
  <c r="P103" i="27"/>
  <c r="A34" i="15"/>
  <c r="J68" i="27"/>
  <c r="N197" i="27"/>
  <c r="P68" i="27"/>
  <c r="R132" i="27"/>
  <c r="T132" i="27" s="1"/>
  <c r="J103" i="27"/>
  <c r="R171" i="27"/>
  <c r="T171" i="27" s="1"/>
  <c r="E103" i="27"/>
  <c r="O185" i="27"/>
  <c r="O197" i="27"/>
  <c r="R199" i="27"/>
  <c r="T199" i="27" s="1"/>
  <c r="K68" i="27"/>
  <c r="K32" i="27"/>
  <c r="F68" i="27"/>
  <c r="I103" i="27"/>
  <c r="R108" i="27"/>
  <c r="T108" i="27" s="1"/>
  <c r="C70" i="25"/>
  <c r="G70" i="25" s="1"/>
  <c r="C73" i="25"/>
  <c r="G73" i="25" s="1"/>
  <c r="C71" i="25"/>
  <c r="G71" i="25" s="1"/>
  <c r="C64" i="25"/>
  <c r="G64" i="25" s="1"/>
  <c r="B47" i="14"/>
  <c r="D68" i="27"/>
  <c r="B56" i="14"/>
  <c r="Q129" i="15"/>
  <c r="C65" i="25"/>
  <c r="G65" i="25" s="1"/>
  <c r="B35" i="14"/>
  <c r="C19" i="25"/>
  <c r="G19" i="25" s="1"/>
  <c r="B53" i="14"/>
  <c r="R31" i="27"/>
  <c r="T31" i="27" s="1"/>
  <c r="R21" i="27"/>
  <c r="T21" i="27" s="1"/>
  <c r="R122" i="27"/>
  <c r="T122" i="27" s="1"/>
  <c r="N103" i="27"/>
  <c r="I185" i="27"/>
  <c r="K115" i="27"/>
  <c r="R170" i="27"/>
  <c r="T170" i="27" s="1"/>
  <c r="P32" i="27"/>
  <c r="Q122" i="15"/>
  <c r="P185" i="27"/>
  <c r="O115" i="27"/>
  <c r="R141" i="27"/>
  <c r="T141" i="27" s="1"/>
  <c r="M129" i="27"/>
  <c r="K185" i="27"/>
  <c r="Q54" i="15"/>
  <c r="Y54" i="15" s="1"/>
  <c r="K129" i="27"/>
  <c r="I86" i="25"/>
  <c r="R107" i="27"/>
  <c r="T107" i="27" s="1"/>
  <c r="B34" i="14"/>
  <c r="H10" i="11"/>
  <c r="B46" i="11"/>
  <c r="B47" i="11"/>
  <c r="G47" i="11" s="1"/>
  <c r="H19" i="11"/>
  <c r="D192" i="27"/>
  <c r="B45" i="11"/>
  <c r="H14" i="11"/>
  <c r="H8" i="11"/>
  <c r="H24" i="11" s="1"/>
  <c r="H42" i="11" s="1"/>
  <c r="H77" i="11" s="1"/>
  <c r="C46" i="11"/>
  <c r="G27" i="11"/>
  <c r="H27" i="11" s="1"/>
  <c r="D74" i="11"/>
  <c r="D68" i="11"/>
  <c r="R161" i="27"/>
  <c r="T161" i="27" s="1"/>
  <c r="D129" i="27"/>
  <c r="Q103" i="15"/>
  <c r="Q197" i="15"/>
  <c r="F115" i="27"/>
  <c r="D115" i="27"/>
  <c r="N162" i="27"/>
  <c r="P162" i="27"/>
  <c r="R94" i="27"/>
  <c r="T94" i="27" s="1"/>
  <c r="B58" i="14"/>
  <c r="Q68" i="15"/>
  <c r="B17" i="14"/>
  <c r="R169" i="27"/>
  <c r="T169" i="27" s="1"/>
  <c r="R152" i="27"/>
  <c r="T152" i="27" s="1"/>
  <c r="R181" i="27"/>
  <c r="T181" i="27" s="1"/>
  <c r="N185" i="27"/>
  <c r="O162" i="27"/>
  <c r="R159" i="27"/>
  <c r="T159" i="27" s="1"/>
  <c r="R151" i="27"/>
  <c r="T151" i="27" s="1"/>
  <c r="R89" i="27"/>
  <c r="T89" i="27" s="1"/>
  <c r="R71" i="27"/>
  <c r="T71" i="27" s="1"/>
  <c r="Q44" i="15"/>
  <c r="Y44" i="15" s="1"/>
  <c r="F162" i="27"/>
  <c r="R96" i="27"/>
  <c r="T96" i="27" s="1"/>
  <c r="M192" i="27"/>
  <c r="Q53" i="15"/>
  <c r="Y53" i="15" s="1"/>
  <c r="G30" i="11"/>
  <c r="H30" i="11" s="1"/>
  <c r="D67" i="11"/>
  <c r="F51" i="11"/>
  <c r="G52" i="11" s="1"/>
  <c r="C59" i="11"/>
  <c r="J32" i="27"/>
  <c r="K197" i="27"/>
  <c r="O129" i="27"/>
  <c r="O68" i="27"/>
  <c r="M68" i="27"/>
  <c r="C63" i="11"/>
  <c r="G31" i="11"/>
  <c r="H31" i="11" s="1"/>
  <c r="G34" i="11"/>
  <c r="H34" i="11" s="1"/>
  <c r="D66" i="11"/>
  <c r="D69" i="11"/>
  <c r="C9" i="25"/>
  <c r="G9" i="25" s="1"/>
  <c r="B8" i="14"/>
  <c r="J97" i="27"/>
  <c r="R118" i="27"/>
  <c r="T118" i="27" s="1"/>
  <c r="R45" i="27"/>
  <c r="T45" i="27" s="1"/>
  <c r="F54" i="11"/>
  <c r="G29" i="11"/>
  <c r="H29" i="11" s="1"/>
  <c r="C37" i="11"/>
  <c r="G38" i="11" s="1"/>
  <c r="H38" i="11" s="1"/>
  <c r="R142" i="27"/>
  <c r="T142" i="27" s="1"/>
  <c r="F197" i="27"/>
  <c r="R174" i="27"/>
  <c r="T174" i="27" s="1"/>
  <c r="R112" i="27"/>
  <c r="T112" i="27" s="1"/>
  <c r="B18" i="14"/>
  <c r="B59" i="14"/>
  <c r="I115" i="27"/>
  <c r="N115" i="27"/>
  <c r="R74" i="27"/>
  <c r="T74" i="27" s="1"/>
  <c r="O32" i="27"/>
  <c r="N32" i="27"/>
  <c r="F10" i="27"/>
  <c r="E10" i="27"/>
  <c r="B49" i="14"/>
  <c r="Q52" i="15"/>
  <c r="Y52" i="15" s="1"/>
  <c r="P44" i="27"/>
  <c r="R44" i="27" s="1"/>
  <c r="T44" i="27" s="1"/>
  <c r="Q43" i="15"/>
  <c r="B76" i="14"/>
  <c r="R176" i="27"/>
  <c r="T176" i="27" s="1"/>
  <c r="R179" i="27"/>
  <c r="T179" i="27" s="1"/>
  <c r="F185" i="27"/>
  <c r="R177" i="27"/>
  <c r="T177" i="27" s="1"/>
  <c r="R184" i="27"/>
  <c r="C72" i="25"/>
  <c r="G72" i="25" s="1"/>
  <c r="B55" i="14"/>
  <c r="R182" i="27"/>
  <c r="T182" i="27" s="1"/>
  <c r="R183" i="27"/>
  <c r="T183" i="27" s="1"/>
  <c r="R175" i="27"/>
  <c r="T175" i="27" s="1"/>
  <c r="R178" i="27"/>
  <c r="T178" i="27" s="1"/>
  <c r="R173" i="27"/>
  <c r="T173" i="27" s="1"/>
  <c r="R160" i="27"/>
  <c r="T160" i="27" s="1"/>
  <c r="I162" i="27"/>
  <c r="R135" i="27"/>
  <c r="T135" i="27" s="1"/>
  <c r="R144" i="27"/>
  <c r="T144" i="27" s="1"/>
  <c r="R136" i="27"/>
  <c r="T136" i="27" s="1"/>
  <c r="R155" i="27"/>
  <c r="T155" i="27" s="1"/>
  <c r="R139" i="27"/>
  <c r="T139" i="27" s="1"/>
  <c r="R143" i="27"/>
  <c r="T143" i="27" s="1"/>
  <c r="E162" i="27"/>
  <c r="R146" i="27"/>
  <c r="T146" i="27" s="1"/>
  <c r="R158" i="27"/>
  <c r="T158" i="27" s="1"/>
  <c r="R153" i="27"/>
  <c r="T153" i="27" s="1"/>
  <c r="R145" i="27"/>
  <c r="T145" i="27" s="1"/>
  <c r="R137" i="27"/>
  <c r="T137" i="27" s="1"/>
  <c r="Q162" i="15"/>
  <c r="U162" i="15" s="1"/>
  <c r="R157" i="27"/>
  <c r="T157" i="27" s="1"/>
  <c r="P197" i="27"/>
  <c r="R127" i="27"/>
  <c r="T127" i="27" s="1"/>
  <c r="R128" i="27"/>
  <c r="T128" i="27" s="1"/>
  <c r="F129" i="27"/>
  <c r="R109" i="27"/>
  <c r="T109" i="27" s="1"/>
  <c r="P115" i="27"/>
  <c r="J115" i="27"/>
  <c r="R111" i="27"/>
  <c r="T111" i="27" s="1"/>
  <c r="E115" i="27"/>
  <c r="R110" i="27"/>
  <c r="T110" i="27" s="1"/>
  <c r="R106" i="27"/>
  <c r="T106" i="27" s="1"/>
  <c r="R114" i="27"/>
  <c r="T114" i="27" s="1"/>
  <c r="R100" i="27"/>
  <c r="T100" i="27" s="1"/>
  <c r="R101" i="27"/>
  <c r="T101" i="27" s="1"/>
  <c r="F103" i="27"/>
  <c r="R102" i="27"/>
  <c r="T102" i="27" s="1"/>
  <c r="R88" i="27"/>
  <c r="T88" i="27" s="1"/>
  <c r="R80" i="27"/>
  <c r="T80" i="27" s="1"/>
  <c r="E97" i="27"/>
  <c r="R95" i="27"/>
  <c r="T95" i="27" s="1"/>
  <c r="R79" i="27"/>
  <c r="T79" i="27" s="1"/>
  <c r="C41" i="25"/>
  <c r="R86" i="27"/>
  <c r="T86" i="27" s="1"/>
  <c r="R78" i="27"/>
  <c r="T78" i="27" s="1"/>
  <c r="R91" i="27"/>
  <c r="T91" i="27" s="1"/>
  <c r="R73" i="27"/>
  <c r="T73" i="27" s="1"/>
  <c r="R83" i="27"/>
  <c r="T83" i="27" s="1"/>
  <c r="R92" i="27"/>
  <c r="T92" i="27" s="1"/>
  <c r="R93" i="27"/>
  <c r="T93" i="27" s="1"/>
  <c r="R82" i="27"/>
  <c r="T82" i="27" s="1"/>
  <c r="R85" i="27"/>
  <c r="T85" i="27" s="1"/>
  <c r="P97" i="27"/>
  <c r="R81" i="27"/>
  <c r="T81" i="27" s="1"/>
  <c r="N97" i="27"/>
  <c r="R67" i="27"/>
  <c r="T67" i="27" s="1"/>
  <c r="N68" i="27"/>
  <c r="R65" i="27"/>
  <c r="T65" i="27" s="1"/>
  <c r="D62" i="27"/>
  <c r="R60" i="27"/>
  <c r="T60" i="27" s="1"/>
  <c r="R51" i="27"/>
  <c r="T51" i="27" s="1"/>
  <c r="R58" i="27"/>
  <c r="T58" i="27" s="1"/>
  <c r="R50" i="27"/>
  <c r="T50" i="27" s="1"/>
  <c r="R47" i="27"/>
  <c r="T47" i="27" s="1"/>
  <c r="R57" i="27"/>
  <c r="T57" i="27" s="1"/>
  <c r="R48" i="27"/>
  <c r="T48" i="27" s="1"/>
  <c r="P42" i="27"/>
  <c r="R22" i="27"/>
  <c r="T22" i="27" s="1"/>
  <c r="R26" i="27"/>
  <c r="T26" i="27" s="1"/>
  <c r="C17" i="25"/>
  <c r="G17" i="25" s="1"/>
  <c r="R25" i="27"/>
  <c r="T25" i="27" s="1"/>
  <c r="R24" i="27"/>
  <c r="T24" i="27" s="1"/>
  <c r="R28" i="27"/>
  <c r="T28" i="27" s="1"/>
  <c r="R20" i="27"/>
  <c r="T20" i="27" s="1"/>
  <c r="F32" i="27"/>
  <c r="R18" i="27"/>
  <c r="T18" i="27" s="1"/>
  <c r="R13" i="27"/>
  <c r="T13" i="27" s="1"/>
  <c r="R9" i="27"/>
  <c r="T9" i="27" s="1"/>
  <c r="B9" i="14"/>
  <c r="C10" i="25"/>
  <c r="G10" i="25" s="1"/>
  <c r="C53" i="13"/>
  <c r="C55" i="13" s="1"/>
  <c r="B36" i="13"/>
  <c r="C36" i="13" s="1"/>
  <c r="R133" i="27"/>
  <c r="T133" i="27" s="1"/>
  <c r="R150" i="27"/>
  <c r="T150" i="27" s="1"/>
  <c r="G11" i="25"/>
  <c r="R87" i="27"/>
  <c r="T87" i="27" s="1"/>
  <c r="D32" i="27"/>
  <c r="R54" i="27"/>
  <c r="T54" i="27" s="1"/>
  <c r="R66" i="27"/>
  <c r="T66" i="27" s="1"/>
  <c r="C62" i="25"/>
  <c r="G62" i="25" s="1"/>
  <c r="M32" i="27"/>
  <c r="D185" i="27"/>
  <c r="B16" i="14"/>
  <c r="I129" i="27"/>
  <c r="R49" i="27"/>
  <c r="T49" i="27" s="1"/>
  <c r="R180" i="27"/>
  <c r="T180" i="27" s="1"/>
  <c r="R149" i="27"/>
  <c r="T149" i="27" s="1"/>
  <c r="C74" i="25"/>
  <c r="G74" i="25" s="1"/>
  <c r="M97" i="27"/>
  <c r="Q185" i="15"/>
  <c r="U185" i="15" s="1"/>
  <c r="R147" i="27"/>
  <c r="T147" i="27" s="1"/>
  <c r="D197" i="27"/>
  <c r="D97" i="27"/>
  <c r="E68" i="27"/>
  <c r="R19" i="27"/>
  <c r="T19" i="27" s="1"/>
  <c r="R172" i="27"/>
  <c r="T172" i="27" s="1"/>
  <c r="R75" i="27"/>
  <c r="T75" i="27" s="1"/>
  <c r="J197" i="27"/>
  <c r="R8" i="27"/>
  <c r="T8" i="27" s="1"/>
  <c r="K97" i="27"/>
  <c r="B48" i="14"/>
  <c r="F97" i="27"/>
  <c r="E197" i="27"/>
  <c r="Q97" i="15"/>
  <c r="U97" i="15" s="1"/>
  <c r="C63" i="25"/>
  <c r="R23" i="27"/>
  <c r="T23" i="27" s="1"/>
  <c r="E129" i="27"/>
  <c r="Q32" i="15"/>
  <c r="U32" i="15" s="1"/>
  <c r="B46" i="14"/>
  <c r="B10" i="14"/>
  <c r="R46" i="27"/>
  <c r="T46" i="27" s="1"/>
  <c r="R90" i="27"/>
  <c r="T90" i="27" s="1"/>
  <c r="R113" i="27"/>
  <c r="T113" i="27" s="1"/>
  <c r="R148" i="27"/>
  <c r="T148" i="27" s="1"/>
  <c r="Q115" i="15"/>
  <c r="U115" i="15" s="1"/>
  <c r="R72" i="27"/>
  <c r="T72" i="27" s="1"/>
  <c r="R12" i="27"/>
  <c r="T12" i="27" s="1"/>
  <c r="R11" i="27"/>
  <c r="T11" i="27" s="1"/>
  <c r="R134" i="27"/>
  <c r="T134" i="27" s="1"/>
  <c r="R27" i="27"/>
  <c r="T27" i="27" s="1"/>
  <c r="I197" i="27"/>
  <c r="J129" i="27"/>
  <c r="E32" i="27"/>
  <c r="M103" i="27"/>
  <c r="R140" i="27"/>
  <c r="T140" i="27" s="1"/>
  <c r="R55" i="27"/>
  <c r="T55" i="27" s="1"/>
  <c r="E185" i="27"/>
  <c r="M185" i="27"/>
  <c r="I68" i="27"/>
  <c r="J162" i="27"/>
  <c r="R154" i="27"/>
  <c r="T154" i="27" s="1"/>
  <c r="D162" i="27"/>
  <c r="R156" i="27"/>
  <c r="T156" i="27" s="1"/>
  <c r="I97" i="27"/>
  <c r="D103" i="27"/>
  <c r="M197" i="27"/>
  <c r="M162" i="27"/>
  <c r="R84" i="27"/>
  <c r="T84" i="27" s="1"/>
  <c r="M115" i="27"/>
  <c r="K162" i="27"/>
  <c r="I32" i="27"/>
  <c r="J185" i="27"/>
  <c r="R52" i="27"/>
  <c r="T52" i="27" s="1"/>
  <c r="O97" i="27"/>
  <c r="R14" i="27"/>
  <c r="T14" i="27" s="1"/>
  <c r="R138" i="27"/>
  <c r="C43" i="25"/>
  <c r="G43" i="25" s="1"/>
  <c r="R198" i="27"/>
  <c r="R53" i="27"/>
  <c r="T53" i="27" s="1"/>
  <c r="R59" i="27"/>
  <c r="T59" i="27" s="1"/>
  <c r="R56" i="27"/>
  <c r="T56" i="27" s="1"/>
  <c r="R29" i="27"/>
  <c r="H23" i="11" l="1"/>
  <c r="H13" i="11"/>
  <c r="H12" i="11"/>
  <c r="D56" i="11"/>
  <c r="U166" i="15"/>
  <c r="B68" i="14"/>
  <c r="B19" i="14"/>
  <c r="B20" i="14" s="1"/>
  <c r="G55" i="11"/>
  <c r="G66" i="11" s="1"/>
  <c r="H66" i="11" s="1"/>
  <c r="C45" i="11"/>
  <c r="H20" i="11"/>
  <c r="G18" i="25"/>
  <c r="K18" i="25"/>
  <c r="B32" i="14"/>
  <c r="B31" i="14" s="1"/>
  <c r="I24" i="25"/>
  <c r="I16" i="25"/>
  <c r="K87" i="25"/>
  <c r="K42" i="25"/>
  <c r="I42" i="25"/>
  <c r="I87" i="25"/>
  <c r="C33" i="25"/>
  <c r="G33" i="25" s="1"/>
  <c r="G34" i="25" s="1"/>
  <c r="U103" i="15"/>
  <c r="U44" i="15"/>
  <c r="B43" i="14"/>
  <c r="U129" i="15"/>
  <c r="B75" i="14"/>
  <c r="U197" i="15"/>
  <c r="U43" i="15"/>
  <c r="U52" i="15"/>
  <c r="C37" i="25"/>
  <c r="G37" i="25" s="1"/>
  <c r="G38" i="25" s="1"/>
  <c r="U68" i="15"/>
  <c r="U54" i="15"/>
  <c r="U53" i="15"/>
  <c r="U122" i="15"/>
  <c r="K63" i="25"/>
  <c r="G63" i="25"/>
  <c r="K21" i="25"/>
  <c r="G21" i="25"/>
  <c r="G75" i="25"/>
  <c r="K41" i="25"/>
  <c r="G41" i="25"/>
  <c r="I64" i="25"/>
  <c r="K64" i="25"/>
  <c r="I11" i="25"/>
  <c r="K11" i="25"/>
  <c r="I65" i="25"/>
  <c r="K65" i="25"/>
  <c r="I74" i="25"/>
  <c r="K74" i="25"/>
  <c r="I71" i="25"/>
  <c r="K71" i="25"/>
  <c r="I20" i="25"/>
  <c r="K20" i="25"/>
  <c r="I9" i="25"/>
  <c r="K9" i="25"/>
  <c r="I62" i="25"/>
  <c r="K62" i="25"/>
  <c r="I73" i="25"/>
  <c r="K73" i="25"/>
  <c r="I45" i="25"/>
  <c r="K45" i="25"/>
  <c r="I70" i="25"/>
  <c r="K70" i="25"/>
  <c r="I44" i="25"/>
  <c r="K44" i="25"/>
  <c r="I43" i="25"/>
  <c r="K43" i="25"/>
  <c r="I72" i="25"/>
  <c r="K72" i="25"/>
  <c r="I46" i="25"/>
  <c r="K46" i="25"/>
  <c r="I10" i="25"/>
  <c r="K10" i="25"/>
  <c r="I19" i="25"/>
  <c r="K19" i="25"/>
  <c r="I17" i="25"/>
  <c r="K17" i="25"/>
  <c r="C47" i="25"/>
  <c r="G47" i="25" s="1"/>
  <c r="I41" i="25"/>
  <c r="R119" i="27"/>
  <c r="B37" i="14"/>
  <c r="B29" i="14"/>
  <c r="C59" i="25"/>
  <c r="T68" i="27"/>
  <c r="R103" i="27"/>
  <c r="G74" i="11"/>
  <c r="H74" i="11" s="1"/>
  <c r="G64" i="11"/>
  <c r="H64" i="11" s="1"/>
  <c r="G68" i="11"/>
  <c r="H68" i="11" s="1"/>
  <c r="G56" i="11"/>
  <c r="H56" i="11" s="1"/>
  <c r="G67" i="11"/>
  <c r="H67" i="11" s="1"/>
  <c r="T129" i="27"/>
  <c r="F41" i="27"/>
  <c r="E41" i="27"/>
  <c r="C22" i="25"/>
  <c r="K22" i="25" s="1"/>
  <c r="G46" i="11"/>
  <c r="G40" i="27"/>
  <c r="O40" i="15"/>
  <c r="M40" i="15"/>
  <c r="N40" i="15"/>
  <c r="G45" i="11"/>
  <c r="B48" i="11"/>
  <c r="B52" i="14"/>
  <c r="B50" i="14"/>
  <c r="B45" i="14" s="1"/>
  <c r="R42" i="27"/>
  <c r="T42" i="27" s="1"/>
  <c r="I21" i="25"/>
  <c r="C66" i="25"/>
  <c r="G66" i="25" s="1"/>
  <c r="C75" i="25"/>
  <c r="K75" i="25" s="1"/>
  <c r="R185" i="27"/>
  <c r="T185" i="27"/>
  <c r="R197" i="27"/>
  <c r="T197" i="27" s="1"/>
  <c r="R129" i="27"/>
  <c r="T115" i="27"/>
  <c r="T103" i="27"/>
  <c r="R97" i="27"/>
  <c r="R10" i="27"/>
  <c r="T10" i="27" s="1"/>
  <c r="C85" i="25"/>
  <c r="G85" i="25" s="1"/>
  <c r="I63" i="25"/>
  <c r="C51" i="25"/>
  <c r="B39" i="14"/>
  <c r="T97" i="27"/>
  <c r="R115" i="27"/>
  <c r="R68" i="27"/>
  <c r="R162" i="27"/>
  <c r="T138" i="27"/>
  <c r="T162" i="27" s="1"/>
  <c r="R32" i="27"/>
  <c r="T29" i="27"/>
  <c r="T32" i="27" s="1"/>
  <c r="G69" i="11" l="1"/>
  <c r="H69" i="11" s="1"/>
  <c r="G22" i="25"/>
  <c r="C34" i="25"/>
  <c r="K34" i="25" s="1"/>
  <c r="I33" i="25"/>
  <c r="I34" i="25" s="1"/>
  <c r="K33" i="25"/>
  <c r="I37" i="25"/>
  <c r="I38" i="25" s="1"/>
  <c r="C38" i="25"/>
  <c r="K38" i="25" s="1"/>
  <c r="K37" i="25"/>
  <c r="G67" i="25"/>
  <c r="K51" i="25"/>
  <c r="G51" i="25"/>
  <c r="G52" i="25" s="1"/>
  <c r="G48" i="25"/>
  <c r="I22" i="25"/>
  <c r="I75" i="25"/>
  <c r="I59" i="25"/>
  <c r="K59" i="25"/>
  <c r="C48" i="25"/>
  <c r="K47" i="25"/>
  <c r="I85" i="25"/>
  <c r="K85" i="25"/>
  <c r="I66" i="25"/>
  <c r="I67" i="25" s="1"/>
  <c r="K66" i="25"/>
  <c r="I47" i="25"/>
  <c r="I48" i="25" s="1"/>
  <c r="I40" i="27"/>
  <c r="Q40" i="27"/>
  <c r="J40" i="27"/>
  <c r="O40" i="27"/>
  <c r="F40" i="27"/>
  <c r="E40" i="27"/>
  <c r="Q40" i="15"/>
  <c r="K40" i="27"/>
  <c r="N40" i="27"/>
  <c r="M40" i="27"/>
  <c r="P40" i="27"/>
  <c r="C67" i="25"/>
  <c r="K67" i="25" s="1"/>
  <c r="B7" i="14"/>
  <c r="B14" i="14" s="1"/>
  <c r="Q15" i="15"/>
  <c r="B14" i="13"/>
  <c r="C52" i="25"/>
  <c r="K52" i="25" s="1"/>
  <c r="I51" i="25"/>
  <c r="I52" i="25" s="1"/>
  <c r="B25" i="14" l="1"/>
  <c r="U40" i="15"/>
  <c r="Z196" i="23"/>
  <c r="Z199" i="23" s="1"/>
  <c r="Y40" i="15"/>
  <c r="Q36" i="15"/>
  <c r="U36" i="15" s="1"/>
  <c r="U15" i="15"/>
  <c r="K8" i="25"/>
  <c r="G8" i="25"/>
  <c r="G13" i="25" s="1"/>
  <c r="G26" i="25" s="1"/>
  <c r="C49" i="25"/>
  <c r="K49" i="25" s="1"/>
  <c r="K48" i="25"/>
  <c r="J61" i="27"/>
  <c r="O61" i="15"/>
  <c r="P61" i="15" s="1"/>
  <c r="M61" i="15"/>
  <c r="R40" i="27"/>
  <c r="T40" i="27" s="1"/>
  <c r="L61" i="15"/>
  <c r="N61" i="15"/>
  <c r="G61" i="27"/>
  <c r="B15" i="13"/>
  <c r="Q123" i="15" s="1"/>
  <c r="W123" i="15" s="1"/>
  <c r="W125" i="15" s="1"/>
  <c r="F7" i="27"/>
  <c r="F15" i="27" s="1"/>
  <c r="F36" i="27" s="1"/>
  <c r="I8" i="25"/>
  <c r="I13" i="25" s="1"/>
  <c r="I26" i="25" s="1"/>
  <c r="O7" i="27"/>
  <c r="O15" i="27" s="1"/>
  <c r="O36" i="27" s="1"/>
  <c r="N15" i="15"/>
  <c r="N36" i="15" s="1"/>
  <c r="P7" i="27"/>
  <c r="P15" i="27" s="1"/>
  <c r="P36" i="27" s="1"/>
  <c r="O15" i="15"/>
  <c r="O36" i="15" s="1"/>
  <c r="E7" i="27"/>
  <c r="E15" i="27" s="1"/>
  <c r="E36" i="27" s="1"/>
  <c r="N7" i="27"/>
  <c r="N15" i="27" s="1"/>
  <c r="N36" i="27" s="1"/>
  <c r="M15" i="15"/>
  <c r="M36" i="15" s="1"/>
  <c r="K7" i="27"/>
  <c r="K15" i="27" s="1"/>
  <c r="K36" i="27" s="1"/>
  <c r="D7" i="27"/>
  <c r="I7" i="27"/>
  <c r="I15" i="27" s="1"/>
  <c r="I36" i="27" s="1"/>
  <c r="M7" i="27"/>
  <c r="M15" i="27" s="1"/>
  <c r="M36" i="27" s="1"/>
  <c r="L15" i="15"/>
  <c r="L36" i="15" s="1"/>
  <c r="J7" i="27"/>
  <c r="J15" i="27" s="1"/>
  <c r="J36" i="27" s="1"/>
  <c r="C11" i="14" l="1"/>
  <c r="C12" i="14"/>
  <c r="E124" i="15"/>
  <c r="E187" i="15" s="1"/>
  <c r="E189" i="15" s="1"/>
  <c r="H124" i="15"/>
  <c r="H187" i="15" s="1"/>
  <c r="H189" i="15" s="1"/>
  <c r="H201" i="15" s="1"/>
  <c r="D124" i="15"/>
  <c r="D187" i="15" s="1"/>
  <c r="D189" i="15" s="1"/>
  <c r="D201" i="15" s="1"/>
  <c r="D203" i="15" s="1"/>
  <c r="E195" i="15" s="1"/>
  <c r="J124" i="15"/>
  <c r="J187" i="15" s="1"/>
  <c r="J189" i="15" s="1"/>
  <c r="J201" i="15" s="1"/>
  <c r="O124" i="15"/>
  <c r="G124" i="15"/>
  <c r="G187" i="15" s="1"/>
  <c r="G189" i="15" s="1"/>
  <c r="G201" i="15" s="1"/>
  <c r="M124" i="15"/>
  <c r="K124" i="15"/>
  <c r="K187" i="15" s="1"/>
  <c r="K189" i="15" s="1"/>
  <c r="K201" i="15" s="1"/>
  <c r="N124" i="15"/>
  <c r="F124" i="15"/>
  <c r="F187" i="15" s="1"/>
  <c r="F189" i="15" s="1"/>
  <c r="F201" i="15" s="1"/>
  <c r="I124" i="15"/>
  <c r="I187" i="15" s="1"/>
  <c r="I189" i="15" s="1"/>
  <c r="U123" i="15"/>
  <c r="M123" i="27"/>
  <c r="M124" i="27" s="1"/>
  <c r="P62" i="15"/>
  <c r="P187" i="15" s="1"/>
  <c r="Q61" i="27"/>
  <c r="Q62" i="27" s="1"/>
  <c r="Q187" i="27" s="1"/>
  <c r="C26" i="25"/>
  <c r="K26" i="25" s="1"/>
  <c r="K13" i="25"/>
  <c r="H123" i="27"/>
  <c r="H124" i="27" s="1"/>
  <c r="H187" i="27" s="1"/>
  <c r="H189" i="27" s="1"/>
  <c r="E61" i="27"/>
  <c r="Q61" i="15"/>
  <c r="K61" i="27"/>
  <c r="F61" i="27"/>
  <c r="F62" i="27" s="1"/>
  <c r="P61" i="27"/>
  <c r="P62" i="27" s="1"/>
  <c r="O62" i="15"/>
  <c r="O61" i="27"/>
  <c r="M61" i="27"/>
  <c r="I61" i="27"/>
  <c r="N61" i="27"/>
  <c r="C34" i="14"/>
  <c r="C57" i="14"/>
  <c r="C58" i="14"/>
  <c r="C17" i="14"/>
  <c r="C18" i="14"/>
  <c r="C14" i="14"/>
  <c r="C8" i="14"/>
  <c r="B16" i="13"/>
  <c r="B17" i="13" s="1"/>
  <c r="Q124" i="15"/>
  <c r="D15" i="27"/>
  <c r="D36" i="27" s="1"/>
  <c r="R7" i="27"/>
  <c r="C7" i="14"/>
  <c r="C20" i="14"/>
  <c r="C52" i="14"/>
  <c r="C31" i="14"/>
  <c r="C43" i="14"/>
  <c r="C25" i="14"/>
  <c r="C56" i="14"/>
  <c r="C46" i="14"/>
  <c r="C59" i="14"/>
  <c r="C54" i="14"/>
  <c r="C23" i="14"/>
  <c r="C10" i="14"/>
  <c r="C29" i="14"/>
  <c r="C41" i="14"/>
  <c r="C47" i="14"/>
  <c r="C37" i="14"/>
  <c r="C53" i="14"/>
  <c r="C55" i="14"/>
  <c r="C50" i="14"/>
  <c r="C19" i="14"/>
  <c r="C9" i="14"/>
  <c r="C35" i="14"/>
  <c r="C68" i="14"/>
  <c r="C32" i="14"/>
  <c r="C45" i="14"/>
  <c r="C48" i="14"/>
  <c r="C16" i="14"/>
  <c r="C49" i="14"/>
  <c r="C33" i="14"/>
  <c r="C39" i="14"/>
  <c r="D123" i="27" l="1"/>
  <c r="D124" i="27" s="1"/>
  <c r="D187" i="27" s="1"/>
  <c r="D189" i="27" s="1"/>
  <c r="G123" i="27"/>
  <c r="G124" i="27" s="1"/>
  <c r="J123" i="27"/>
  <c r="J124" i="27" s="1"/>
  <c r="U61" i="15"/>
  <c r="Z197" i="23"/>
  <c r="Z200" i="23" s="1"/>
  <c r="Z201" i="23" s="1"/>
  <c r="F123" i="27"/>
  <c r="F124" i="27" s="1"/>
  <c r="F187" i="27" s="1"/>
  <c r="F189" i="27" s="1"/>
  <c r="F193" i="27" s="1"/>
  <c r="C55" i="25"/>
  <c r="K55" i="25" s="1"/>
  <c r="U124" i="15"/>
  <c r="H201" i="27"/>
  <c r="H193" i="27"/>
  <c r="O187" i="15"/>
  <c r="O189" i="15" s="1"/>
  <c r="O201" i="15" s="1"/>
  <c r="E201" i="15"/>
  <c r="E203" i="15" s="1"/>
  <c r="F195" i="15" s="1"/>
  <c r="F203" i="15" s="1"/>
  <c r="G195" i="15" s="1"/>
  <c r="G203" i="15" s="1"/>
  <c r="H195" i="15" s="1"/>
  <c r="H203" i="15" s="1"/>
  <c r="E123" i="27"/>
  <c r="E124" i="27" s="1"/>
  <c r="O123" i="27"/>
  <c r="O124" i="27" s="1"/>
  <c r="I123" i="27"/>
  <c r="I124" i="27" s="1"/>
  <c r="L124" i="15"/>
  <c r="R61" i="27"/>
  <c r="E62" i="27"/>
  <c r="N123" i="27"/>
  <c r="N124" i="27" s="1"/>
  <c r="P123" i="27"/>
  <c r="P124" i="27" s="1"/>
  <c r="P187" i="27" s="1"/>
  <c r="P189" i="27" s="1"/>
  <c r="P201" i="27" s="1"/>
  <c r="K123" i="27"/>
  <c r="K124" i="27" s="1"/>
  <c r="B64" i="14"/>
  <c r="B66" i="14" s="1"/>
  <c r="T7" i="27"/>
  <c r="T15" i="27" s="1"/>
  <c r="T36" i="27" s="1"/>
  <c r="R15" i="27"/>
  <c r="R36" i="27" s="1"/>
  <c r="I55" i="25" l="1"/>
  <c r="I56" i="25" s="1"/>
  <c r="C56" i="25"/>
  <c r="K56" i="25" s="1"/>
  <c r="G55" i="25"/>
  <c r="G56" i="25" s="1"/>
  <c r="E187" i="27"/>
  <c r="E189" i="27" s="1"/>
  <c r="E201" i="27" s="1"/>
  <c r="F195" i="27" s="1"/>
  <c r="F201" i="27"/>
  <c r="T61" i="27"/>
  <c r="R123" i="27"/>
  <c r="T123" i="27" s="1"/>
  <c r="T124" i="27" s="1"/>
  <c r="C64" i="14"/>
  <c r="D193" i="27"/>
  <c r="D201" i="27"/>
  <c r="E195" i="27" s="1"/>
  <c r="C66" i="14"/>
  <c r="E193" i="27" l="1"/>
  <c r="R124" i="27"/>
  <c r="N41" i="27"/>
  <c r="N62" i="27" s="1"/>
  <c r="N187" i="27" s="1"/>
  <c r="N189" i="27" s="1"/>
  <c r="N201" i="27" s="1"/>
  <c r="O195" i="27" s="1"/>
  <c r="K41" i="27"/>
  <c r="K62" i="27" s="1"/>
  <c r="K187" i="27" s="1"/>
  <c r="K189" i="27" s="1"/>
  <c r="Q62" i="15"/>
  <c r="M62" i="15"/>
  <c r="M187" i="15" s="1"/>
  <c r="M189" i="15" s="1"/>
  <c r="M201" i="15" s="1"/>
  <c r="L62" i="15"/>
  <c r="L187" i="15" s="1"/>
  <c r="L189" i="15" s="1"/>
  <c r="L201" i="15" s="1"/>
  <c r="N62" i="15"/>
  <c r="N187" i="15" s="1"/>
  <c r="N189" i="15" s="1"/>
  <c r="N201" i="15" s="1"/>
  <c r="O41" i="27"/>
  <c r="O62" i="27" s="1"/>
  <c r="O187" i="27" s="1"/>
  <c r="O189" i="27" s="1"/>
  <c r="O201" i="27" s="1"/>
  <c r="P195" i="27" s="1"/>
  <c r="I201" i="15"/>
  <c r="I41" i="27"/>
  <c r="I62" i="27" s="1"/>
  <c r="I187" i="27" s="1"/>
  <c r="I189" i="27" s="1"/>
  <c r="G41" i="27"/>
  <c r="U62" i="15" l="1"/>
  <c r="C29" i="25"/>
  <c r="G29" i="25" s="1"/>
  <c r="G30" i="25" s="1"/>
  <c r="G77" i="25" s="1"/>
  <c r="G81" i="25" s="1"/>
  <c r="G89" i="25" s="1"/>
  <c r="B27" i="14"/>
  <c r="C27" i="14" s="1"/>
  <c r="I195" i="27"/>
  <c r="I201" i="27"/>
  <c r="J195" i="27" s="1"/>
  <c r="I193" i="27"/>
  <c r="K201" i="27"/>
  <c r="K193" i="27"/>
  <c r="G62" i="27"/>
  <c r="G187" i="27" s="1"/>
  <c r="G189" i="27" s="1"/>
  <c r="I195" i="15"/>
  <c r="I203" i="15" s="1"/>
  <c r="J41" i="27"/>
  <c r="J62" i="27" s="1"/>
  <c r="J187" i="27" s="1"/>
  <c r="J189" i="27" s="1"/>
  <c r="P63" i="15"/>
  <c r="M41" i="27"/>
  <c r="M62" i="27" s="1"/>
  <c r="M187" i="27" s="1"/>
  <c r="M189" i="27" s="1"/>
  <c r="Q187" i="15"/>
  <c r="Q191" i="15" s="1"/>
  <c r="U187" i="15" l="1"/>
  <c r="P208" i="15"/>
  <c r="P209" i="15" s="1"/>
  <c r="P210" i="15" s="1"/>
  <c r="Q189" i="15"/>
  <c r="U191" i="15"/>
  <c r="J195" i="15"/>
  <c r="J203" i="15" s="1"/>
  <c r="I29" i="25"/>
  <c r="I30" i="25" s="1"/>
  <c r="I77" i="25" s="1"/>
  <c r="I81" i="25" s="1"/>
  <c r="K29" i="25"/>
  <c r="C30" i="25"/>
  <c r="C77" i="25" s="1"/>
  <c r="B61" i="14"/>
  <c r="C61" i="14" s="1"/>
  <c r="M201" i="27"/>
  <c r="N195" i="27" s="1"/>
  <c r="M193" i="27"/>
  <c r="G201" i="27"/>
  <c r="H195" i="27" s="1"/>
  <c r="G193" i="27"/>
  <c r="R41" i="27"/>
  <c r="J193" i="27"/>
  <c r="J201" i="27"/>
  <c r="X189" i="15" l="1"/>
  <c r="P206" i="15"/>
  <c r="P207" i="15" s="1"/>
  <c r="W190" i="15"/>
  <c r="Q201" i="15"/>
  <c r="B83" i="14"/>
  <c r="K195" i="15"/>
  <c r="K203" i="15" s="1"/>
  <c r="L195" i="15" s="1"/>
  <c r="L203" i="15" s="1"/>
  <c r="M195" i="15" s="1"/>
  <c r="M203" i="15" s="1"/>
  <c r="N195" i="15" s="1"/>
  <c r="N203" i="15" s="1"/>
  <c r="O195" i="15" s="1"/>
  <c r="O203" i="15" s="1"/>
  <c r="U189" i="15"/>
  <c r="K30" i="25"/>
  <c r="B70" i="14"/>
  <c r="B72" i="14" s="1"/>
  <c r="R62" i="27"/>
  <c r="R187" i="27" s="1"/>
  <c r="T41" i="27"/>
  <c r="T62" i="27" s="1"/>
  <c r="M195" i="27"/>
  <c r="K195" i="27"/>
  <c r="U201" i="15" l="1"/>
  <c r="W201" i="15"/>
  <c r="C81" i="25"/>
  <c r="K77" i="25"/>
  <c r="C70" i="14"/>
  <c r="B81" i="14"/>
  <c r="B79" i="14"/>
  <c r="C79" i="14" s="1"/>
  <c r="C72" i="14"/>
  <c r="Q203" i="15"/>
  <c r="R191" i="27"/>
  <c r="T187" i="27"/>
  <c r="R189" i="27"/>
  <c r="K81" i="25" l="1"/>
  <c r="C89" i="25"/>
  <c r="C91" i="25" s="1"/>
  <c r="T189" i="27"/>
  <c r="R201" i="27"/>
  <c r="K91" i="25" l="1"/>
  <c r="K89" i="25"/>
  <c r="I89" i="25"/>
  <c r="T201" i="27"/>
  <c r="R203" i="27"/>
</calcChain>
</file>

<file path=xl/comments1.xml><?xml version="1.0" encoding="utf-8"?>
<comments xmlns="http://schemas.openxmlformats.org/spreadsheetml/2006/main">
  <authors>
    <author>Theresa Reed</author>
  </authors>
  <commentList>
    <comment ref="B22" authorId="0" shapeId="0">
      <text>
        <r>
          <rPr>
            <b/>
            <sz val="9"/>
            <color indexed="81"/>
            <rFont val="Tahoma"/>
            <family val="2"/>
          </rPr>
          <t>Theresa Reed:</t>
        </r>
        <r>
          <rPr>
            <sz val="9"/>
            <color indexed="81"/>
            <rFont val="Tahoma"/>
            <family val="2"/>
          </rPr>
          <t xml:space="preserve">
FY21 53*7= 357
Added cushion 34 for training and testingp
Plus 30 per AW
</t>
        </r>
      </text>
    </comment>
  </commentList>
</comments>
</file>

<file path=xl/comments2.xml><?xml version="1.0" encoding="utf-8"?>
<comments xmlns="http://schemas.openxmlformats.org/spreadsheetml/2006/main">
  <authors>
    <author>Christine</author>
  </authors>
  <commentList>
    <comment ref="C83" authorId="0" shapeId="0">
      <text>
        <r>
          <rPr>
            <b/>
            <sz val="9"/>
            <color indexed="81"/>
            <rFont val="Tahoma"/>
            <family val="2"/>
          </rPr>
          <t>Christine:</t>
        </r>
        <r>
          <rPr>
            <sz val="9"/>
            <color indexed="81"/>
            <rFont val="Tahoma"/>
            <family val="2"/>
          </rPr>
          <t xml:space="preserve">
Based on April 2022 Fin Analysis
</t>
        </r>
      </text>
    </comment>
    <comment ref="D83" authorId="0" shapeId="0">
      <text>
        <r>
          <rPr>
            <b/>
            <sz val="9"/>
            <color indexed="81"/>
            <rFont val="Tahoma"/>
            <family val="2"/>
          </rPr>
          <t>Christine:</t>
        </r>
        <r>
          <rPr>
            <sz val="9"/>
            <color indexed="81"/>
            <rFont val="Tahoma"/>
            <family val="2"/>
          </rPr>
          <t xml:space="preserve">
Based on April 2022 Fin Analysis
</t>
        </r>
      </text>
    </comment>
    <comment ref="F83" authorId="0" shapeId="0">
      <text>
        <r>
          <rPr>
            <b/>
            <sz val="9"/>
            <color indexed="81"/>
            <rFont val="Tahoma"/>
            <family val="2"/>
          </rPr>
          <t>Christine:</t>
        </r>
        <r>
          <rPr>
            <sz val="9"/>
            <color indexed="81"/>
            <rFont val="Tahoma"/>
            <family val="2"/>
          </rPr>
          <t xml:space="preserve">
Based on FY20 Audit
</t>
        </r>
      </text>
    </comment>
    <comment ref="H83" authorId="0" shapeId="0">
      <text>
        <r>
          <rPr>
            <b/>
            <sz val="9"/>
            <color indexed="81"/>
            <rFont val="Tahoma"/>
            <family val="2"/>
          </rPr>
          <t>Christine:</t>
        </r>
        <r>
          <rPr>
            <sz val="9"/>
            <color indexed="81"/>
            <rFont val="Tahoma"/>
            <family val="2"/>
          </rPr>
          <t xml:space="preserve">
Based on June 2018 audited FS</t>
        </r>
      </text>
    </comment>
  </commentList>
</comments>
</file>

<file path=xl/comments3.xml><?xml version="1.0" encoding="utf-8"?>
<comments xmlns="http://schemas.openxmlformats.org/spreadsheetml/2006/main">
  <authors>
    <author>Christine</author>
    <author>Debra Tisdale</author>
    <author>Theresa Reed</author>
  </authors>
  <commentList>
    <comment ref="Q7" authorId="0" shapeId="0">
      <text>
        <r>
          <rPr>
            <b/>
            <sz val="9"/>
            <color indexed="81"/>
            <rFont val="Tahoma"/>
            <family val="2"/>
          </rPr>
          <t>Christine:</t>
        </r>
        <r>
          <rPr>
            <sz val="9"/>
            <color indexed="81"/>
            <rFont val="Tahoma"/>
            <family val="2"/>
          </rPr>
          <t xml:space="preserve">
All charter Calc less Est Admin Fee</t>
        </r>
      </text>
    </comment>
    <comment ref="F14" authorId="1" shapeId="0">
      <text>
        <r>
          <rPr>
            <b/>
            <sz val="9"/>
            <color indexed="81"/>
            <rFont val="Tahoma"/>
            <charset val="1"/>
          </rPr>
          <t>Debra Tisdale:</t>
        </r>
        <r>
          <rPr>
            <sz val="9"/>
            <color indexed="81"/>
            <rFont val="Tahoma"/>
            <charset val="1"/>
          </rPr>
          <t xml:space="preserve">
FY23 TSIA
not on all charter school calculator</t>
        </r>
      </text>
    </comment>
    <comment ref="O14" authorId="0" shapeId="0">
      <text>
        <r>
          <rPr>
            <b/>
            <sz val="9"/>
            <color indexed="81"/>
            <rFont val="Tahoma"/>
            <family val="2"/>
          </rPr>
          <t>Jeannie:</t>
        </r>
        <r>
          <rPr>
            <sz val="9"/>
            <color indexed="81"/>
            <rFont val="Tahoma"/>
            <family val="2"/>
          </rPr>
          <t xml:space="preserve">
ESSER III $304,600 artificial turf and projectors; $7900 District Intensive Grant; $45,000 ARP Supplemental 
</t>
        </r>
      </text>
    </comment>
    <comment ref="E23" authorId="1" shapeId="0">
      <text>
        <r>
          <rPr>
            <b/>
            <sz val="9"/>
            <color indexed="81"/>
            <rFont val="Tahoma"/>
            <family val="2"/>
          </rPr>
          <t>Jeannie:</t>
        </r>
        <r>
          <rPr>
            <sz val="9"/>
            <color indexed="81"/>
            <rFont val="Tahoma"/>
            <family val="2"/>
          </rPr>
          <t xml:space="preserve">
From FY23 Trend Report</t>
        </r>
      </text>
    </comment>
    <comment ref="F23" authorId="1" shapeId="0">
      <text>
        <r>
          <rPr>
            <b/>
            <sz val="9"/>
            <color indexed="81"/>
            <rFont val="Tahoma"/>
            <family val="2"/>
          </rPr>
          <t>Jeannie:</t>
        </r>
        <r>
          <rPr>
            <sz val="9"/>
            <color indexed="81"/>
            <rFont val="Tahoma"/>
            <family val="2"/>
          </rPr>
          <t xml:space="preserve">
From FY23 Trend Report</t>
        </r>
      </text>
    </comment>
    <comment ref="G23" authorId="1" shapeId="0">
      <text>
        <r>
          <rPr>
            <b/>
            <sz val="9"/>
            <color indexed="81"/>
            <rFont val="Tahoma"/>
            <family val="2"/>
          </rPr>
          <t>Jeannie:</t>
        </r>
        <r>
          <rPr>
            <sz val="9"/>
            <color indexed="81"/>
            <rFont val="Tahoma"/>
            <family val="2"/>
          </rPr>
          <t xml:space="preserve">
From FY23 Trend Report</t>
        </r>
      </text>
    </comment>
    <comment ref="H23" authorId="1" shapeId="0">
      <text>
        <r>
          <rPr>
            <b/>
            <sz val="9"/>
            <color indexed="81"/>
            <rFont val="Tahoma"/>
            <family val="2"/>
          </rPr>
          <t>Jeannie:</t>
        </r>
        <r>
          <rPr>
            <sz val="9"/>
            <color indexed="81"/>
            <rFont val="Tahoma"/>
            <family val="2"/>
          </rPr>
          <t xml:space="preserve">
From FY23 Trend Report</t>
        </r>
      </text>
    </comment>
    <comment ref="I23" authorId="1" shapeId="0">
      <text>
        <r>
          <rPr>
            <b/>
            <sz val="9"/>
            <color indexed="81"/>
            <rFont val="Tahoma"/>
            <family val="2"/>
          </rPr>
          <t>Jeannie:</t>
        </r>
        <r>
          <rPr>
            <sz val="9"/>
            <color indexed="81"/>
            <rFont val="Tahoma"/>
            <family val="2"/>
          </rPr>
          <t xml:space="preserve">
From FY23 Trend Report</t>
        </r>
      </text>
    </comment>
    <comment ref="J23" authorId="1" shapeId="0">
      <text>
        <r>
          <rPr>
            <b/>
            <sz val="9"/>
            <color indexed="81"/>
            <rFont val="Tahoma"/>
            <family val="2"/>
          </rPr>
          <t>Jeannie:</t>
        </r>
        <r>
          <rPr>
            <sz val="9"/>
            <color indexed="81"/>
            <rFont val="Tahoma"/>
            <family val="2"/>
          </rPr>
          <t xml:space="preserve">
From FY23 Trend Report</t>
        </r>
      </text>
    </comment>
    <comment ref="K23" authorId="1" shapeId="0">
      <text>
        <r>
          <rPr>
            <b/>
            <sz val="9"/>
            <color indexed="81"/>
            <rFont val="Tahoma"/>
            <family val="2"/>
          </rPr>
          <t>Jeannie:</t>
        </r>
        <r>
          <rPr>
            <sz val="9"/>
            <color indexed="81"/>
            <rFont val="Tahoma"/>
            <family val="2"/>
          </rPr>
          <t xml:space="preserve">
From FY23 Trend Report</t>
        </r>
      </text>
    </comment>
    <comment ref="L23" authorId="1" shapeId="0">
      <text>
        <r>
          <rPr>
            <b/>
            <sz val="9"/>
            <color indexed="81"/>
            <rFont val="Tahoma"/>
            <family val="2"/>
          </rPr>
          <t>Jeannie:</t>
        </r>
        <r>
          <rPr>
            <sz val="9"/>
            <color indexed="81"/>
            <rFont val="Tahoma"/>
            <family val="2"/>
          </rPr>
          <t xml:space="preserve">
From FY23 Trend Report</t>
        </r>
      </text>
    </comment>
    <comment ref="M23" authorId="1" shapeId="0">
      <text>
        <r>
          <rPr>
            <b/>
            <sz val="9"/>
            <color indexed="81"/>
            <rFont val="Tahoma"/>
            <family val="2"/>
          </rPr>
          <t>Jeannie:</t>
        </r>
        <r>
          <rPr>
            <sz val="9"/>
            <color indexed="81"/>
            <rFont val="Tahoma"/>
            <family val="2"/>
          </rPr>
          <t xml:space="preserve">
From FY23 Trend Report</t>
        </r>
      </text>
    </comment>
    <comment ref="N23" authorId="1" shapeId="0">
      <text>
        <r>
          <rPr>
            <b/>
            <sz val="9"/>
            <color indexed="81"/>
            <rFont val="Tahoma"/>
            <family val="2"/>
          </rPr>
          <t>Jeannie:</t>
        </r>
        <r>
          <rPr>
            <sz val="9"/>
            <color indexed="81"/>
            <rFont val="Tahoma"/>
            <family val="2"/>
          </rPr>
          <t xml:space="preserve">
From FY23 Trend Report</t>
        </r>
      </text>
    </comment>
    <comment ref="D25" authorId="1" shapeId="0">
      <text>
        <r>
          <rPr>
            <b/>
            <sz val="9"/>
            <color indexed="81"/>
            <rFont val="Tahoma"/>
            <family val="2"/>
          </rPr>
          <t>Jeannie:</t>
        </r>
        <r>
          <rPr>
            <sz val="9"/>
            <color indexed="81"/>
            <rFont val="Tahoma"/>
            <family val="2"/>
          </rPr>
          <t xml:space="preserve">
Based on trend report</t>
        </r>
      </text>
    </comment>
    <comment ref="E25" authorId="1" shapeId="0">
      <text>
        <r>
          <rPr>
            <b/>
            <sz val="9"/>
            <color indexed="81"/>
            <rFont val="Tahoma"/>
            <family val="2"/>
          </rPr>
          <t>Jeannie:</t>
        </r>
        <r>
          <rPr>
            <sz val="9"/>
            <color indexed="81"/>
            <rFont val="Tahoma"/>
            <family val="2"/>
          </rPr>
          <t xml:space="preserve">
Based on trend report</t>
        </r>
      </text>
    </comment>
    <comment ref="F25" authorId="1" shapeId="0">
      <text>
        <r>
          <rPr>
            <b/>
            <sz val="9"/>
            <color indexed="81"/>
            <rFont val="Tahoma"/>
            <family val="2"/>
          </rPr>
          <t>Jeannie:</t>
        </r>
        <r>
          <rPr>
            <sz val="9"/>
            <color indexed="81"/>
            <rFont val="Tahoma"/>
            <family val="2"/>
          </rPr>
          <t xml:space="preserve">
Based on trend report</t>
        </r>
      </text>
    </comment>
    <comment ref="G25" authorId="1" shapeId="0">
      <text>
        <r>
          <rPr>
            <b/>
            <sz val="9"/>
            <color indexed="81"/>
            <rFont val="Tahoma"/>
            <family val="2"/>
          </rPr>
          <t>Jeannie:</t>
        </r>
        <r>
          <rPr>
            <sz val="9"/>
            <color indexed="81"/>
            <rFont val="Tahoma"/>
            <family val="2"/>
          </rPr>
          <t xml:space="preserve">
Based on trend report</t>
        </r>
      </text>
    </comment>
    <comment ref="H25" authorId="1" shapeId="0">
      <text>
        <r>
          <rPr>
            <b/>
            <sz val="9"/>
            <color indexed="81"/>
            <rFont val="Tahoma"/>
            <family val="2"/>
          </rPr>
          <t>Jeannie:</t>
        </r>
        <r>
          <rPr>
            <sz val="9"/>
            <color indexed="81"/>
            <rFont val="Tahoma"/>
            <family val="2"/>
          </rPr>
          <t xml:space="preserve">
Based on trend report</t>
        </r>
      </text>
    </comment>
    <comment ref="I25" authorId="1" shapeId="0">
      <text>
        <r>
          <rPr>
            <b/>
            <sz val="9"/>
            <color indexed="81"/>
            <rFont val="Tahoma"/>
            <family val="2"/>
          </rPr>
          <t>Jeannie:</t>
        </r>
        <r>
          <rPr>
            <sz val="9"/>
            <color indexed="81"/>
            <rFont val="Tahoma"/>
            <family val="2"/>
          </rPr>
          <t xml:space="preserve">
Based on trend report</t>
        </r>
      </text>
    </comment>
    <comment ref="J25" authorId="1" shapeId="0">
      <text>
        <r>
          <rPr>
            <b/>
            <sz val="9"/>
            <color indexed="81"/>
            <rFont val="Tahoma"/>
            <family val="2"/>
          </rPr>
          <t>Jeannie:</t>
        </r>
        <r>
          <rPr>
            <sz val="9"/>
            <color indexed="81"/>
            <rFont val="Tahoma"/>
            <family val="2"/>
          </rPr>
          <t xml:space="preserve">
Based on trend report</t>
        </r>
      </text>
    </comment>
    <comment ref="K25" authorId="1" shapeId="0">
      <text>
        <r>
          <rPr>
            <b/>
            <sz val="9"/>
            <color indexed="81"/>
            <rFont val="Tahoma"/>
            <family val="2"/>
          </rPr>
          <t>Jeannie:</t>
        </r>
        <r>
          <rPr>
            <sz val="9"/>
            <color indexed="81"/>
            <rFont val="Tahoma"/>
            <family val="2"/>
          </rPr>
          <t xml:space="preserve">
Based on trend report</t>
        </r>
      </text>
    </comment>
    <comment ref="L25" authorId="1" shapeId="0">
      <text>
        <r>
          <rPr>
            <b/>
            <sz val="9"/>
            <color indexed="81"/>
            <rFont val="Tahoma"/>
            <family val="2"/>
          </rPr>
          <t>Jeannie:</t>
        </r>
        <r>
          <rPr>
            <sz val="9"/>
            <color indexed="81"/>
            <rFont val="Tahoma"/>
            <family val="2"/>
          </rPr>
          <t xml:space="preserve">
Based on trend report</t>
        </r>
      </text>
    </comment>
    <comment ref="M25" authorId="1" shapeId="0">
      <text>
        <r>
          <rPr>
            <b/>
            <sz val="9"/>
            <color indexed="81"/>
            <rFont val="Tahoma"/>
            <family val="2"/>
          </rPr>
          <t>Jeannie:</t>
        </r>
        <r>
          <rPr>
            <sz val="9"/>
            <color indexed="81"/>
            <rFont val="Tahoma"/>
            <family val="2"/>
          </rPr>
          <t xml:space="preserve">
Based on trend report</t>
        </r>
      </text>
    </comment>
    <comment ref="E26" authorId="1" shapeId="0">
      <text>
        <r>
          <rPr>
            <b/>
            <sz val="9"/>
            <color indexed="81"/>
            <rFont val="Tahoma"/>
            <family val="2"/>
          </rPr>
          <t>Jeannie:</t>
        </r>
        <r>
          <rPr>
            <sz val="9"/>
            <color indexed="81"/>
            <rFont val="Tahoma"/>
            <family val="2"/>
          </rPr>
          <t xml:space="preserve">
Based on FY23 TrendReport</t>
        </r>
      </text>
    </comment>
    <comment ref="F26" authorId="1" shapeId="0">
      <text>
        <r>
          <rPr>
            <b/>
            <sz val="9"/>
            <color indexed="81"/>
            <rFont val="Tahoma"/>
            <family val="2"/>
          </rPr>
          <t>Jeannie:</t>
        </r>
        <r>
          <rPr>
            <sz val="9"/>
            <color indexed="81"/>
            <rFont val="Tahoma"/>
            <family val="2"/>
          </rPr>
          <t xml:space="preserve">
Based on FY23 TrendReport</t>
        </r>
      </text>
    </comment>
    <comment ref="G26" authorId="1" shapeId="0">
      <text>
        <r>
          <rPr>
            <b/>
            <sz val="9"/>
            <color indexed="81"/>
            <rFont val="Tahoma"/>
            <family val="2"/>
          </rPr>
          <t>Jeannie:</t>
        </r>
        <r>
          <rPr>
            <sz val="9"/>
            <color indexed="81"/>
            <rFont val="Tahoma"/>
            <family val="2"/>
          </rPr>
          <t xml:space="preserve">
Based on FY23 TrendReport</t>
        </r>
      </text>
    </comment>
    <comment ref="H26" authorId="1" shapeId="0">
      <text>
        <r>
          <rPr>
            <b/>
            <sz val="9"/>
            <color indexed="81"/>
            <rFont val="Tahoma"/>
            <family val="2"/>
          </rPr>
          <t>Jeannie:</t>
        </r>
        <r>
          <rPr>
            <sz val="9"/>
            <color indexed="81"/>
            <rFont val="Tahoma"/>
            <family val="2"/>
          </rPr>
          <t xml:space="preserve">
Based on FY23 TrendReport</t>
        </r>
      </text>
    </comment>
    <comment ref="I26" authorId="1" shapeId="0">
      <text>
        <r>
          <rPr>
            <b/>
            <sz val="9"/>
            <color indexed="81"/>
            <rFont val="Tahoma"/>
            <family val="2"/>
          </rPr>
          <t>Jeannie:</t>
        </r>
        <r>
          <rPr>
            <sz val="9"/>
            <color indexed="81"/>
            <rFont val="Tahoma"/>
            <family val="2"/>
          </rPr>
          <t xml:space="preserve">
Based on FY23 TrendReport</t>
        </r>
      </text>
    </comment>
    <comment ref="J26" authorId="1" shapeId="0">
      <text>
        <r>
          <rPr>
            <b/>
            <sz val="9"/>
            <color indexed="81"/>
            <rFont val="Tahoma"/>
            <family val="2"/>
          </rPr>
          <t>Jeannie:</t>
        </r>
        <r>
          <rPr>
            <sz val="9"/>
            <color indexed="81"/>
            <rFont val="Tahoma"/>
            <family val="2"/>
          </rPr>
          <t xml:space="preserve">
Based on FY23 TrendReport</t>
        </r>
      </text>
    </comment>
    <comment ref="K26" authorId="1" shapeId="0">
      <text>
        <r>
          <rPr>
            <b/>
            <sz val="9"/>
            <color indexed="81"/>
            <rFont val="Tahoma"/>
            <family val="2"/>
          </rPr>
          <t>Jeannie:</t>
        </r>
        <r>
          <rPr>
            <sz val="9"/>
            <color indexed="81"/>
            <rFont val="Tahoma"/>
            <family val="2"/>
          </rPr>
          <t xml:space="preserve">
Based on FY23 TrendReport</t>
        </r>
      </text>
    </comment>
    <comment ref="L26" authorId="1" shapeId="0">
      <text>
        <r>
          <rPr>
            <b/>
            <sz val="9"/>
            <color indexed="81"/>
            <rFont val="Tahoma"/>
            <family val="2"/>
          </rPr>
          <t>Jeannie:</t>
        </r>
        <r>
          <rPr>
            <sz val="9"/>
            <color indexed="81"/>
            <rFont val="Tahoma"/>
            <family val="2"/>
          </rPr>
          <t xml:space="preserve">
Based on FY23 TrendReport</t>
        </r>
      </text>
    </comment>
    <comment ref="M26" authorId="1" shapeId="0">
      <text>
        <r>
          <rPr>
            <b/>
            <sz val="9"/>
            <color indexed="81"/>
            <rFont val="Tahoma"/>
            <family val="2"/>
          </rPr>
          <t>Jeannie:</t>
        </r>
        <r>
          <rPr>
            <sz val="9"/>
            <color indexed="81"/>
            <rFont val="Tahoma"/>
            <family val="2"/>
          </rPr>
          <t xml:space="preserve">
Based on FY23 TrendReport</t>
        </r>
      </text>
    </comment>
    <comment ref="N26" authorId="1" shapeId="0">
      <text>
        <r>
          <rPr>
            <b/>
            <sz val="9"/>
            <color indexed="81"/>
            <rFont val="Tahoma"/>
            <family val="2"/>
          </rPr>
          <t>Jeannie:</t>
        </r>
        <r>
          <rPr>
            <sz val="9"/>
            <color indexed="81"/>
            <rFont val="Tahoma"/>
            <family val="2"/>
          </rPr>
          <t xml:space="preserve">
Based on FY23 TrendReport</t>
        </r>
      </text>
    </comment>
    <comment ref="E27" authorId="1" shapeId="0">
      <text>
        <r>
          <rPr>
            <b/>
            <sz val="9"/>
            <color indexed="81"/>
            <rFont val="Tahoma"/>
            <family val="2"/>
          </rPr>
          <t>Jeannie:</t>
        </r>
        <r>
          <rPr>
            <sz val="9"/>
            <color indexed="81"/>
            <rFont val="Tahoma"/>
            <family val="2"/>
          </rPr>
          <t xml:space="preserve">
Based on FY23 Trend Report Avg monthly income</t>
        </r>
      </text>
    </comment>
    <comment ref="F27" authorId="1" shapeId="0">
      <text>
        <r>
          <rPr>
            <b/>
            <sz val="9"/>
            <color indexed="81"/>
            <rFont val="Tahoma"/>
            <family val="2"/>
          </rPr>
          <t>Jeannie:</t>
        </r>
        <r>
          <rPr>
            <sz val="9"/>
            <color indexed="81"/>
            <rFont val="Tahoma"/>
            <family val="2"/>
          </rPr>
          <t xml:space="preserve">
Based on FY23 Trend Report Avg monthly income</t>
        </r>
      </text>
    </comment>
    <comment ref="G27" authorId="1" shapeId="0">
      <text>
        <r>
          <rPr>
            <b/>
            <sz val="9"/>
            <color indexed="81"/>
            <rFont val="Tahoma"/>
            <family val="2"/>
          </rPr>
          <t>Jeannie:</t>
        </r>
        <r>
          <rPr>
            <sz val="9"/>
            <color indexed="81"/>
            <rFont val="Tahoma"/>
            <family val="2"/>
          </rPr>
          <t xml:space="preserve">
Based on FY23 Trend Report Avg monthly income</t>
        </r>
      </text>
    </comment>
    <comment ref="H27" authorId="1" shapeId="0">
      <text>
        <r>
          <rPr>
            <b/>
            <sz val="9"/>
            <color indexed="81"/>
            <rFont val="Tahoma"/>
            <family val="2"/>
          </rPr>
          <t>Jeannie:</t>
        </r>
        <r>
          <rPr>
            <sz val="9"/>
            <color indexed="81"/>
            <rFont val="Tahoma"/>
            <family val="2"/>
          </rPr>
          <t xml:space="preserve">
Based on FY23 Trend Report Avg monthly income</t>
        </r>
      </text>
    </comment>
    <comment ref="I27" authorId="1" shapeId="0">
      <text>
        <r>
          <rPr>
            <b/>
            <sz val="9"/>
            <color indexed="81"/>
            <rFont val="Tahoma"/>
            <family val="2"/>
          </rPr>
          <t>Jeannie:</t>
        </r>
        <r>
          <rPr>
            <sz val="9"/>
            <color indexed="81"/>
            <rFont val="Tahoma"/>
            <family val="2"/>
          </rPr>
          <t xml:space="preserve">
Based on FY23 Trend Report Avg monthly income</t>
        </r>
      </text>
    </comment>
    <comment ref="J27" authorId="1" shapeId="0">
      <text>
        <r>
          <rPr>
            <b/>
            <sz val="9"/>
            <color indexed="81"/>
            <rFont val="Tahoma"/>
            <family val="2"/>
          </rPr>
          <t>Jeannie:</t>
        </r>
        <r>
          <rPr>
            <sz val="9"/>
            <color indexed="81"/>
            <rFont val="Tahoma"/>
            <family val="2"/>
          </rPr>
          <t xml:space="preserve">
Based on FY23 Trend Report Avg monthly income</t>
        </r>
      </text>
    </comment>
    <comment ref="K27" authorId="1" shapeId="0">
      <text>
        <r>
          <rPr>
            <b/>
            <sz val="9"/>
            <color indexed="81"/>
            <rFont val="Tahoma"/>
            <family val="2"/>
          </rPr>
          <t>Jeannie:</t>
        </r>
        <r>
          <rPr>
            <sz val="9"/>
            <color indexed="81"/>
            <rFont val="Tahoma"/>
            <family val="2"/>
          </rPr>
          <t xml:space="preserve">
Based on FY23 Trend Report Avg monthly income</t>
        </r>
      </text>
    </comment>
    <comment ref="L27" authorId="1" shapeId="0">
      <text>
        <r>
          <rPr>
            <b/>
            <sz val="9"/>
            <color indexed="81"/>
            <rFont val="Tahoma"/>
            <family val="2"/>
          </rPr>
          <t>Jeannie:</t>
        </r>
        <r>
          <rPr>
            <sz val="9"/>
            <color indexed="81"/>
            <rFont val="Tahoma"/>
            <family val="2"/>
          </rPr>
          <t xml:space="preserve">
Based on FY23 Trend Report Avg monthly income</t>
        </r>
      </text>
    </comment>
    <comment ref="M27" authorId="1" shapeId="0">
      <text>
        <r>
          <rPr>
            <b/>
            <sz val="9"/>
            <color indexed="81"/>
            <rFont val="Tahoma"/>
            <family val="2"/>
          </rPr>
          <t>Jeannie:</t>
        </r>
        <r>
          <rPr>
            <sz val="9"/>
            <color indexed="81"/>
            <rFont val="Tahoma"/>
            <family val="2"/>
          </rPr>
          <t xml:space="preserve">
Based on FY23 Trend Report Avg monthly income</t>
        </r>
      </text>
    </comment>
    <comment ref="N27" authorId="1" shapeId="0">
      <text>
        <r>
          <rPr>
            <b/>
            <sz val="9"/>
            <color indexed="81"/>
            <rFont val="Tahoma"/>
            <family val="2"/>
          </rPr>
          <t>Jeannie:</t>
        </r>
        <r>
          <rPr>
            <sz val="9"/>
            <color indexed="81"/>
            <rFont val="Tahoma"/>
            <family val="2"/>
          </rPr>
          <t xml:space="preserve">
Based on FY23 Trend Report Avg monthly income</t>
        </r>
      </text>
    </comment>
    <comment ref="E28" authorId="1" shapeId="0">
      <text>
        <r>
          <rPr>
            <b/>
            <sz val="9"/>
            <color indexed="81"/>
            <rFont val="Tahoma"/>
            <family val="2"/>
          </rPr>
          <t>Jeannie:</t>
        </r>
        <r>
          <rPr>
            <sz val="9"/>
            <color indexed="81"/>
            <rFont val="Tahoma"/>
            <family val="2"/>
          </rPr>
          <t xml:space="preserve">
Based on FY23 Avg. monthly sports income trend report</t>
        </r>
      </text>
    </comment>
    <comment ref="F28" authorId="1" shapeId="0">
      <text>
        <r>
          <rPr>
            <b/>
            <sz val="9"/>
            <color indexed="81"/>
            <rFont val="Tahoma"/>
            <family val="2"/>
          </rPr>
          <t>Jeannie:</t>
        </r>
        <r>
          <rPr>
            <sz val="9"/>
            <color indexed="81"/>
            <rFont val="Tahoma"/>
            <family val="2"/>
          </rPr>
          <t xml:space="preserve">
Based on FY23 Avg. monthly sports income trend report</t>
        </r>
      </text>
    </comment>
    <comment ref="G28" authorId="1" shapeId="0">
      <text>
        <r>
          <rPr>
            <b/>
            <sz val="9"/>
            <color indexed="81"/>
            <rFont val="Tahoma"/>
            <family val="2"/>
          </rPr>
          <t>Jeannie:</t>
        </r>
        <r>
          <rPr>
            <sz val="9"/>
            <color indexed="81"/>
            <rFont val="Tahoma"/>
            <family val="2"/>
          </rPr>
          <t xml:space="preserve">
Based on FY23 Avg. monthly sports income trend report</t>
        </r>
      </text>
    </comment>
    <comment ref="H28" authorId="1" shapeId="0">
      <text>
        <r>
          <rPr>
            <b/>
            <sz val="9"/>
            <color indexed="81"/>
            <rFont val="Tahoma"/>
            <family val="2"/>
          </rPr>
          <t>Jeannie:</t>
        </r>
        <r>
          <rPr>
            <sz val="9"/>
            <color indexed="81"/>
            <rFont val="Tahoma"/>
            <family val="2"/>
          </rPr>
          <t xml:space="preserve">
Based on FY23 Avg. monthly sports income trend report</t>
        </r>
      </text>
    </comment>
    <comment ref="I28" authorId="1" shapeId="0">
      <text>
        <r>
          <rPr>
            <b/>
            <sz val="9"/>
            <color indexed="81"/>
            <rFont val="Tahoma"/>
            <family val="2"/>
          </rPr>
          <t>Jeannie:</t>
        </r>
        <r>
          <rPr>
            <sz val="9"/>
            <color indexed="81"/>
            <rFont val="Tahoma"/>
            <family val="2"/>
          </rPr>
          <t xml:space="preserve">
Based on FY23 Avg. monthly sports income trend report</t>
        </r>
      </text>
    </comment>
    <comment ref="J28" authorId="1" shapeId="0">
      <text>
        <r>
          <rPr>
            <b/>
            <sz val="9"/>
            <color indexed="81"/>
            <rFont val="Tahoma"/>
            <family val="2"/>
          </rPr>
          <t>Jeannie:</t>
        </r>
        <r>
          <rPr>
            <sz val="9"/>
            <color indexed="81"/>
            <rFont val="Tahoma"/>
            <family val="2"/>
          </rPr>
          <t xml:space="preserve">
Based on FY23 Avg. monthly sports income trend report</t>
        </r>
      </text>
    </comment>
    <comment ref="K28" authorId="1" shapeId="0">
      <text>
        <r>
          <rPr>
            <b/>
            <sz val="9"/>
            <color indexed="81"/>
            <rFont val="Tahoma"/>
            <family val="2"/>
          </rPr>
          <t>Jeannie:</t>
        </r>
        <r>
          <rPr>
            <sz val="9"/>
            <color indexed="81"/>
            <rFont val="Tahoma"/>
            <family val="2"/>
          </rPr>
          <t xml:space="preserve">
Based on FY23 Avg. monthly sports income trend report</t>
        </r>
      </text>
    </comment>
    <comment ref="L28" authorId="1" shapeId="0">
      <text>
        <r>
          <rPr>
            <b/>
            <sz val="9"/>
            <color indexed="81"/>
            <rFont val="Tahoma"/>
            <family val="2"/>
          </rPr>
          <t>Jeannie:</t>
        </r>
        <r>
          <rPr>
            <sz val="9"/>
            <color indexed="81"/>
            <rFont val="Tahoma"/>
            <family val="2"/>
          </rPr>
          <t xml:space="preserve">
Based on FY23 Avg. monthly sports income trend report</t>
        </r>
      </text>
    </comment>
    <comment ref="M28" authorId="1" shapeId="0">
      <text>
        <r>
          <rPr>
            <b/>
            <sz val="9"/>
            <color indexed="81"/>
            <rFont val="Tahoma"/>
            <family val="2"/>
          </rPr>
          <t>Jeannie:</t>
        </r>
        <r>
          <rPr>
            <sz val="9"/>
            <color indexed="81"/>
            <rFont val="Tahoma"/>
            <family val="2"/>
          </rPr>
          <t xml:space="preserve">
Based on FY23 Avg. monthly sports income trend report</t>
        </r>
      </text>
    </comment>
    <comment ref="N28" authorId="1" shapeId="0">
      <text>
        <r>
          <rPr>
            <b/>
            <sz val="9"/>
            <color indexed="81"/>
            <rFont val="Tahoma"/>
            <family val="2"/>
          </rPr>
          <t>Jeannie:</t>
        </r>
        <r>
          <rPr>
            <sz val="9"/>
            <color indexed="81"/>
            <rFont val="Tahoma"/>
            <family val="2"/>
          </rPr>
          <t xml:space="preserve">
Based on FY23 Avg. monthly sports income trend report</t>
        </r>
      </text>
    </comment>
    <comment ref="D29" authorId="0" shapeId="0">
      <text>
        <r>
          <rPr>
            <b/>
            <sz val="9"/>
            <color indexed="81"/>
            <rFont val="Tahoma"/>
            <family val="2"/>
          </rPr>
          <t xml:space="preserve">Jeannie: 
</t>
        </r>
        <r>
          <rPr>
            <sz val="9"/>
            <color indexed="81"/>
            <rFont val="Tahoma"/>
            <family val="2"/>
          </rPr>
          <t>FY23 Average Monthly</t>
        </r>
      </text>
    </comment>
    <comment ref="E29" authorId="0" shapeId="0">
      <text>
        <r>
          <rPr>
            <b/>
            <sz val="9"/>
            <color indexed="81"/>
            <rFont val="Tahoma"/>
            <family val="2"/>
          </rPr>
          <t xml:space="preserve">Jeannie: 
</t>
        </r>
        <r>
          <rPr>
            <sz val="9"/>
            <color indexed="81"/>
            <rFont val="Tahoma"/>
            <family val="2"/>
          </rPr>
          <t>FY23 Average Monthly</t>
        </r>
      </text>
    </comment>
    <comment ref="F29" authorId="0" shapeId="0">
      <text>
        <r>
          <rPr>
            <b/>
            <sz val="9"/>
            <color indexed="81"/>
            <rFont val="Tahoma"/>
            <family val="2"/>
          </rPr>
          <t xml:space="preserve">Jeannie: 
</t>
        </r>
        <r>
          <rPr>
            <sz val="9"/>
            <color indexed="81"/>
            <rFont val="Tahoma"/>
            <family val="2"/>
          </rPr>
          <t>FY23 Average Monthly</t>
        </r>
      </text>
    </comment>
    <comment ref="G29" authorId="0" shapeId="0">
      <text>
        <r>
          <rPr>
            <b/>
            <sz val="9"/>
            <color indexed="81"/>
            <rFont val="Tahoma"/>
            <family val="2"/>
          </rPr>
          <t xml:space="preserve">Jeannie: 
</t>
        </r>
        <r>
          <rPr>
            <sz val="9"/>
            <color indexed="81"/>
            <rFont val="Tahoma"/>
            <family val="2"/>
          </rPr>
          <t>FY23 Average Monthly</t>
        </r>
      </text>
    </comment>
    <comment ref="H29" authorId="0" shapeId="0">
      <text>
        <r>
          <rPr>
            <b/>
            <sz val="9"/>
            <color indexed="81"/>
            <rFont val="Tahoma"/>
            <family val="2"/>
          </rPr>
          <t xml:space="preserve">Jeannie: 
</t>
        </r>
        <r>
          <rPr>
            <sz val="9"/>
            <color indexed="81"/>
            <rFont val="Tahoma"/>
            <family val="2"/>
          </rPr>
          <t>FY23 Average Monthly</t>
        </r>
      </text>
    </comment>
    <comment ref="I29" authorId="0" shapeId="0">
      <text>
        <r>
          <rPr>
            <b/>
            <sz val="9"/>
            <color indexed="81"/>
            <rFont val="Tahoma"/>
            <family val="2"/>
          </rPr>
          <t xml:space="preserve">Jeannie: 
</t>
        </r>
        <r>
          <rPr>
            <sz val="9"/>
            <color indexed="81"/>
            <rFont val="Tahoma"/>
            <family val="2"/>
          </rPr>
          <t>FY23 Average Monthly</t>
        </r>
      </text>
    </comment>
    <comment ref="J29" authorId="0" shapeId="0">
      <text>
        <r>
          <rPr>
            <b/>
            <sz val="9"/>
            <color indexed="81"/>
            <rFont val="Tahoma"/>
            <family val="2"/>
          </rPr>
          <t xml:space="preserve">Jeannie: 
</t>
        </r>
        <r>
          <rPr>
            <sz val="9"/>
            <color indexed="81"/>
            <rFont val="Tahoma"/>
            <family val="2"/>
          </rPr>
          <t>FY23 Average Monthly</t>
        </r>
      </text>
    </comment>
    <comment ref="K29" authorId="0" shapeId="0">
      <text>
        <r>
          <rPr>
            <b/>
            <sz val="9"/>
            <color indexed="81"/>
            <rFont val="Tahoma"/>
            <family val="2"/>
          </rPr>
          <t xml:space="preserve">Jeannie: 
</t>
        </r>
        <r>
          <rPr>
            <sz val="9"/>
            <color indexed="81"/>
            <rFont val="Tahoma"/>
            <family val="2"/>
          </rPr>
          <t>FY23 Average Monthly</t>
        </r>
      </text>
    </comment>
    <comment ref="L29" authorId="0" shapeId="0">
      <text>
        <r>
          <rPr>
            <b/>
            <sz val="9"/>
            <color indexed="81"/>
            <rFont val="Tahoma"/>
            <family val="2"/>
          </rPr>
          <t xml:space="preserve">Jeannie: 
</t>
        </r>
        <r>
          <rPr>
            <sz val="9"/>
            <color indexed="81"/>
            <rFont val="Tahoma"/>
            <family val="2"/>
          </rPr>
          <t>FY23 Average Monthly</t>
        </r>
      </text>
    </comment>
    <comment ref="M29" authorId="0" shapeId="0">
      <text>
        <r>
          <rPr>
            <b/>
            <sz val="9"/>
            <color indexed="81"/>
            <rFont val="Tahoma"/>
            <family val="2"/>
          </rPr>
          <t xml:space="preserve">Jeannie: 
</t>
        </r>
        <r>
          <rPr>
            <sz val="9"/>
            <color indexed="81"/>
            <rFont val="Tahoma"/>
            <family val="2"/>
          </rPr>
          <t>FY23 Average Monthly</t>
        </r>
      </text>
    </comment>
    <comment ref="N29" authorId="0" shapeId="0">
      <text>
        <r>
          <rPr>
            <b/>
            <sz val="9"/>
            <color indexed="81"/>
            <rFont val="Tahoma"/>
            <family val="2"/>
          </rPr>
          <t xml:space="preserve">Jeannie: 
</t>
        </r>
        <r>
          <rPr>
            <sz val="9"/>
            <color indexed="81"/>
            <rFont val="Tahoma"/>
            <family val="2"/>
          </rPr>
          <t>FY23 Average Monthly</t>
        </r>
      </text>
    </comment>
    <comment ref="O29" authorId="0" shapeId="0">
      <text>
        <r>
          <rPr>
            <b/>
            <sz val="9"/>
            <color indexed="81"/>
            <rFont val="Tahoma"/>
            <family val="2"/>
          </rPr>
          <t xml:space="preserve">Jeannie: 
</t>
        </r>
        <r>
          <rPr>
            <sz val="9"/>
            <color indexed="81"/>
            <rFont val="Tahoma"/>
            <family val="2"/>
          </rPr>
          <t>FY23 Average Monthly</t>
        </r>
      </text>
    </comment>
    <comment ref="Q66" authorId="1" shapeId="0">
      <text>
        <r>
          <rPr>
            <b/>
            <sz val="9"/>
            <color indexed="81"/>
            <rFont val="Tahoma"/>
            <charset val="1"/>
          </rPr>
          <t>Debra Tisdale:</t>
        </r>
        <r>
          <rPr>
            <sz val="9"/>
            <color indexed="81"/>
            <rFont val="Tahoma"/>
            <charset val="1"/>
          </rPr>
          <t xml:space="preserve">
Extra Space Rental</t>
        </r>
      </text>
    </comment>
    <comment ref="D67" authorId="1" shapeId="0">
      <text>
        <r>
          <rPr>
            <b/>
            <sz val="9"/>
            <color indexed="81"/>
            <rFont val="Tahoma"/>
            <family val="2"/>
          </rPr>
          <t>Jeannie:</t>
        </r>
        <r>
          <rPr>
            <sz val="9"/>
            <color indexed="81"/>
            <rFont val="Tahoma"/>
            <family val="2"/>
          </rPr>
          <t xml:space="preserve">
Per Aimee, $1,000 plus storm water and solid waste tax of $15,000 </t>
        </r>
      </text>
    </comment>
    <comment ref="E67" authorId="1" shapeId="0">
      <text>
        <r>
          <rPr>
            <b/>
            <sz val="9"/>
            <color indexed="81"/>
            <rFont val="Tahoma"/>
            <family val="2"/>
          </rPr>
          <t>Jeannie:</t>
        </r>
        <r>
          <rPr>
            <sz val="9"/>
            <color indexed="81"/>
            <rFont val="Tahoma"/>
            <family val="2"/>
          </rPr>
          <t xml:space="preserve">
Per Aimee, $1,000 plus storm water and solid waste tax of $15,000 </t>
        </r>
      </text>
    </comment>
    <comment ref="F67" authorId="1" shapeId="0">
      <text>
        <r>
          <rPr>
            <b/>
            <sz val="9"/>
            <color indexed="81"/>
            <rFont val="Tahoma"/>
            <family val="2"/>
          </rPr>
          <t>Jeannie:</t>
        </r>
        <r>
          <rPr>
            <sz val="9"/>
            <color indexed="81"/>
            <rFont val="Tahoma"/>
            <family val="2"/>
          </rPr>
          <t xml:space="preserve">
Per Aimee, $1,000 plus storm water and solid waste tax of $15,000 </t>
        </r>
      </text>
    </comment>
    <comment ref="G67" authorId="1" shapeId="0">
      <text>
        <r>
          <rPr>
            <b/>
            <sz val="9"/>
            <color indexed="81"/>
            <rFont val="Tahoma"/>
            <family val="2"/>
          </rPr>
          <t>Jeannie:</t>
        </r>
        <r>
          <rPr>
            <sz val="9"/>
            <color indexed="81"/>
            <rFont val="Tahoma"/>
            <family val="2"/>
          </rPr>
          <t xml:space="preserve">
Per Aimee, $1,000 plus storm water and solid waste tax of $15,000 </t>
        </r>
      </text>
    </comment>
    <comment ref="H67" authorId="1" shapeId="0">
      <text>
        <r>
          <rPr>
            <b/>
            <sz val="9"/>
            <color indexed="81"/>
            <rFont val="Tahoma"/>
            <family val="2"/>
          </rPr>
          <t>Jeannie:</t>
        </r>
        <r>
          <rPr>
            <sz val="9"/>
            <color indexed="81"/>
            <rFont val="Tahoma"/>
            <family val="2"/>
          </rPr>
          <t xml:space="preserve">
Per Aimee, $1,000 plus storm water and solid waste tax of $15,000 </t>
        </r>
      </text>
    </comment>
    <comment ref="I67" authorId="1" shapeId="0">
      <text>
        <r>
          <rPr>
            <b/>
            <sz val="9"/>
            <color indexed="81"/>
            <rFont val="Tahoma"/>
            <family val="2"/>
          </rPr>
          <t>Jeannie:</t>
        </r>
        <r>
          <rPr>
            <sz val="9"/>
            <color indexed="81"/>
            <rFont val="Tahoma"/>
            <family val="2"/>
          </rPr>
          <t xml:space="preserve">
Per Aimee, $1,000 plus storm water and solid waste tax of $15,000 </t>
        </r>
      </text>
    </comment>
    <comment ref="J67" authorId="1" shapeId="0">
      <text>
        <r>
          <rPr>
            <b/>
            <sz val="9"/>
            <color indexed="81"/>
            <rFont val="Tahoma"/>
            <family val="2"/>
          </rPr>
          <t>Jeannie:</t>
        </r>
        <r>
          <rPr>
            <sz val="9"/>
            <color indexed="81"/>
            <rFont val="Tahoma"/>
            <family val="2"/>
          </rPr>
          <t xml:space="preserve">
Per Aimee, $1,000 plus storm water and solid waste tax of $15,000 </t>
        </r>
      </text>
    </comment>
    <comment ref="K67" authorId="1" shapeId="0">
      <text>
        <r>
          <rPr>
            <b/>
            <sz val="9"/>
            <color indexed="81"/>
            <rFont val="Tahoma"/>
            <family val="2"/>
          </rPr>
          <t>Jeannie:</t>
        </r>
        <r>
          <rPr>
            <sz val="9"/>
            <color indexed="81"/>
            <rFont val="Tahoma"/>
            <family val="2"/>
          </rPr>
          <t xml:space="preserve">
Per Aimee, $1,000 plus storm water and solid waste tax of $15,000 </t>
        </r>
      </text>
    </comment>
    <comment ref="L67" authorId="1" shapeId="0">
      <text>
        <r>
          <rPr>
            <b/>
            <sz val="9"/>
            <color indexed="81"/>
            <rFont val="Tahoma"/>
            <family val="2"/>
          </rPr>
          <t>Jeannie:</t>
        </r>
        <r>
          <rPr>
            <sz val="9"/>
            <color indexed="81"/>
            <rFont val="Tahoma"/>
            <family val="2"/>
          </rPr>
          <t xml:space="preserve">
Per Aimee, $1,000 plus storm water and solid waste tax of $15,000 </t>
        </r>
      </text>
    </comment>
    <comment ref="M67" authorId="1" shapeId="0">
      <text>
        <r>
          <rPr>
            <b/>
            <sz val="9"/>
            <color indexed="81"/>
            <rFont val="Tahoma"/>
            <family val="2"/>
          </rPr>
          <t>Jeannie:</t>
        </r>
        <r>
          <rPr>
            <sz val="9"/>
            <color indexed="81"/>
            <rFont val="Tahoma"/>
            <family val="2"/>
          </rPr>
          <t xml:space="preserve">
Per Aimee, $1,000 plus storm water and solid waste tax of $15,000 </t>
        </r>
      </text>
    </comment>
    <comment ref="N67" authorId="1" shapeId="0">
      <text>
        <r>
          <rPr>
            <b/>
            <sz val="9"/>
            <color indexed="81"/>
            <rFont val="Tahoma"/>
            <family val="2"/>
          </rPr>
          <t>Jeannie:</t>
        </r>
        <r>
          <rPr>
            <sz val="9"/>
            <color indexed="81"/>
            <rFont val="Tahoma"/>
            <family val="2"/>
          </rPr>
          <t xml:space="preserve">
Per Aimee, $1,000 plus storm water and solid waste tax of $15,000 </t>
        </r>
      </text>
    </comment>
    <comment ref="O67" authorId="1" shapeId="0">
      <text>
        <r>
          <rPr>
            <b/>
            <sz val="9"/>
            <color indexed="81"/>
            <rFont val="Tahoma"/>
            <family val="2"/>
          </rPr>
          <t>Jeannie:</t>
        </r>
        <r>
          <rPr>
            <sz val="9"/>
            <color indexed="81"/>
            <rFont val="Tahoma"/>
            <family val="2"/>
          </rPr>
          <t xml:space="preserve">
Per Aimee, $1,000 plus storm water and solid waste tax of $15,000 </t>
        </r>
      </text>
    </comment>
    <comment ref="E72" authorId="1" shapeId="0">
      <text>
        <r>
          <rPr>
            <b/>
            <sz val="9"/>
            <color indexed="81"/>
            <rFont val="Tahoma"/>
            <family val="2"/>
          </rPr>
          <t>Jeannie:</t>
        </r>
        <r>
          <rPr>
            <sz val="9"/>
            <color indexed="81"/>
            <rFont val="Tahoma"/>
            <family val="2"/>
          </rPr>
          <t xml:space="preserve">
4308/10 from FY23 trend report, after teacher supply assistance funds deducted
</t>
        </r>
      </text>
    </comment>
    <comment ref="F72" authorId="0" shapeId="0">
      <text>
        <r>
          <rPr>
            <b/>
            <sz val="9"/>
            <color indexed="81"/>
            <rFont val="Tahoma"/>
            <family val="2"/>
          </rPr>
          <t>Jeannie:</t>
        </r>
        <r>
          <rPr>
            <sz val="9"/>
            <color indexed="81"/>
            <rFont val="Tahoma"/>
            <family val="2"/>
          </rPr>
          <t xml:space="preserve">
Teacher Supply Asst</t>
        </r>
      </text>
    </comment>
    <comment ref="G72" authorId="1" shapeId="0">
      <text>
        <r>
          <rPr>
            <b/>
            <sz val="9"/>
            <color indexed="81"/>
            <rFont val="Tahoma"/>
            <family val="2"/>
          </rPr>
          <t>Jeannie:</t>
        </r>
        <r>
          <rPr>
            <sz val="9"/>
            <color indexed="81"/>
            <rFont val="Tahoma"/>
            <family val="2"/>
          </rPr>
          <t xml:space="preserve">
4308/10 from FY23 trend report
</t>
        </r>
      </text>
    </comment>
    <comment ref="H72" authorId="1" shapeId="0">
      <text>
        <r>
          <rPr>
            <b/>
            <sz val="9"/>
            <color indexed="81"/>
            <rFont val="Tahoma"/>
            <family val="2"/>
          </rPr>
          <t>Jeannie:</t>
        </r>
        <r>
          <rPr>
            <sz val="9"/>
            <color indexed="81"/>
            <rFont val="Tahoma"/>
            <family val="2"/>
          </rPr>
          <t xml:space="preserve">
4308/10 from FY23 trend report
</t>
        </r>
      </text>
    </comment>
    <comment ref="I72" authorId="1" shapeId="0">
      <text>
        <r>
          <rPr>
            <b/>
            <sz val="9"/>
            <color indexed="81"/>
            <rFont val="Tahoma"/>
            <family val="2"/>
          </rPr>
          <t>Jeannie:</t>
        </r>
        <r>
          <rPr>
            <sz val="9"/>
            <color indexed="81"/>
            <rFont val="Tahoma"/>
            <family val="2"/>
          </rPr>
          <t xml:space="preserve">
4308/10 from FY23 trend report
</t>
        </r>
      </text>
    </comment>
    <comment ref="J72" authorId="1" shapeId="0">
      <text>
        <r>
          <rPr>
            <b/>
            <sz val="9"/>
            <color indexed="81"/>
            <rFont val="Tahoma"/>
            <family val="2"/>
          </rPr>
          <t>Jeannie:</t>
        </r>
        <r>
          <rPr>
            <sz val="9"/>
            <color indexed="81"/>
            <rFont val="Tahoma"/>
            <family val="2"/>
          </rPr>
          <t xml:space="preserve">
4308/10 from FY23 trend report
</t>
        </r>
      </text>
    </comment>
    <comment ref="K72" authorId="1" shapeId="0">
      <text>
        <r>
          <rPr>
            <b/>
            <sz val="9"/>
            <color indexed="81"/>
            <rFont val="Tahoma"/>
            <family val="2"/>
          </rPr>
          <t>Jeannie:</t>
        </r>
        <r>
          <rPr>
            <sz val="9"/>
            <color indexed="81"/>
            <rFont val="Tahoma"/>
            <family val="2"/>
          </rPr>
          <t xml:space="preserve">
4308/10 from FY23 trend report
</t>
        </r>
      </text>
    </comment>
    <comment ref="L72" authorId="1" shapeId="0">
      <text>
        <r>
          <rPr>
            <b/>
            <sz val="9"/>
            <color indexed="81"/>
            <rFont val="Tahoma"/>
            <family val="2"/>
          </rPr>
          <t>Jeannie:</t>
        </r>
        <r>
          <rPr>
            <sz val="9"/>
            <color indexed="81"/>
            <rFont val="Tahoma"/>
            <family val="2"/>
          </rPr>
          <t xml:space="preserve">
4308/10 from FY23 trend report
</t>
        </r>
      </text>
    </comment>
    <comment ref="M72" authorId="1" shapeId="0">
      <text>
        <r>
          <rPr>
            <b/>
            <sz val="9"/>
            <color indexed="81"/>
            <rFont val="Tahoma"/>
            <family val="2"/>
          </rPr>
          <t>Jeannie:</t>
        </r>
        <r>
          <rPr>
            <sz val="9"/>
            <color indexed="81"/>
            <rFont val="Tahoma"/>
            <family val="2"/>
          </rPr>
          <t xml:space="preserve">
4308/10 from FY23 trend report
</t>
        </r>
      </text>
    </comment>
    <comment ref="N72" authorId="1" shapeId="0">
      <text>
        <r>
          <rPr>
            <b/>
            <sz val="9"/>
            <color indexed="81"/>
            <rFont val="Tahoma"/>
            <family val="2"/>
          </rPr>
          <t>Jeannie:</t>
        </r>
        <r>
          <rPr>
            <sz val="9"/>
            <color indexed="81"/>
            <rFont val="Tahoma"/>
            <family val="2"/>
          </rPr>
          <t xml:space="preserve">
4308/10 from FY23 trend report
</t>
        </r>
      </text>
    </comment>
    <comment ref="G73" authorId="0" shapeId="0">
      <text>
        <r>
          <rPr>
            <b/>
            <sz val="9"/>
            <color indexed="81"/>
            <rFont val="Tahoma"/>
            <family val="2"/>
          </rPr>
          <t>Christine:</t>
        </r>
        <r>
          <rPr>
            <sz val="9"/>
            <color indexed="81"/>
            <rFont val="Tahoma"/>
            <family val="2"/>
          </rPr>
          <t xml:space="preserve">
STAR testing</t>
        </r>
      </text>
    </comment>
    <comment ref="D74" authorId="0" shapeId="0">
      <text>
        <r>
          <rPr>
            <b/>
            <sz val="9"/>
            <color indexed="81"/>
            <rFont val="Tahoma"/>
            <family val="2"/>
          </rPr>
          <t>Jeannie:</t>
        </r>
        <r>
          <rPr>
            <sz val="9"/>
            <color indexed="81"/>
            <rFont val="Tahoma"/>
            <family val="2"/>
          </rPr>
          <t xml:space="preserve">
Go Math balance of $48,087; Benchmark $37,925, plus science curriculum</t>
        </r>
      </text>
    </comment>
    <comment ref="E80" authorId="1" shapeId="0">
      <text>
        <r>
          <rPr>
            <b/>
            <sz val="9"/>
            <color indexed="81"/>
            <rFont val="Tahoma"/>
            <family val="2"/>
          </rPr>
          <t>Debra Tisdale:</t>
        </r>
        <r>
          <rPr>
            <sz val="9"/>
            <color indexed="81"/>
            <rFont val="Tahoma"/>
            <family val="2"/>
          </rPr>
          <t xml:space="preserve">
Based on FY23 Trend Report Avg. monthly sports program expense</t>
        </r>
      </text>
    </comment>
    <comment ref="F80" authorId="1" shapeId="0">
      <text>
        <r>
          <rPr>
            <b/>
            <sz val="9"/>
            <color indexed="81"/>
            <rFont val="Tahoma"/>
            <family val="2"/>
          </rPr>
          <t>Debra Tisdale:</t>
        </r>
        <r>
          <rPr>
            <sz val="9"/>
            <color indexed="81"/>
            <rFont val="Tahoma"/>
            <family val="2"/>
          </rPr>
          <t xml:space="preserve">
Based on FY23 Trend Report Avg. monthly sports program expense</t>
        </r>
      </text>
    </comment>
    <comment ref="G80" authorId="1" shapeId="0">
      <text>
        <r>
          <rPr>
            <b/>
            <sz val="9"/>
            <color indexed="81"/>
            <rFont val="Tahoma"/>
            <family val="2"/>
          </rPr>
          <t>Debra Tisdale:</t>
        </r>
        <r>
          <rPr>
            <sz val="9"/>
            <color indexed="81"/>
            <rFont val="Tahoma"/>
            <family val="2"/>
          </rPr>
          <t xml:space="preserve">
Based on FY23 Trend Report Avg. monthly sports program expense</t>
        </r>
      </text>
    </comment>
    <comment ref="H80" authorId="1" shapeId="0">
      <text>
        <r>
          <rPr>
            <b/>
            <sz val="9"/>
            <color indexed="81"/>
            <rFont val="Tahoma"/>
            <family val="2"/>
          </rPr>
          <t>Debra Tisdale:</t>
        </r>
        <r>
          <rPr>
            <sz val="9"/>
            <color indexed="81"/>
            <rFont val="Tahoma"/>
            <family val="2"/>
          </rPr>
          <t xml:space="preserve">
Based on FY23 Trend Report Avg. monthly sports program expense</t>
        </r>
      </text>
    </comment>
    <comment ref="I80" authorId="1" shapeId="0">
      <text>
        <r>
          <rPr>
            <b/>
            <sz val="9"/>
            <color indexed="81"/>
            <rFont val="Tahoma"/>
            <family val="2"/>
          </rPr>
          <t>Debra Tisdale:</t>
        </r>
        <r>
          <rPr>
            <sz val="9"/>
            <color indexed="81"/>
            <rFont val="Tahoma"/>
            <family val="2"/>
          </rPr>
          <t xml:space="preserve">
Based on FY23 Trend Report Avg. monthly sports program expense</t>
        </r>
      </text>
    </comment>
    <comment ref="J80" authorId="1" shapeId="0">
      <text>
        <r>
          <rPr>
            <b/>
            <sz val="9"/>
            <color indexed="81"/>
            <rFont val="Tahoma"/>
            <family val="2"/>
          </rPr>
          <t>Debra Tisdale:</t>
        </r>
        <r>
          <rPr>
            <sz val="9"/>
            <color indexed="81"/>
            <rFont val="Tahoma"/>
            <family val="2"/>
          </rPr>
          <t xml:space="preserve">
Based on FY23 Trend Report Avg. monthly sports program expense</t>
        </r>
      </text>
    </comment>
    <comment ref="K80" authorId="1" shapeId="0">
      <text>
        <r>
          <rPr>
            <b/>
            <sz val="9"/>
            <color indexed="81"/>
            <rFont val="Tahoma"/>
            <family val="2"/>
          </rPr>
          <t>Debra Tisdale:</t>
        </r>
        <r>
          <rPr>
            <sz val="9"/>
            <color indexed="81"/>
            <rFont val="Tahoma"/>
            <family val="2"/>
          </rPr>
          <t xml:space="preserve">
Based on FY23 Trend Report Avg. monthly sports program expense</t>
        </r>
      </text>
    </comment>
    <comment ref="L80" authorId="1" shapeId="0">
      <text>
        <r>
          <rPr>
            <b/>
            <sz val="9"/>
            <color indexed="81"/>
            <rFont val="Tahoma"/>
            <family val="2"/>
          </rPr>
          <t>Debra Tisdale:</t>
        </r>
        <r>
          <rPr>
            <sz val="9"/>
            <color indexed="81"/>
            <rFont val="Tahoma"/>
            <family val="2"/>
          </rPr>
          <t xml:space="preserve">
Based on FY23 Trend Report Avg. monthly sports program expense</t>
        </r>
      </text>
    </comment>
    <comment ref="M80" authorId="1" shapeId="0">
      <text>
        <r>
          <rPr>
            <b/>
            <sz val="9"/>
            <color indexed="81"/>
            <rFont val="Tahoma"/>
            <family val="2"/>
          </rPr>
          <t>Debra Tisdale:</t>
        </r>
        <r>
          <rPr>
            <sz val="9"/>
            <color indexed="81"/>
            <rFont val="Tahoma"/>
            <family val="2"/>
          </rPr>
          <t xml:space="preserve">
Based on FY23 Trend Report Avg. monthly sports program expense</t>
        </r>
      </text>
    </comment>
    <comment ref="N80" authorId="1" shapeId="0">
      <text>
        <r>
          <rPr>
            <b/>
            <sz val="9"/>
            <color indexed="81"/>
            <rFont val="Tahoma"/>
            <family val="2"/>
          </rPr>
          <t>Debra Tisdale:</t>
        </r>
        <r>
          <rPr>
            <sz val="9"/>
            <color indexed="81"/>
            <rFont val="Tahoma"/>
            <family val="2"/>
          </rPr>
          <t xml:space="preserve">
Based on FY23 Trend Report Avg. monthly sports program expense</t>
        </r>
      </text>
    </comment>
    <comment ref="E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F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G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H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I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J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K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L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M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N81" authorId="1" shapeId="0">
      <text>
        <r>
          <rPr>
            <b/>
            <sz val="9"/>
            <color indexed="81"/>
            <rFont val="Tahoma"/>
            <family val="2"/>
          </rPr>
          <t>Debra Tisdale:</t>
        </r>
        <r>
          <rPr>
            <sz val="9"/>
            <color indexed="81"/>
            <rFont val="Tahoma"/>
            <family val="2"/>
          </rPr>
          <t xml:space="preserve">
Based on FY23 Trend report average monthly expenditures on health supplies</t>
        </r>
      </text>
    </comment>
    <comment ref="E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F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G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H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I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J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K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L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M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N84" authorId="0" shapeId="0">
      <text>
        <r>
          <rPr>
            <b/>
            <sz val="9"/>
            <color indexed="81"/>
            <rFont val="Tahoma"/>
            <family val="2"/>
          </rPr>
          <t>Jeannie:</t>
        </r>
        <r>
          <rPr>
            <sz val="9"/>
            <color indexed="81"/>
            <rFont val="Tahoma"/>
            <family val="2"/>
          </rPr>
          <t xml:space="preserve">
Based on FY23 Trend Report average monthly expenditures for instructional computer software (Go Guardian, Renaissance, Freckle)</t>
        </r>
      </text>
    </comment>
    <comment ref="E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F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G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H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I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J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K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L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M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N85" authorId="1" shapeId="0">
      <text>
        <r>
          <rPr>
            <b/>
            <sz val="9"/>
            <color indexed="81"/>
            <rFont val="Tahoma"/>
            <family val="2"/>
          </rPr>
          <t>Jeannie:</t>
        </r>
        <r>
          <rPr>
            <sz val="9"/>
            <color indexed="81"/>
            <rFont val="Tahoma"/>
            <family val="2"/>
          </rPr>
          <t xml:space="preserve">
Based on FY23 Trend Report average monthly expenditures for instructional support</t>
        </r>
      </text>
    </comment>
    <comment ref="E87" authorId="0" shapeId="0">
      <text>
        <r>
          <rPr>
            <b/>
            <sz val="9"/>
            <color indexed="81"/>
            <rFont val="Tahoma"/>
            <family val="2"/>
          </rPr>
          <t>Jeannie:</t>
        </r>
        <r>
          <rPr>
            <sz val="9"/>
            <color indexed="81"/>
            <rFont val="Tahoma"/>
            <family val="2"/>
          </rPr>
          <t xml:space="preserve">
Ready sub, Constant contact, Panda Doc, Computer Supplies</t>
        </r>
      </text>
    </comment>
    <comment ref="F87" authorId="0" shapeId="0">
      <text>
        <r>
          <rPr>
            <b/>
            <sz val="9"/>
            <color indexed="81"/>
            <rFont val="Tahoma"/>
            <family val="2"/>
          </rPr>
          <t>Jeannie:</t>
        </r>
        <r>
          <rPr>
            <sz val="9"/>
            <color indexed="81"/>
            <rFont val="Tahoma"/>
            <family val="2"/>
          </rPr>
          <t xml:space="preserve">
Ready sub, Constant contact, Panda Doc, Computer Supplies</t>
        </r>
      </text>
    </comment>
    <comment ref="G87" authorId="0" shapeId="0">
      <text>
        <r>
          <rPr>
            <b/>
            <sz val="9"/>
            <color indexed="81"/>
            <rFont val="Tahoma"/>
            <family val="2"/>
          </rPr>
          <t>Jeannie:</t>
        </r>
        <r>
          <rPr>
            <sz val="9"/>
            <color indexed="81"/>
            <rFont val="Tahoma"/>
            <family val="2"/>
          </rPr>
          <t xml:space="preserve">
Ready sub, Constant contact, Panda Doc, Computer Supplies</t>
        </r>
      </text>
    </comment>
    <comment ref="H87" authorId="0" shapeId="0">
      <text>
        <r>
          <rPr>
            <b/>
            <sz val="9"/>
            <color indexed="81"/>
            <rFont val="Tahoma"/>
            <family val="2"/>
          </rPr>
          <t>Jeannie:</t>
        </r>
        <r>
          <rPr>
            <sz val="9"/>
            <color indexed="81"/>
            <rFont val="Tahoma"/>
            <family val="2"/>
          </rPr>
          <t xml:space="preserve">
Ready sub, Constant contact, Panda Doc, Computer Supplies</t>
        </r>
      </text>
    </comment>
    <comment ref="I87" authorId="0" shapeId="0">
      <text>
        <r>
          <rPr>
            <b/>
            <sz val="9"/>
            <color indexed="81"/>
            <rFont val="Tahoma"/>
            <family val="2"/>
          </rPr>
          <t>Jeannie:</t>
        </r>
        <r>
          <rPr>
            <sz val="9"/>
            <color indexed="81"/>
            <rFont val="Tahoma"/>
            <family val="2"/>
          </rPr>
          <t xml:space="preserve">
Ready sub, Constant contact, Panda Doc, Computer Supplies</t>
        </r>
      </text>
    </comment>
    <comment ref="J87" authorId="0" shapeId="0">
      <text>
        <r>
          <rPr>
            <b/>
            <sz val="9"/>
            <color indexed="81"/>
            <rFont val="Tahoma"/>
            <family val="2"/>
          </rPr>
          <t>Jeannie:</t>
        </r>
        <r>
          <rPr>
            <sz val="9"/>
            <color indexed="81"/>
            <rFont val="Tahoma"/>
            <family val="2"/>
          </rPr>
          <t xml:space="preserve">
Ready sub, Constant contact, Panda Doc, Computer Supplies</t>
        </r>
      </text>
    </comment>
    <comment ref="K87" authorId="0" shapeId="0">
      <text>
        <r>
          <rPr>
            <b/>
            <sz val="9"/>
            <color indexed="81"/>
            <rFont val="Tahoma"/>
            <family val="2"/>
          </rPr>
          <t>Jeannie:</t>
        </r>
        <r>
          <rPr>
            <sz val="9"/>
            <color indexed="81"/>
            <rFont val="Tahoma"/>
            <family val="2"/>
          </rPr>
          <t xml:space="preserve">
Ready sub, Constant contact, Panda Doc, Computer Supplies</t>
        </r>
      </text>
    </comment>
    <comment ref="L87" authorId="0" shapeId="0">
      <text>
        <r>
          <rPr>
            <b/>
            <sz val="9"/>
            <color indexed="81"/>
            <rFont val="Tahoma"/>
            <family val="2"/>
          </rPr>
          <t>Jeannie:</t>
        </r>
        <r>
          <rPr>
            <sz val="9"/>
            <color indexed="81"/>
            <rFont val="Tahoma"/>
            <family val="2"/>
          </rPr>
          <t xml:space="preserve">
Ready sub, Constant contact, Panda Doc, Computer Supplies</t>
        </r>
      </text>
    </comment>
    <comment ref="M87" authorId="0" shapeId="0">
      <text>
        <r>
          <rPr>
            <b/>
            <sz val="9"/>
            <color indexed="81"/>
            <rFont val="Tahoma"/>
            <family val="2"/>
          </rPr>
          <t>Jeannie:</t>
        </r>
        <r>
          <rPr>
            <sz val="9"/>
            <color indexed="81"/>
            <rFont val="Tahoma"/>
            <family val="2"/>
          </rPr>
          <t xml:space="preserve">
Ready sub, Constant contact, Panda Doc, Computer Supplies</t>
        </r>
      </text>
    </comment>
    <comment ref="N87" authorId="0" shapeId="0">
      <text>
        <r>
          <rPr>
            <b/>
            <sz val="9"/>
            <color indexed="81"/>
            <rFont val="Tahoma"/>
            <family val="2"/>
          </rPr>
          <t>Jeannie:</t>
        </r>
        <r>
          <rPr>
            <sz val="9"/>
            <color indexed="81"/>
            <rFont val="Tahoma"/>
            <family val="2"/>
          </rPr>
          <t xml:space="preserve">
Ready sub, Constant contact, Panda Doc, Computer Supplies</t>
        </r>
      </text>
    </comment>
    <comment ref="D91" authorId="1" shapeId="0">
      <text>
        <r>
          <rPr>
            <b/>
            <sz val="9"/>
            <color indexed="81"/>
            <rFont val="Tahoma"/>
            <family val="2"/>
          </rPr>
          <t>Jeannie:</t>
        </r>
        <r>
          <rPr>
            <sz val="9"/>
            <color indexed="81"/>
            <rFont val="Tahoma"/>
            <family val="2"/>
          </rPr>
          <t xml:space="preserve">
Snacks for summer school</t>
        </r>
      </text>
    </comment>
    <comment ref="E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F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G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H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I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J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K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L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M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N94" authorId="1" shapeId="0">
      <text>
        <r>
          <rPr>
            <b/>
            <sz val="9"/>
            <color indexed="81"/>
            <rFont val="Tahoma"/>
            <family val="2"/>
          </rPr>
          <t>Jeannie:</t>
        </r>
        <r>
          <rPr>
            <sz val="9"/>
            <color indexed="81"/>
            <rFont val="Tahoma"/>
            <family val="2"/>
          </rPr>
          <t xml:space="preserve">
From FY23 Trend Report; average monthly expenditure on Enrichment Supplies</t>
        </r>
      </text>
    </comment>
    <comment ref="D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E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F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G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H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I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J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K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L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M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N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O106"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D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E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F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G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H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I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J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K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L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M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N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O108" authorId="1" shapeId="0">
      <text>
        <r>
          <rPr>
            <b/>
            <sz val="9"/>
            <color indexed="81"/>
            <rFont val="Tahoma"/>
            <family val="2"/>
          </rPr>
          <t>Jeannie:</t>
        </r>
        <r>
          <rPr>
            <sz val="9"/>
            <color indexed="81"/>
            <rFont val="Tahoma"/>
            <family val="2"/>
          </rPr>
          <t xml:space="preserve">
Based on FY23 Trend Report average monthly expenditures for water/sewer</t>
        </r>
      </text>
    </comment>
    <comment ref="D109" authorId="1" shapeId="0">
      <text>
        <r>
          <rPr>
            <b/>
            <sz val="9"/>
            <color indexed="81"/>
            <rFont val="Tahoma"/>
            <family val="2"/>
          </rPr>
          <t>Jeannie:</t>
        </r>
        <r>
          <rPr>
            <sz val="9"/>
            <color indexed="81"/>
            <rFont val="Tahoma"/>
            <family val="2"/>
          </rPr>
          <t xml:space="preserve">
Based on FY23 Trend Report average monthly expenditures for waste</t>
        </r>
      </text>
    </comment>
    <comment ref="E109" authorId="1" shapeId="0">
      <text>
        <r>
          <rPr>
            <b/>
            <sz val="9"/>
            <color indexed="81"/>
            <rFont val="Tahoma"/>
            <family val="2"/>
          </rPr>
          <t>Jeannie:</t>
        </r>
        <r>
          <rPr>
            <sz val="9"/>
            <color indexed="81"/>
            <rFont val="Tahoma"/>
            <family val="2"/>
          </rPr>
          <t xml:space="preserve">
Based on FY23 Trend Report average monthly expenditures for waste</t>
        </r>
      </text>
    </comment>
    <comment ref="F109" authorId="1" shapeId="0">
      <text>
        <r>
          <rPr>
            <b/>
            <sz val="9"/>
            <color indexed="81"/>
            <rFont val="Tahoma"/>
            <family val="2"/>
          </rPr>
          <t>Jeannie:</t>
        </r>
        <r>
          <rPr>
            <sz val="9"/>
            <color indexed="81"/>
            <rFont val="Tahoma"/>
            <family val="2"/>
          </rPr>
          <t xml:space="preserve">
Based on FY23 Trend Report average monthly expenditures for waste</t>
        </r>
      </text>
    </comment>
    <comment ref="G109" authorId="1" shapeId="0">
      <text>
        <r>
          <rPr>
            <b/>
            <sz val="9"/>
            <color indexed="81"/>
            <rFont val="Tahoma"/>
            <family val="2"/>
          </rPr>
          <t>Jeannie:</t>
        </r>
        <r>
          <rPr>
            <sz val="9"/>
            <color indexed="81"/>
            <rFont val="Tahoma"/>
            <family val="2"/>
          </rPr>
          <t xml:space="preserve">
Based on FY23 Trend Report average monthly expenditures for waste</t>
        </r>
      </text>
    </comment>
    <comment ref="H109" authorId="1" shapeId="0">
      <text>
        <r>
          <rPr>
            <b/>
            <sz val="9"/>
            <color indexed="81"/>
            <rFont val="Tahoma"/>
            <family val="2"/>
          </rPr>
          <t>Jeannie:</t>
        </r>
        <r>
          <rPr>
            <sz val="9"/>
            <color indexed="81"/>
            <rFont val="Tahoma"/>
            <family val="2"/>
          </rPr>
          <t xml:space="preserve">
Based on FY23 Trend Report average monthly expenditures for waste</t>
        </r>
      </text>
    </comment>
    <comment ref="I109" authorId="1" shapeId="0">
      <text>
        <r>
          <rPr>
            <b/>
            <sz val="9"/>
            <color indexed="81"/>
            <rFont val="Tahoma"/>
            <family val="2"/>
          </rPr>
          <t>Jeannie:</t>
        </r>
        <r>
          <rPr>
            <sz val="9"/>
            <color indexed="81"/>
            <rFont val="Tahoma"/>
            <family val="2"/>
          </rPr>
          <t xml:space="preserve">
Based on FY23 Trend Report average monthly expenditures for waste</t>
        </r>
      </text>
    </comment>
    <comment ref="J109" authorId="1" shapeId="0">
      <text>
        <r>
          <rPr>
            <b/>
            <sz val="9"/>
            <color indexed="81"/>
            <rFont val="Tahoma"/>
            <family val="2"/>
          </rPr>
          <t>Jeannie:</t>
        </r>
        <r>
          <rPr>
            <sz val="9"/>
            <color indexed="81"/>
            <rFont val="Tahoma"/>
            <family val="2"/>
          </rPr>
          <t xml:space="preserve">
Based on FY23 Trend Report average monthly expenditures for waste</t>
        </r>
      </text>
    </comment>
    <comment ref="K109" authorId="1" shapeId="0">
      <text>
        <r>
          <rPr>
            <b/>
            <sz val="9"/>
            <color indexed="81"/>
            <rFont val="Tahoma"/>
            <family val="2"/>
          </rPr>
          <t>Jeannie:</t>
        </r>
        <r>
          <rPr>
            <sz val="9"/>
            <color indexed="81"/>
            <rFont val="Tahoma"/>
            <family val="2"/>
          </rPr>
          <t xml:space="preserve">
Based on FY23 Trend Report average monthly expenditures for waste</t>
        </r>
      </text>
    </comment>
    <comment ref="L109" authorId="1" shapeId="0">
      <text>
        <r>
          <rPr>
            <b/>
            <sz val="9"/>
            <color indexed="81"/>
            <rFont val="Tahoma"/>
            <family val="2"/>
          </rPr>
          <t>Jeannie:</t>
        </r>
        <r>
          <rPr>
            <sz val="9"/>
            <color indexed="81"/>
            <rFont val="Tahoma"/>
            <family val="2"/>
          </rPr>
          <t xml:space="preserve">
Based on FY23 Trend Report average monthly expenditures for waste</t>
        </r>
      </text>
    </comment>
    <comment ref="M109" authorId="1" shapeId="0">
      <text>
        <r>
          <rPr>
            <b/>
            <sz val="9"/>
            <color indexed="81"/>
            <rFont val="Tahoma"/>
            <family val="2"/>
          </rPr>
          <t>Jeannie:</t>
        </r>
        <r>
          <rPr>
            <sz val="9"/>
            <color indexed="81"/>
            <rFont val="Tahoma"/>
            <family val="2"/>
          </rPr>
          <t xml:space="preserve">
Based on FY23 Trend Report average monthly expenditures for waste</t>
        </r>
      </text>
    </comment>
    <comment ref="N109" authorId="1" shapeId="0">
      <text>
        <r>
          <rPr>
            <b/>
            <sz val="9"/>
            <color indexed="81"/>
            <rFont val="Tahoma"/>
            <family val="2"/>
          </rPr>
          <t>Jeannie:</t>
        </r>
        <r>
          <rPr>
            <sz val="9"/>
            <color indexed="81"/>
            <rFont val="Tahoma"/>
            <family val="2"/>
          </rPr>
          <t xml:space="preserve">
Based on FY23 Trend Report average monthly expenditures for waste</t>
        </r>
      </text>
    </comment>
    <comment ref="O109" authorId="1" shapeId="0">
      <text>
        <r>
          <rPr>
            <b/>
            <sz val="9"/>
            <color indexed="81"/>
            <rFont val="Tahoma"/>
            <family val="2"/>
          </rPr>
          <t>Jeannie:</t>
        </r>
        <r>
          <rPr>
            <sz val="9"/>
            <color indexed="81"/>
            <rFont val="Tahoma"/>
            <family val="2"/>
          </rPr>
          <t xml:space="preserve">
Based on FY23 Trend Report average monthly expenditures for waste</t>
        </r>
      </text>
    </comment>
    <comment ref="D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E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F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G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H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I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J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K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L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M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N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O111" authorId="1" shapeId="0">
      <text>
        <r>
          <rPr>
            <b/>
            <sz val="9"/>
            <color indexed="81"/>
            <rFont val="Tahoma"/>
            <family val="2"/>
          </rPr>
          <t>Jeannie:</t>
        </r>
        <r>
          <rPr>
            <sz val="9"/>
            <color indexed="81"/>
            <rFont val="Tahoma"/>
            <family val="2"/>
          </rPr>
          <t xml:space="preserve">
New facilities manager will be performing most of these duties per Aimee</t>
        </r>
      </text>
    </comment>
    <comment ref="D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E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F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G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H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I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J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K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L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M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N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O112" authorId="1" shapeId="0">
      <text>
        <r>
          <rPr>
            <b/>
            <sz val="9"/>
            <color indexed="81"/>
            <rFont val="Tahoma"/>
            <family val="2"/>
          </rPr>
          <t>Jeannie:</t>
        </r>
        <r>
          <rPr>
            <sz val="9"/>
            <color indexed="81"/>
            <rFont val="Tahoma"/>
            <family val="2"/>
          </rPr>
          <t xml:space="preserve">
Based on FY23 Trend Report average monthly plus 5% anticipated increase (minus what new facilities mgr will do)</t>
        </r>
      </text>
    </comment>
    <comment ref="R112" authorId="0" shapeId="0">
      <text>
        <r>
          <rPr>
            <b/>
            <sz val="9"/>
            <color indexed="81"/>
            <rFont val="Tahoma"/>
            <family val="2"/>
          </rPr>
          <t>Christine:</t>
        </r>
        <r>
          <rPr>
            <sz val="9"/>
            <color indexed="81"/>
            <rFont val="Tahoma"/>
            <family val="2"/>
          </rPr>
          <t xml:space="preserve">
AC repairs
</t>
        </r>
      </text>
    </comment>
    <comment ref="D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F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G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H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I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J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K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L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M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N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O114" authorId="1" shapeId="0">
      <text>
        <r>
          <rPr>
            <b/>
            <sz val="9"/>
            <color indexed="81"/>
            <rFont val="Tahoma"/>
            <family val="2"/>
          </rPr>
          <t>Jeannie:</t>
        </r>
        <r>
          <rPr>
            <sz val="9"/>
            <color indexed="81"/>
            <rFont val="Tahoma"/>
            <family val="2"/>
          </rPr>
          <t xml:space="preserve">
Based on FY23 Trend Report average monthly plus 5% anticipated increase</t>
        </r>
      </text>
    </comment>
    <comment ref="D123" authorId="1" shapeId="0">
      <text>
        <r>
          <rPr>
            <b/>
            <sz val="9"/>
            <color indexed="81"/>
            <rFont val="Tahoma"/>
            <family val="2"/>
          </rPr>
          <t>Jeannie:</t>
        </r>
        <r>
          <rPr>
            <sz val="9"/>
            <color indexed="81"/>
            <rFont val="Tahoma"/>
            <family val="2"/>
          </rPr>
          <t xml:space="preserve">
Based on anticipated 2% increase in students</t>
        </r>
      </text>
    </comment>
    <comment ref="E123" authorId="1" shapeId="0">
      <text>
        <r>
          <rPr>
            <b/>
            <sz val="9"/>
            <color indexed="81"/>
            <rFont val="Tahoma"/>
            <family val="2"/>
          </rPr>
          <t>Jeannie:</t>
        </r>
        <r>
          <rPr>
            <sz val="9"/>
            <color indexed="81"/>
            <rFont val="Tahoma"/>
            <family val="2"/>
          </rPr>
          <t xml:space="preserve">
Based on anticipated 2% increase in students</t>
        </r>
      </text>
    </comment>
    <comment ref="F123" authorId="1" shapeId="0">
      <text>
        <r>
          <rPr>
            <b/>
            <sz val="9"/>
            <color indexed="81"/>
            <rFont val="Tahoma"/>
            <family val="2"/>
          </rPr>
          <t>Jeannie:</t>
        </r>
        <r>
          <rPr>
            <sz val="9"/>
            <color indexed="81"/>
            <rFont val="Tahoma"/>
            <family val="2"/>
          </rPr>
          <t xml:space="preserve">
Based on anticipated 2% increase in students</t>
        </r>
      </text>
    </comment>
    <comment ref="G123" authorId="1" shapeId="0">
      <text>
        <r>
          <rPr>
            <b/>
            <sz val="9"/>
            <color indexed="81"/>
            <rFont val="Tahoma"/>
            <family val="2"/>
          </rPr>
          <t>Jeannie:</t>
        </r>
        <r>
          <rPr>
            <sz val="9"/>
            <color indexed="81"/>
            <rFont val="Tahoma"/>
            <family val="2"/>
          </rPr>
          <t xml:space="preserve">
Based on anticipated 2% increase in students</t>
        </r>
      </text>
    </comment>
    <comment ref="H123" authorId="1" shapeId="0">
      <text>
        <r>
          <rPr>
            <b/>
            <sz val="9"/>
            <color indexed="81"/>
            <rFont val="Tahoma"/>
            <family val="2"/>
          </rPr>
          <t>Jeannie:</t>
        </r>
        <r>
          <rPr>
            <sz val="9"/>
            <color indexed="81"/>
            <rFont val="Tahoma"/>
            <family val="2"/>
          </rPr>
          <t xml:space="preserve">
Based on anticipated 2% increase in students</t>
        </r>
      </text>
    </comment>
    <comment ref="I123" authorId="1" shapeId="0">
      <text>
        <r>
          <rPr>
            <b/>
            <sz val="9"/>
            <color indexed="81"/>
            <rFont val="Tahoma"/>
            <family val="2"/>
          </rPr>
          <t>Jeannie:</t>
        </r>
        <r>
          <rPr>
            <sz val="9"/>
            <color indexed="81"/>
            <rFont val="Tahoma"/>
            <family val="2"/>
          </rPr>
          <t xml:space="preserve">
Based on anticipated 2% increase in students</t>
        </r>
      </text>
    </comment>
    <comment ref="J123" authorId="1" shapeId="0">
      <text>
        <r>
          <rPr>
            <b/>
            <sz val="9"/>
            <color indexed="81"/>
            <rFont val="Tahoma"/>
            <family val="2"/>
          </rPr>
          <t>Jeannie:</t>
        </r>
        <r>
          <rPr>
            <sz val="9"/>
            <color indexed="81"/>
            <rFont val="Tahoma"/>
            <family val="2"/>
          </rPr>
          <t xml:space="preserve">
Based on anticipated 2% increase in students</t>
        </r>
      </text>
    </comment>
    <comment ref="K123" authorId="1" shapeId="0">
      <text>
        <r>
          <rPr>
            <b/>
            <sz val="9"/>
            <color indexed="81"/>
            <rFont val="Tahoma"/>
            <family val="2"/>
          </rPr>
          <t>Jeannie:</t>
        </r>
        <r>
          <rPr>
            <sz val="9"/>
            <color indexed="81"/>
            <rFont val="Tahoma"/>
            <family val="2"/>
          </rPr>
          <t xml:space="preserve">
Based on anticipated 2% increase in students</t>
        </r>
      </text>
    </comment>
    <comment ref="L123" authorId="1" shapeId="0">
      <text>
        <r>
          <rPr>
            <b/>
            <sz val="9"/>
            <color indexed="81"/>
            <rFont val="Tahoma"/>
            <family val="2"/>
          </rPr>
          <t>Jeannie:</t>
        </r>
        <r>
          <rPr>
            <sz val="9"/>
            <color indexed="81"/>
            <rFont val="Tahoma"/>
            <family val="2"/>
          </rPr>
          <t xml:space="preserve">
Based on anticipated 2% increase in students</t>
        </r>
      </text>
    </comment>
    <comment ref="M123" authorId="1" shapeId="0">
      <text>
        <r>
          <rPr>
            <b/>
            <sz val="9"/>
            <color indexed="81"/>
            <rFont val="Tahoma"/>
            <family val="2"/>
          </rPr>
          <t>Jeannie:</t>
        </r>
        <r>
          <rPr>
            <sz val="9"/>
            <color indexed="81"/>
            <rFont val="Tahoma"/>
            <family val="2"/>
          </rPr>
          <t xml:space="preserve">
Based on anticipated 2% increase in students</t>
        </r>
      </text>
    </comment>
    <comment ref="N123" authorId="1" shapeId="0">
      <text>
        <r>
          <rPr>
            <b/>
            <sz val="9"/>
            <color indexed="81"/>
            <rFont val="Tahoma"/>
            <family val="2"/>
          </rPr>
          <t>Jeannie:</t>
        </r>
        <r>
          <rPr>
            <sz val="9"/>
            <color indexed="81"/>
            <rFont val="Tahoma"/>
            <family val="2"/>
          </rPr>
          <t xml:space="preserve">
Based on anticipated 2% increase in students</t>
        </r>
      </text>
    </comment>
    <comment ref="O123" authorId="1" shapeId="0">
      <text>
        <r>
          <rPr>
            <b/>
            <sz val="9"/>
            <color indexed="81"/>
            <rFont val="Tahoma"/>
            <family val="2"/>
          </rPr>
          <t>Jeannie:</t>
        </r>
        <r>
          <rPr>
            <sz val="9"/>
            <color indexed="81"/>
            <rFont val="Tahoma"/>
            <family val="2"/>
          </rPr>
          <t xml:space="preserve">
Based on anticipated 2% increase in students</t>
        </r>
      </text>
    </comment>
    <comment ref="D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E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F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G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H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I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J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K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L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M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N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O128" authorId="1" shapeId="0">
      <text>
        <r>
          <rPr>
            <b/>
            <sz val="9"/>
            <color indexed="81"/>
            <rFont val="Tahoma"/>
            <family val="2"/>
          </rPr>
          <t>Jeannie:</t>
        </r>
        <r>
          <rPr>
            <sz val="9"/>
            <color indexed="81"/>
            <rFont val="Tahoma"/>
            <family val="2"/>
          </rPr>
          <t xml:space="preserve">
Based on FY23 Trend Report average monthly plus 5% anticipated increase </t>
        </r>
      </text>
    </comment>
    <comment ref="Q134" authorId="1" shapeId="0">
      <text>
        <r>
          <rPr>
            <b/>
            <sz val="9"/>
            <color indexed="81"/>
            <rFont val="Tahoma"/>
            <charset val="1"/>
          </rPr>
          <t>Debra Tisdale:</t>
        </r>
        <r>
          <rPr>
            <sz val="9"/>
            <color indexed="81"/>
            <rFont val="Tahoma"/>
            <charset val="1"/>
          </rPr>
          <t xml:space="preserve">
Bond Interest Only; Principal under Debt Service, line 199. Taken from FY23 bond payment information</t>
        </r>
      </text>
    </comment>
    <comment ref="L135" authorId="0" shapeId="0">
      <text>
        <r>
          <rPr>
            <b/>
            <sz val="9"/>
            <color indexed="81"/>
            <rFont val="Tahoma"/>
            <family val="2"/>
          </rPr>
          <t>Christine:</t>
        </r>
        <r>
          <rPr>
            <sz val="9"/>
            <color indexed="81"/>
            <rFont val="Tahoma"/>
            <family val="2"/>
          </rPr>
          <t xml:space="preserve">
Includes Moody's</t>
        </r>
      </text>
    </comment>
    <comment ref="M135" authorId="0" shapeId="0">
      <text>
        <r>
          <rPr>
            <b/>
            <sz val="9"/>
            <color indexed="81"/>
            <rFont val="Tahoma"/>
            <family val="2"/>
          </rPr>
          <t>Christine:</t>
        </r>
        <r>
          <rPr>
            <sz val="9"/>
            <color indexed="81"/>
            <rFont val="Tahoma"/>
            <family val="2"/>
          </rPr>
          <t xml:space="preserve">
Includes CTA</t>
        </r>
      </text>
    </comment>
    <comment ref="Q135" authorId="1" shapeId="0">
      <text>
        <r>
          <rPr>
            <b/>
            <sz val="9"/>
            <color indexed="81"/>
            <rFont val="Tahoma"/>
            <charset val="1"/>
          </rPr>
          <t>Debra Tisdale:</t>
        </r>
        <r>
          <rPr>
            <sz val="9"/>
            <color indexed="81"/>
            <rFont val="Tahoma"/>
            <charset val="1"/>
          </rPr>
          <t xml:space="preserve">
Bond Fees</t>
        </r>
      </text>
    </comment>
    <comment ref="G137" authorId="0" shapeId="0">
      <text>
        <r>
          <rPr>
            <b/>
            <sz val="9"/>
            <color indexed="81"/>
            <rFont val="Tahoma"/>
            <family val="2"/>
          </rPr>
          <t>Jeannie:</t>
        </r>
        <r>
          <rPr>
            <sz val="9"/>
            <color indexed="81"/>
            <rFont val="Tahoma"/>
            <family val="2"/>
          </rPr>
          <t xml:space="preserve">
Imagine Corporate Invoice -  based on prior year plus 5% increase</t>
        </r>
      </text>
    </comment>
    <comment ref="D138" authorId="0" shapeId="0">
      <text>
        <r>
          <rPr>
            <b/>
            <sz val="9"/>
            <color indexed="81"/>
            <rFont val="Tahoma"/>
            <family val="2"/>
          </rPr>
          <t>Jeannie:</t>
        </r>
        <r>
          <rPr>
            <sz val="9"/>
            <color indexed="81"/>
            <rFont val="Tahoma"/>
            <family val="2"/>
          </rPr>
          <t xml:space="preserve">
McGriff based on prior year plus 5% increase</t>
        </r>
      </text>
    </comment>
    <comment ref="G138" authorId="0" shapeId="0">
      <text>
        <r>
          <rPr>
            <b/>
            <sz val="9"/>
            <color indexed="81"/>
            <rFont val="Tahoma"/>
            <family val="2"/>
          </rPr>
          <t>Jeannie:</t>
        </r>
        <r>
          <rPr>
            <sz val="9"/>
            <color indexed="81"/>
            <rFont val="Tahoma"/>
            <family val="2"/>
          </rPr>
          <t xml:space="preserve">
Imagine Corporate Invoice -  based on prior year plus 5% increase</t>
        </r>
      </text>
    </comment>
    <comment ref="E140" authorId="1" shapeId="0">
      <text>
        <r>
          <rPr>
            <b/>
            <sz val="9"/>
            <color indexed="81"/>
            <rFont val="Tahoma"/>
            <family val="2"/>
          </rPr>
          <t>Jeannie:</t>
        </r>
        <r>
          <rPr>
            <sz val="9"/>
            <color indexed="81"/>
            <rFont val="Tahoma"/>
            <family val="2"/>
          </rPr>
          <t xml:space="preserve">
Anticipated additional expenses due to bond financing</t>
        </r>
      </text>
    </comment>
    <comment ref="D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E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F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G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H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I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J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K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L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M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N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O144" authorId="1" shapeId="0">
      <text>
        <r>
          <rPr>
            <b/>
            <sz val="9"/>
            <color indexed="81"/>
            <rFont val="Tahoma"/>
            <family val="2"/>
          </rPr>
          <t>Jeannie:</t>
        </r>
        <r>
          <rPr>
            <sz val="9"/>
            <color indexed="81"/>
            <rFont val="Tahoma"/>
            <family val="2"/>
          </rPr>
          <t xml:space="preserve">
Based on FY23 Trend report monthly expenses plus increase of $400 per month on copier lease</t>
        </r>
      </text>
    </comment>
    <comment ref="D145" authorId="1" shapeId="0">
      <text>
        <r>
          <rPr>
            <b/>
            <sz val="9"/>
            <color indexed="81"/>
            <rFont val="Tahoma"/>
            <family val="2"/>
          </rPr>
          <t>Jeannie:</t>
        </r>
        <r>
          <rPr>
            <sz val="9"/>
            <color indexed="81"/>
            <rFont val="Tahoma"/>
            <family val="2"/>
          </rPr>
          <t xml:space="preserve">
Based on FY23 Trend Report monthly expenditures</t>
        </r>
      </text>
    </comment>
    <comment ref="E145" authorId="1" shapeId="0">
      <text>
        <r>
          <rPr>
            <b/>
            <sz val="9"/>
            <color indexed="81"/>
            <rFont val="Tahoma"/>
            <family val="2"/>
          </rPr>
          <t>Jeannie:</t>
        </r>
        <r>
          <rPr>
            <sz val="9"/>
            <color indexed="81"/>
            <rFont val="Tahoma"/>
            <family val="2"/>
          </rPr>
          <t xml:space="preserve">
Based on FY23 Trend Report monthly expenditures</t>
        </r>
      </text>
    </comment>
    <comment ref="F145" authorId="1" shapeId="0">
      <text>
        <r>
          <rPr>
            <b/>
            <sz val="9"/>
            <color indexed="81"/>
            <rFont val="Tahoma"/>
            <family val="2"/>
          </rPr>
          <t>Jeannie:</t>
        </r>
        <r>
          <rPr>
            <sz val="9"/>
            <color indexed="81"/>
            <rFont val="Tahoma"/>
            <family val="2"/>
          </rPr>
          <t xml:space="preserve">
Based on FY23 Trend Report monthly expenditures</t>
        </r>
      </text>
    </comment>
    <comment ref="G145" authorId="1" shapeId="0">
      <text>
        <r>
          <rPr>
            <b/>
            <sz val="9"/>
            <color indexed="81"/>
            <rFont val="Tahoma"/>
            <family val="2"/>
          </rPr>
          <t>Jeannie:</t>
        </r>
        <r>
          <rPr>
            <sz val="9"/>
            <color indexed="81"/>
            <rFont val="Tahoma"/>
            <family val="2"/>
          </rPr>
          <t xml:space="preserve">
Based on FY23 Trend Report monthly expenditures</t>
        </r>
      </text>
    </comment>
    <comment ref="H145" authorId="1" shapeId="0">
      <text>
        <r>
          <rPr>
            <b/>
            <sz val="9"/>
            <color indexed="81"/>
            <rFont val="Tahoma"/>
            <family val="2"/>
          </rPr>
          <t>Jeannie:</t>
        </r>
        <r>
          <rPr>
            <sz val="9"/>
            <color indexed="81"/>
            <rFont val="Tahoma"/>
            <family val="2"/>
          </rPr>
          <t xml:space="preserve">
Based on FY23 Trend Report monthly expenditures</t>
        </r>
      </text>
    </comment>
    <comment ref="I145" authorId="1" shapeId="0">
      <text>
        <r>
          <rPr>
            <b/>
            <sz val="9"/>
            <color indexed="81"/>
            <rFont val="Tahoma"/>
            <family val="2"/>
          </rPr>
          <t>Jeannie:</t>
        </r>
        <r>
          <rPr>
            <sz val="9"/>
            <color indexed="81"/>
            <rFont val="Tahoma"/>
            <family val="2"/>
          </rPr>
          <t xml:space="preserve">
Based on FY23 Trend Report monthly expenditures</t>
        </r>
      </text>
    </comment>
    <comment ref="J145" authorId="1" shapeId="0">
      <text>
        <r>
          <rPr>
            <b/>
            <sz val="9"/>
            <color indexed="81"/>
            <rFont val="Tahoma"/>
            <family val="2"/>
          </rPr>
          <t>Jeannie:</t>
        </r>
        <r>
          <rPr>
            <sz val="9"/>
            <color indexed="81"/>
            <rFont val="Tahoma"/>
            <family val="2"/>
          </rPr>
          <t xml:space="preserve">
Based on FY23 Trend Report monthly expenditures</t>
        </r>
      </text>
    </comment>
    <comment ref="K145" authorId="1" shapeId="0">
      <text>
        <r>
          <rPr>
            <b/>
            <sz val="9"/>
            <color indexed="81"/>
            <rFont val="Tahoma"/>
            <family val="2"/>
          </rPr>
          <t>Jeannie:</t>
        </r>
        <r>
          <rPr>
            <sz val="9"/>
            <color indexed="81"/>
            <rFont val="Tahoma"/>
            <family val="2"/>
          </rPr>
          <t xml:space="preserve">
Based on FY23 Trend Report monthly expenditures</t>
        </r>
      </text>
    </comment>
    <comment ref="L145" authorId="1" shapeId="0">
      <text>
        <r>
          <rPr>
            <b/>
            <sz val="9"/>
            <color indexed="81"/>
            <rFont val="Tahoma"/>
            <family val="2"/>
          </rPr>
          <t>Jeannie:</t>
        </r>
        <r>
          <rPr>
            <sz val="9"/>
            <color indexed="81"/>
            <rFont val="Tahoma"/>
            <family val="2"/>
          </rPr>
          <t xml:space="preserve">
Based on FY23 Trend Report monthly expenditures</t>
        </r>
      </text>
    </comment>
    <comment ref="M145" authorId="1" shapeId="0">
      <text>
        <r>
          <rPr>
            <b/>
            <sz val="9"/>
            <color indexed="81"/>
            <rFont val="Tahoma"/>
            <family val="2"/>
          </rPr>
          <t>Jeannie:</t>
        </r>
        <r>
          <rPr>
            <sz val="9"/>
            <color indexed="81"/>
            <rFont val="Tahoma"/>
            <family val="2"/>
          </rPr>
          <t xml:space="preserve">
Based on FY23 Trend Report monthly expenditures</t>
        </r>
      </text>
    </comment>
    <comment ref="N145" authorId="1" shapeId="0">
      <text>
        <r>
          <rPr>
            <b/>
            <sz val="9"/>
            <color indexed="81"/>
            <rFont val="Tahoma"/>
            <family val="2"/>
          </rPr>
          <t>Jeannie:</t>
        </r>
        <r>
          <rPr>
            <sz val="9"/>
            <color indexed="81"/>
            <rFont val="Tahoma"/>
            <family val="2"/>
          </rPr>
          <t xml:space="preserve">
Based on FY23 Trend Report monthly expenditures</t>
        </r>
      </text>
    </comment>
    <comment ref="O145" authorId="1" shapeId="0">
      <text>
        <r>
          <rPr>
            <b/>
            <sz val="9"/>
            <color indexed="81"/>
            <rFont val="Tahoma"/>
            <family val="2"/>
          </rPr>
          <t>Jeannie:</t>
        </r>
        <r>
          <rPr>
            <sz val="9"/>
            <color indexed="81"/>
            <rFont val="Tahoma"/>
            <family val="2"/>
          </rPr>
          <t xml:space="preserve">
Based on FY23 Trend Report monthly expenditures</t>
        </r>
      </text>
    </comment>
    <comment ref="D153" authorId="1" shapeId="0">
      <text>
        <r>
          <rPr>
            <b/>
            <sz val="9"/>
            <color indexed="81"/>
            <rFont val="Tahoma"/>
            <family val="2"/>
          </rPr>
          <t>Jeannie:</t>
        </r>
        <r>
          <rPr>
            <sz val="9"/>
            <color indexed="81"/>
            <rFont val="Tahoma"/>
            <family val="2"/>
          </rPr>
          <t xml:space="preserve">
Based on FY23 Trend Report Monthly Expenditures</t>
        </r>
      </text>
    </comment>
    <comment ref="E153" authorId="1" shapeId="0">
      <text>
        <r>
          <rPr>
            <b/>
            <sz val="9"/>
            <color indexed="81"/>
            <rFont val="Tahoma"/>
            <family val="2"/>
          </rPr>
          <t>Jeannie:</t>
        </r>
        <r>
          <rPr>
            <sz val="9"/>
            <color indexed="81"/>
            <rFont val="Tahoma"/>
            <family val="2"/>
          </rPr>
          <t xml:space="preserve">
Based on FY23 Trend Report Monthly Expenditures</t>
        </r>
      </text>
    </comment>
    <comment ref="F153" authorId="1" shapeId="0">
      <text>
        <r>
          <rPr>
            <b/>
            <sz val="9"/>
            <color indexed="81"/>
            <rFont val="Tahoma"/>
            <family val="2"/>
          </rPr>
          <t>Jeannie:</t>
        </r>
        <r>
          <rPr>
            <sz val="9"/>
            <color indexed="81"/>
            <rFont val="Tahoma"/>
            <family val="2"/>
          </rPr>
          <t xml:space="preserve">
Based on FY23 Trend Report Monthly Expenditures</t>
        </r>
      </text>
    </comment>
    <comment ref="G153" authorId="1" shapeId="0">
      <text>
        <r>
          <rPr>
            <b/>
            <sz val="9"/>
            <color indexed="81"/>
            <rFont val="Tahoma"/>
            <family val="2"/>
          </rPr>
          <t>Jeannie:</t>
        </r>
        <r>
          <rPr>
            <sz val="9"/>
            <color indexed="81"/>
            <rFont val="Tahoma"/>
            <family val="2"/>
          </rPr>
          <t xml:space="preserve">
Based on FY23 Trend Report Monthly Expenditures</t>
        </r>
      </text>
    </comment>
    <comment ref="H153" authorId="1" shapeId="0">
      <text>
        <r>
          <rPr>
            <b/>
            <sz val="9"/>
            <color indexed="81"/>
            <rFont val="Tahoma"/>
            <family val="2"/>
          </rPr>
          <t>Jeannie:</t>
        </r>
        <r>
          <rPr>
            <sz val="9"/>
            <color indexed="81"/>
            <rFont val="Tahoma"/>
            <family val="2"/>
          </rPr>
          <t xml:space="preserve">
Based on FY23 Trend Report Monthly Expenditures</t>
        </r>
      </text>
    </comment>
    <comment ref="I153" authorId="1" shapeId="0">
      <text>
        <r>
          <rPr>
            <b/>
            <sz val="9"/>
            <color indexed="81"/>
            <rFont val="Tahoma"/>
            <family val="2"/>
          </rPr>
          <t>Jeannie:</t>
        </r>
        <r>
          <rPr>
            <sz val="9"/>
            <color indexed="81"/>
            <rFont val="Tahoma"/>
            <family val="2"/>
          </rPr>
          <t xml:space="preserve">
Based on FY23 Trend Report Monthly Expenditures</t>
        </r>
      </text>
    </comment>
    <comment ref="J153" authorId="1" shapeId="0">
      <text>
        <r>
          <rPr>
            <b/>
            <sz val="9"/>
            <color indexed="81"/>
            <rFont val="Tahoma"/>
            <family val="2"/>
          </rPr>
          <t>Jeannie:</t>
        </r>
        <r>
          <rPr>
            <sz val="9"/>
            <color indexed="81"/>
            <rFont val="Tahoma"/>
            <family val="2"/>
          </rPr>
          <t xml:space="preserve">
Based on FY23 Trend Report Monthly Expenditures</t>
        </r>
      </text>
    </comment>
    <comment ref="K153" authorId="1" shapeId="0">
      <text>
        <r>
          <rPr>
            <b/>
            <sz val="9"/>
            <color indexed="81"/>
            <rFont val="Tahoma"/>
            <family val="2"/>
          </rPr>
          <t>Jeannie:</t>
        </r>
        <r>
          <rPr>
            <sz val="9"/>
            <color indexed="81"/>
            <rFont val="Tahoma"/>
            <family val="2"/>
          </rPr>
          <t xml:space="preserve">
Based on FY23 Trend Report Monthly Expenditures</t>
        </r>
      </text>
    </comment>
    <comment ref="L153" authorId="1" shapeId="0">
      <text>
        <r>
          <rPr>
            <b/>
            <sz val="9"/>
            <color indexed="81"/>
            <rFont val="Tahoma"/>
            <family val="2"/>
          </rPr>
          <t>Jeannie:</t>
        </r>
        <r>
          <rPr>
            <sz val="9"/>
            <color indexed="81"/>
            <rFont val="Tahoma"/>
            <family val="2"/>
          </rPr>
          <t xml:space="preserve">
Based on FY23 Trend Report Monthly Expenditures</t>
        </r>
      </text>
    </comment>
    <comment ref="M153" authorId="1" shapeId="0">
      <text>
        <r>
          <rPr>
            <b/>
            <sz val="9"/>
            <color indexed="81"/>
            <rFont val="Tahoma"/>
            <family val="2"/>
          </rPr>
          <t>Jeannie:</t>
        </r>
        <r>
          <rPr>
            <sz val="9"/>
            <color indexed="81"/>
            <rFont val="Tahoma"/>
            <family val="2"/>
          </rPr>
          <t xml:space="preserve">
Based on FY23 Trend Report Monthly Expenditures</t>
        </r>
      </text>
    </comment>
    <comment ref="N153" authorId="1" shapeId="0">
      <text>
        <r>
          <rPr>
            <b/>
            <sz val="9"/>
            <color indexed="81"/>
            <rFont val="Tahoma"/>
            <family val="2"/>
          </rPr>
          <t>Jeannie:</t>
        </r>
        <r>
          <rPr>
            <sz val="9"/>
            <color indexed="81"/>
            <rFont val="Tahoma"/>
            <family val="2"/>
          </rPr>
          <t xml:space="preserve">
Based on FY23 Trend Report Monthly Expenditures</t>
        </r>
      </text>
    </comment>
    <comment ref="O153" authorId="1" shapeId="0">
      <text>
        <r>
          <rPr>
            <b/>
            <sz val="9"/>
            <color indexed="81"/>
            <rFont val="Tahoma"/>
            <family val="2"/>
          </rPr>
          <t>Jeannie:</t>
        </r>
        <r>
          <rPr>
            <sz val="9"/>
            <color indexed="81"/>
            <rFont val="Tahoma"/>
            <family val="2"/>
          </rPr>
          <t xml:space="preserve">
Based on FY23 Trend Report Monthly Expenditures</t>
        </r>
      </text>
    </comment>
    <comment ref="D154" authorId="1" shapeId="0">
      <text>
        <r>
          <rPr>
            <b/>
            <sz val="9"/>
            <color indexed="81"/>
            <rFont val="Tahoma"/>
            <family val="2"/>
          </rPr>
          <t>Jeannie:</t>
        </r>
        <r>
          <rPr>
            <sz val="9"/>
            <color indexed="81"/>
            <rFont val="Tahoma"/>
            <family val="2"/>
          </rPr>
          <t xml:space="preserve">
Based on FY23 Trend Report Monthly Expenditures</t>
        </r>
      </text>
    </comment>
    <comment ref="E154" authorId="1" shapeId="0">
      <text>
        <r>
          <rPr>
            <b/>
            <sz val="9"/>
            <color indexed="81"/>
            <rFont val="Tahoma"/>
            <family val="2"/>
          </rPr>
          <t>Jeannie:</t>
        </r>
        <r>
          <rPr>
            <sz val="9"/>
            <color indexed="81"/>
            <rFont val="Tahoma"/>
            <family val="2"/>
          </rPr>
          <t xml:space="preserve">
Based on FY23 Trend Report Monthly Expenditures</t>
        </r>
      </text>
    </comment>
    <comment ref="F154" authorId="1" shapeId="0">
      <text>
        <r>
          <rPr>
            <b/>
            <sz val="9"/>
            <color indexed="81"/>
            <rFont val="Tahoma"/>
            <family val="2"/>
          </rPr>
          <t>Jeannie:</t>
        </r>
        <r>
          <rPr>
            <sz val="9"/>
            <color indexed="81"/>
            <rFont val="Tahoma"/>
            <family val="2"/>
          </rPr>
          <t xml:space="preserve">
Based on FY23 Trend Report Monthly Expenditures</t>
        </r>
      </text>
    </comment>
    <comment ref="G154" authorId="1" shapeId="0">
      <text>
        <r>
          <rPr>
            <b/>
            <sz val="9"/>
            <color indexed="81"/>
            <rFont val="Tahoma"/>
            <family val="2"/>
          </rPr>
          <t>Jeannie:</t>
        </r>
        <r>
          <rPr>
            <sz val="9"/>
            <color indexed="81"/>
            <rFont val="Tahoma"/>
            <family val="2"/>
          </rPr>
          <t xml:space="preserve">
Based on FY23 Trend Report Monthly Expenditures</t>
        </r>
      </text>
    </comment>
    <comment ref="H154" authorId="1" shapeId="0">
      <text>
        <r>
          <rPr>
            <b/>
            <sz val="9"/>
            <color indexed="81"/>
            <rFont val="Tahoma"/>
            <family val="2"/>
          </rPr>
          <t>Jeannie:</t>
        </r>
        <r>
          <rPr>
            <sz val="9"/>
            <color indexed="81"/>
            <rFont val="Tahoma"/>
            <family val="2"/>
          </rPr>
          <t xml:space="preserve">
Based on FY23 Trend Report Monthly Expenditures</t>
        </r>
      </text>
    </comment>
    <comment ref="I154" authorId="1" shapeId="0">
      <text>
        <r>
          <rPr>
            <b/>
            <sz val="9"/>
            <color indexed="81"/>
            <rFont val="Tahoma"/>
            <family val="2"/>
          </rPr>
          <t>Jeannie:</t>
        </r>
        <r>
          <rPr>
            <sz val="9"/>
            <color indexed="81"/>
            <rFont val="Tahoma"/>
            <family val="2"/>
          </rPr>
          <t xml:space="preserve">
Based on FY23 Trend Report Monthly Expenditures</t>
        </r>
      </text>
    </comment>
    <comment ref="J154" authorId="1" shapeId="0">
      <text>
        <r>
          <rPr>
            <b/>
            <sz val="9"/>
            <color indexed="81"/>
            <rFont val="Tahoma"/>
            <family val="2"/>
          </rPr>
          <t>Jeannie:</t>
        </r>
        <r>
          <rPr>
            <sz val="9"/>
            <color indexed="81"/>
            <rFont val="Tahoma"/>
            <family val="2"/>
          </rPr>
          <t xml:space="preserve">
Based on FY23 Trend Report Monthly Expenditures</t>
        </r>
      </text>
    </comment>
    <comment ref="K154" authorId="1" shapeId="0">
      <text>
        <r>
          <rPr>
            <b/>
            <sz val="9"/>
            <color indexed="81"/>
            <rFont val="Tahoma"/>
            <family val="2"/>
          </rPr>
          <t>Jeannie:</t>
        </r>
        <r>
          <rPr>
            <sz val="9"/>
            <color indexed="81"/>
            <rFont val="Tahoma"/>
            <family val="2"/>
          </rPr>
          <t xml:space="preserve">
Based on FY23 Trend Report Monthly Expenditures</t>
        </r>
      </text>
    </comment>
    <comment ref="L154" authorId="1" shapeId="0">
      <text>
        <r>
          <rPr>
            <b/>
            <sz val="9"/>
            <color indexed="81"/>
            <rFont val="Tahoma"/>
            <family val="2"/>
          </rPr>
          <t>Jeannie:</t>
        </r>
        <r>
          <rPr>
            <sz val="9"/>
            <color indexed="81"/>
            <rFont val="Tahoma"/>
            <family val="2"/>
          </rPr>
          <t xml:space="preserve">
Based on FY23 Trend Report Monthly Expenditures</t>
        </r>
      </text>
    </comment>
    <comment ref="M154" authorId="1" shapeId="0">
      <text>
        <r>
          <rPr>
            <b/>
            <sz val="9"/>
            <color indexed="81"/>
            <rFont val="Tahoma"/>
            <family val="2"/>
          </rPr>
          <t>Jeannie:</t>
        </r>
        <r>
          <rPr>
            <sz val="9"/>
            <color indexed="81"/>
            <rFont val="Tahoma"/>
            <family val="2"/>
          </rPr>
          <t xml:space="preserve">
Based on FY23 Trend Report Monthly Expenditures</t>
        </r>
      </text>
    </comment>
    <comment ref="N154" authorId="1" shapeId="0">
      <text>
        <r>
          <rPr>
            <b/>
            <sz val="9"/>
            <color indexed="81"/>
            <rFont val="Tahoma"/>
            <family val="2"/>
          </rPr>
          <t>Jeannie:</t>
        </r>
        <r>
          <rPr>
            <sz val="9"/>
            <color indexed="81"/>
            <rFont val="Tahoma"/>
            <family val="2"/>
          </rPr>
          <t xml:space="preserve">
Based on FY23 Trend Report Monthly Expenditures</t>
        </r>
      </text>
    </comment>
    <comment ref="O154" authorId="1" shapeId="0">
      <text>
        <r>
          <rPr>
            <b/>
            <sz val="9"/>
            <color indexed="81"/>
            <rFont val="Tahoma"/>
            <family val="2"/>
          </rPr>
          <t>Jeannie:</t>
        </r>
        <r>
          <rPr>
            <sz val="9"/>
            <color indexed="81"/>
            <rFont val="Tahoma"/>
            <family val="2"/>
          </rPr>
          <t xml:space="preserve">
Based on FY23 Trend Report Monthly Expenditures</t>
        </r>
      </text>
    </comment>
    <comment ref="D160" authorId="0" shapeId="0">
      <text>
        <r>
          <rPr>
            <sz val="9"/>
            <color indexed="81"/>
            <rFont val="Tahoma"/>
            <family val="2"/>
          </rPr>
          <t>Jeannie
Based on FY23 Trend Report Avg. Monthly</t>
        </r>
      </text>
    </comment>
    <comment ref="E160" authorId="0" shapeId="0">
      <text>
        <r>
          <rPr>
            <sz val="9"/>
            <color indexed="81"/>
            <rFont val="Tahoma"/>
            <family val="2"/>
          </rPr>
          <t>Jeannie
Based on FY23 Trend Report Avg. Monthly</t>
        </r>
      </text>
    </comment>
    <comment ref="F160" authorId="0" shapeId="0">
      <text>
        <r>
          <rPr>
            <sz val="9"/>
            <color indexed="81"/>
            <rFont val="Tahoma"/>
            <family val="2"/>
          </rPr>
          <t>Jeannie
Based on FY23 Trend Report Avg. Monthly</t>
        </r>
      </text>
    </comment>
    <comment ref="G160" authorId="0" shapeId="0">
      <text>
        <r>
          <rPr>
            <sz val="9"/>
            <color indexed="81"/>
            <rFont val="Tahoma"/>
            <family val="2"/>
          </rPr>
          <t>Jeannie
Based on FY23 Trend Report Avg. Monthly</t>
        </r>
      </text>
    </comment>
    <comment ref="H160" authorId="0" shapeId="0">
      <text>
        <r>
          <rPr>
            <sz val="9"/>
            <color indexed="81"/>
            <rFont val="Tahoma"/>
            <family val="2"/>
          </rPr>
          <t>Jeannie
Based on FY23 Trend Report Avg. Monthly</t>
        </r>
      </text>
    </comment>
    <comment ref="I160" authorId="0" shapeId="0">
      <text>
        <r>
          <rPr>
            <sz val="9"/>
            <color indexed="81"/>
            <rFont val="Tahoma"/>
            <family val="2"/>
          </rPr>
          <t>Jeannie
Based on FY23 Trend Report Avg. Monthly</t>
        </r>
      </text>
    </comment>
    <comment ref="J160" authorId="0" shapeId="0">
      <text>
        <r>
          <rPr>
            <sz val="9"/>
            <color indexed="81"/>
            <rFont val="Tahoma"/>
            <family val="2"/>
          </rPr>
          <t>Jeannie
Based on FY23 Trend Report Avg. Monthly</t>
        </r>
      </text>
    </comment>
    <comment ref="K160" authorId="0" shapeId="0">
      <text>
        <r>
          <rPr>
            <sz val="9"/>
            <color indexed="81"/>
            <rFont val="Tahoma"/>
            <family val="2"/>
          </rPr>
          <t>Jeannie
Based on FY23 Trend Report Avg. Monthly</t>
        </r>
      </text>
    </comment>
    <comment ref="L160" authorId="0" shapeId="0">
      <text>
        <r>
          <rPr>
            <sz val="9"/>
            <color indexed="81"/>
            <rFont val="Tahoma"/>
            <family val="2"/>
          </rPr>
          <t>Jeannie
Based on FY23 Trend Report Avg. Monthly</t>
        </r>
      </text>
    </comment>
    <comment ref="M160" authorId="0" shapeId="0">
      <text>
        <r>
          <rPr>
            <sz val="9"/>
            <color indexed="81"/>
            <rFont val="Tahoma"/>
            <family val="2"/>
          </rPr>
          <t>Jeannie
Based on FY23 Trend Report Avg. Monthly</t>
        </r>
      </text>
    </comment>
    <comment ref="N160" authorId="0" shapeId="0">
      <text>
        <r>
          <rPr>
            <sz val="9"/>
            <color indexed="81"/>
            <rFont val="Tahoma"/>
            <family val="2"/>
          </rPr>
          <t>Jeannie
Based on FY23 Trend Report Avg. Monthly</t>
        </r>
      </text>
    </comment>
    <comment ref="O160" authorId="0" shapeId="0">
      <text>
        <r>
          <rPr>
            <sz val="9"/>
            <color indexed="81"/>
            <rFont val="Tahoma"/>
            <family val="2"/>
          </rPr>
          <t>Jeannie
Based on FY23 Trend Report Avg. Monthly</t>
        </r>
      </text>
    </comment>
    <comment ref="E169" authorId="1" shapeId="0">
      <text>
        <r>
          <rPr>
            <b/>
            <sz val="9"/>
            <color indexed="81"/>
            <rFont val="Tahoma"/>
            <family val="2"/>
          </rPr>
          <t>Jeannie:</t>
        </r>
        <r>
          <rPr>
            <sz val="9"/>
            <color indexed="81"/>
            <rFont val="Tahoma"/>
            <family val="2"/>
          </rPr>
          <t xml:space="preserve">
Based on FY23 Trend Report average</t>
        </r>
      </text>
    </comment>
    <comment ref="F169" authorId="1" shapeId="0">
      <text>
        <r>
          <rPr>
            <b/>
            <sz val="9"/>
            <color indexed="81"/>
            <rFont val="Tahoma"/>
            <family val="2"/>
          </rPr>
          <t>Jeannie:</t>
        </r>
        <r>
          <rPr>
            <sz val="9"/>
            <color indexed="81"/>
            <rFont val="Tahoma"/>
            <family val="2"/>
          </rPr>
          <t xml:space="preserve">
Based on FY23 Trend Report average</t>
        </r>
      </text>
    </comment>
    <comment ref="G169" authorId="1" shapeId="0">
      <text>
        <r>
          <rPr>
            <b/>
            <sz val="9"/>
            <color indexed="81"/>
            <rFont val="Tahoma"/>
            <family val="2"/>
          </rPr>
          <t>Jeannie:</t>
        </r>
        <r>
          <rPr>
            <sz val="9"/>
            <color indexed="81"/>
            <rFont val="Tahoma"/>
            <family val="2"/>
          </rPr>
          <t xml:space="preserve">
Based on FY23 Trend Report average</t>
        </r>
      </text>
    </comment>
    <comment ref="H169" authorId="1" shapeId="0">
      <text>
        <r>
          <rPr>
            <b/>
            <sz val="9"/>
            <color indexed="81"/>
            <rFont val="Tahoma"/>
            <family val="2"/>
          </rPr>
          <t>Jeannie:</t>
        </r>
        <r>
          <rPr>
            <sz val="9"/>
            <color indexed="81"/>
            <rFont val="Tahoma"/>
            <family val="2"/>
          </rPr>
          <t xml:space="preserve">
Based on FY23 Trend Report average</t>
        </r>
      </text>
    </comment>
    <comment ref="I169" authorId="1" shapeId="0">
      <text>
        <r>
          <rPr>
            <b/>
            <sz val="9"/>
            <color indexed="81"/>
            <rFont val="Tahoma"/>
            <family val="2"/>
          </rPr>
          <t>Jeannie:</t>
        </r>
        <r>
          <rPr>
            <sz val="9"/>
            <color indexed="81"/>
            <rFont val="Tahoma"/>
            <family val="2"/>
          </rPr>
          <t xml:space="preserve">
Based on FY23 Trend Report average</t>
        </r>
      </text>
    </comment>
    <comment ref="J169" authorId="1" shapeId="0">
      <text>
        <r>
          <rPr>
            <b/>
            <sz val="9"/>
            <color indexed="81"/>
            <rFont val="Tahoma"/>
            <family val="2"/>
          </rPr>
          <t>Jeannie:</t>
        </r>
        <r>
          <rPr>
            <sz val="9"/>
            <color indexed="81"/>
            <rFont val="Tahoma"/>
            <family val="2"/>
          </rPr>
          <t xml:space="preserve">
Based on FY23 Trend Report average</t>
        </r>
      </text>
    </comment>
    <comment ref="K169" authorId="1" shapeId="0">
      <text>
        <r>
          <rPr>
            <b/>
            <sz val="9"/>
            <color indexed="81"/>
            <rFont val="Tahoma"/>
            <family val="2"/>
          </rPr>
          <t>Jeannie:</t>
        </r>
        <r>
          <rPr>
            <sz val="9"/>
            <color indexed="81"/>
            <rFont val="Tahoma"/>
            <family val="2"/>
          </rPr>
          <t xml:space="preserve">
Based on FY23 Trend Report average</t>
        </r>
      </text>
    </comment>
    <comment ref="L169" authorId="1" shapeId="0">
      <text>
        <r>
          <rPr>
            <b/>
            <sz val="9"/>
            <color indexed="81"/>
            <rFont val="Tahoma"/>
            <family val="2"/>
          </rPr>
          <t>Jeannie:</t>
        </r>
        <r>
          <rPr>
            <sz val="9"/>
            <color indexed="81"/>
            <rFont val="Tahoma"/>
            <family val="2"/>
          </rPr>
          <t xml:space="preserve">
Based on FY23 Trend Report average</t>
        </r>
      </text>
    </comment>
    <comment ref="M169" authorId="1" shapeId="0">
      <text>
        <r>
          <rPr>
            <b/>
            <sz val="9"/>
            <color indexed="81"/>
            <rFont val="Tahoma"/>
            <family val="2"/>
          </rPr>
          <t>Jeannie:</t>
        </r>
        <r>
          <rPr>
            <sz val="9"/>
            <color indexed="81"/>
            <rFont val="Tahoma"/>
            <family val="2"/>
          </rPr>
          <t xml:space="preserve">
Based on FY23 Trend Report average</t>
        </r>
      </text>
    </comment>
    <comment ref="N169" authorId="1" shapeId="0">
      <text>
        <r>
          <rPr>
            <b/>
            <sz val="9"/>
            <color indexed="81"/>
            <rFont val="Tahoma"/>
            <family val="2"/>
          </rPr>
          <t>Jeannie:</t>
        </r>
        <r>
          <rPr>
            <sz val="9"/>
            <color indexed="81"/>
            <rFont val="Tahoma"/>
            <family val="2"/>
          </rPr>
          <t xml:space="preserve">
Based on FY23 Trend Report average</t>
        </r>
      </text>
    </comment>
    <comment ref="D171" authorId="1" shapeId="0">
      <text>
        <r>
          <rPr>
            <b/>
            <sz val="9"/>
            <color indexed="81"/>
            <rFont val="Tahoma"/>
            <family val="2"/>
          </rPr>
          <t>Jeannie:</t>
        </r>
        <r>
          <rPr>
            <sz val="9"/>
            <color indexed="81"/>
            <rFont val="Tahoma"/>
            <family val="2"/>
          </rPr>
          <t xml:space="preserve">
Based on FY23 Trend Report average</t>
        </r>
      </text>
    </comment>
    <comment ref="E171" authorId="1" shapeId="0">
      <text>
        <r>
          <rPr>
            <b/>
            <sz val="9"/>
            <color indexed="81"/>
            <rFont val="Tahoma"/>
            <family val="2"/>
          </rPr>
          <t>Jeannie:</t>
        </r>
        <r>
          <rPr>
            <sz val="9"/>
            <color indexed="81"/>
            <rFont val="Tahoma"/>
            <family val="2"/>
          </rPr>
          <t xml:space="preserve">
Based on FY23 Trend Report average</t>
        </r>
      </text>
    </comment>
    <comment ref="F171" authorId="1" shapeId="0">
      <text>
        <r>
          <rPr>
            <b/>
            <sz val="9"/>
            <color indexed="81"/>
            <rFont val="Tahoma"/>
            <family val="2"/>
          </rPr>
          <t>Jeannie:</t>
        </r>
        <r>
          <rPr>
            <sz val="9"/>
            <color indexed="81"/>
            <rFont val="Tahoma"/>
            <family val="2"/>
          </rPr>
          <t xml:space="preserve">
Based on FY23 Trend Report average</t>
        </r>
      </text>
    </comment>
    <comment ref="G171" authorId="1" shapeId="0">
      <text>
        <r>
          <rPr>
            <b/>
            <sz val="9"/>
            <color indexed="81"/>
            <rFont val="Tahoma"/>
            <family val="2"/>
          </rPr>
          <t>Jeannie:</t>
        </r>
        <r>
          <rPr>
            <sz val="9"/>
            <color indexed="81"/>
            <rFont val="Tahoma"/>
            <family val="2"/>
          </rPr>
          <t xml:space="preserve">
Based on FY23 Trend Report average</t>
        </r>
      </text>
    </comment>
    <comment ref="H171" authorId="1" shapeId="0">
      <text>
        <r>
          <rPr>
            <b/>
            <sz val="9"/>
            <color indexed="81"/>
            <rFont val="Tahoma"/>
            <family val="2"/>
          </rPr>
          <t>Jeannie:</t>
        </r>
        <r>
          <rPr>
            <sz val="9"/>
            <color indexed="81"/>
            <rFont val="Tahoma"/>
            <family val="2"/>
          </rPr>
          <t xml:space="preserve">
Based on FY23 Trend Report average</t>
        </r>
      </text>
    </comment>
    <comment ref="I171" authorId="1" shapeId="0">
      <text>
        <r>
          <rPr>
            <b/>
            <sz val="9"/>
            <color indexed="81"/>
            <rFont val="Tahoma"/>
            <family val="2"/>
          </rPr>
          <t>Jeannie:</t>
        </r>
        <r>
          <rPr>
            <sz val="9"/>
            <color indexed="81"/>
            <rFont val="Tahoma"/>
            <family val="2"/>
          </rPr>
          <t xml:space="preserve">
Based on FY23 Trend Report average</t>
        </r>
      </text>
    </comment>
    <comment ref="J171" authorId="1" shapeId="0">
      <text>
        <r>
          <rPr>
            <b/>
            <sz val="9"/>
            <color indexed="81"/>
            <rFont val="Tahoma"/>
            <family val="2"/>
          </rPr>
          <t>Jeannie:</t>
        </r>
        <r>
          <rPr>
            <sz val="9"/>
            <color indexed="81"/>
            <rFont val="Tahoma"/>
            <family val="2"/>
          </rPr>
          <t xml:space="preserve">
Based on FY23 Trend Report average</t>
        </r>
      </text>
    </comment>
    <comment ref="K171" authorId="1" shapeId="0">
      <text>
        <r>
          <rPr>
            <b/>
            <sz val="9"/>
            <color indexed="81"/>
            <rFont val="Tahoma"/>
            <family val="2"/>
          </rPr>
          <t>Jeannie:</t>
        </r>
        <r>
          <rPr>
            <sz val="9"/>
            <color indexed="81"/>
            <rFont val="Tahoma"/>
            <family val="2"/>
          </rPr>
          <t xml:space="preserve">
Based on FY23 Trend Report average</t>
        </r>
      </text>
    </comment>
    <comment ref="L171" authorId="1" shapeId="0">
      <text>
        <r>
          <rPr>
            <b/>
            <sz val="9"/>
            <color indexed="81"/>
            <rFont val="Tahoma"/>
            <family val="2"/>
          </rPr>
          <t>Jeannie:</t>
        </r>
        <r>
          <rPr>
            <sz val="9"/>
            <color indexed="81"/>
            <rFont val="Tahoma"/>
            <family val="2"/>
          </rPr>
          <t xml:space="preserve">
Based on FY23 Trend Report average</t>
        </r>
      </text>
    </comment>
    <comment ref="M171" authorId="1" shapeId="0">
      <text>
        <r>
          <rPr>
            <b/>
            <sz val="9"/>
            <color indexed="81"/>
            <rFont val="Tahoma"/>
            <family val="2"/>
          </rPr>
          <t>Jeannie:</t>
        </r>
        <r>
          <rPr>
            <sz val="9"/>
            <color indexed="81"/>
            <rFont val="Tahoma"/>
            <family val="2"/>
          </rPr>
          <t xml:space="preserve">
Based on FY23 Trend Report average</t>
        </r>
      </text>
    </comment>
    <comment ref="N171" authorId="1" shapeId="0">
      <text>
        <r>
          <rPr>
            <b/>
            <sz val="9"/>
            <color indexed="81"/>
            <rFont val="Tahoma"/>
            <family val="2"/>
          </rPr>
          <t>Jeannie:</t>
        </r>
        <r>
          <rPr>
            <sz val="9"/>
            <color indexed="81"/>
            <rFont val="Tahoma"/>
            <family val="2"/>
          </rPr>
          <t xml:space="preserve">
Based on FY23 Trend Report average</t>
        </r>
      </text>
    </comment>
    <comment ref="O171" authorId="1" shapeId="0">
      <text>
        <r>
          <rPr>
            <b/>
            <sz val="9"/>
            <color indexed="81"/>
            <rFont val="Tahoma"/>
            <family val="2"/>
          </rPr>
          <t>Jeannie:</t>
        </r>
        <r>
          <rPr>
            <sz val="9"/>
            <color indexed="81"/>
            <rFont val="Tahoma"/>
            <family val="2"/>
          </rPr>
          <t xml:space="preserve">
Based on FY23 Trend Report average</t>
        </r>
      </text>
    </comment>
    <comment ref="D172" authorId="1" shapeId="0">
      <text>
        <r>
          <rPr>
            <b/>
            <sz val="9"/>
            <color indexed="81"/>
            <rFont val="Tahoma"/>
            <family val="2"/>
          </rPr>
          <t>Jeannie:</t>
        </r>
        <r>
          <rPr>
            <sz val="9"/>
            <color indexed="81"/>
            <rFont val="Tahoma"/>
            <family val="2"/>
          </rPr>
          <t xml:space="preserve">
Based on FY23 Trend Report average plus 5% increase (to be adjusted monthly when BVA is done)</t>
        </r>
      </text>
    </comment>
    <comment ref="E172" authorId="1" shapeId="0">
      <text>
        <r>
          <rPr>
            <b/>
            <sz val="9"/>
            <color indexed="81"/>
            <rFont val="Tahoma"/>
            <family val="2"/>
          </rPr>
          <t>Jeannie:</t>
        </r>
        <r>
          <rPr>
            <sz val="9"/>
            <color indexed="81"/>
            <rFont val="Tahoma"/>
            <family val="2"/>
          </rPr>
          <t xml:space="preserve">
Based on FY23 Trend Report average plus 5% increase</t>
        </r>
      </text>
    </comment>
    <comment ref="F172" authorId="1" shapeId="0">
      <text>
        <r>
          <rPr>
            <b/>
            <sz val="9"/>
            <color indexed="81"/>
            <rFont val="Tahoma"/>
            <family val="2"/>
          </rPr>
          <t>Jeannie:</t>
        </r>
        <r>
          <rPr>
            <sz val="9"/>
            <color indexed="81"/>
            <rFont val="Tahoma"/>
            <family val="2"/>
          </rPr>
          <t xml:space="preserve">
Based on FY23 Trend Report average plus 5% increase</t>
        </r>
      </text>
    </comment>
    <comment ref="G172" authorId="1" shapeId="0">
      <text>
        <r>
          <rPr>
            <b/>
            <sz val="9"/>
            <color indexed="81"/>
            <rFont val="Tahoma"/>
            <family val="2"/>
          </rPr>
          <t>Jeannie:</t>
        </r>
        <r>
          <rPr>
            <sz val="9"/>
            <color indexed="81"/>
            <rFont val="Tahoma"/>
            <family val="2"/>
          </rPr>
          <t xml:space="preserve">
Based on FY23 Trend Report average plus 5% increase</t>
        </r>
      </text>
    </comment>
    <comment ref="H172" authorId="1" shapeId="0">
      <text>
        <r>
          <rPr>
            <b/>
            <sz val="9"/>
            <color indexed="81"/>
            <rFont val="Tahoma"/>
            <family val="2"/>
          </rPr>
          <t>Jeannie:</t>
        </r>
        <r>
          <rPr>
            <sz val="9"/>
            <color indexed="81"/>
            <rFont val="Tahoma"/>
            <family val="2"/>
          </rPr>
          <t xml:space="preserve">
Based on FY23 Trend Report average plus 5% increase</t>
        </r>
      </text>
    </comment>
    <comment ref="I172" authorId="1" shapeId="0">
      <text>
        <r>
          <rPr>
            <b/>
            <sz val="9"/>
            <color indexed="81"/>
            <rFont val="Tahoma"/>
            <family val="2"/>
          </rPr>
          <t>Jeannie:</t>
        </r>
        <r>
          <rPr>
            <sz val="9"/>
            <color indexed="81"/>
            <rFont val="Tahoma"/>
            <family val="2"/>
          </rPr>
          <t xml:space="preserve">
Based on FY23 Trend Report average plus 5% increase</t>
        </r>
      </text>
    </comment>
    <comment ref="J172" authorId="1" shapeId="0">
      <text>
        <r>
          <rPr>
            <b/>
            <sz val="9"/>
            <color indexed="81"/>
            <rFont val="Tahoma"/>
            <family val="2"/>
          </rPr>
          <t>Jeannie:</t>
        </r>
        <r>
          <rPr>
            <sz val="9"/>
            <color indexed="81"/>
            <rFont val="Tahoma"/>
            <family val="2"/>
          </rPr>
          <t xml:space="preserve">
Based on FY23 Trend Report average plus 5% increase</t>
        </r>
      </text>
    </comment>
    <comment ref="K172" authorId="1" shapeId="0">
      <text>
        <r>
          <rPr>
            <b/>
            <sz val="9"/>
            <color indexed="81"/>
            <rFont val="Tahoma"/>
            <family val="2"/>
          </rPr>
          <t>Jeannie:</t>
        </r>
        <r>
          <rPr>
            <sz val="9"/>
            <color indexed="81"/>
            <rFont val="Tahoma"/>
            <family val="2"/>
          </rPr>
          <t xml:space="preserve">
Based on FY23 Trend Report average plus 5% increase</t>
        </r>
      </text>
    </comment>
    <comment ref="L172" authorId="1" shapeId="0">
      <text>
        <r>
          <rPr>
            <b/>
            <sz val="9"/>
            <color indexed="81"/>
            <rFont val="Tahoma"/>
            <family val="2"/>
          </rPr>
          <t>Jeannie:</t>
        </r>
        <r>
          <rPr>
            <sz val="9"/>
            <color indexed="81"/>
            <rFont val="Tahoma"/>
            <family val="2"/>
          </rPr>
          <t xml:space="preserve">
Based on FY23 Trend Report average plus 5% increase</t>
        </r>
      </text>
    </comment>
    <comment ref="M172" authorId="1" shapeId="0">
      <text>
        <r>
          <rPr>
            <b/>
            <sz val="9"/>
            <color indexed="81"/>
            <rFont val="Tahoma"/>
            <family val="2"/>
          </rPr>
          <t>Jeannie:</t>
        </r>
        <r>
          <rPr>
            <sz val="9"/>
            <color indexed="81"/>
            <rFont val="Tahoma"/>
            <family val="2"/>
          </rPr>
          <t xml:space="preserve">
Based on FY23 Trend Report average plus 5% increase</t>
        </r>
      </text>
    </comment>
    <comment ref="N172" authorId="1" shapeId="0">
      <text>
        <r>
          <rPr>
            <b/>
            <sz val="9"/>
            <color indexed="81"/>
            <rFont val="Tahoma"/>
            <family val="2"/>
          </rPr>
          <t>Jeannie:</t>
        </r>
        <r>
          <rPr>
            <sz val="9"/>
            <color indexed="81"/>
            <rFont val="Tahoma"/>
            <family val="2"/>
          </rPr>
          <t xml:space="preserve">
Based on FY23 Trend Report average plus 5% increase</t>
        </r>
      </text>
    </comment>
    <comment ref="O172" authorId="1" shapeId="0">
      <text>
        <r>
          <rPr>
            <b/>
            <sz val="9"/>
            <color indexed="81"/>
            <rFont val="Tahoma"/>
            <family val="2"/>
          </rPr>
          <t>Jeannie:</t>
        </r>
        <r>
          <rPr>
            <sz val="9"/>
            <color indexed="81"/>
            <rFont val="Tahoma"/>
            <family val="2"/>
          </rPr>
          <t xml:space="preserve">
Based on FY23 Trend Report average plus 5% increase</t>
        </r>
      </text>
    </comment>
    <comment ref="D174" authorId="1" shapeId="0">
      <text>
        <r>
          <rPr>
            <b/>
            <sz val="9"/>
            <color indexed="81"/>
            <rFont val="Tahoma"/>
            <family val="2"/>
          </rPr>
          <t>Jeannie:</t>
        </r>
        <r>
          <rPr>
            <sz val="9"/>
            <color indexed="81"/>
            <rFont val="Tahoma"/>
            <family val="2"/>
          </rPr>
          <t xml:space="preserve">
Based on FY23 Trend Report average plus 5% increase (to be adjusted monthly when BVA is done)</t>
        </r>
      </text>
    </comment>
    <comment ref="E174" authorId="1" shapeId="0">
      <text>
        <r>
          <rPr>
            <b/>
            <sz val="9"/>
            <color indexed="81"/>
            <rFont val="Tahoma"/>
            <family val="2"/>
          </rPr>
          <t>Jeannie:</t>
        </r>
        <r>
          <rPr>
            <sz val="9"/>
            <color indexed="81"/>
            <rFont val="Tahoma"/>
            <family val="2"/>
          </rPr>
          <t xml:space="preserve">
Based on FY23 Trend Report average plus 5% increase</t>
        </r>
      </text>
    </comment>
    <comment ref="F174" authorId="1" shapeId="0">
      <text>
        <r>
          <rPr>
            <b/>
            <sz val="9"/>
            <color indexed="81"/>
            <rFont val="Tahoma"/>
            <family val="2"/>
          </rPr>
          <t>Jeannie:</t>
        </r>
        <r>
          <rPr>
            <sz val="9"/>
            <color indexed="81"/>
            <rFont val="Tahoma"/>
            <family val="2"/>
          </rPr>
          <t xml:space="preserve">
Based on FY23 Trend Report average plus 5% increase</t>
        </r>
      </text>
    </comment>
    <comment ref="G174" authorId="1" shapeId="0">
      <text>
        <r>
          <rPr>
            <b/>
            <sz val="9"/>
            <color indexed="81"/>
            <rFont val="Tahoma"/>
            <family val="2"/>
          </rPr>
          <t>Jeannie:</t>
        </r>
        <r>
          <rPr>
            <sz val="9"/>
            <color indexed="81"/>
            <rFont val="Tahoma"/>
            <family val="2"/>
          </rPr>
          <t xml:space="preserve">
Based on FY23 Trend Report average plus 5% increase</t>
        </r>
      </text>
    </comment>
    <comment ref="H174" authorId="1" shapeId="0">
      <text>
        <r>
          <rPr>
            <b/>
            <sz val="9"/>
            <color indexed="81"/>
            <rFont val="Tahoma"/>
            <family val="2"/>
          </rPr>
          <t>Jeannie:</t>
        </r>
        <r>
          <rPr>
            <sz val="9"/>
            <color indexed="81"/>
            <rFont val="Tahoma"/>
            <family val="2"/>
          </rPr>
          <t xml:space="preserve">
Based on FY23 Trend Report average plus 5% increase</t>
        </r>
      </text>
    </comment>
    <comment ref="I174" authorId="1" shapeId="0">
      <text>
        <r>
          <rPr>
            <b/>
            <sz val="9"/>
            <color indexed="81"/>
            <rFont val="Tahoma"/>
            <family val="2"/>
          </rPr>
          <t>Jeannie:</t>
        </r>
        <r>
          <rPr>
            <sz val="9"/>
            <color indexed="81"/>
            <rFont val="Tahoma"/>
            <family val="2"/>
          </rPr>
          <t xml:space="preserve">
Based on FY23 Trend Report average plus 5% increase</t>
        </r>
      </text>
    </comment>
    <comment ref="J174" authorId="1" shapeId="0">
      <text>
        <r>
          <rPr>
            <b/>
            <sz val="9"/>
            <color indexed="81"/>
            <rFont val="Tahoma"/>
            <family val="2"/>
          </rPr>
          <t>Jeannie:</t>
        </r>
        <r>
          <rPr>
            <sz val="9"/>
            <color indexed="81"/>
            <rFont val="Tahoma"/>
            <family val="2"/>
          </rPr>
          <t xml:space="preserve">
Based on FY23 Trend Report average plus 5% increase</t>
        </r>
      </text>
    </comment>
    <comment ref="K174" authorId="1" shapeId="0">
      <text>
        <r>
          <rPr>
            <b/>
            <sz val="9"/>
            <color indexed="81"/>
            <rFont val="Tahoma"/>
            <family val="2"/>
          </rPr>
          <t>Jeannie:</t>
        </r>
        <r>
          <rPr>
            <sz val="9"/>
            <color indexed="81"/>
            <rFont val="Tahoma"/>
            <family val="2"/>
          </rPr>
          <t xml:space="preserve">
Based on FY23 Trend Report average plus 5% increase</t>
        </r>
      </text>
    </comment>
    <comment ref="L174" authorId="1" shapeId="0">
      <text>
        <r>
          <rPr>
            <b/>
            <sz val="9"/>
            <color indexed="81"/>
            <rFont val="Tahoma"/>
            <family val="2"/>
          </rPr>
          <t>Jeannie:</t>
        </r>
        <r>
          <rPr>
            <sz val="9"/>
            <color indexed="81"/>
            <rFont val="Tahoma"/>
            <family val="2"/>
          </rPr>
          <t xml:space="preserve">
Based on FY23 Trend Report average plus 5% increase</t>
        </r>
      </text>
    </comment>
    <comment ref="M174" authorId="1" shapeId="0">
      <text>
        <r>
          <rPr>
            <b/>
            <sz val="9"/>
            <color indexed="81"/>
            <rFont val="Tahoma"/>
            <family val="2"/>
          </rPr>
          <t>Jeannie:</t>
        </r>
        <r>
          <rPr>
            <sz val="9"/>
            <color indexed="81"/>
            <rFont val="Tahoma"/>
            <family val="2"/>
          </rPr>
          <t xml:space="preserve">
Based on FY23 Trend Report average plus 5% increase</t>
        </r>
      </text>
    </comment>
    <comment ref="N174" authorId="1" shapeId="0">
      <text>
        <r>
          <rPr>
            <b/>
            <sz val="9"/>
            <color indexed="81"/>
            <rFont val="Tahoma"/>
            <family val="2"/>
          </rPr>
          <t>Jeannie:</t>
        </r>
        <r>
          <rPr>
            <sz val="9"/>
            <color indexed="81"/>
            <rFont val="Tahoma"/>
            <family val="2"/>
          </rPr>
          <t xml:space="preserve">
Based on FY23 Trend Report average plus 5% increase</t>
        </r>
      </text>
    </comment>
    <comment ref="O174" authorId="1" shapeId="0">
      <text>
        <r>
          <rPr>
            <b/>
            <sz val="9"/>
            <color indexed="81"/>
            <rFont val="Tahoma"/>
            <family val="2"/>
          </rPr>
          <t>Jeannie:</t>
        </r>
        <r>
          <rPr>
            <sz val="9"/>
            <color indexed="81"/>
            <rFont val="Tahoma"/>
            <family val="2"/>
          </rPr>
          <t xml:space="preserve">
Based on FY23 Trend Report average plus 5% increase</t>
        </r>
      </text>
    </comment>
    <comment ref="D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E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F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G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H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I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J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K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L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M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N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O181" authorId="1" shapeId="0">
      <text>
        <r>
          <rPr>
            <b/>
            <sz val="9"/>
            <color indexed="81"/>
            <rFont val="Tahoma"/>
            <family val="2"/>
          </rPr>
          <t>Jeannie:</t>
        </r>
        <r>
          <rPr>
            <sz val="9"/>
            <color indexed="81"/>
            <rFont val="Tahoma"/>
            <family val="2"/>
          </rPr>
          <t xml:space="preserve">
Based on FY23 Trend Report average plus 2% increase AND a $200/mo for 10 mos. increase by Iconic Cleaners (to be adjusted monthly when BVA is done)</t>
        </r>
      </text>
    </comment>
    <comment ref="E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F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G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H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I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J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K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L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M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N184" authorId="2" shapeId="0">
      <text>
        <r>
          <rPr>
            <b/>
            <sz val="9"/>
            <color indexed="81"/>
            <rFont val="Tahoma"/>
            <family val="2"/>
          </rPr>
          <t xml:space="preserve">Jeannie:
</t>
        </r>
        <r>
          <rPr>
            <sz val="9"/>
            <color indexed="81"/>
            <rFont val="Tahoma"/>
            <family val="2"/>
          </rPr>
          <t>based on FY23 trend report with a 5% increase for Pasco County Sheriff's deputies.  To be adjusted monthly with BvA</t>
        </r>
      </text>
    </comment>
    <comment ref="D195" authorId="0" shapeId="0">
      <text>
        <r>
          <rPr>
            <b/>
            <sz val="9"/>
            <color indexed="81"/>
            <rFont val="Tahoma"/>
            <family val="2"/>
          </rPr>
          <t>Christine:</t>
        </r>
        <r>
          <rPr>
            <sz val="9"/>
            <color indexed="81"/>
            <rFont val="Tahoma"/>
            <family val="2"/>
          </rPr>
          <t xml:space="preserve">
Based on Apr 2022 Fin Analysis</t>
        </r>
      </text>
    </comment>
    <comment ref="Q195" authorId="0" shapeId="0">
      <text>
        <r>
          <rPr>
            <b/>
            <sz val="9"/>
            <color indexed="81"/>
            <rFont val="Tahoma"/>
            <family val="2"/>
          </rPr>
          <t>Christine:</t>
        </r>
        <r>
          <rPr>
            <sz val="9"/>
            <color indexed="81"/>
            <rFont val="Tahoma"/>
            <family val="2"/>
          </rPr>
          <t xml:space="preserve">
Based on Apr 2022 Fin Analysis</t>
        </r>
      </text>
    </comment>
    <comment ref="D198" authorId="1" shapeId="0">
      <text>
        <r>
          <rPr>
            <b/>
            <sz val="9"/>
            <color indexed="81"/>
            <rFont val="Tahoma"/>
            <family val="2"/>
          </rPr>
          <t>Jeannie:</t>
        </r>
        <r>
          <rPr>
            <sz val="9"/>
            <color indexed="81"/>
            <rFont val="Tahoma"/>
            <family val="2"/>
          </rPr>
          <t xml:space="preserve">
Offset astro turf &amp; projectors from grant funds listed under misc. state income
</t>
        </r>
      </text>
    </comment>
    <comment ref="G198" authorId="0" shapeId="0">
      <text>
        <r>
          <rPr>
            <b/>
            <sz val="9"/>
            <color indexed="81"/>
            <rFont val="Tahoma"/>
            <family val="2"/>
          </rPr>
          <t>Jeannie:</t>
        </r>
        <r>
          <rPr>
            <sz val="9"/>
            <color indexed="81"/>
            <rFont val="Tahoma"/>
            <family val="2"/>
          </rPr>
          <t xml:space="preserve">
AC Units
</t>
        </r>
      </text>
    </comment>
    <comment ref="J198" authorId="0" shapeId="0">
      <text>
        <r>
          <rPr>
            <b/>
            <sz val="9"/>
            <color indexed="81"/>
            <rFont val="Tahoma"/>
            <family val="2"/>
          </rPr>
          <t>Christine:</t>
        </r>
        <r>
          <rPr>
            <sz val="9"/>
            <color indexed="81"/>
            <rFont val="Tahoma"/>
            <family val="2"/>
          </rPr>
          <t xml:space="preserve">
Gym padding</t>
        </r>
      </text>
    </comment>
  </commentList>
</comments>
</file>

<file path=xl/comments4.xml><?xml version="1.0" encoding="utf-8"?>
<comments xmlns="http://schemas.openxmlformats.org/spreadsheetml/2006/main">
  <authors>
    <author>Theresa Briggs</author>
    <author>Imagine Business Manager</author>
  </authors>
  <commentList>
    <comment ref="J84" authorId="0" shapeId="0">
      <text>
        <r>
          <rPr>
            <b/>
            <sz val="9"/>
            <color indexed="81"/>
            <rFont val="Tahoma"/>
            <family val="2"/>
          </rPr>
          <t>Theresa Briggs:</t>
        </r>
        <r>
          <rPr>
            <sz val="9"/>
            <color indexed="81"/>
            <rFont val="Tahoma"/>
            <family val="2"/>
          </rPr>
          <t xml:space="preserve">
$18 x 40hrs x 38 weeks
</t>
        </r>
      </text>
    </comment>
    <comment ref="J171" authorId="0" shapeId="0">
      <text>
        <r>
          <rPr>
            <b/>
            <sz val="9"/>
            <color indexed="81"/>
            <rFont val="Tahoma"/>
            <family val="2"/>
          </rPr>
          <t>Theresa Briggs:</t>
        </r>
        <r>
          <rPr>
            <sz val="9"/>
            <color indexed="81"/>
            <rFont val="Tahoma"/>
            <family val="2"/>
          </rPr>
          <t xml:space="preserve">
$18x40x50wks</t>
        </r>
      </text>
    </comment>
    <comment ref="J172" authorId="1" shapeId="0">
      <text>
        <r>
          <rPr>
            <b/>
            <sz val="9"/>
            <color indexed="81"/>
            <rFont val="Tahoma"/>
            <charset val="1"/>
          </rPr>
          <t>Imagine Business Manager:</t>
        </r>
        <r>
          <rPr>
            <sz val="9"/>
            <color indexed="81"/>
            <rFont val="Tahoma"/>
            <charset val="1"/>
          </rPr>
          <t xml:space="preserve">
35hrs x $15 x 38wks</t>
        </r>
      </text>
    </comment>
    <comment ref="J173" authorId="1" shapeId="0">
      <text>
        <r>
          <rPr>
            <b/>
            <sz val="9"/>
            <color indexed="81"/>
            <rFont val="Tahoma"/>
            <charset val="1"/>
          </rPr>
          <t>Imagine Business Manager:</t>
        </r>
        <r>
          <rPr>
            <sz val="9"/>
            <color indexed="81"/>
            <rFont val="Tahoma"/>
            <charset val="1"/>
          </rPr>
          <t xml:space="preserve">
$15 x 30 x 38 wks</t>
        </r>
      </text>
    </comment>
  </commentList>
</comments>
</file>

<file path=xl/comments5.xml><?xml version="1.0" encoding="utf-8"?>
<comments xmlns="http://schemas.openxmlformats.org/spreadsheetml/2006/main">
  <authors>
    <author>Christine</author>
    <author>Theresa Reed</author>
    <author>Carol Garcia</author>
  </authors>
  <commentList>
    <comment ref="Q7" authorId="0" shapeId="0">
      <text>
        <r>
          <rPr>
            <b/>
            <sz val="9"/>
            <color indexed="81"/>
            <rFont val="Tahoma"/>
            <family val="2"/>
          </rPr>
          <t xml:space="preserve">Christine:
</t>
        </r>
        <r>
          <rPr>
            <sz val="9"/>
            <color indexed="81"/>
            <rFont val="Tahoma"/>
            <family val="2"/>
          </rPr>
          <t>Reverse FY18 accrual and add FY18 FEFP payment received in July</t>
        </r>
      </text>
    </comment>
    <comment ref="L14" authorId="0" shapeId="0">
      <text>
        <r>
          <rPr>
            <b/>
            <sz val="9"/>
            <color indexed="81"/>
            <rFont val="Tahoma"/>
            <family val="2"/>
          </rPr>
          <t>Christine:</t>
        </r>
        <r>
          <rPr>
            <sz val="9"/>
            <color indexed="81"/>
            <rFont val="Tahoma"/>
            <family val="2"/>
          </rPr>
          <t xml:space="preserve">
intensive reading Grant</t>
        </r>
      </text>
    </comment>
    <comment ref="E25" authorId="1" shapeId="0">
      <text>
        <r>
          <rPr>
            <b/>
            <sz val="9"/>
            <color indexed="81"/>
            <rFont val="Tahoma"/>
            <family val="2"/>
          </rPr>
          <t>Theresa Reed:</t>
        </r>
        <r>
          <rPr>
            <sz val="9"/>
            <color indexed="81"/>
            <rFont val="Tahoma"/>
            <family val="2"/>
          </rPr>
          <t xml:space="preserve">
500 x $16 shirts = $8000
750 x $35 card = 26250</t>
        </r>
      </text>
    </comment>
    <comment ref="E28" authorId="1" shapeId="0">
      <text>
        <r>
          <rPr>
            <b/>
            <sz val="9"/>
            <color indexed="81"/>
            <rFont val="Tahoma"/>
            <family val="2"/>
          </rPr>
          <t>Theresa Reed:</t>
        </r>
        <r>
          <rPr>
            <sz val="9"/>
            <color indexed="81"/>
            <rFont val="Tahoma"/>
            <family val="2"/>
          </rPr>
          <t xml:space="preserve">
</t>
        </r>
      </text>
    </comment>
    <comment ref="D29" authorId="0" shapeId="0">
      <text>
        <r>
          <rPr>
            <b/>
            <sz val="9"/>
            <color indexed="81"/>
            <rFont val="Tahoma"/>
            <family val="2"/>
          </rPr>
          <t>Theresa:</t>
        </r>
        <r>
          <rPr>
            <sz val="9"/>
            <color indexed="81"/>
            <rFont val="Tahoma"/>
            <family val="2"/>
          </rPr>
          <t xml:space="preserve">
$3,333.33 Instruc Cirr $14880 activity fees</t>
        </r>
      </text>
    </comment>
    <comment ref="E29" authorId="1" shapeId="0">
      <text>
        <r>
          <rPr>
            <b/>
            <sz val="9"/>
            <color indexed="81"/>
            <rFont val="Tahoma"/>
            <family val="2"/>
          </rPr>
          <t>Theresa Reed:</t>
        </r>
        <r>
          <rPr>
            <sz val="9"/>
            <color indexed="81"/>
            <rFont val="Tahoma"/>
            <family val="2"/>
          </rPr>
          <t xml:space="preserve">
3333.33 Inst Coach
$33480. Activity Fees
</t>
        </r>
      </text>
    </comment>
    <comment ref="F29" authorId="0" shapeId="0">
      <text>
        <r>
          <rPr>
            <b/>
            <sz val="9"/>
            <color indexed="81"/>
            <rFont val="Tahoma"/>
            <family val="2"/>
          </rPr>
          <t>Christine:</t>
        </r>
        <r>
          <rPr>
            <sz val="9"/>
            <color indexed="81"/>
            <rFont val="Tahoma"/>
            <family val="2"/>
          </rPr>
          <t xml:space="preserve">
$3333 Instruc Coach Supp, $1,231 Leondards, activity fees</t>
        </r>
      </text>
    </comment>
    <comment ref="D30" authorId="0" shapeId="0">
      <text>
        <r>
          <rPr>
            <b/>
            <sz val="9"/>
            <color indexed="81"/>
            <rFont val="Tahoma"/>
            <family val="2"/>
          </rPr>
          <t>Theresa:</t>
        </r>
        <r>
          <rPr>
            <sz val="9"/>
            <color indexed="81"/>
            <rFont val="Tahoma"/>
            <family val="2"/>
          </rPr>
          <t xml:space="preserve">
$3,333.33 Instruc Cirr $14880 activity fees</t>
        </r>
      </text>
    </comment>
    <comment ref="E30" authorId="0" shapeId="0">
      <text>
        <r>
          <rPr>
            <b/>
            <sz val="9"/>
            <color indexed="81"/>
            <rFont val="Tahoma"/>
            <family val="2"/>
          </rPr>
          <t>Theresa:</t>
        </r>
        <r>
          <rPr>
            <sz val="9"/>
            <color indexed="81"/>
            <rFont val="Tahoma"/>
            <family val="2"/>
          </rPr>
          <t xml:space="preserve">
$3,333.33 Instruc Cirr $14880 activity fees</t>
        </r>
      </text>
    </comment>
    <comment ref="F30" authorId="0" shapeId="0">
      <text>
        <r>
          <rPr>
            <b/>
            <sz val="9"/>
            <color indexed="81"/>
            <rFont val="Tahoma"/>
            <family val="2"/>
          </rPr>
          <t>Theresa:</t>
        </r>
        <r>
          <rPr>
            <sz val="9"/>
            <color indexed="81"/>
            <rFont val="Tahoma"/>
            <family val="2"/>
          </rPr>
          <t xml:space="preserve">
$3,333.33 Instruc Cirr $14880 activity fees</t>
        </r>
      </text>
    </comment>
    <comment ref="G30" authorId="0" shapeId="0">
      <text>
        <r>
          <rPr>
            <b/>
            <sz val="9"/>
            <color indexed="81"/>
            <rFont val="Tahoma"/>
            <family val="2"/>
          </rPr>
          <t>Theresa:</t>
        </r>
        <r>
          <rPr>
            <sz val="9"/>
            <color indexed="81"/>
            <rFont val="Tahoma"/>
            <family val="2"/>
          </rPr>
          <t xml:space="preserve">
$3,333.33 Instruc Cirr $14880 activity fees</t>
        </r>
      </text>
    </comment>
    <comment ref="H30" authorId="0" shapeId="0">
      <text>
        <r>
          <rPr>
            <b/>
            <sz val="9"/>
            <color indexed="81"/>
            <rFont val="Tahoma"/>
            <family val="2"/>
          </rPr>
          <t>Theresa:</t>
        </r>
        <r>
          <rPr>
            <sz val="9"/>
            <color indexed="81"/>
            <rFont val="Tahoma"/>
            <family val="2"/>
          </rPr>
          <t xml:space="preserve">
$3,333.33 Instruc Cirr $14880 activity fees</t>
        </r>
      </text>
    </comment>
    <comment ref="I30" authorId="0" shapeId="0">
      <text>
        <r>
          <rPr>
            <b/>
            <sz val="9"/>
            <color indexed="81"/>
            <rFont val="Tahoma"/>
            <family val="2"/>
          </rPr>
          <t>Theresa:</t>
        </r>
        <r>
          <rPr>
            <sz val="9"/>
            <color indexed="81"/>
            <rFont val="Tahoma"/>
            <family val="2"/>
          </rPr>
          <t xml:space="preserve">
$3,333.33 Instruc Cirr $14880 activity fees</t>
        </r>
      </text>
    </comment>
    <comment ref="J30" authorId="0" shapeId="0">
      <text>
        <r>
          <rPr>
            <b/>
            <sz val="9"/>
            <color indexed="81"/>
            <rFont val="Tahoma"/>
            <family val="2"/>
          </rPr>
          <t>Theresa:</t>
        </r>
        <r>
          <rPr>
            <sz val="9"/>
            <color indexed="81"/>
            <rFont val="Tahoma"/>
            <family val="2"/>
          </rPr>
          <t xml:space="preserve">
$3,333.33 Instruc Cirr $14880 activity fees</t>
        </r>
      </text>
    </comment>
    <comment ref="K30" authorId="0" shapeId="0">
      <text>
        <r>
          <rPr>
            <b/>
            <sz val="9"/>
            <color indexed="81"/>
            <rFont val="Tahoma"/>
            <family val="2"/>
          </rPr>
          <t>Theresa:</t>
        </r>
        <r>
          <rPr>
            <sz val="9"/>
            <color indexed="81"/>
            <rFont val="Tahoma"/>
            <family val="2"/>
          </rPr>
          <t xml:space="preserve">
$3,333.33 Instruc Cirr $14880 activity fees</t>
        </r>
      </text>
    </comment>
    <comment ref="M30" authorId="0" shapeId="0">
      <text>
        <r>
          <rPr>
            <b/>
            <sz val="9"/>
            <color indexed="81"/>
            <rFont val="Tahoma"/>
            <family val="2"/>
          </rPr>
          <t>Theresa:</t>
        </r>
        <r>
          <rPr>
            <sz val="9"/>
            <color indexed="81"/>
            <rFont val="Tahoma"/>
            <family val="2"/>
          </rPr>
          <t xml:space="preserve">
$3,333.33 Instruc Cirr $14880 activity fees</t>
        </r>
      </text>
    </comment>
    <comment ref="G38" authorId="0" shapeId="0">
      <text>
        <r>
          <rPr>
            <b/>
            <sz val="9"/>
            <color indexed="81"/>
            <rFont val="Tahoma"/>
            <family val="2"/>
          </rPr>
          <t>Christine:</t>
        </r>
        <r>
          <rPr>
            <sz val="9"/>
            <color indexed="81"/>
            <rFont val="Tahoma"/>
            <family val="2"/>
          </rPr>
          <t xml:space="preserve">
Accrued 4 days from Oct</t>
        </r>
      </text>
    </comment>
    <comment ref="H38" authorId="0" shapeId="0">
      <text>
        <r>
          <rPr>
            <b/>
            <sz val="9"/>
            <color indexed="81"/>
            <rFont val="Tahoma"/>
            <family val="2"/>
          </rPr>
          <t>Christine:</t>
        </r>
        <r>
          <rPr>
            <sz val="9"/>
            <color indexed="81"/>
            <rFont val="Tahoma"/>
            <family val="2"/>
          </rPr>
          <t xml:space="preserve">
Accrued 4 days from Oct</t>
        </r>
      </text>
    </comment>
    <comment ref="P38" authorId="0" shapeId="0">
      <text>
        <r>
          <rPr>
            <b/>
            <sz val="9"/>
            <color indexed="81"/>
            <rFont val="Tahoma"/>
            <family val="2"/>
          </rPr>
          <t>Christine:</t>
        </r>
        <r>
          <rPr>
            <sz val="9"/>
            <color indexed="81"/>
            <rFont val="Tahoma"/>
            <family val="2"/>
          </rPr>
          <t xml:space="preserve">
When will the FY19 teacher contracts expire? - 7/31/20</t>
        </r>
      </text>
    </comment>
    <comment ref="C61" authorId="2" shapeId="0">
      <text>
        <r>
          <rPr>
            <b/>
            <sz val="8"/>
            <color indexed="81"/>
            <rFont val="Tahoma"/>
            <family val="2"/>
          </rPr>
          <t>Carol Garcia:</t>
        </r>
        <r>
          <rPr>
            <sz val="8"/>
            <color indexed="81"/>
            <rFont val="Tahoma"/>
            <family val="2"/>
          </rPr>
          <t xml:space="preserve">
Imagine Crdit memo to
come off of benefit bills this year.
</t>
        </r>
      </text>
    </comment>
    <comment ref="F72" authorId="0" shapeId="0">
      <text>
        <r>
          <rPr>
            <b/>
            <sz val="9"/>
            <color indexed="81"/>
            <rFont val="Tahoma"/>
            <family val="2"/>
          </rPr>
          <t>Christine:</t>
        </r>
        <r>
          <rPr>
            <sz val="9"/>
            <color indexed="81"/>
            <rFont val="Tahoma"/>
            <family val="2"/>
          </rPr>
          <t xml:space="preserve">
Teacher Supply Asst</t>
        </r>
      </text>
    </comment>
    <comment ref="D74" authorId="0" shapeId="0">
      <text>
        <r>
          <rPr>
            <b/>
            <sz val="9"/>
            <color indexed="81"/>
            <rFont val="Tahoma"/>
            <family val="2"/>
          </rPr>
          <t>Christine:</t>
        </r>
        <r>
          <rPr>
            <sz val="9"/>
            <color indexed="81"/>
            <rFont val="Tahoma"/>
            <family val="2"/>
          </rPr>
          <t xml:space="preserve">
Go Math</t>
        </r>
      </text>
    </comment>
    <comment ref="E74" authorId="0" shapeId="0">
      <text>
        <r>
          <rPr>
            <b/>
            <sz val="9"/>
            <color indexed="81"/>
            <rFont val="Tahoma"/>
            <family val="2"/>
          </rPr>
          <t>Theresa:</t>
        </r>
        <r>
          <rPr>
            <sz val="9"/>
            <color indexed="81"/>
            <rFont val="Tahoma"/>
            <family val="2"/>
          </rPr>
          <t xml:space="preserve">
FL School Books
50K last year - add 35K per AW- contracts ended </t>
        </r>
      </text>
    </comment>
    <comment ref="D84" authorId="0" shapeId="0">
      <text>
        <r>
          <rPr>
            <b/>
            <sz val="9"/>
            <color indexed="81"/>
            <rFont val="Tahoma"/>
            <family val="2"/>
          </rPr>
          <t>Christine:</t>
        </r>
        <r>
          <rPr>
            <sz val="9"/>
            <color indexed="81"/>
            <rFont val="Tahoma"/>
            <family val="2"/>
          </rPr>
          <t xml:space="preserve">
PBIS System</t>
        </r>
      </text>
    </comment>
    <comment ref="E84" authorId="0" shapeId="0">
      <text>
        <r>
          <rPr>
            <b/>
            <sz val="9"/>
            <color indexed="81"/>
            <rFont val="Tahoma"/>
            <family val="2"/>
          </rPr>
          <t>Christine:</t>
        </r>
        <r>
          <rPr>
            <sz val="9"/>
            <color indexed="81"/>
            <rFont val="Tahoma"/>
            <family val="2"/>
          </rPr>
          <t xml:space="preserve">
IRLAE Library, Reading, Accelerated Math</t>
        </r>
      </text>
    </comment>
    <comment ref="L84" authorId="0" shapeId="0">
      <text>
        <r>
          <rPr>
            <b/>
            <sz val="9"/>
            <color indexed="81"/>
            <rFont val="Tahoma"/>
            <family val="2"/>
          </rPr>
          <t>Christine:</t>
        </r>
        <r>
          <rPr>
            <sz val="9"/>
            <color indexed="81"/>
            <rFont val="Tahoma"/>
            <family val="2"/>
          </rPr>
          <t xml:space="preserve">
GoGuardian</t>
        </r>
      </text>
    </comment>
    <comment ref="E87" authorId="1" shapeId="0">
      <text>
        <r>
          <rPr>
            <b/>
            <sz val="9"/>
            <color indexed="81"/>
            <rFont val="Tahoma"/>
            <family val="2"/>
          </rPr>
          <t>Theresa Reed:</t>
        </r>
        <r>
          <rPr>
            <sz val="9"/>
            <color indexed="81"/>
            <rFont val="Tahoma"/>
            <family val="2"/>
          </rPr>
          <t xml:space="preserve">
Per CM:
estimate on new wireless access points - Noponen - 15 x $500</t>
        </r>
      </text>
    </comment>
    <comment ref="L94" authorId="0" shapeId="0">
      <text>
        <r>
          <rPr>
            <b/>
            <sz val="9"/>
            <color indexed="81"/>
            <rFont val="Tahoma"/>
            <family val="2"/>
          </rPr>
          <t>Christine:</t>
        </r>
        <r>
          <rPr>
            <sz val="9"/>
            <color indexed="81"/>
            <rFont val="Tahoma"/>
            <family val="2"/>
          </rPr>
          <t xml:space="preserve">
4 wks Chef it up, donuts for honor roll</t>
        </r>
      </text>
    </comment>
    <comment ref="D111" authorId="0" shapeId="0">
      <text>
        <r>
          <rPr>
            <b/>
            <sz val="9"/>
            <color indexed="81"/>
            <rFont val="Tahoma"/>
            <family val="2"/>
          </rPr>
          <t>Christine:</t>
        </r>
        <r>
          <rPr>
            <sz val="9"/>
            <color indexed="81"/>
            <rFont val="Tahoma"/>
            <family val="2"/>
          </rPr>
          <t xml:space="preserve">
Repairs to mulch and field</t>
        </r>
      </text>
    </comment>
    <comment ref="D112" authorId="0" shapeId="0">
      <text>
        <r>
          <rPr>
            <b/>
            <sz val="9"/>
            <color indexed="81"/>
            <rFont val="Tahoma"/>
            <family val="2"/>
          </rPr>
          <t>Christine:</t>
        </r>
        <r>
          <rPr>
            <sz val="9"/>
            <color indexed="81"/>
            <rFont val="Tahoma"/>
            <family val="2"/>
          </rPr>
          <t xml:space="preserve">
Summer work
</t>
        </r>
      </text>
    </comment>
    <comment ref="D133" authorId="1" shapeId="0">
      <text>
        <r>
          <rPr>
            <b/>
            <sz val="9"/>
            <color indexed="81"/>
            <rFont val="Tahoma"/>
            <family val="2"/>
          </rPr>
          <t>Theresa Reed:
171.94x3 = 515.82 for current loan.
$567.63 per additional bus if financed on same terms as before</t>
        </r>
      </text>
    </comment>
    <comment ref="D134" authorId="1" shapeId="0">
      <text>
        <r>
          <rPr>
            <b/>
            <sz val="9"/>
            <color indexed="81"/>
            <rFont val="Tahoma"/>
            <family val="2"/>
          </rPr>
          <t>Theresa Reed:
171.94x3 = 515.82 for current loan.
$567.63 per additional bus if financed on same terms as before</t>
        </r>
      </text>
    </comment>
    <comment ref="D135" authorId="1" shapeId="0">
      <text>
        <r>
          <rPr>
            <b/>
            <sz val="9"/>
            <color indexed="81"/>
            <rFont val="Tahoma"/>
            <family val="2"/>
          </rPr>
          <t>Theresa Reed:
171.94x3 = 515.82 for current loan.
$567.63 per additional bus if financed on same terms as before</t>
        </r>
      </text>
    </comment>
    <comment ref="F137" authorId="1" shapeId="0">
      <text>
        <r>
          <rPr>
            <b/>
            <sz val="9"/>
            <color indexed="81"/>
            <rFont val="Tahoma"/>
            <family val="2"/>
          </rPr>
          <t>Theresa Reed:</t>
        </r>
        <r>
          <rPr>
            <sz val="9"/>
            <color indexed="81"/>
            <rFont val="Tahoma"/>
            <family val="2"/>
          </rPr>
          <t xml:space="preserve">
Based on last years</t>
        </r>
      </text>
    </comment>
    <comment ref="D138" authorId="1" shapeId="0">
      <text>
        <r>
          <rPr>
            <b/>
            <sz val="9"/>
            <color indexed="81"/>
            <rFont val="Tahoma"/>
            <family val="2"/>
          </rPr>
          <t>Theresa Reed:</t>
        </r>
        <r>
          <rPr>
            <sz val="9"/>
            <color indexed="81"/>
            <rFont val="Tahoma"/>
            <family val="2"/>
          </rPr>
          <t xml:space="preserve">
based on last year
</t>
        </r>
      </text>
    </comment>
    <comment ref="F138" authorId="1" shapeId="0">
      <text>
        <r>
          <rPr>
            <b/>
            <sz val="9"/>
            <color indexed="81"/>
            <rFont val="Tahoma"/>
            <family val="2"/>
          </rPr>
          <t>Theresa Reed:</t>
        </r>
        <r>
          <rPr>
            <sz val="9"/>
            <color indexed="81"/>
            <rFont val="Tahoma"/>
            <family val="2"/>
          </rPr>
          <t xml:space="preserve">
Based on last years</t>
        </r>
      </text>
    </comment>
    <comment ref="F139" authorId="1" shapeId="0">
      <text>
        <r>
          <rPr>
            <b/>
            <sz val="9"/>
            <color indexed="81"/>
            <rFont val="Tahoma"/>
            <family val="2"/>
          </rPr>
          <t>Theresa Reed:</t>
        </r>
        <r>
          <rPr>
            <sz val="9"/>
            <color indexed="81"/>
            <rFont val="Tahoma"/>
            <family val="2"/>
          </rPr>
          <t xml:space="preserve">
Based on last years</t>
        </r>
      </text>
    </comment>
    <comment ref="D160" authorId="0" shapeId="0">
      <text>
        <r>
          <rPr>
            <b/>
            <sz val="9"/>
            <color indexed="81"/>
            <rFont val="Tahoma"/>
            <family val="2"/>
          </rPr>
          <t>Christine:</t>
        </r>
        <r>
          <rPr>
            <sz val="9"/>
            <color indexed="81"/>
            <rFont val="Tahoma"/>
            <family val="2"/>
          </rPr>
          <t xml:space="preserve">
Spirit shirts</t>
        </r>
      </text>
    </comment>
    <comment ref="E160" authorId="0" shapeId="0">
      <text>
        <r>
          <rPr>
            <b/>
            <sz val="9"/>
            <color indexed="81"/>
            <rFont val="Tahoma"/>
            <family val="2"/>
          </rPr>
          <t>Christine:</t>
        </r>
        <r>
          <rPr>
            <sz val="9"/>
            <color indexed="81"/>
            <rFont val="Tahoma"/>
            <family val="2"/>
          </rPr>
          <t xml:space="preserve">
Staff shirts, spirit shirts, hats</t>
        </r>
      </text>
    </comment>
    <comment ref="D171" authorId="0" shapeId="0">
      <text>
        <r>
          <rPr>
            <b/>
            <sz val="9"/>
            <color indexed="81"/>
            <rFont val="Tahoma"/>
            <family val="2"/>
          </rPr>
          <t>Christine:</t>
        </r>
        <r>
          <rPr>
            <sz val="9"/>
            <color indexed="81"/>
            <rFont val="Tahoma"/>
            <family val="2"/>
          </rPr>
          <t xml:space="preserve">
Marriott, Pcard</t>
        </r>
      </text>
    </comment>
    <comment ref="E171" authorId="0" shapeId="0">
      <text>
        <r>
          <rPr>
            <b/>
            <sz val="9"/>
            <color indexed="81"/>
            <rFont val="Tahoma"/>
            <family val="2"/>
          </rPr>
          <t>Christine:</t>
        </r>
        <r>
          <rPr>
            <sz val="9"/>
            <color indexed="81"/>
            <rFont val="Tahoma"/>
            <family val="2"/>
          </rPr>
          <t xml:space="preserve">
Forum, Coach PD, Aimee &amp; Roxanne Charlotte, 5gr team</t>
        </r>
      </text>
    </comment>
    <comment ref="L181" authorId="0" shapeId="0">
      <text>
        <r>
          <rPr>
            <b/>
            <sz val="9"/>
            <color indexed="81"/>
            <rFont val="Tahoma"/>
            <family val="2"/>
          </rPr>
          <t xml:space="preserve">Christine:
</t>
        </r>
        <r>
          <rPr>
            <sz val="9"/>
            <color indexed="81"/>
            <rFont val="Tahoma"/>
            <family val="2"/>
          </rPr>
          <t xml:space="preserve">Iconic Cleaners &amp; Day porter, Cintas </t>
        </r>
      </text>
    </comment>
    <comment ref="D184" authorId="1" shapeId="0">
      <text>
        <r>
          <rPr>
            <b/>
            <sz val="9"/>
            <color indexed="81"/>
            <rFont val="Tahoma"/>
            <family val="2"/>
          </rPr>
          <t>Theresa Reed:</t>
        </r>
        <r>
          <rPr>
            <sz val="9"/>
            <color indexed="81"/>
            <rFont val="Tahoma"/>
            <family val="2"/>
          </rPr>
          <t xml:space="preserve">
annual fees divided by 12,
$5298
$995
$200
$920
$10000 6 $1500-$2K repairs- </t>
        </r>
      </text>
    </comment>
    <comment ref="D195" authorId="0" shapeId="0">
      <text>
        <r>
          <rPr>
            <b/>
            <sz val="9"/>
            <color indexed="81"/>
            <rFont val="Tahoma"/>
            <family val="2"/>
          </rPr>
          <t>Christine:</t>
        </r>
        <r>
          <rPr>
            <sz val="9"/>
            <color indexed="81"/>
            <rFont val="Tahoma"/>
            <family val="2"/>
          </rPr>
          <t xml:space="preserve">
Based on Jun 2019 Fin Analysis
</t>
        </r>
      </text>
    </comment>
    <comment ref="Q195" authorId="0" shapeId="0">
      <text>
        <r>
          <rPr>
            <b/>
            <sz val="9"/>
            <color indexed="81"/>
            <rFont val="Tahoma"/>
            <family val="2"/>
          </rPr>
          <t>Christine:</t>
        </r>
        <r>
          <rPr>
            <sz val="9"/>
            <color indexed="81"/>
            <rFont val="Tahoma"/>
            <family val="2"/>
          </rPr>
          <t xml:space="preserve">
Based on Jun 2019 Fin Analysis
</t>
        </r>
      </text>
    </comment>
    <comment ref="R195" authorId="0" shapeId="0">
      <text>
        <r>
          <rPr>
            <b/>
            <sz val="9"/>
            <color indexed="81"/>
            <rFont val="Tahoma"/>
            <family val="2"/>
          </rPr>
          <t>Christine:</t>
        </r>
        <r>
          <rPr>
            <sz val="9"/>
            <color indexed="81"/>
            <rFont val="Tahoma"/>
            <family val="2"/>
          </rPr>
          <t xml:space="preserve">
Based on Jun 2019 Fin Analysis
</t>
        </r>
      </text>
    </comment>
    <comment ref="S195" authorId="0" shapeId="0">
      <text>
        <r>
          <rPr>
            <b/>
            <sz val="9"/>
            <color indexed="81"/>
            <rFont val="Tahoma"/>
            <family val="2"/>
          </rPr>
          <t>Christine:</t>
        </r>
        <r>
          <rPr>
            <sz val="9"/>
            <color indexed="81"/>
            <rFont val="Tahoma"/>
            <family val="2"/>
          </rPr>
          <t xml:space="preserve">
Based on Jun 2019 Fin Analysis
</t>
        </r>
      </text>
    </comment>
    <comment ref="D198" authorId="1" shapeId="0">
      <text>
        <r>
          <rPr>
            <b/>
            <sz val="9"/>
            <color indexed="81"/>
            <rFont val="Tahoma"/>
            <family val="2"/>
          </rPr>
          <t>Theresa Reed:</t>
        </r>
        <r>
          <rPr>
            <sz val="9"/>
            <color indexed="81"/>
            <rFont val="Tahoma"/>
            <family val="2"/>
          </rPr>
          <t xml:space="preserve">
Bleachers in the gym</t>
        </r>
      </text>
    </comment>
    <comment ref="E198" authorId="0" shapeId="0">
      <text>
        <r>
          <rPr>
            <b/>
            <sz val="9"/>
            <color indexed="81"/>
            <rFont val="Tahoma"/>
            <family val="2"/>
          </rPr>
          <t>Christine:</t>
        </r>
        <r>
          <rPr>
            <sz val="9"/>
            <color indexed="81"/>
            <rFont val="Tahoma"/>
            <family val="2"/>
          </rPr>
          <t xml:space="preserve">
Final payment on front office counter, final pmt on café sound proofing, classroom furniture, portable bleachers, picnic tables, benches
</t>
        </r>
      </text>
    </comment>
    <comment ref="F198" authorId="0" shapeId="0">
      <text>
        <r>
          <rPr>
            <b/>
            <sz val="9"/>
            <color indexed="81"/>
            <rFont val="Tahoma"/>
            <family val="2"/>
          </rPr>
          <t>Christine:</t>
        </r>
        <r>
          <rPr>
            <sz val="9"/>
            <color indexed="81"/>
            <rFont val="Tahoma"/>
            <family val="2"/>
          </rPr>
          <t xml:space="preserve">
50% down on glass partitian at the front desk</t>
        </r>
      </text>
    </comment>
    <comment ref="K198" authorId="0" shapeId="0">
      <text>
        <r>
          <rPr>
            <b/>
            <sz val="9"/>
            <color indexed="81"/>
            <rFont val="Tahoma"/>
            <family val="2"/>
          </rPr>
          <t>Christine:</t>
        </r>
        <r>
          <rPr>
            <sz val="9"/>
            <color indexed="81"/>
            <rFont val="Tahoma"/>
            <family val="2"/>
          </rPr>
          <t xml:space="preserve">
IT wiring of the new building</t>
        </r>
      </text>
    </comment>
  </commentList>
</comments>
</file>

<file path=xl/sharedStrings.xml><?xml version="1.0" encoding="utf-8"?>
<sst xmlns="http://schemas.openxmlformats.org/spreadsheetml/2006/main" count="3574" uniqueCount="1591">
  <si>
    <t xml:space="preserve">School District: </t>
  </si>
  <si>
    <t>Program</t>
  </si>
  <si>
    <t>FTE</t>
  </si>
  <si>
    <t>(a)</t>
  </si>
  <si>
    <t>(b)</t>
  </si>
  <si>
    <t>(c)</t>
  </si>
  <si>
    <t>(d)</t>
  </si>
  <si>
    <t>(e)</t>
  </si>
  <si>
    <t>Totals</t>
  </si>
  <si>
    <t>in (d) above:</t>
  </si>
  <si>
    <t>by district's WFTE:</t>
  </si>
  <si>
    <t>in (b) above:</t>
  </si>
  <si>
    <t>by district's UFTE:</t>
  </si>
  <si>
    <t>x</t>
  </si>
  <si>
    <t>NOTES:</t>
  </si>
  <si>
    <t>Charter School Worksheet DATA</t>
  </si>
  <si>
    <t>Total</t>
  </si>
  <si>
    <t>District</t>
  </si>
  <si>
    <t>Alachua</t>
  </si>
  <si>
    <t>Baker</t>
  </si>
  <si>
    <t>Bay</t>
  </si>
  <si>
    <t>Bradford</t>
  </si>
  <si>
    <t>Brevard</t>
  </si>
  <si>
    <t>Broward</t>
  </si>
  <si>
    <t>Calhoun</t>
  </si>
  <si>
    <t>Charlotte</t>
  </si>
  <si>
    <t>Citrus</t>
  </si>
  <si>
    <t>Clay</t>
  </si>
  <si>
    <t>Collier</t>
  </si>
  <si>
    <t>Columbia</t>
  </si>
  <si>
    <t>De 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</si>
  <si>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</si>
  <si>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</si>
  <si>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</si>
  <si>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</si>
  <si>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</si>
  <si>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</si>
  <si>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</si>
  <si>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</si>
  <si>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</si>
  <si>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</si>
  <si>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</si>
  <si>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</si>
  <si>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</si>
  <si>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</si>
  <si>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</si>
  <si>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</si>
  <si>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</si>
  <si>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</si>
  <si>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</si>
  <si>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</si>
  <si>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</si>
  <si>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</si>
  <si>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</si>
  <si>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</si>
  <si>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</si>
  <si>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</si>
  <si>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</si>
  <si>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</si>
  <si>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</si>
  <si>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Monroe</t>
  </si>
  <si>
    <t>Nassau</t>
  </si>
  <si>
    <t>Okaloosa</t>
  </si>
  <si>
    <t>Okeechobee</t>
  </si>
  <si>
    <t>Orange</t>
  </si>
  <si>
    <t>Osceola</t>
  </si>
  <si>
    <t>Palm Beach</t>
  </si>
  <si>
    <t>Pasco</t>
  </si>
  <si>
    <t>Pinellas</t>
  </si>
  <si>
    <t>Polk</t>
  </si>
  <si>
    <t>Putnam</t>
  </si>
  <si>
    <t>St. Johns</t>
  </si>
  <si>
    <t>St. Lucie</t>
  </si>
  <si>
    <t>Santa Rosa</t>
  </si>
  <si>
    <t>Sarasota</t>
  </si>
  <si>
    <t>Seminole</t>
  </si>
  <si>
    <t>Sumter</t>
  </si>
  <si>
    <t>Suwannee</t>
  </si>
  <si>
    <t>Taylor</t>
  </si>
  <si>
    <t>Union</t>
  </si>
  <si>
    <t>Volusia</t>
  </si>
  <si>
    <t>Wakulla</t>
  </si>
  <si>
    <t>Walton</t>
  </si>
  <si>
    <t>Washington</t>
  </si>
  <si>
    <t>Washington Special</t>
  </si>
  <si>
    <t>FAMU Lab School</t>
  </si>
  <si>
    <t>FAU Lab School</t>
  </si>
  <si>
    <t>UF Lab School</t>
  </si>
  <si>
    <t>Base Student Allocation</t>
  </si>
  <si>
    <t xml:space="preserve">District SAI Allocation </t>
  </si>
  <si>
    <t xml:space="preserve">District Cost Differential: </t>
  </si>
  <si>
    <t xml:space="preserve">divided by district FTE </t>
  </si>
  <si>
    <t>Applicable to all Charter Schools:</t>
  </si>
  <si>
    <t>Declining Enrollment</t>
  </si>
  <si>
    <t>Sparsity Supplement</t>
  </si>
  <si>
    <t>Program Related Requirements:</t>
  </si>
  <si>
    <t>Safe Schools</t>
  </si>
  <si>
    <t>Revenues flow to districts from state sources and from county tax collectors on various distribution schedules.</t>
  </si>
  <si>
    <t>=</t>
  </si>
  <si>
    <t>Per Student</t>
  </si>
  <si>
    <t>(with eligible services)</t>
  </si>
  <si>
    <t>4-8</t>
  </si>
  <si>
    <t>9-12</t>
  </si>
  <si>
    <t>Miami-Dade</t>
  </si>
  <si>
    <t>Total from ESE Guarantee</t>
  </si>
  <si>
    <t>Total FTE with ESE Services</t>
  </si>
  <si>
    <t>(Insert district number in cell A1, enter, then strike F9. Your district data then pulls from Calculation Detail Sheets)</t>
  </si>
  <si>
    <t>Total Class Size Reduction Funds</t>
  </si>
  <si>
    <t>Virtual School</t>
  </si>
  <si>
    <t>(*Total FTE should equal total in Section 1, column (d).)</t>
  </si>
  <si>
    <t xml:space="preserve">to obtain school's UFTE share.  </t>
  </si>
  <si>
    <t xml:space="preserve">to obtain school's WFTE share. </t>
  </si>
  <si>
    <t>(g)</t>
  </si>
  <si>
    <t>FSU Lab - Broward</t>
  </si>
  <si>
    <t>FSU Lab - Leon</t>
  </si>
  <si>
    <t>PK-3</t>
  </si>
  <si>
    <t>Total Base Funding, ESE Guarantee, and SAI</t>
  </si>
  <si>
    <t>Minimum Guarantee</t>
  </si>
  <si>
    <t>Lab School Discretionary</t>
  </si>
  <si>
    <t>PK - 3</t>
  </si>
  <si>
    <t>Charter Schools should contact their school district sponsor regarding eligibility and distribution of reading allocation funds.</t>
  </si>
  <si>
    <t>Program 111- Grades K-3</t>
  </si>
  <si>
    <t>Program 112- Grades 4-8</t>
  </si>
  <si>
    <t>Program 113- Grades 9-12</t>
  </si>
  <si>
    <t>Districts</t>
  </si>
  <si>
    <t>DeSoto</t>
  </si>
  <si>
    <t>FSU Lab-Leon</t>
  </si>
  <si>
    <t>k-3</t>
  </si>
  <si>
    <t>FAU St. Lucie</t>
  </si>
  <si>
    <t>FSU Lab-Broward</t>
  </si>
  <si>
    <t>Fl Virtual School</t>
  </si>
  <si>
    <t>.748 mills (UFTE share)</t>
  </si>
  <si>
    <r>
      <t>Dual Enrollment Instructional Materials Allocation (See footnote i</t>
    </r>
    <r>
      <rPr>
        <b/>
        <i/>
        <sz val="12"/>
        <rFont val="Times New Roman"/>
        <family val="1"/>
      </rPr>
      <t xml:space="preserve"> </t>
    </r>
    <r>
      <rPr>
        <b/>
        <sz val="12"/>
        <rFont val="Times New Roman"/>
        <family val="1"/>
      </rPr>
      <t xml:space="preserve">below) </t>
    </r>
  </si>
  <si>
    <t>Number of FTE</t>
  </si>
  <si>
    <t>Weighted FTE           (b) x (c)</t>
  </si>
  <si>
    <t xml:space="preserve">6B.  Divide school's Unweighted FTE (UFTE) total computed </t>
  </si>
  <si>
    <t xml:space="preserve">6A.  Divide school's Weighted FTE (WFTE) total computed </t>
  </si>
  <si>
    <t>2.  ESE Guaranteed Allocation:</t>
  </si>
  <si>
    <t>3.  Supplemental Academic Instruction:</t>
  </si>
  <si>
    <t xml:space="preserve">4.  Reading Allocation: </t>
  </si>
  <si>
    <t>5.  Class size Reduction Funds:</t>
  </si>
  <si>
    <t>7.  Other FEFP (WFTE share)</t>
  </si>
  <si>
    <t>8.  Discretionary Local Effort (WFTE share)</t>
  </si>
  <si>
    <t>9.  Discretionary Millage Compression Allocation</t>
  </si>
  <si>
    <t>Grade Level</t>
  </si>
  <si>
    <t>Matrix Level</t>
  </si>
  <si>
    <t>Guarantee Per Student</t>
  </si>
  <si>
    <t>Weighted FTE (From Section 1)</t>
  </si>
  <si>
    <r>
      <t xml:space="preserve">Total </t>
    </r>
    <r>
      <rPr>
        <b/>
        <sz val="12"/>
        <color indexed="30"/>
        <rFont val="Times New Roman"/>
        <family val="1"/>
      </rPr>
      <t>*</t>
    </r>
  </si>
  <si>
    <r>
      <rPr>
        <b/>
        <sz val="12"/>
        <rFont val="Times New Roman"/>
        <family val="1"/>
      </rPr>
      <t xml:space="preserve">X             </t>
    </r>
    <r>
      <rPr>
        <b/>
        <u/>
        <sz val="12"/>
        <rFont val="Times New Roman"/>
        <family val="1"/>
      </rPr>
      <t>DCD</t>
    </r>
    <r>
      <rPr>
        <b/>
        <sz val="12"/>
        <rFont val="Times New Roman"/>
        <family val="1"/>
      </rPr>
      <t xml:space="preserve">            X</t>
    </r>
  </si>
  <si>
    <t>Program                              Cost Factor</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</si>
  <si>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</si>
  <si>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</si>
  <si>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</si>
  <si>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</si>
  <si>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</si>
  <si>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</si>
  <si>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</si>
  <si>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r>
      <t xml:space="preserve">254 ESE Level 4 </t>
    </r>
    <r>
      <rPr>
        <b/>
        <i/>
        <sz val="12"/>
        <rFont val="Times New Roman"/>
        <family val="1"/>
      </rPr>
      <t>(Grade Level PK-3</t>
    </r>
    <r>
      <rPr>
        <b/>
        <sz val="12"/>
        <rFont val="Times New Roman"/>
        <family val="1"/>
      </rPr>
      <t>)</t>
    </r>
  </si>
  <si>
    <r>
      <t xml:space="preserve">254 ESE Level 4 </t>
    </r>
    <r>
      <rPr>
        <b/>
        <i/>
        <sz val="12"/>
        <rFont val="Times New Roman"/>
        <family val="1"/>
      </rPr>
      <t>(Grade Level 4-8)</t>
    </r>
  </si>
  <si>
    <r>
      <t>254 ESE Level 4</t>
    </r>
    <r>
      <rPr>
        <b/>
        <i/>
        <sz val="12"/>
        <rFont val="Times New Roman"/>
        <family val="1"/>
      </rPr>
      <t xml:space="preserve"> (Grade Level 9-12)</t>
    </r>
  </si>
  <si>
    <r>
      <t xml:space="preserve">255 ESE Level 5 </t>
    </r>
    <r>
      <rPr>
        <b/>
        <i/>
        <sz val="12"/>
        <rFont val="Times New Roman"/>
        <family val="1"/>
      </rPr>
      <t>(Grade Level PK-3</t>
    </r>
    <r>
      <rPr>
        <b/>
        <sz val="12"/>
        <rFont val="Times New Roman"/>
        <family val="1"/>
      </rPr>
      <t>)</t>
    </r>
  </si>
  <si>
    <r>
      <t xml:space="preserve">255 ESE Level 5 </t>
    </r>
    <r>
      <rPr>
        <b/>
        <i/>
        <sz val="12"/>
        <rFont val="Times New Roman"/>
        <family val="1"/>
      </rPr>
      <t>(Grade Level 4-8)</t>
    </r>
  </si>
  <si>
    <r>
      <t>255 ESE Level 5</t>
    </r>
    <r>
      <rPr>
        <b/>
        <i/>
        <sz val="12"/>
        <rFont val="Times New Roman"/>
        <family val="1"/>
      </rPr>
      <t xml:space="preserve"> (Grade Level 9-12)</t>
    </r>
  </si>
  <si>
    <r>
      <t xml:space="preserve">130 ESOL </t>
    </r>
    <r>
      <rPr>
        <b/>
        <i/>
        <sz val="12"/>
        <rFont val="Times New Roman"/>
        <family val="1"/>
      </rPr>
      <t>(Grade Level PK-3)</t>
    </r>
  </si>
  <si>
    <r>
      <t xml:space="preserve">130 ESOL </t>
    </r>
    <r>
      <rPr>
        <b/>
        <i/>
        <sz val="12"/>
        <rFont val="Times New Roman"/>
        <family val="1"/>
      </rPr>
      <t>(Grade Level 4-8)</t>
    </r>
  </si>
  <si>
    <r>
      <t xml:space="preserve">130 ESOL </t>
    </r>
    <r>
      <rPr>
        <b/>
        <i/>
        <sz val="12"/>
        <rFont val="Times New Roman"/>
        <family val="1"/>
      </rPr>
      <t>(Grade Level 9-12)</t>
    </r>
  </si>
  <si>
    <r>
      <t xml:space="preserve">300 Career Education </t>
    </r>
    <r>
      <rPr>
        <b/>
        <i/>
        <sz val="12"/>
        <rFont val="Times New Roman"/>
        <family val="1"/>
      </rPr>
      <t>(Grades 9-12)</t>
    </r>
  </si>
  <si>
    <t>FEFP and categorical funding are recalculated during the year to reflect the revised number of full-time equivalent students reported during the survey periods designated by the Commissioner of Education.</t>
  </si>
  <si>
    <t xml:space="preserve">2000-01 District Cost Differential
</t>
  </si>
  <si>
    <t xml:space="preserve">ESE LEVEL 1
</t>
  </si>
  <si>
    <t xml:space="preserve">ESE LEVEL 2
</t>
  </si>
  <si>
    <t>ESE LEVEL 3</t>
  </si>
  <si>
    <t>ESE LEVEL 1</t>
  </si>
  <si>
    <t>ESE LEVEL 2</t>
  </si>
  <si>
    <t xml:space="preserve">Class Size Allocation Factors </t>
  </si>
  <si>
    <t>District Cost Differential</t>
  </si>
  <si>
    <t>Weighted FTE Funded</t>
  </si>
  <si>
    <t>Declining Enrollment Supplement</t>
  </si>
  <si>
    <t>Discretionary Tax Compression 0.748 mills</t>
  </si>
  <si>
    <t>Safe Schools Allocation</t>
  </si>
  <si>
    <t>Supplemental Academic Instruction</t>
  </si>
  <si>
    <t>Minimum Guarantee Adjustment</t>
  </si>
  <si>
    <t>ESE Guaranteed Allocation Dollars</t>
  </si>
  <si>
    <t>Proration to the Appropriation</t>
  </si>
  <si>
    <t>Proratioin to Veto</t>
  </si>
  <si>
    <t>Total Proration to Funds Available</t>
  </si>
  <si>
    <t>Discretionary (Lottery) District Discretionary Funds</t>
  </si>
  <si>
    <t>Total Instructional Materials Allocation</t>
  </si>
  <si>
    <t>Dual Enrollment Allocation</t>
  </si>
  <si>
    <t>ESE Funding Based on the 2001-02 Matrix Levels</t>
  </si>
  <si>
    <t>ESE Student Riders</t>
  </si>
  <si>
    <t>FLORIDA DEPARTMENT OF EDUCATION</t>
  </si>
  <si>
    <t>Funding Per Student</t>
  </si>
  <si>
    <t>Base Funding</t>
  </si>
  <si>
    <t>ESE Funding</t>
  </si>
  <si>
    <t>Adjusted</t>
  </si>
  <si>
    <t xml:space="preserve">Allocation </t>
  </si>
  <si>
    <t>Base</t>
  </si>
  <si>
    <t>per Base</t>
  </si>
  <si>
    <t>ESE</t>
  </si>
  <si>
    <t>per ESE</t>
  </si>
  <si>
    <t>Students</t>
  </si>
  <si>
    <t>Allocation</t>
  </si>
  <si>
    <t>Student</t>
  </si>
  <si>
    <t>-1-</t>
  </si>
  <si>
    <t>-2-</t>
  </si>
  <si>
    <t>-3-</t>
  </si>
  <si>
    <t xml:space="preserve">-4- </t>
  </si>
  <si>
    <t>-5-</t>
  </si>
  <si>
    <t>-6-</t>
  </si>
  <si>
    <t>-7-</t>
  </si>
  <si>
    <t>State</t>
  </si>
  <si>
    <t>All Riders</t>
  </si>
  <si>
    <t>Enter</t>
  </si>
  <si>
    <t xml:space="preserve"> x</t>
  </si>
  <si>
    <t>10.  Proration to Funds Available (WFTE share)</t>
  </si>
  <si>
    <t>11.  Discretionary Lottery (WFTE share)</t>
  </si>
  <si>
    <t>12.  Instructional Materials Allocation (UFTE share)</t>
  </si>
  <si>
    <t>13.  Student Transportation</t>
  </si>
  <si>
    <t>Allocation factors</t>
  </si>
  <si>
    <t xml:space="preserve">Prorated Class Size Allocation Factors </t>
  </si>
  <si>
    <t>Proration Reduction</t>
  </si>
  <si>
    <t>State Funded Discretionary Contribution</t>
  </si>
  <si>
    <t>Total Disc.</t>
  </si>
  <si>
    <t>0.748 Basic Discretionary Revenue</t>
  </si>
  <si>
    <t xml:space="preserve">This tab of the worksheet is Set up to show estimated funding based on Unweighted FTE for charter schools with ESE populations of more that 75% so that </t>
  </si>
  <si>
    <t>the proper administrative fee can be estimated. It should not be necessary to enter data on this page.</t>
  </si>
  <si>
    <t>(h)</t>
  </si>
  <si>
    <t>Total Funding for Calculating the Administrative fee of Charters with More Than 75% ESE Students.</t>
  </si>
  <si>
    <t>Unweighted FTE</t>
  </si>
  <si>
    <t>ESE Applications</t>
  </si>
  <si>
    <t>Instructional Materials Allocation (Less dual enrollment and ESE Apps)</t>
  </si>
  <si>
    <t>Based on the 2014-15 Conference Report</t>
  </si>
  <si>
    <t>2014-15 Transportation Calculation</t>
  </si>
  <si>
    <t>14. Digitial Classrooms Allocation (UFTE share)</t>
  </si>
  <si>
    <t>Digital Classrooms Allocation</t>
  </si>
  <si>
    <t>15.  Florida Teachers Classroom Supply Assistance Program</t>
  </si>
  <si>
    <t>16.  Food Service Allocation</t>
  </si>
  <si>
    <t>(f)</t>
  </si>
  <si>
    <t>1.  2014-15 FEFP State and Local Funding</t>
  </si>
  <si>
    <t>2014-15 Base Funding WFTE x BSA x DCD</t>
  </si>
  <si>
    <t>Total Funding</t>
  </si>
  <si>
    <t>Assumptions:</t>
  </si>
  <si>
    <t>Contingency as a % of Gross Revenues</t>
  </si>
  <si>
    <t>Maintenance Resv as a % of Gross Revenues</t>
  </si>
  <si>
    <t>Capital Outlay Funding:</t>
  </si>
  <si>
    <t>Constant</t>
  </si>
  <si>
    <t>#Kids</t>
  </si>
  <si>
    <t>Capital Outlay Constant (State) - Elem</t>
  </si>
  <si>
    <t>Capital Outlay Constant (State) - Middle</t>
  </si>
  <si>
    <t>&lt;-- enter # middle school kids here (this is necessary because enrollment assumptions do not split K-5 v 6-8)</t>
  </si>
  <si>
    <t>Capital Outlay Constant (State) - High School</t>
  </si>
  <si>
    <t>Weighted Average Capital Outlay Constant</t>
  </si>
  <si>
    <t>Projected Reduction of Capital</t>
  </si>
  <si>
    <t>Indirect Costs Allocation: (Per Operating Agreement)</t>
  </si>
  <si>
    <t>FTE Revenues</t>
  </si>
  <si>
    <t>Total Indirect Costs</t>
  </si>
  <si>
    <t>Monthly Budget</t>
  </si>
  <si>
    <t>Diff:</t>
  </si>
  <si>
    <t>Master Salary List:</t>
  </si>
  <si>
    <t>Wages for Substitute Teachers</t>
  </si>
  <si>
    <t># Substitute Days</t>
  </si>
  <si>
    <t>Daily Rate</t>
  </si>
  <si>
    <t>BENEFITS</t>
  </si>
  <si>
    <t>FICA (Soc Sec + Medicare)</t>
  </si>
  <si>
    <t>FUTA/SUTA</t>
  </si>
  <si>
    <t>401K</t>
  </si>
  <si>
    <t>Insurance (Aetna + Dental)</t>
  </si>
  <si>
    <t>Life Insurance (LTD,STD,AD&amp;D)</t>
  </si>
  <si>
    <t>Enrollment Assumptions:</t>
  </si>
  <si>
    <t xml:space="preserve">100% Enrollment </t>
  </si>
  <si>
    <t xml:space="preserve">Budgeted Enrollment </t>
  </si>
  <si>
    <t>% of Targeted Enrollment</t>
  </si>
  <si>
    <t>K</t>
  </si>
  <si>
    <t>1st</t>
  </si>
  <si>
    <t>2nd</t>
  </si>
  <si>
    <t>3rd</t>
  </si>
  <si>
    <t>4th</t>
  </si>
  <si>
    <t>5th</t>
  </si>
  <si>
    <t>6th</t>
  </si>
  <si>
    <t>7th</t>
  </si>
  <si>
    <t>8th</t>
  </si>
  <si>
    <t>9th</t>
  </si>
  <si>
    <t>10th</t>
  </si>
  <si>
    <t>11th</t>
  </si>
  <si>
    <t>12th</t>
  </si>
  <si>
    <t>Local Referendum Constant</t>
  </si>
  <si>
    <t>Local Capital Outlay Constant</t>
  </si>
  <si>
    <t>Contracts</t>
  </si>
  <si>
    <t>Company</t>
  </si>
  <si>
    <t>Start Date</t>
  </si>
  <si>
    <t>End Date</t>
  </si>
  <si>
    <t>Amount</t>
  </si>
  <si>
    <t>Notes:</t>
  </si>
  <si>
    <t>% of Rev</t>
  </si>
  <si>
    <t xml:space="preserve"> </t>
  </si>
  <si>
    <t>Federal, State &amp; Local Revenue</t>
  </si>
  <si>
    <t>FEFP</t>
  </si>
  <si>
    <t>Charter Capital Outlay</t>
  </si>
  <si>
    <t>Misc State Revenue</t>
  </si>
  <si>
    <t>Subtotal</t>
  </si>
  <si>
    <t>Supplemental Fee Revenue</t>
  </si>
  <si>
    <t>Other Local Revenues</t>
  </si>
  <si>
    <t>Contributions from Imagine</t>
  </si>
  <si>
    <t>Total Revenues</t>
  </si>
  <si>
    <t>Salaries &amp; Benefits</t>
  </si>
  <si>
    <t>Facility Expenses (Rent)</t>
  </si>
  <si>
    <t>Direct Educational Expenses</t>
  </si>
  <si>
    <t>Direct Ed K-12</t>
  </si>
  <si>
    <t>Food  Service</t>
  </si>
  <si>
    <t>Other Supplies/Expenses</t>
  </si>
  <si>
    <t>Equipment Use Fee (FF&amp;E)</t>
  </si>
  <si>
    <t xml:space="preserve">Facility Operating Expenses </t>
  </si>
  <si>
    <t>Faculty Development</t>
  </si>
  <si>
    <t xml:space="preserve">Marketing </t>
  </si>
  <si>
    <t>General &amp; Administrative</t>
  </si>
  <si>
    <t>Interest Expense</t>
  </si>
  <si>
    <t>Depreciation Expense</t>
  </si>
  <si>
    <t>Insurance</t>
  </si>
  <si>
    <t>Board Expenses</t>
  </si>
  <si>
    <t>Other G&amp;A</t>
  </si>
  <si>
    <t xml:space="preserve">Other School Services </t>
  </si>
  <si>
    <t>Travel</t>
  </si>
  <si>
    <t>Field Trips</t>
  </si>
  <si>
    <t>Transportation</t>
  </si>
  <si>
    <t>PT/OT/Speech</t>
  </si>
  <si>
    <t>Other Contracted Services</t>
  </si>
  <si>
    <t>Total Direct Costs</t>
  </si>
  <si>
    <t>Imagine Schools Costs</t>
  </si>
  <si>
    <t>Indirect Costs</t>
  </si>
  <si>
    <t>Contingency</t>
  </si>
  <si>
    <t>Total Expenses</t>
  </si>
  <si>
    <t>June Reversing Accrual</t>
  </si>
  <si>
    <t>Jul</t>
  </si>
  <si>
    <t>Sep</t>
  </si>
  <si>
    <t>Oct</t>
  </si>
  <si>
    <t>Nov</t>
  </si>
  <si>
    <t>Dec</t>
  </si>
  <si>
    <t>Jan</t>
  </si>
  <si>
    <t>Feb</t>
  </si>
  <si>
    <t>Mar</t>
  </si>
  <si>
    <t>Apr</t>
  </si>
  <si>
    <t>May</t>
  </si>
  <si>
    <t>Jun</t>
  </si>
  <si>
    <t>Payroll Accrual</t>
  </si>
  <si>
    <t>Variance</t>
  </si>
  <si>
    <t>REVENUES</t>
  </si>
  <si>
    <t>Fed, State &amp; Local Revenue</t>
  </si>
  <si>
    <t>FEFP - FTE Generated Funds</t>
  </si>
  <si>
    <t>FEFP - FL Teacher Lead Program</t>
  </si>
  <si>
    <t>Charter Capital Outlay Funding (not local)</t>
  </si>
  <si>
    <t>Local Referendum</t>
  </si>
  <si>
    <t>Sub-total Fed, State &amp; Local Revenue</t>
  </si>
  <si>
    <t>Local-Rental of Facilities Fees</t>
  </si>
  <si>
    <t>Before &amp; After Care Fees</t>
  </si>
  <si>
    <t>Local-Summer Program Fees</t>
  </si>
  <si>
    <t>Sports Program Fees</t>
  </si>
  <si>
    <t>Sub-total Supplemental Fee Revenue</t>
  </si>
  <si>
    <t>TOTAL REVENUES</t>
  </si>
  <si>
    <t>EXPENSES</t>
  </si>
  <si>
    <t xml:space="preserve"> Salaries &amp; Benefits</t>
  </si>
  <si>
    <t>School Salaries Teacher Specials</t>
  </si>
  <si>
    <t>School Salaries Teacher ESOL</t>
  </si>
  <si>
    <t>School Salaries Teacher ESE</t>
  </si>
  <si>
    <t>VPK</t>
  </si>
  <si>
    <t>Preschool</t>
  </si>
  <si>
    <t>School Salaries Teacher Preschool</t>
  </si>
  <si>
    <t>Instructional Speech</t>
  </si>
  <si>
    <t>School Salaries Teacher Speech</t>
  </si>
  <si>
    <t>School Salaries Guidance Certified</t>
  </si>
  <si>
    <t>Health</t>
  </si>
  <si>
    <t>School Salaries Health Support Staff</t>
  </si>
  <si>
    <t>Instructional Support/Curriculum Dev</t>
  </si>
  <si>
    <t>School Salaries Principal Office Admin Mgmt</t>
  </si>
  <si>
    <t>Food Services</t>
  </si>
  <si>
    <t>Plant Operations</t>
  </si>
  <si>
    <t>Plant Maintenance</t>
  </si>
  <si>
    <t>Sub-total Salaries &amp; Benefits</t>
  </si>
  <si>
    <t>Rentals (Building Lease Payment)</t>
  </si>
  <si>
    <t>Common Area Maintenance on Rent</t>
  </si>
  <si>
    <t>Sub-total Facility Expenses (Rent)</t>
  </si>
  <si>
    <t>Kto6 - Classroom Supplies</t>
  </si>
  <si>
    <t>Kto6 - Textbooks</t>
  </si>
  <si>
    <t>Student Assessment Expenses</t>
  </si>
  <si>
    <t>Supplies - Summer</t>
  </si>
  <si>
    <t>PreK4 - Classroom Supplies</t>
  </si>
  <si>
    <t>PreK4 - Textbooks</t>
  </si>
  <si>
    <t>Health-.-Supplies</t>
  </si>
  <si>
    <t>Project CHILD Instructional Delivery Sys</t>
  </si>
  <si>
    <t>Instructional Computer Software</t>
  </si>
  <si>
    <t>Lib/Media-.-Supplies</t>
  </si>
  <si>
    <t>Instructional Support/Material</t>
  </si>
  <si>
    <t>Technology Expense</t>
  </si>
  <si>
    <t>Supplies - Direct Ed</t>
  </si>
  <si>
    <t>Bef/After-Supplies/Books</t>
  </si>
  <si>
    <t>Enrichment-.-Supplies</t>
  </si>
  <si>
    <t>Sub-total Direct Educational Expenses</t>
  </si>
  <si>
    <t>Equipment Use Fee</t>
  </si>
  <si>
    <t>Imagine Equipment Use Fee</t>
  </si>
  <si>
    <t>Sub-total Imagine Equipment Use Fee</t>
  </si>
  <si>
    <t>Facility Operating Expenses</t>
  </si>
  <si>
    <t>Electricity</t>
  </si>
  <si>
    <t>Telecommunications</t>
  </si>
  <si>
    <t>Internet Service</t>
  </si>
  <si>
    <t>Water &amp; Sewer</t>
  </si>
  <si>
    <t>Waste</t>
  </si>
  <si>
    <t>Maintenance Reserve</t>
  </si>
  <si>
    <t>Copier Maintenance Supplies</t>
  </si>
  <si>
    <t>Landscaping Expense</t>
  </si>
  <si>
    <t>Mech/Tech-Repairs &amp; Maint</t>
  </si>
  <si>
    <t>Sub-total Facility Operating Expenses</t>
  </si>
  <si>
    <t>Inst Staff Training - Prof &amp; Tech Contracted</t>
  </si>
  <si>
    <t>Sub-total Faculty Development</t>
  </si>
  <si>
    <t>Imagine Fees</t>
  </si>
  <si>
    <t>Imagine Indirect Costs</t>
  </si>
  <si>
    <t>Sub-total Imagine Fees</t>
  </si>
  <si>
    <t>Marketing &amp; Enrollment Expenses</t>
  </si>
  <si>
    <t>Marketing/Advertising Expense</t>
  </si>
  <si>
    <t>Staff Recruiting</t>
  </si>
  <si>
    <t>Sub-total Marketing &amp; Enrollment Exp</t>
  </si>
  <si>
    <t>Interest Expense - Bus Note</t>
  </si>
  <si>
    <t>Board of Directors Expenses</t>
  </si>
  <si>
    <t>Principal-.-Dues &amp; Fees</t>
  </si>
  <si>
    <t>Printing and Duplication</t>
  </si>
  <si>
    <t>Depreciation Expense - Instruction</t>
  </si>
  <si>
    <t>Depreciation Expense - G&amp;A</t>
  </si>
  <si>
    <t>Depreciation Expense - Food Service</t>
  </si>
  <si>
    <t>Depreciation Expense - Bus</t>
  </si>
  <si>
    <t>ESOL Operating Expenses</t>
  </si>
  <si>
    <t>Postage</t>
  </si>
  <si>
    <t>Office Supplies - Admin</t>
  </si>
  <si>
    <t>Miscellaneous Expenses</t>
  </si>
  <si>
    <t>Loss on Fixed Assets, Facilities</t>
  </si>
  <si>
    <t>Cent Support-.-Drug Testing</t>
  </si>
  <si>
    <t>Cent Support-.-Fingerprinting</t>
  </si>
  <si>
    <t>Fundraising-.-Misc Exp</t>
  </si>
  <si>
    <t>Sub-total General &amp; Administrative</t>
  </si>
  <si>
    <t>Reserves</t>
  </si>
  <si>
    <t>Contingency Reserve</t>
  </si>
  <si>
    <t>Sub-total Reserves</t>
  </si>
  <si>
    <t>Other School Services</t>
  </si>
  <si>
    <t>Kto6 - Travel</t>
  </si>
  <si>
    <t>Kto6 - Field Trips</t>
  </si>
  <si>
    <t>Principal-.-Travel</t>
  </si>
  <si>
    <t>Transportation - Maintenance</t>
  </si>
  <si>
    <t>Trans - Gasoline</t>
  </si>
  <si>
    <t>Trans - Diesel Fuel</t>
  </si>
  <si>
    <t>Prof &amp; Tech - Contr Services - PT &amp; OT</t>
  </si>
  <si>
    <t>Sch Outside Svc-Speech-.-Prof &amp; Tech</t>
  </si>
  <si>
    <t>Prof &amp; Tech Contracted Services</t>
  </si>
  <si>
    <t>Sch Outside Svc-Cent Support-.-Prof&amp;Tech</t>
  </si>
  <si>
    <t>Janitorial Expense</t>
  </si>
  <si>
    <t>Guard/Security Services</t>
  </si>
  <si>
    <t>TOTAL EXPENSES</t>
  </si>
  <si>
    <t>OPERATING SURPLUS (DEFICIT)</t>
  </si>
  <si>
    <t>FUND BALANCE, PRIOR YEAR</t>
  </si>
  <si>
    <t>Capital Purchases/Fixed Assets</t>
  </si>
  <si>
    <t>NET CHANGE IN FUND BALANCE</t>
  </si>
  <si>
    <t>PROJECTED YEAR END FUND BALANCE</t>
  </si>
  <si>
    <t>MASTER PERSONNEL BUDGET</t>
  </si>
  <si>
    <t>EE Code</t>
  </si>
  <si>
    <t>ER Amount</t>
  </si>
  <si>
    <t>Life Insurance/Disability</t>
  </si>
  <si>
    <t>Department</t>
  </si>
  <si>
    <t>#</t>
  </si>
  <si>
    <t>Hire Date</t>
  </si>
  <si>
    <t>Term Date</t>
  </si>
  <si>
    <t># Students</t>
  </si>
  <si>
    <t>Position</t>
  </si>
  <si>
    <t>Name</t>
  </si>
  <si>
    <t>Current Base</t>
  </si>
  <si>
    <t>Other Stipends</t>
  </si>
  <si>
    <t>Adjusted Base</t>
  </si>
  <si>
    <t>Social Security</t>
  </si>
  <si>
    <t>Medicare</t>
  </si>
  <si>
    <t>FUTA</t>
  </si>
  <si>
    <t>SUTA</t>
  </si>
  <si>
    <t>Life</t>
  </si>
  <si>
    <t>401K %</t>
  </si>
  <si>
    <t>401K Amount</t>
  </si>
  <si>
    <t>July - December</t>
  </si>
  <si>
    <t>January - June</t>
  </si>
  <si>
    <t>Annual Budget</t>
  </si>
  <si>
    <t>Sub-totals</t>
  </si>
  <si>
    <t xml:space="preserve">Name </t>
  </si>
  <si>
    <t>Gold/Plat/Silver</t>
  </si>
  <si>
    <t>Dental</t>
  </si>
  <si>
    <t>Vision</t>
  </si>
  <si>
    <t>Total Employee Costs</t>
  </si>
  <si>
    <t>Total Employer Costs</t>
  </si>
  <si>
    <t>Basic Life</t>
  </si>
  <si>
    <t>AD&amp;D</t>
  </si>
  <si>
    <t>LTD</t>
  </si>
  <si>
    <t>STD</t>
  </si>
  <si>
    <t>Contract Rate</t>
  </si>
  <si>
    <t>Total Work Days</t>
  </si>
  <si>
    <t>$/Day</t>
  </si>
  <si>
    <t>FY Ends</t>
  </si>
  <si>
    <t>Accrual Days</t>
  </si>
  <si>
    <t xml:space="preserve">Total Days </t>
  </si>
  <si>
    <t>Pay</t>
  </si>
  <si>
    <t>Accrual</t>
  </si>
  <si>
    <t>Total Salaries</t>
  </si>
  <si>
    <t>FICA</t>
  </si>
  <si>
    <t>Other Benefits</t>
  </si>
  <si>
    <t>Total Accrual</t>
  </si>
  <si>
    <t>Instructional - Basic</t>
  </si>
  <si>
    <t>ESG</t>
  </si>
  <si>
    <t>ESDL</t>
  </si>
  <si>
    <t>EG</t>
  </si>
  <si>
    <t>EDL</t>
  </si>
  <si>
    <t>EV</t>
  </si>
  <si>
    <t>ECG</t>
  </si>
  <si>
    <t>ESP</t>
  </si>
  <si>
    <t>ECP</t>
  </si>
  <si>
    <t>EFG</t>
  </si>
  <si>
    <t>EFDL</t>
  </si>
  <si>
    <t>ESV</t>
  </si>
  <si>
    <t>EFV</t>
  </si>
  <si>
    <t>ECDL</t>
  </si>
  <si>
    <t>ECV</t>
  </si>
  <si>
    <t>EP</t>
  </si>
  <si>
    <t>EFP</t>
  </si>
  <si>
    <t>EFS</t>
  </si>
  <si>
    <t>EDH</t>
  </si>
  <si>
    <t>-</t>
  </si>
  <si>
    <t>Salary Accrual</t>
  </si>
  <si>
    <t>Substitutes</t>
  </si>
  <si>
    <t>Teacher aides</t>
  </si>
  <si>
    <t>ES</t>
  </si>
  <si>
    <t>Instructional -SPECIALS</t>
  </si>
  <si>
    <t>Instructional - ESOL</t>
  </si>
  <si>
    <t>ESS</t>
  </si>
  <si>
    <t>ECS</t>
  </si>
  <si>
    <t>Instructional - ESE</t>
  </si>
  <si>
    <t>Guidance Counselor</t>
  </si>
  <si>
    <t>Media Svcs/Librarian</t>
  </si>
  <si>
    <t>Administration - Office of Principal</t>
  </si>
  <si>
    <t>Administration - Fiscal Svc</t>
  </si>
  <si>
    <t>ESDH</t>
  </si>
  <si>
    <t xml:space="preserve">Before/After Care </t>
  </si>
  <si>
    <t>TOTALS</t>
  </si>
  <si>
    <t>Benefits %</t>
  </si>
  <si>
    <t>Benefits</t>
  </si>
  <si>
    <t>Salaries</t>
  </si>
  <si>
    <t>Budget</t>
  </si>
  <si>
    <t>Total Salaries &amp; Benefits</t>
  </si>
  <si>
    <t>Monthly Budget Total Salaries</t>
  </si>
  <si>
    <t>Monthly Budget Total Benefits</t>
  </si>
  <si>
    <t>Difference in Salaries</t>
  </si>
  <si>
    <t>Difference in Benefits</t>
  </si>
  <si>
    <t>Total Difference</t>
  </si>
  <si>
    <t>Employee Code</t>
  </si>
  <si>
    <t>ERS</t>
  </si>
  <si>
    <t>ECDH</t>
  </si>
  <si>
    <t>ERFS</t>
  </si>
  <si>
    <t>EFDH</t>
  </si>
  <si>
    <t>Silver</t>
  </si>
  <si>
    <t>ER Code</t>
  </si>
  <si>
    <t>Total Billed</t>
  </si>
  <si>
    <t>Employee</t>
  </si>
  <si>
    <t>Employer</t>
  </si>
  <si>
    <t>Gold</t>
  </si>
  <si>
    <t>ERG</t>
  </si>
  <si>
    <t>ERFG</t>
  </si>
  <si>
    <t>Platinum</t>
  </si>
  <si>
    <t>ERP</t>
  </si>
  <si>
    <t>ERV</t>
  </si>
  <si>
    <t>ERSV</t>
  </si>
  <si>
    <t>ERCV</t>
  </si>
  <si>
    <t>ERFV</t>
  </si>
  <si>
    <t>Dental 1000</t>
  </si>
  <si>
    <t>ERD</t>
  </si>
  <si>
    <t>ESD</t>
  </si>
  <si>
    <t>ECD</t>
  </si>
  <si>
    <t>ERFD</t>
  </si>
  <si>
    <t>Dental 1500</t>
  </si>
  <si>
    <t>Salary</t>
  </si>
  <si>
    <t>Mth</t>
  </si>
  <si>
    <t>Yr</t>
  </si>
  <si>
    <t>Volume</t>
  </si>
  <si>
    <t>% of Salary</t>
  </si>
  <si>
    <t>Total Benefits</t>
  </si>
  <si>
    <t>Voluntary Pre-K Revenues - State</t>
  </si>
  <si>
    <t xml:space="preserve">ESE Applications Allocation: </t>
  </si>
  <si>
    <t>Projections</t>
  </si>
  <si>
    <t>Weighted FTE</t>
  </si>
  <si>
    <t>Cost Factor</t>
  </si>
  <si>
    <t>(2) x (3)</t>
  </si>
  <si>
    <t>(WFTE x BSA x DCD)</t>
  </si>
  <si>
    <t>(1)</t>
  </si>
  <si>
    <t>(2)</t>
  </si>
  <si>
    <t>(3)</t>
  </si>
  <si>
    <t>(4)</t>
  </si>
  <si>
    <t>(5)</t>
  </si>
  <si>
    <t>Letters in Parentheses Refer to Notes at Bottom of Worksheet:</t>
  </si>
  <si>
    <t>Additional FTE (a)</t>
  </si>
  <si>
    <r>
      <t xml:space="preserve">Number of FTE
</t>
    </r>
    <r>
      <rPr>
        <i/>
        <sz val="9"/>
        <color indexed="10"/>
        <rFont val="Times New Roman"/>
        <family val="1"/>
      </rPr>
      <t>Charter schools should contact their school district sponsor regarding eligible FTE. Please note that “Number of FTE” is NOT equivalent to number of students enrolled in these courses or programs. Please refer to footnote (a) below.</t>
    </r>
  </si>
  <si>
    <t>Advanced Placement</t>
  </si>
  <si>
    <t>International Baccalaureate</t>
  </si>
  <si>
    <t>Advanced International Certificate</t>
  </si>
  <si>
    <t>Industry Certified Career Education</t>
  </si>
  <si>
    <t>Early High School Graduation</t>
  </si>
  <si>
    <t>Small District ESE Supplement</t>
  </si>
  <si>
    <t>Total Additional FTE</t>
  </si>
  <si>
    <t>Additional Base Funds</t>
  </si>
  <si>
    <t xml:space="preserve">Total Funded Weighted FTE </t>
  </si>
  <si>
    <t>Total Base Funding</t>
  </si>
  <si>
    <t>2.   ESE Guaranteed Allocation:</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</si>
  <si>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</si>
  <si>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</si>
  <si>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3A. Divide school's Unweighted FTE (UFTE) total computed in Section 1, cell C27 above by the district's total UFTE to obtain school's</t>
  </si>
  <si>
    <t xml:space="preserve"> UFTE share.           Charter School UFTE: </t>
  </si>
  <si>
    <t>÷</t>
  </si>
  <si>
    <t>District's Total UFTE:</t>
  </si>
  <si>
    <t xml:space="preserve"> WFTE share.          Charter School WFTE: </t>
  </si>
  <si>
    <t>District's Total WFTE:</t>
  </si>
  <si>
    <t>4.   Supplemental Academic Instruction (UFTE share)</t>
  </si>
  <si>
    <t>5.   Discretionary Millage Compression Allocation</t>
  </si>
  <si>
    <t>.748 Mills (UFTE share)</t>
  </si>
  <si>
    <t>Dual Enrollment Instructional Materials Allocation</t>
  </si>
  <si>
    <t>Charter schools should contact their school district sponsor regarding eligibility and distribution of ESE Applications funds.</t>
  </si>
  <si>
    <t>Weighted FTE (not including Add-On)</t>
  </si>
  <si>
    <t>(*Total FTE should equal total in Section 1, column (4) and should not include any additional FTE from Section 1.)</t>
  </si>
  <si>
    <t>Enter All Adjusted Fundable Riders</t>
  </si>
  <si>
    <t>Enter All Adjusted ESE Riders</t>
  </si>
  <si>
    <t>Impact Aid Student Type</t>
  </si>
  <si>
    <t>Number of Students</t>
  </si>
  <si>
    <t>Exempt Property Allocation</t>
  </si>
  <si>
    <t>Impact Aide Student Allocation</t>
  </si>
  <si>
    <t>Military and Indian Lands</t>
  </si>
  <si>
    <t>Civilians on Federal Lands</t>
  </si>
  <si>
    <t>Students with Disabilities</t>
  </si>
  <si>
    <t>(i)</t>
  </si>
  <si>
    <t>(j)</t>
  </si>
  <si>
    <t>(b) District allocations multiplied by percentage from item 3A.</t>
  </si>
  <si>
    <t>(c) District allocations multiplied by percentage from item 3B.</t>
  </si>
  <si>
    <t>Administrative fees:</t>
  </si>
  <si>
    <t>Other:</t>
  </si>
  <si>
    <t>Exempt Property Allocation Per Military and Indian Land Student</t>
  </si>
  <si>
    <t>Federally Connected Military and Indian Land Students</t>
  </si>
  <si>
    <t>Federally Connected Civilian Students</t>
  </si>
  <si>
    <t xml:space="preserve">Federally Connected Students with Disabilities </t>
  </si>
  <si>
    <t>Qualifying Students With Disabilities BSA</t>
  </si>
  <si>
    <t>Federally Connected Student Funding</t>
  </si>
  <si>
    <t xml:space="preserve"> Revenue Estimate Worksheet for___________Charter School </t>
  </si>
  <si>
    <t xml:space="preserve">3A. Divide school's Unweighted FTE (UFTE) total computed </t>
  </si>
  <si>
    <t>in Section 1, cell C27 above:</t>
  </si>
  <si>
    <t>by district's total UFTE:</t>
  </si>
  <si>
    <t xml:space="preserve">3B. Divide school's Weighted FTE (WFTE) total computed </t>
  </si>
  <si>
    <t>in Section 1, cell E38 above:</t>
  </si>
  <si>
    <t>by district's total WFTE:</t>
  </si>
  <si>
    <t>5.   Discretionary Millage Compression Allocation (UFTE share)</t>
  </si>
  <si>
    <t>Impact Aide Student Type</t>
  </si>
  <si>
    <t>Imagine Land O'Lakes</t>
  </si>
  <si>
    <t>% Salary Increase</t>
  </si>
  <si>
    <t>Teacher Salary Allocation</t>
  </si>
  <si>
    <t>Michelle Hernandez</t>
  </si>
  <si>
    <t>Gr1</t>
  </si>
  <si>
    <t>Aimee Wynacht</t>
  </si>
  <si>
    <t>Gr2</t>
  </si>
  <si>
    <t>Gr3</t>
  </si>
  <si>
    <t>Lisa Daily</t>
  </si>
  <si>
    <t>Nancy Foster</t>
  </si>
  <si>
    <t>Gr4</t>
  </si>
  <si>
    <t>Gr5</t>
  </si>
  <si>
    <t>Gr6 LA/Rdg</t>
  </si>
  <si>
    <t>Gr6 Math</t>
  </si>
  <si>
    <t>Deborah Corbett</t>
  </si>
  <si>
    <t>MS Spanish</t>
  </si>
  <si>
    <t>PE</t>
  </si>
  <si>
    <t>Technology</t>
  </si>
  <si>
    <t>Student Services Coor.</t>
  </si>
  <si>
    <t>Academic Coach</t>
  </si>
  <si>
    <t>Registrar</t>
  </si>
  <si>
    <t>Reception</t>
  </si>
  <si>
    <t>Principal</t>
  </si>
  <si>
    <t>Aimee Williams</t>
  </si>
  <si>
    <t>Business Manager</t>
  </si>
  <si>
    <t>Driver</t>
  </si>
  <si>
    <t>Facilities Manager</t>
  </si>
  <si>
    <t>Imagine Schools at Land O'Lakes</t>
  </si>
  <si>
    <t>Aug</t>
  </si>
  <si>
    <t>401-331-00-0701</t>
  </si>
  <si>
    <t>401-333-40-0721</t>
  </si>
  <si>
    <t>401-339-70-0712</t>
  </si>
  <si>
    <t>Local Capital Outlay</t>
  </si>
  <si>
    <t>401-339-90-0741</t>
  </si>
  <si>
    <t>Miscellaneous State Revenue (includes local government)</t>
  </si>
  <si>
    <t>403-342-50-0009</t>
  </si>
  <si>
    <t>403-345-00-4104</t>
  </si>
  <si>
    <t>Food Service Sales</t>
  </si>
  <si>
    <t>403-347-10-5701</t>
  </si>
  <si>
    <t>403-347-11-5701</t>
  </si>
  <si>
    <t>Voluntary Pre-K Revenues - Fees</t>
  </si>
  <si>
    <t>403-347-30-0009</t>
  </si>
  <si>
    <t>Before &amp; After Care Registrations</t>
  </si>
  <si>
    <t>403-347-31-0009</t>
  </si>
  <si>
    <t>403-347-40-0009</t>
  </si>
  <si>
    <t>403-347-50-0009</t>
  </si>
  <si>
    <t>403-347-90-0009</t>
  </si>
  <si>
    <t>403-347-91-0009</t>
  </si>
  <si>
    <t>403-349-50-0001</t>
  </si>
  <si>
    <t>403-378-00-0001</t>
  </si>
  <si>
    <t>Gain on Fixed Assets</t>
  </si>
  <si>
    <t>Gifts,Grants,&amp;Bequests(Imagine Corp)</t>
  </si>
  <si>
    <t>501-511-61-1201</t>
  </si>
  <si>
    <t>School Salaries Teacher K-6</t>
  </si>
  <si>
    <t>501-515-65-1201</t>
  </si>
  <si>
    <t>501-516-66-1201</t>
  </si>
  <si>
    <t>501-520-44-1201</t>
  </si>
  <si>
    <t>501-551-91-1201</t>
  </si>
  <si>
    <t>School Salaries Teacher Pre K</t>
  </si>
  <si>
    <t>501-551-91-1501</t>
  </si>
  <si>
    <t>School Salaries Aide Pre K</t>
  </si>
  <si>
    <t>501-552-00-1209</t>
  </si>
  <si>
    <t>501-526-50-1201</t>
  </si>
  <si>
    <t>501-612-82-1301</t>
  </si>
  <si>
    <t>501-613-83-1601</t>
  </si>
  <si>
    <t>501-620-76-1301</t>
  </si>
  <si>
    <t>School Salaries-Media Speci/Librarian</t>
  </si>
  <si>
    <t>501-630-77-1301</t>
  </si>
  <si>
    <t>School Salaries Instr/Curric Dvlpmt Certified</t>
  </si>
  <si>
    <t>501-730-70-1101</t>
  </si>
  <si>
    <t>501-750-70-1101</t>
  </si>
  <si>
    <t>School Salaries Fiscal Svc Admin Mgmt</t>
  </si>
  <si>
    <t>501-760-41-1604</t>
  </si>
  <si>
    <t>School Salaries Food Service Support Staff</t>
  </si>
  <si>
    <t>501-780-00-1601</t>
  </si>
  <si>
    <t>School Salaries Transportation Support Staff</t>
  </si>
  <si>
    <t>501-790-73-1601</t>
  </si>
  <si>
    <t>School Salaries Plant Ops Support Staff</t>
  </si>
  <si>
    <t>501-810-00-1601</t>
  </si>
  <si>
    <t>School Salaries Plant Maint Support Staff</t>
  </si>
  <si>
    <t>501-911-92-1501</t>
  </si>
  <si>
    <t>School Salaries Aide Before/After Care</t>
  </si>
  <si>
    <t>509-790-73-3601</t>
  </si>
  <si>
    <t>509-790-81-3603</t>
  </si>
  <si>
    <t>525-510-00-5004</t>
  </si>
  <si>
    <t>Title I Expenses</t>
  </si>
  <si>
    <t>525-511-00-5101</t>
  </si>
  <si>
    <t>525-511-00-5171</t>
  </si>
  <si>
    <t>525-511-00-5201</t>
  </si>
  <si>
    <t>525-511-00-5901</t>
  </si>
  <si>
    <t>Other Direct Education Exp K-12</t>
  </si>
  <si>
    <t>525-550-57-5101</t>
  </si>
  <si>
    <t>525-550-57-5201</t>
  </si>
  <si>
    <t>525-590-00-5909</t>
  </si>
  <si>
    <t>Sports Program Expenses</t>
  </si>
  <si>
    <t>525-613-57-5101</t>
  </si>
  <si>
    <t>525-620-00-5101</t>
  </si>
  <si>
    <t>525-620-00-6101</t>
  </si>
  <si>
    <t>Library/Media - Books</t>
  </si>
  <si>
    <t>525-620-00-6921</t>
  </si>
  <si>
    <t>525-620-15-5101</t>
  </si>
  <si>
    <t>525-620-15-5201</t>
  </si>
  <si>
    <t>525-650-00-6401</t>
  </si>
  <si>
    <t>525-730-70-5101</t>
  </si>
  <si>
    <t>525-760-41-5704</t>
  </si>
  <si>
    <t>Food Service-Materials and Supplies</t>
  </si>
  <si>
    <t>525-770-70-6441</t>
  </si>
  <si>
    <t>STI - Student Information System</t>
  </si>
  <si>
    <t>525-910-00-5109</t>
  </si>
  <si>
    <t>525-911-00-5109</t>
  </si>
  <si>
    <t>525-911-92-5101</t>
  </si>
  <si>
    <t>Supplies/Books-Bef/After-.-Supplies</t>
  </si>
  <si>
    <t>525-912-00-5109</t>
  </si>
  <si>
    <t>525-912-00-5901</t>
  </si>
  <si>
    <t>School Advisory Council Expenses</t>
  </si>
  <si>
    <t>523-730-73-3601</t>
  </si>
  <si>
    <t>505-790-73-4301</t>
  </si>
  <si>
    <t>506-790-73-3701</t>
  </si>
  <si>
    <t>506-790-73-3721</t>
  </si>
  <si>
    <t>510-376-73-3501</t>
  </si>
  <si>
    <t>521-730-70-3511</t>
  </si>
  <si>
    <t>510-790-73-3531</t>
  </si>
  <si>
    <t>510-810-73-3501</t>
  </si>
  <si>
    <t>506-790-73-3811</t>
  </si>
  <si>
    <t>518-640-70-3101</t>
  </si>
  <si>
    <t>Start Up Costs</t>
  </si>
  <si>
    <t>511-720-72-7911</t>
  </si>
  <si>
    <t>519-730-70-3901</t>
  </si>
  <si>
    <t>519-730-70-3902</t>
  </si>
  <si>
    <t>513-920-00-7201</t>
  </si>
  <si>
    <t>Interest Payments Capital Lease</t>
  </si>
  <si>
    <t>513-920-01-7201</t>
  </si>
  <si>
    <t>514-920-00-7201</t>
  </si>
  <si>
    <t>Imagine Interest on Notes Payable</t>
  </si>
  <si>
    <t>517-730-00-2401</t>
  </si>
  <si>
    <t>Workers Compa &amp; Liability Insurance</t>
  </si>
  <si>
    <t>517-790-00-3211</t>
  </si>
  <si>
    <t>Gen. Liab. Insurance</t>
  </si>
  <si>
    <t>521-710-88-3101</t>
  </si>
  <si>
    <t>Board - Audit Fees</t>
  </si>
  <si>
    <t>521-710-88-3121</t>
  </si>
  <si>
    <t>521-730-00-3121</t>
  </si>
  <si>
    <t>521-730-00-3141</t>
  </si>
  <si>
    <t>Principal-.-District Fees</t>
  </si>
  <si>
    <t>521-730-00-3901</t>
  </si>
  <si>
    <t>527-511-00-7801</t>
  </si>
  <si>
    <t>527-613-00-7801</t>
  </si>
  <si>
    <t>Depreciation Expense - Health Services</t>
  </si>
  <si>
    <t>527-730-00-7801</t>
  </si>
  <si>
    <t>527-760-00-7801</t>
  </si>
  <si>
    <t>527-780-00-7801</t>
  </si>
  <si>
    <t>530-516-00-7901</t>
  </si>
  <si>
    <t>530-730-00-3741</t>
  </si>
  <si>
    <t>530-730-00-5101</t>
  </si>
  <si>
    <t>530-730-00-7901</t>
  </si>
  <si>
    <t>530-740-00-8101</t>
  </si>
  <si>
    <t>530-770-00-3971</t>
  </si>
  <si>
    <t>530-770-00-3981</t>
  </si>
  <si>
    <t>530-780-00-8101</t>
  </si>
  <si>
    <t>Loss on Fixed Assets, Transportation</t>
  </si>
  <si>
    <t>530-919-00-7901</t>
  </si>
  <si>
    <t>531-376-00-7901</t>
  </si>
  <si>
    <t>504-511-00-3321</t>
  </si>
  <si>
    <t>504-640-00-3311</t>
  </si>
  <si>
    <t>504-730-00-3311</t>
  </si>
  <si>
    <t>504-780-00-3501</t>
  </si>
  <si>
    <t>504-780-00-4501</t>
  </si>
  <si>
    <t>504-780-00-4601</t>
  </si>
  <si>
    <t>518-524-00-3101</t>
  </si>
  <si>
    <t>518-526-00-3101</t>
  </si>
  <si>
    <t>518-640-00-3101</t>
  </si>
  <si>
    <t>Inst Staff Trng-.-Prof &amp; Tech Contracted</t>
  </si>
  <si>
    <t>518-730-00-3101</t>
  </si>
  <si>
    <t>518-770-00-3101</t>
  </si>
  <si>
    <t>518-790-00-3521</t>
  </si>
  <si>
    <t>518-790-00-3951</t>
  </si>
  <si>
    <t>Exterminating</t>
  </si>
  <si>
    <t>518-790-17-3901</t>
  </si>
  <si>
    <t>Guard/Security Services Safe Sch</t>
  </si>
  <si>
    <t>518-790-00-3901</t>
  </si>
  <si>
    <t>Debt Service - Principal on Note Payments</t>
  </si>
  <si>
    <t>Operating Surplus or (Loss) After Debt Repayment</t>
  </si>
  <si>
    <t>Local-Rental of Facilities</t>
  </si>
  <si>
    <t>aKdg</t>
  </si>
  <si>
    <t>Gr7 Math</t>
  </si>
  <si>
    <t>Gr7 Science</t>
  </si>
  <si>
    <t>Gr8 LA</t>
  </si>
  <si>
    <t>Gr8 Math</t>
  </si>
  <si>
    <t xml:space="preserve">Gr8 SS / </t>
  </si>
  <si>
    <t>Gr6 Science</t>
  </si>
  <si>
    <t>edh</t>
  </si>
  <si>
    <t>ev</t>
  </si>
  <si>
    <t>Gladys Glynn - 144 days</t>
  </si>
  <si>
    <t>efv</t>
  </si>
  <si>
    <t>Dan Chauncy</t>
  </si>
  <si>
    <t>Lisa Shorey</t>
  </si>
  <si>
    <t>3B. Divide school's Weighted FTE (WFTE) total computed in Section 1, cell E37 above by the district's total WFTE to obtain school's</t>
  </si>
  <si>
    <t>Reading Allocation</t>
  </si>
  <si>
    <t xml:space="preserve">  510-810-17-3501</t>
  </si>
  <si>
    <t>Mech/Tech-Repairs &amp; Maint Safe Sch</t>
  </si>
  <si>
    <t>Roxanne Dotson</t>
  </si>
  <si>
    <t>Melissa Andresen</t>
  </si>
  <si>
    <t>Average Annual Cost Expended per Student</t>
  </si>
  <si>
    <t>Imagine Contribution</t>
  </si>
  <si>
    <t>403-347-60-0009</t>
  </si>
  <si>
    <t>Local-Field Trip Collections</t>
  </si>
  <si>
    <t>506-790-00-3831</t>
  </si>
  <si>
    <t>Michelle</t>
  </si>
  <si>
    <t>Hernandez</t>
  </si>
  <si>
    <t>Christine</t>
  </si>
  <si>
    <t>Cassiana</t>
  </si>
  <si>
    <t>Jennifer</t>
  </si>
  <si>
    <t>Lisa</t>
  </si>
  <si>
    <t>Shorey</t>
  </si>
  <si>
    <t>Slay</t>
  </si>
  <si>
    <t>Aimee</t>
  </si>
  <si>
    <t>Wynacht</t>
  </si>
  <si>
    <t>Daily</t>
  </si>
  <si>
    <t>Nancy</t>
  </si>
  <si>
    <t>Foster</t>
  </si>
  <si>
    <t>Roxanne</t>
  </si>
  <si>
    <t>Dotson</t>
  </si>
  <si>
    <t>Deborah</t>
  </si>
  <si>
    <t>Corbett</t>
  </si>
  <si>
    <t>Danielle</t>
  </si>
  <si>
    <t>Kilmer</t>
  </si>
  <si>
    <t>Christine Fonte</t>
  </si>
  <si>
    <t>Jennifer Miller</t>
  </si>
  <si>
    <t>Traci D'Alessio</t>
  </si>
  <si>
    <t>Fonte</t>
  </si>
  <si>
    <t xml:space="preserve">Gr5  </t>
  </si>
  <si>
    <t>Joann Ramotar</t>
  </si>
  <si>
    <t>Gr7 Civics</t>
  </si>
  <si>
    <t>Gr8 Science</t>
  </si>
  <si>
    <t>BreAnne Kilmer</t>
  </si>
  <si>
    <t>BreAnne</t>
  </si>
  <si>
    <t>Joann</t>
  </si>
  <si>
    <t>Ramotar</t>
  </si>
  <si>
    <t>Traci</t>
  </si>
  <si>
    <t>D'Alessio</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</si>
  <si>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</si>
  <si>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Miller</t>
  </si>
  <si>
    <t>Local-Other School, Courses, Classes - CLUBS</t>
  </si>
  <si>
    <t>ecv</t>
  </si>
  <si>
    <t>Murphy</t>
  </si>
  <si>
    <t>Gr 6 SS</t>
  </si>
  <si>
    <t>Hannah Gleason</t>
  </si>
  <si>
    <t>Hannah</t>
  </si>
  <si>
    <t>Gleason</t>
  </si>
  <si>
    <t>Peters</t>
  </si>
  <si>
    <t>Kali Jadusingh</t>
  </si>
  <si>
    <t>Kali</t>
  </si>
  <si>
    <t>Jadusingh</t>
  </si>
  <si>
    <t>Bisignano</t>
  </si>
  <si>
    <t>Gr7  LA/Rdg</t>
  </si>
  <si>
    <t>Danielle Whitlow</t>
  </si>
  <si>
    <t>Whitlow</t>
  </si>
  <si>
    <t>Henry Cheung</t>
  </si>
  <si>
    <t>Art</t>
  </si>
  <si>
    <t>Lunch Room</t>
  </si>
  <si>
    <t>Denson</t>
  </si>
  <si>
    <t>Charlotte Denson</t>
  </si>
  <si>
    <t>Dan</t>
  </si>
  <si>
    <t>Chauncy</t>
  </si>
  <si>
    <t>Connell</t>
  </si>
  <si>
    <t>Melissa</t>
  </si>
  <si>
    <t>Andresen</t>
  </si>
  <si>
    <t>Williams</t>
  </si>
  <si>
    <t>Gomez</t>
  </si>
  <si>
    <t>Reiss</t>
  </si>
  <si>
    <t>Gladys</t>
  </si>
  <si>
    <t>Glynn</t>
  </si>
  <si>
    <t>Henry</t>
  </si>
  <si>
    <t>Cheung</t>
  </si>
  <si>
    <t>401-333-40-7901</t>
  </si>
  <si>
    <t>School Recognition Funds A+ Program</t>
  </si>
  <si>
    <t>Mental Health Assistance Allocation</t>
  </si>
  <si>
    <t>Aetna projected Jan 20' Increase in Benefits</t>
  </si>
  <si>
    <t>Current Enrollment</t>
  </si>
  <si>
    <t>Local-School Fund Raising Activities</t>
  </si>
  <si>
    <t>K-1 Aide</t>
  </si>
  <si>
    <t>R. Jane Connell</t>
  </si>
  <si>
    <t>Jane</t>
  </si>
  <si>
    <t>includes Algebra 1, Math and Tech</t>
  </si>
  <si>
    <t>Projected Fund Balance, Prior Year</t>
  </si>
  <si>
    <t xml:space="preserve">    Depreciation</t>
  </si>
  <si>
    <t xml:space="preserve">    Capital Expenditures</t>
  </si>
  <si>
    <t xml:space="preserve">     Debt Service</t>
  </si>
  <si>
    <t>Projected Year End Fund Balance</t>
  </si>
  <si>
    <t>Net Change in Fund Balance</t>
  </si>
  <si>
    <t>School Salaries Substitutes</t>
  </si>
  <si>
    <t>517-790-70-3211</t>
  </si>
  <si>
    <t>Flood Insurance</t>
  </si>
  <si>
    <t>521-730-70-3901</t>
  </si>
  <si>
    <t>Transporation Tag Registration</t>
  </si>
  <si>
    <t>504-780-70-7301</t>
  </si>
  <si>
    <t>Actuals</t>
  </si>
  <si>
    <t>Actual plus Projections</t>
  </si>
  <si>
    <r>
      <rPr>
        <b/>
        <sz val="12"/>
        <rFont val="Times New Roman"/>
        <family val="1"/>
      </rPr>
      <t xml:space="preserve">X          </t>
    </r>
    <r>
      <rPr>
        <b/>
        <u/>
        <sz val="12"/>
        <rFont val="Times New Roman"/>
        <family val="1"/>
      </rPr>
      <t>DCD</t>
    </r>
    <r>
      <rPr>
        <b/>
        <sz val="12"/>
        <rFont val="Times New Roman"/>
        <family val="1"/>
      </rPr>
      <t xml:space="preserve">         X</t>
    </r>
  </si>
  <si>
    <t>Impact Aid Student Allocation</t>
  </si>
  <si>
    <t xml:space="preserve">(k)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</si>
  <si>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</si>
  <si>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Federally Connected Student Supplement Exempt Property Allocation</t>
  </si>
  <si>
    <t>All Qualifying Students</t>
  </si>
  <si>
    <t>509-790-74-3601</t>
  </si>
  <si>
    <t>Rentals (Non-Schoolhouse)</t>
  </si>
  <si>
    <t>523-730-61-6401</t>
  </si>
  <si>
    <t>523-511-61-6401</t>
  </si>
  <si>
    <t>Principal - NonCap FFE</t>
  </si>
  <si>
    <t>Kto6 - NonCap FFE</t>
  </si>
  <si>
    <t>Bleachers in the gym, Final payment on front office counter, final pmt on café sound proofing, classroom furniture, portable bleachers, picnic tables, benches</t>
  </si>
  <si>
    <t>``</t>
  </si>
  <si>
    <t>Updated for current funding with FTE=858</t>
  </si>
  <si>
    <t>Based on FY19/20 2nd Calc with FTE=858</t>
  </si>
  <si>
    <t>Activity Fees</t>
  </si>
  <si>
    <t>Increased premiums over prior year</t>
  </si>
  <si>
    <t>Updated Depreciation Schedules</t>
  </si>
  <si>
    <t>Small furniture</t>
  </si>
  <si>
    <t>Repairs to field and mulch</t>
  </si>
  <si>
    <t>Correct pverprojection</t>
  </si>
  <si>
    <t>Correct overprojection</t>
  </si>
  <si>
    <t>Amy Wagner</t>
  </si>
  <si>
    <t>Amy</t>
  </si>
  <si>
    <t>Wagner</t>
  </si>
  <si>
    <t>Sasha Ortiz Morales</t>
  </si>
  <si>
    <t>Sasha</t>
  </si>
  <si>
    <t>Ortiz Morales</t>
  </si>
  <si>
    <t>Maddie Fonte</t>
  </si>
  <si>
    <t xml:space="preserve">Maddie </t>
  </si>
  <si>
    <t xml:space="preserve">PE </t>
  </si>
  <si>
    <t>Templeton</t>
  </si>
  <si>
    <t>Lindsay Templeton</t>
  </si>
  <si>
    <t>Lindsay</t>
  </si>
  <si>
    <t>PE Aide</t>
  </si>
  <si>
    <t>Comment</t>
  </si>
  <si>
    <t>FTE=841</t>
  </si>
  <si>
    <t>Imagine Schools at Land O Lakes</t>
  </si>
  <si>
    <t>Miscellaneous State Revenue (includes local gov't)</t>
  </si>
  <si>
    <t>Rental of Facilities Fees</t>
  </si>
  <si>
    <t>Noncap FFE</t>
  </si>
  <si>
    <t>Textbooks</t>
  </si>
  <si>
    <t>Food Service</t>
  </si>
  <si>
    <t>Imagine Indirect &amp; Start up Costs</t>
  </si>
  <si>
    <t>Sub-total Marketing &amp; Enrollment Expenses</t>
  </si>
  <si>
    <t>.</t>
  </si>
  <si>
    <t>Melanie Chow</t>
  </si>
  <si>
    <t xml:space="preserve">Melanie </t>
  </si>
  <si>
    <t>Chow</t>
  </si>
  <si>
    <t>Zachary Ruiz</t>
  </si>
  <si>
    <t>Zachary</t>
  </si>
  <si>
    <t>Ruiz</t>
  </si>
  <si>
    <t>Interest Income</t>
  </si>
  <si>
    <t>Debt Service Fiscal Charges</t>
  </si>
  <si>
    <t>Interest Expense - Bond</t>
  </si>
  <si>
    <t>Interest Expense/debt service charges</t>
  </si>
  <si>
    <t xml:space="preserve">Teacher - ESE </t>
  </si>
  <si>
    <t xml:space="preserve">Gr 1 </t>
  </si>
  <si>
    <t>Julie Roberts</t>
  </si>
  <si>
    <t>Julie</t>
  </si>
  <si>
    <t>Roberts</t>
  </si>
  <si>
    <t>Tiffany Hurley</t>
  </si>
  <si>
    <t>Tiffany</t>
  </si>
  <si>
    <t>Hurley</t>
  </si>
  <si>
    <t>Ana Siu</t>
  </si>
  <si>
    <t>Ana</t>
  </si>
  <si>
    <t>Siu</t>
  </si>
  <si>
    <t>Matthew</t>
  </si>
  <si>
    <t>Gaither</t>
  </si>
  <si>
    <t>Matthew Gaither</t>
  </si>
  <si>
    <t>Joshua</t>
  </si>
  <si>
    <t>Joshua Hoppock</t>
  </si>
  <si>
    <t>Hoppock</t>
  </si>
  <si>
    <t>Lora Torres</t>
  </si>
  <si>
    <t>Lora</t>
  </si>
  <si>
    <t>Torres</t>
  </si>
  <si>
    <t>FTE=872</t>
  </si>
  <si>
    <t>Local-Other School, Courses, Classes - CLUBS (net 10%)</t>
  </si>
  <si>
    <t>Board Approved 6/23/20</t>
  </si>
  <si>
    <t xml:space="preserve">Imagine School at Land OLakes </t>
  </si>
  <si>
    <t>Monthly Trend Report</t>
  </si>
  <si>
    <t>Period 1</t>
  </si>
  <si>
    <t>Period 2</t>
  </si>
  <si>
    <t>Period 3</t>
  </si>
  <si>
    <t>Period 4</t>
  </si>
  <si>
    <t>Period 5</t>
  </si>
  <si>
    <t>Period 6</t>
  </si>
  <si>
    <t>Period 7</t>
  </si>
  <si>
    <t>Period 8</t>
  </si>
  <si>
    <t>Period 9</t>
  </si>
  <si>
    <t>Period 10</t>
  </si>
  <si>
    <t>Period 11</t>
  </si>
  <si>
    <t>Period 12</t>
  </si>
  <si>
    <t>Actual</t>
  </si>
  <si>
    <t>Revenue</t>
  </si>
  <si>
    <t>401-321-01-6604</t>
  </si>
  <si>
    <t>FEFP - State Fiscal Stabilization Fund</t>
  </si>
  <si>
    <t>401-323-00-0004</t>
  </si>
  <si>
    <t>Federal Through Local Revenue IDEA</t>
  </si>
  <si>
    <t>401-331-00-0001</t>
  </si>
  <si>
    <t>401-331-01-1101</t>
  </si>
  <si>
    <t>District Discretionary Lottery Funds</t>
  </si>
  <si>
    <t>401-331-02-1001</t>
  </si>
  <si>
    <t>FEFP - ESE Guaranteed</t>
  </si>
  <si>
    <t>401-331-03-0001</t>
  </si>
  <si>
    <t>FEFP - Discretionary Local Effort</t>
  </si>
  <si>
    <t>401-331-04-0001</t>
  </si>
  <si>
    <t>FEFP - Discretionary Millage Compr Adj</t>
  </si>
  <si>
    <t>401-331-05-0001</t>
  </si>
  <si>
    <t>FEFP - Administration Fee</t>
  </si>
  <si>
    <t>401-331-06-0001</t>
  </si>
  <si>
    <t>FEFP - Summer Reading Allocation</t>
  </si>
  <si>
    <t>401-331-07-1701</t>
  </si>
  <si>
    <t>FEFP - Safe Schools</t>
  </si>
  <si>
    <t>401-331-08-1801</t>
  </si>
  <si>
    <t>FEFP - Supplemental Academic Instruction</t>
  </si>
  <si>
    <t>401-331-09-1501</t>
  </si>
  <si>
    <t>Instructional Materials</t>
  </si>
  <si>
    <t>FL Teacher Lead Program</t>
  </si>
  <si>
    <t>401-333-61-7901</t>
  </si>
  <si>
    <t>School Recognition Funds: A+ Program</t>
  </si>
  <si>
    <t>401-335-50-1601</t>
  </si>
  <si>
    <t>Class Size Reduction</t>
  </si>
  <si>
    <t>401-339-70-8003</t>
  </si>
  <si>
    <t>Charter Capital Outlay Funding</t>
  </si>
  <si>
    <t>401-339-71-8003</t>
  </si>
  <si>
    <t>Capital Outlay from Admin Fee Reduction</t>
  </si>
  <si>
    <t>401-339-90-0001</t>
  </si>
  <si>
    <t>Miscellaneous State Revenue</t>
  </si>
  <si>
    <t>401-339-90-6701</t>
  </si>
  <si>
    <t>State ED Jobs Fund</t>
  </si>
  <si>
    <t>401-341-70-0713</t>
  </si>
  <si>
    <t>State Schl Rev-District LCIR-.-Chart Cap</t>
  </si>
  <si>
    <t>402-320-00-6704</t>
  </si>
  <si>
    <t>Federal ED Jobs Fund</t>
  </si>
  <si>
    <t>402-324-00-0712</t>
  </si>
  <si>
    <t>T1-Charter Capital Outlay Funding</t>
  </si>
  <si>
    <t>402-324-00-0793</t>
  </si>
  <si>
    <t>Title Entitlements - All</t>
  </si>
  <si>
    <t>402-324-00-3104</t>
  </si>
  <si>
    <t>Title I</t>
  </si>
  <si>
    <t>402-335-40-0001</t>
  </si>
  <si>
    <t>Transportation Revenue</t>
  </si>
  <si>
    <t>402-335-41-0001</t>
  </si>
  <si>
    <t>Transportation - Administration Fee</t>
  </si>
  <si>
    <t>Local-Other School, Courses, Classes</t>
  </si>
  <si>
    <t>404-329-00-0004</t>
  </si>
  <si>
    <t>Federal Start Up Grants</t>
  </si>
  <si>
    <t>417-343-00-0009</t>
  </si>
  <si>
    <t>490-344-00-0001</t>
  </si>
  <si>
    <t>Gifts,Grants,&amp; Bequests (Imagine Contr.)</t>
  </si>
  <si>
    <t>Expense</t>
  </si>
  <si>
    <t>501-324-31-1204</t>
  </si>
  <si>
    <t>School Salaries Teacher Title 1</t>
  </si>
  <si>
    <t>501-324-31-1504</t>
  </si>
  <si>
    <t>School Salaries Aide Title 1</t>
  </si>
  <si>
    <t>501-511-00-1201</t>
  </si>
  <si>
    <t>501-511-00-1501</t>
  </si>
  <si>
    <t>School Salaries Aide K-6</t>
  </si>
  <si>
    <t>501-511-00-7511</t>
  </si>
  <si>
    <t>School Salaries Substitute (Temp)</t>
  </si>
  <si>
    <t>501-511-16-1201</t>
  </si>
  <si>
    <t>School Salaries Teacher K-6 Class Size</t>
  </si>
  <si>
    <t>501-511-18-1201</t>
  </si>
  <si>
    <t>School Salaries Teacher K-6 SAI</t>
  </si>
  <si>
    <t>501-511-66-1204</t>
  </si>
  <si>
    <t>School Salaries Teacher K-6 ARRA SFSF</t>
  </si>
  <si>
    <t>501-515-00-1201</t>
  </si>
  <si>
    <t>501-515-00-1501</t>
  </si>
  <si>
    <t>School Salaries Aide Specials</t>
  </si>
  <si>
    <t>501-515-17-1201</t>
  </si>
  <si>
    <t>School Salaries Teacher Specials Safe Sc</t>
  </si>
  <si>
    <t>501-516-00-1201</t>
  </si>
  <si>
    <t>501-520-10-1201</t>
  </si>
  <si>
    <t>501-526-00-1201</t>
  </si>
  <si>
    <t>501-526-00-1501</t>
  </si>
  <si>
    <t>School Salaries Speech Aide</t>
  </si>
  <si>
    <t>501-551-57-1201</t>
  </si>
  <si>
    <t>501-551-57-1501</t>
  </si>
  <si>
    <t>501-612-00-1301</t>
  </si>
  <si>
    <t>501-613-00-1601</t>
  </si>
  <si>
    <t>School Salaries Health Support</t>
  </si>
  <si>
    <t>501-620-00-1301</t>
  </si>
  <si>
    <t>501-630-00-1301</t>
  </si>
  <si>
    <t>School Salaries Instr/Curr Dvlpmnt Cert</t>
  </si>
  <si>
    <t>501-730-00-1101</t>
  </si>
  <si>
    <t>School Salaries Princ Offic Admin Mgmt</t>
  </si>
  <si>
    <t>501-730-00-1601</t>
  </si>
  <si>
    <t>School Salaries Princ Offic Supprt Staff</t>
  </si>
  <si>
    <t>501-750-00-1101</t>
  </si>
  <si>
    <t>501-760-41-1601</t>
  </si>
  <si>
    <t>School Salaries Food Svc Support Staff</t>
  </si>
  <si>
    <t>School Salaries-Transpo-Support Staff</t>
  </si>
  <si>
    <t>501-780-73-1601</t>
  </si>
  <si>
    <t>School Salaries Transp Support Staff</t>
  </si>
  <si>
    <t>501-790-00-1601</t>
  </si>
  <si>
    <t>School Salaries Plant Maint Supprt Staff</t>
  </si>
  <si>
    <t>501-911-00-1501</t>
  </si>
  <si>
    <t>502-324-31-2204</t>
  </si>
  <si>
    <t>Title 1 - Social Security</t>
  </si>
  <si>
    <t>502-324-31-2214</t>
  </si>
  <si>
    <t>Title 1 - Medicare</t>
  </si>
  <si>
    <t>502-324-31-2334</t>
  </si>
  <si>
    <t>Title 1 - Group Insurance</t>
  </si>
  <si>
    <t>502-324-31-2904</t>
  </si>
  <si>
    <t>Title 1 - Other Employee Benefits</t>
  </si>
  <si>
    <t>502-511-00-2201</t>
  </si>
  <si>
    <t>K-6 Social Security</t>
  </si>
  <si>
    <t>502-511-00-2211</t>
  </si>
  <si>
    <t>K-6 Medicare</t>
  </si>
  <si>
    <t>502-511-00-2331</t>
  </si>
  <si>
    <t>K-6 Group Insurance</t>
  </si>
  <si>
    <t>502-511-00-2901</t>
  </si>
  <si>
    <t>K-6 Other Employee Benefits</t>
  </si>
  <si>
    <t>502-511-16-2201</t>
  </si>
  <si>
    <t>K-6 Social Security Class Size</t>
  </si>
  <si>
    <t>502-511-16-2211</t>
  </si>
  <si>
    <t>K-6 Medicare Class Size</t>
  </si>
  <si>
    <t>502-511-16-2331</t>
  </si>
  <si>
    <t>K-6 Group Insurance Class Size</t>
  </si>
  <si>
    <t>502-511-16-2901</t>
  </si>
  <si>
    <t>K-6 Other Employee Benefits Class Size</t>
  </si>
  <si>
    <t>502-511-18-2201</t>
  </si>
  <si>
    <t>K-6 Social Security SAI</t>
  </si>
  <si>
    <t>502-511-18-2211</t>
  </si>
  <si>
    <t>K-6 Medicare SAI</t>
  </si>
  <si>
    <t>502-511-18-2331</t>
  </si>
  <si>
    <t>K-6 Group Insurance SAI</t>
  </si>
  <si>
    <t>502-511-18-2901</t>
  </si>
  <si>
    <t>K-6 Other Employee Benefits SAI</t>
  </si>
  <si>
    <t>502-511-66-2204</t>
  </si>
  <si>
    <t>K-6 Social Security ARRA SFSF</t>
  </si>
  <si>
    <t>502-511-66-2214</t>
  </si>
  <si>
    <t>K-6 Medicare ARRA SFSF</t>
  </si>
  <si>
    <t>502-511-66-2334</t>
  </si>
  <si>
    <t>K-6 Group Insurance ARRA SFSF</t>
  </si>
  <si>
    <t>502-511-66-2904</t>
  </si>
  <si>
    <t>K-6 Other Employee Benefits ARRA SFSF</t>
  </si>
  <si>
    <t>502-512-00-2331</t>
  </si>
  <si>
    <t>X-7to9-Other Employee Benefits</t>
  </si>
  <si>
    <t>502-515-00-2201</t>
  </si>
  <si>
    <t>Specials Social Security</t>
  </si>
  <si>
    <t>502-515-00-2211</t>
  </si>
  <si>
    <t>Specials Medicare</t>
  </si>
  <si>
    <t>502-515-00-2331</t>
  </si>
  <si>
    <t>Specials Group Insurance</t>
  </si>
  <si>
    <t>502-515-00-2901</t>
  </si>
  <si>
    <t>Specials Other Employee Benefits</t>
  </si>
  <si>
    <t>502-515-17-2201</t>
  </si>
  <si>
    <t>Specials Social Security Safe Sch</t>
  </si>
  <si>
    <t>502-515-17-2211</t>
  </si>
  <si>
    <t>Specials Medicare Safe Sch</t>
  </si>
  <si>
    <t>502-515-17-2331</t>
  </si>
  <si>
    <t>Specials Group Insurance Safe Sch</t>
  </si>
  <si>
    <t>502-515-17-2901</t>
  </si>
  <si>
    <t>Specials Other Employee Benefits Safe Sc</t>
  </si>
  <si>
    <t>502-516-00-2201</t>
  </si>
  <si>
    <t>ESOL Social Security</t>
  </si>
  <si>
    <t>502-516-00-2211</t>
  </si>
  <si>
    <t>ESOL Medicare</t>
  </si>
  <si>
    <t>502-516-00-2331</t>
  </si>
  <si>
    <t>ESOL Group Insurance</t>
  </si>
  <si>
    <t>502-516-00-2901</t>
  </si>
  <si>
    <t>ESOL Other Employee Benefits</t>
  </si>
  <si>
    <t>502-520-10-2201</t>
  </si>
  <si>
    <t>ESE Social Security</t>
  </si>
  <si>
    <t>502-520-10-2211</t>
  </si>
  <si>
    <t>ESE Medicare</t>
  </si>
  <si>
    <t>502-520-10-2331</t>
  </si>
  <si>
    <t>ESE Group Insurance</t>
  </si>
  <si>
    <t>502-520-10-2901</t>
  </si>
  <si>
    <t>ESE Other Employee Benefits</t>
  </si>
  <si>
    <t>502-526-10-2201</t>
  </si>
  <si>
    <t>Speech Social Security</t>
  </si>
  <si>
    <t>502-526-10-2211</t>
  </si>
  <si>
    <t>Speech Medicare</t>
  </si>
  <si>
    <t>502-526-10-2331</t>
  </si>
  <si>
    <t>Speech Group Insurance</t>
  </si>
  <si>
    <t>502-551-57-2201</t>
  </si>
  <si>
    <t>Pre K Social Security</t>
  </si>
  <si>
    <t>502-551-57-2211</t>
  </si>
  <si>
    <t>Pre K Medicare</t>
  </si>
  <si>
    <t>502-551-57-2331</t>
  </si>
  <si>
    <t>Pre K Group Insurance</t>
  </si>
  <si>
    <t>502-551-57-2901</t>
  </si>
  <si>
    <t>Pre K Other Employee Benefits</t>
  </si>
  <si>
    <t>502-612-00-2201</t>
  </si>
  <si>
    <t>Guidance Social Security</t>
  </si>
  <si>
    <t>502-612-00-2211</t>
  </si>
  <si>
    <t>Guidance Medicare</t>
  </si>
  <si>
    <t>502-612-00-2331</t>
  </si>
  <si>
    <t>Guidance Group Insurance</t>
  </si>
  <si>
    <t>502-612-00-2901</t>
  </si>
  <si>
    <t>Guidance Other Employee Benefits</t>
  </si>
  <si>
    <t>502-613-00-2201</t>
  </si>
  <si>
    <t>Health Social Security</t>
  </si>
  <si>
    <t>502-613-00-2211</t>
  </si>
  <si>
    <t>Health Medicare</t>
  </si>
  <si>
    <t>502-613-00-2331</t>
  </si>
  <si>
    <t>Health Group Insurance</t>
  </si>
  <si>
    <t>502-613-00-2901</t>
  </si>
  <si>
    <t>Health Other Employee Benefits</t>
  </si>
  <si>
    <t>502-620-00-2201</t>
  </si>
  <si>
    <t>Media Svc/Librarian Social Security</t>
  </si>
  <si>
    <t>502-620-00-2211</t>
  </si>
  <si>
    <t>Media Svc/Librarian Medicare</t>
  </si>
  <si>
    <t>502-620-00-2331</t>
  </si>
  <si>
    <t>Media Svc/Librarian Group Insurance</t>
  </si>
  <si>
    <t>502-620-00-2901</t>
  </si>
  <si>
    <t>Media Svc/Librarian Other EE Benefits</t>
  </si>
  <si>
    <t>502-630-00-2201</t>
  </si>
  <si>
    <t>Instr/Curric Dvlpmt Social Security</t>
  </si>
  <si>
    <t>502-630-00-2211</t>
  </si>
  <si>
    <t>Instr/Curric Dvlpmt Medicare</t>
  </si>
  <si>
    <t>502-630-00-2331</t>
  </si>
  <si>
    <t>Instr/Curric Dvlpmt Group Insurance</t>
  </si>
  <si>
    <t>502-630-00-2901</t>
  </si>
  <si>
    <t>Instr/Curric Dvlpmt Other EE Benefits</t>
  </si>
  <si>
    <t>502-730-00-2201</t>
  </si>
  <si>
    <t>Principal Office Social Security</t>
  </si>
  <si>
    <t>502-730-00-2211</t>
  </si>
  <si>
    <t>Principal Office Medicare</t>
  </si>
  <si>
    <t>502-730-00-2331</t>
  </si>
  <si>
    <t>Principal Office Group Insurance</t>
  </si>
  <si>
    <t>502-730-00-2901</t>
  </si>
  <si>
    <t>Principal Offic Other EE Benefits</t>
  </si>
  <si>
    <t>502-750-00-2201</t>
  </si>
  <si>
    <t>Fiscal Svc Social Security</t>
  </si>
  <si>
    <t>502-750-00-2211</t>
  </si>
  <si>
    <t>Fiscal Svc Medicare</t>
  </si>
  <si>
    <t>502-750-00-2331</t>
  </si>
  <si>
    <t>Fiscal Svc Group Insurance</t>
  </si>
  <si>
    <t>502-750-00-2901</t>
  </si>
  <si>
    <t>Fiscal Svc Other Employee Benefits</t>
  </si>
  <si>
    <t>502-760-41-2204</t>
  </si>
  <si>
    <t>Food Svc Social Security</t>
  </si>
  <si>
    <t>502-760-41-2214</t>
  </si>
  <si>
    <t>Food Svc Medicare</t>
  </si>
  <si>
    <t>502-760-41-2334</t>
  </si>
  <si>
    <t>Food Svc Group Insurance</t>
  </si>
  <si>
    <t>502-760-41-2904</t>
  </si>
  <si>
    <t>Food Svc Other Employee Benefits</t>
  </si>
  <si>
    <t>502-780-00-2201</t>
  </si>
  <si>
    <t>Transp Social Security</t>
  </si>
  <si>
    <t>502-780-00-2211</t>
  </si>
  <si>
    <t>Transp Medicare</t>
  </si>
  <si>
    <t>502-780-00-2331</t>
  </si>
  <si>
    <t>Transp Group Insurance</t>
  </si>
  <si>
    <t>502-780-00-2901</t>
  </si>
  <si>
    <t>Transp Other Employee Benefits</t>
  </si>
  <si>
    <t>502-790-00-2201</t>
  </si>
  <si>
    <t>Plant Ops Social Security</t>
  </si>
  <si>
    <t>502-790-00-2211</t>
  </si>
  <si>
    <t>Plant Ops Medicare</t>
  </si>
  <si>
    <t>502-790-00-2331</t>
  </si>
  <si>
    <t>Plant Ops Group Insurance</t>
  </si>
  <si>
    <t>502-790-00-2901</t>
  </si>
  <si>
    <t>Plant Ops Other Employee Benefits</t>
  </si>
  <si>
    <t>502-810-00-2201</t>
  </si>
  <si>
    <t>Plant Maint Social Security</t>
  </si>
  <si>
    <t>502-810-00-2211</t>
  </si>
  <si>
    <t>Plant Maint Medicare</t>
  </si>
  <si>
    <t>502-810-00-2331</t>
  </si>
  <si>
    <t>Plant Maint Group Insurance</t>
  </si>
  <si>
    <t>502-810-00-2901</t>
  </si>
  <si>
    <t>Plant Maint Other Employee Benefits</t>
  </si>
  <si>
    <t>502-911-00-2201</t>
  </si>
  <si>
    <t>Before/After Care Social Security</t>
  </si>
  <si>
    <t>502-911-00-2211</t>
  </si>
  <si>
    <t>Before/After Care Medicare</t>
  </si>
  <si>
    <t>502-911-00-2331</t>
  </si>
  <si>
    <t>Before/After Care Group Insurance</t>
  </si>
  <si>
    <t>502-911-00-2901</t>
  </si>
  <si>
    <t>Before/After Care Other EE Benefits</t>
  </si>
  <si>
    <t>505-790-00-4301</t>
  </si>
  <si>
    <t>506-790-00-3701</t>
  </si>
  <si>
    <t>506-790-00-3721</t>
  </si>
  <si>
    <t>506-790-00-3811</t>
  </si>
  <si>
    <t>509-790-00-3601</t>
  </si>
  <si>
    <t>Rentals</t>
  </si>
  <si>
    <t>510-376-00-3501</t>
  </si>
  <si>
    <t>510-790-00-3531</t>
  </si>
  <si>
    <t>510-810-00-3501</t>
  </si>
  <si>
    <t>510-810-17-3501</t>
  </si>
  <si>
    <t>511-720-00-7911</t>
  </si>
  <si>
    <t>519-730-00-3901</t>
  </si>
  <si>
    <t>519-730-01-3902</t>
  </si>
  <si>
    <t>521-730-00-3511</t>
  </si>
  <si>
    <t>523-510-00-3601</t>
  </si>
  <si>
    <t>523-920-00-7201</t>
  </si>
  <si>
    <t>532-720-00-3901</t>
  </si>
  <si>
    <t>Imagine Start-Up Fee</t>
  </si>
  <si>
    <t>533-720-00-3901</t>
  </si>
  <si>
    <t>Imagine Loss Mitigation</t>
  </si>
  <si>
    <t>Total Operating Expenses</t>
  </si>
  <si>
    <t>513-920-02-7201</t>
  </si>
  <si>
    <t>Interest Expense on Bond</t>
  </si>
  <si>
    <t>Total Interest Expense</t>
  </si>
  <si>
    <t>Total Expense</t>
  </si>
  <si>
    <t>Net Income from Operations</t>
  </si>
  <si>
    <t>Other Income and Expense</t>
  </si>
  <si>
    <t>Total Other Income and Expense</t>
  </si>
  <si>
    <t>Net Income (Loss)</t>
  </si>
  <si>
    <t>14.  Proration to Funds Available (WFTE share)</t>
  </si>
  <si>
    <t>(k)</t>
  </si>
  <si>
    <t>If you have more than a 75% ESE student population, please place a 1 in the following box:</t>
  </si>
  <si>
    <t>PE / Athletic Directo</t>
  </si>
  <si>
    <t>Christopher Reiss</t>
  </si>
  <si>
    <t>Christopher</t>
  </si>
  <si>
    <t>Rovi-Garcia, Robyne</t>
  </si>
  <si>
    <t>Before/Aftercare Fees</t>
  </si>
  <si>
    <t xml:space="preserve">Debt Service (Principal/Premium) </t>
  </si>
  <si>
    <t>Other Contracted Services/Other Supplies</t>
  </si>
  <si>
    <t>Teacher Supply Assistance</t>
  </si>
  <si>
    <t>Debt Service - Amorization of Bond Premium</t>
  </si>
  <si>
    <t>Theresa</t>
  </si>
  <si>
    <t>Demaio, Amanda</t>
  </si>
  <si>
    <t>Amanda</t>
  </si>
  <si>
    <t>Demaio</t>
  </si>
  <si>
    <t>TSIA</t>
  </si>
  <si>
    <t>Under projected</t>
  </si>
  <si>
    <r>
      <t>Staff lounge cabinets and install, Replace compressor, Final pmt on roof, Fire system/Elevator, bus security system</t>
    </r>
    <r>
      <rPr>
        <b/>
        <i/>
        <sz val="8"/>
        <rFont val="Calibri"/>
        <family val="2"/>
      </rPr>
      <t>, fence</t>
    </r>
  </si>
  <si>
    <t>Dual Enrollment</t>
  </si>
  <si>
    <t>21.  Funding for the purpose of calculating the administrative fee for ESE charter schools.</t>
  </si>
  <si>
    <t>Joann Slay</t>
  </si>
  <si>
    <t>Music</t>
  </si>
  <si>
    <t>Alex</t>
  </si>
  <si>
    <t>Alex Bisignano</t>
  </si>
  <si>
    <t>Before/Aftercare</t>
  </si>
  <si>
    <t>Fundraising</t>
  </si>
  <si>
    <t>Technology/Instructional Computer Software</t>
  </si>
  <si>
    <t>Janitorial</t>
  </si>
  <si>
    <t>Guard/Security</t>
  </si>
  <si>
    <t>525-515-65-5101</t>
  </si>
  <si>
    <t>525-515-65-5201</t>
  </si>
  <si>
    <t>Music Supplies</t>
  </si>
  <si>
    <t>Art Supplies</t>
  </si>
  <si>
    <t>Accounting Period Ending: 8/31/2021</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</si>
  <si>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</si>
  <si>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Cornelius</t>
  </si>
  <si>
    <t>Jennifer Cornelius</t>
  </si>
  <si>
    <t>Leah</t>
  </si>
  <si>
    <t>Leah Corbett</t>
  </si>
  <si>
    <t>Morrow</t>
  </si>
  <si>
    <t xml:space="preserve">Madison Morrow </t>
  </si>
  <si>
    <t xml:space="preserve">Gr 2 </t>
  </si>
  <si>
    <t>Caitlyn Peters</t>
  </si>
  <si>
    <t>Christine Gomez</t>
  </si>
  <si>
    <t>Caitlyn</t>
  </si>
  <si>
    <t>Joseph Grosso</t>
  </si>
  <si>
    <t>Joseph</t>
  </si>
  <si>
    <t>Grosso</t>
  </si>
  <si>
    <t>Bryan Slozer</t>
  </si>
  <si>
    <t>Slozer</t>
  </si>
  <si>
    <t>Bryan</t>
  </si>
  <si>
    <t>Stipends for sports</t>
  </si>
  <si>
    <t xml:space="preserve">HR Manager </t>
  </si>
  <si>
    <t>Dorothy (Jeannie) Murphy</t>
  </si>
  <si>
    <t xml:space="preserve">Dorothy (Jeannie) </t>
  </si>
  <si>
    <t>Nurse/Reception</t>
  </si>
  <si>
    <t>AP</t>
  </si>
  <si>
    <t>Pam Herndon</t>
  </si>
  <si>
    <t>Pam</t>
  </si>
  <si>
    <t>Herndon</t>
  </si>
  <si>
    <t xml:space="preserve">Janitorial </t>
  </si>
  <si>
    <t>Frances Marrero</t>
  </si>
  <si>
    <t>Frances</t>
  </si>
  <si>
    <t>Marrero</t>
  </si>
  <si>
    <t xml:space="preserve">Aftercare/front Desk </t>
  </si>
  <si>
    <t xml:space="preserve">Aftercare </t>
  </si>
  <si>
    <t>Chambers, Damian</t>
  </si>
  <si>
    <t>Aftercare Leader</t>
  </si>
  <si>
    <t xml:space="preserve">Easterlings </t>
  </si>
  <si>
    <t>Chambers</t>
  </si>
  <si>
    <t>Damian</t>
  </si>
  <si>
    <t>Steve &amp; Lisa</t>
  </si>
  <si>
    <t xml:space="preserve">Easterling </t>
  </si>
  <si>
    <t>Aftercare</t>
  </si>
  <si>
    <t>Gibbings/Keyser</t>
  </si>
  <si>
    <t>Roger / Karyn</t>
  </si>
  <si>
    <t>Gibbings / Keyser</t>
  </si>
  <si>
    <t>Keyser/Bradstreet</t>
  </si>
  <si>
    <t>Angela / Andrew</t>
  </si>
  <si>
    <t>Keyser / Bradstreet</t>
  </si>
  <si>
    <t>Robyne</t>
  </si>
  <si>
    <t>Rovi-Garcia</t>
  </si>
  <si>
    <t xml:space="preserve">Pasco Sherrif </t>
  </si>
  <si>
    <t>Daily rate - $6880/month (343 per day)</t>
  </si>
  <si>
    <t>Johnson Fire and sprinker</t>
  </si>
  <si>
    <t>Johnson Securty</t>
  </si>
  <si>
    <t>annual - June</t>
  </si>
  <si>
    <t>annual - Jan</t>
  </si>
  <si>
    <t>Annual - Jan</t>
  </si>
  <si>
    <t>Quarterly - Aug, Nov, Feb, May</t>
  </si>
  <si>
    <t>Brian Cruz - IT</t>
  </si>
  <si>
    <t>Average monthly, paid hourly</t>
  </si>
  <si>
    <t>Monthly</t>
  </si>
  <si>
    <t>Southern Equipment - AC Filter change and AC check</t>
  </si>
  <si>
    <t>Iconic Cleaners</t>
  </si>
  <si>
    <t>Monthly cleaning</t>
  </si>
  <si>
    <t>Day porter</t>
  </si>
  <si>
    <t>Bond Funding</t>
  </si>
  <si>
    <t>Health Supplies</t>
  </si>
  <si>
    <t>Sports Program Revneue</t>
  </si>
  <si>
    <t>Offset by Sports Program Expense</t>
  </si>
  <si>
    <t xml:space="preserve">Adjusted projection </t>
  </si>
  <si>
    <t>Adjusted janitorial projections</t>
  </si>
  <si>
    <t>Under projected General Liab</t>
  </si>
  <si>
    <t>Offset by Sports Program Revneue</t>
  </si>
  <si>
    <t>Increased fundraising expense offset by revenue</t>
  </si>
  <si>
    <t>Briana Doherty                                                                                                                                                                                                                                                      Briana Doherty Benedicto</t>
  </si>
  <si>
    <t>Briana</t>
  </si>
  <si>
    <t>Doherty Benedicto</t>
  </si>
  <si>
    <t>Briana Doherty</t>
  </si>
  <si>
    <r>
      <t>Bus Insurance Proceeds, Cash donations,</t>
    </r>
    <r>
      <rPr>
        <b/>
        <i/>
        <sz val="8"/>
        <rFont val="Calibri"/>
        <family val="2"/>
        <scheme val="minor"/>
      </rPr>
      <t xml:space="preserve"> FL SUI Refund</t>
    </r>
  </si>
  <si>
    <r>
      <t xml:space="preserve">R&amp;M (AC, summer cleaning, elevator repairs, move mini split, </t>
    </r>
    <r>
      <rPr>
        <b/>
        <i/>
        <sz val="8"/>
        <rFont val="Calibri"/>
        <family val="2"/>
      </rPr>
      <t>paint &amp; repair exterior of bldg), Landscaping</t>
    </r>
  </si>
  <si>
    <t>Variance since last month</t>
  </si>
  <si>
    <r>
      <t>Intensive Reading Grant, Add'l ESSER II,</t>
    </r>
    <r>
      <rPr>
        <b/>
        <i/>
        <sz val="8"/>
        <rFont val="Calibri"/>
        <family val="2"/>
        <scheme val="minor"/>
      </rPr>
      <t xml:space="preserve"> ICP Grant.</t>
    </r>
  </si>
  <si>
    <t>underprojected</t>
  </si>
  <si>
    <t>Exterior Paint</t>
  </si>
  <si>
    <t>Increased Instructional Materials costs</t>
  </si>
  <si>
    <t>FTE=874 Actual plus Projections 12/31/21</t>
  </si>
  <si>
    <t>FTE=874 Board Approved</t>
  </si>
  <si>
    <t>Theresa Briggs</t>
  </si>
  <si>
    <t>Briggs</t>
  </si>
  <si>
    <t xml:space="preserve">longevity stipend additional </t>
  </si>
  <si>
    <t>Debt Service</t>
  </si>
  <si>
    <t>EBITDA</t>
  </si>
  <si>
    <t>DSR</t>
  </si>
  <si>
    <t>NI-Deprec</t>
  </si>
  <si>
    <t>1 Days Cash</t>
  </si>
  <si>
    <t>45 DCOH</t>
  </si>
  <si>
    <t xml:space="preserve">FY24 Preliminary Budget </t>
  </si>
  <si>
    <t xml:space="preserve"> Revenue Estimate Worksheet for Imagine School at Land O' Lakes</t>
  </si>
  <si>
    <t>Based on the 2022-23 FEFP Third Calculation</t>
  </si>
  <si>
    <t>1.   2022-23 FEFP State and Local Funding</t>
  </si>
  <si>
    <t>2022-23</t>
  </si>
  <si>
    <t>2022-23                             Base Funding                          (WFTE x BSA x DCD)</t>
  </si>
  <si>
    <t>6.   Safe Schools Allocation (UFTE share)</t>
  </si>
  <si>
    <t>7.   Instructional Materials Allocation (UFTE share)</t>
  </si>
  <si>
    <t>8.  Mental Health Assistance Allocation (UFTE share)</t>
  </si>
  <si>
    <t>9.  Total Funds Compression and Hold Harmless Allocation (UFTE share)</t>
  </si>
  <si>
    <t>10.  Sparsity Supplement (WFTE share)</t>
  </si>
  <si>
    <t>11.  Reading Allocation (WFTE share)</t>
  </si>
  <si>
    <t>12.  Discretionary Local Effort (WFTE share)</t>
  </si>
  <si>
    <t>13. Teacher Salary Increase Allocation Funds:</t>
  </si>
  <si>
    <t>Maintenance Portion (WFTE share)</t>
  </si>
  <si>
    <t>(c) (e) (j)</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</si>
  <si>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</si>
  <si>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</si>
  <si>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</si>
  <si>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</si>
  <si>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</si>
  <si>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</si>
  <si>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</si>
  <si>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20.  Total Less TSIA (for administrative fee calculation)</t>
  </si>
  <si>
    <t xml:space="preserve">(d) School districts are required to pay for instructional materials used for the instruction of public high school students who are earning credit toward high school graduation under the dual enrollment program as provided in s. 1011.62(1)(i), F.S.  </t>
  </si>
  <si>
    <t xml:space="preserve">(e) This allocation will be frozen as of the 2022-23 FEFP Second Calculation and will not be recalculated throughout the year. Charter school allocations should be distributed on weighted FTE (or base funding as is done in the FEFP) and are recommended not to be recalculated with fluctuations in student enrollment later in the year. </t>
  </si>
  <si>
    <t>(f)  Numbers entered here will be multiplied by the district level transportation funding per rider. "All Adjusted Fundable Riders" should include both basic and ESE Riders. "All Adjusted ESE Riders" should include only ESE Riders.</t>
  </si>
  <si>
    <t xml:space="preserve">(g) The Federally Connected Student Supplement provides additional funding for students on federal lands that receive Section 8003 impact aide pursuant to s. 1011.62(13), F.S. </t>
  </si>
  <si>
    <t>(h) Teacher Classroom Supply Assistance Program allocation pursuant to s. 1012.71, F.S., for certified teachers employed by a public school district or public charter school before September 1 of each year whose full-time or job-share responsibility is the classroom instruction of students in prekindergarten through grade 12, including full-time media specialists and certified school counselors serving students in prekindergarten through grade 12, who are funded through the FEFP.</t>
  </si>
  <si>
    <t xml:space="preserve">(i) Funding based on student eligibility and meals provided, if participating in the National School Lunch Program. </t>
  </si>
  <si>
    <t xml:space="preserve">(j) Consistent with s. 1002.33(20)(a)3, F.S., a school's sponsor may not charge or withhold any administrative fee against a charter school for any funds specfically allocated by the Legislature for teacher compensation. </t>
  </si>
  <si>
    <t>Teacher Salary Increase Maintenance Allocation</t>
  </si>
  <si>
    <t>Teacher Salary Increase Growth Allocation</t>
  </si>
  <si>
    <t>Total Funds Compression and Hold Harmless Allocation</t>
  </si>
  <si>
    <t>2022-23 Transportation Calculation</t>
  </si>
  <si>
    <t>9.  Total Funds Compression Allocation (UFTE share)</t>
  </si>
  <si>
    <t>13.  Proration to Funds Available (WFTE share)</t>
  </si>
  <si>
    <t>14.  Class size Reduction Funds</t>
  </si>
  <si>
    <t>15.  Student Transportation</t>
  </si>
  <si>
    <t>16.  Federally Connected Student Supplement (g)</t>
  </si>
  <si>
    <t>17.  Florida Teachers Classroom Supply Assistance Program</t>
  </si>
  <si>
    <t>18.  Food Service Allocation</t>
  </si>
  <si>
    <t xml:space="preserve">This tab of the worksheet is Set up to show estimated funding based on Unweighted FTE for charter schools with ESE populations of more than 75% so that </t>
  </si>
  <si>
    <t>FTE = 878    FY24 Preliminary Budget</t>
  </si>
  <si>
    <t>FY24 Prelim</t>
  </si>
  <si>
    <t>Actuals plus Projections Feb 2023</t>
  </si>
  <si>
    <t>tba (was Hutch)</t>
  </si>
  <si>
    <t xml:space="preserve">Jessica Smithson </t>
  </si>
  <si>
    <t>Jessica</t>
  </si>
  <si>
    <t>Emily Hess</t>
  </si>
  <si>
    <t>Emily</t>
  </si>
  <si>
    <t>Hess</t>
  </si>
  <si>
    <t>Cassiana Klotzbach(Lipke)</t>
  </si>
  <si>
    <t>Klotzbach(Lipke)</t>
  </si>
  <si>
    <t>Jessica McGinnis</t>
  </si>
  <si>
    <t>McGinnis</t>
  </si>
  <si>
    <t>Jessica Elsey</t>
  </si>
  <si>
    <t>Elsey</t>
  </si>
  <si>
    <t>Megan Richardson</t>
  </si>
  <si>
    <t>Megan</t>
  </si>
  <si>
    <t>Richardson</t>
  </si>
  <si>
    <t>Hadleigh Biggers</t>
  </si>
  <si>
    <t>Hadleigh</t>
  </si>
  <si>
    <t>Biggers</t>
  </si>
  <si>
    <t>Hanna Fisher</t>
  </si>
  <si>
    <t xml:space="preserve">Hanna </t>
  </si>
  <si>
    <t>Fisher</t>
  </si>
  <si>
    <t>Gracie Fonte</t>
  </si>
  <si>
    <t>Gracie</t>
  </si>
  <si>
    <t xml:space="preserve">tba (was Christie) </t>
  </si>
  <si>
    <t xml:space="preserve">tba (was Kalman) </t>
  </si>
  <si>
    <t>Nicole Grant</t>
  </si>
  <si>
    <t>Nicole</t>
  </si>
  <si>
    <t>Grant</t>
  </si>
  <si>
    <t>Adrian Denson</t>
  </si>
  <si>
    <t>Adrian</t>
  </si>
  <si>
    <t>Melissa Feldman</t>
  </si>
  <si>
    <t>Feldman</t>
  </si>
  <si>
    <t>Marisol Connell</t>
  </si>
  <si>
    <t>Marisol</t>
  </si>
  <si>
    <t>Lance Cromer</t>
  </si>
  <si>
    <t>Lance</t>
  </si>
  <si>
    <t>Cromer</t>
  </si>
  <si>
    <t>Dean</t>
  </si>
  <si>
    <t>Marrero, Ivan</t>
  </si>
  <si>
    <t>Ivan</t>
  </si>
  <si>
    <t>was Tedora</t>
  </si>
  <si>
    <t>Based on Worksheet from Pasco County School District</t>
  </si>
  <si>
    <t>FTE=890</t>
  </si>
  <si>
    <t>THIS NEEDS TO EQUAL 1.25 or higher</t>
  </si>
  <si>
    <t>Smitson</t>
  </si>
  <si>
    <t>Getz</t>
  </si>
  <si>
    <t>tba (was Bisignano)</t>
  </si>
  <si>
    <t>Ashley</t>
  </si>
  <si>
    <t>Ashley Getz</t>
  </si>
  <si>
    <t>tba (was Curran)</t>
  </si>
  <si>
    <t>Summer Camp Stipends</t>
  </si>
  <si>
    <t>Summer Camp</t>
  </si>
  <si>
    <t>District Fee</t>
  </si>
  <si>
    <t>Richard Arwood</t>
  </si>
  <si>
    <t>Richard</t>
  </si>
  <si>
    <t>Arwood</t>
  </si>
  <si>
    <t>Janitorial Café</t>
  </si>
  <si>
    <t>Ivan Marrero</t>
  </si>
  <si>
    <t>Amanda Demaio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</si>
</sst>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0%"/>
    <numFmt numFmtId="168" formatCode="#,##0.0000"/>
    <numFmt numFmtId="169" formatCode="0.000"/>
    <numFmt numFmtId="170" formatCode="0.0000"/>
    <numFmt numFmtId="171" formatCode="_-&quot;$&quot;* #,##0_-;\-&quot;$&quot;* #,##0_-;_-&quot;$&quot;* &quot;-&quot;??_-;_-@_-"/>
    <numFmt numFmtId="172" formatCode="0."/>
    <numFmt numFmtId="173" formatCode="&quot;$&quot;#,##0.00"/>
    <numFmt numFmtId="174" formatCode="#,##0.0000_);[Red]\(#,##0.0000\)"/>
    <numFmt numFmtId="175" formatCode="0.0%"/>
    <numFmt numFmtId="176" formatCode="_(&quot;$&quot;* #,##0_);_(&quot;$&quot;* \(#,##0\);_(&quot;$&quot;* &quot;-&quot;??_);_(@_)"/>
    <numFmt numFmtId="177" formatCode="_(* #,##0_);_(* \(#,##0\);_(* &quot;-&quot;??_);_(@_)"/>
    <numFmt numFmtId="178" formatCode="[$-409]mmm\-yy;@"/>
    <numFmt numFmtId="179" formatCode="#,###,##0.00;\(#,###,##0.00\)"/>
    <numFmt numFmtId="180" formatCode="m/d/yy;@"/>
    <numFmt numFmtId="181" formatCode="_(* #,##0.0000_);_(* \(#,##0.0000\);_(* &quot;-&quot;_);_(@_)"/>
    <numFmt numFmtId="182" formatCode="0.000%"/>
    <numFmt numFmtId="183" formatCode="_-* #,##0.00_-;\-* #,##0.00_-;_-* &quot;-&quot;_-;_-@_-"/>
    <numFmt numFmtId="184" formatCode="_(&quot;$&quot;* #,##0.0_);_(&quot;$&quot;* \(#,##0.0\);_(&quot;$&quot;* &quot;-&quot;_);_(@_)"/>
    <numFmt numFmtId="185" formatCode="#,###_);\(#,###\)"/>
    <numFmt numFmtId="186" formatCode="_(* #,##0.00_);_(* \(#,##0.00\);_(* &quot;-&quot;_);_(@_)"/>
    <numFmt numFmtId="187" formatCode="#,###.00_);\(#,###.00\)"/>
    <numFmt numFmtId="188" formatCode="&quot;$&quot;#,##0.0"/>
    <numFmt numFmtId="189" formatCode="&quot;$&quot;#,##0"/>
  </numFmts>
  <fonts count="102" x14ac:knownFonts="1">
    <font>
      <sz val="10"/>
      <name val="Arial"/>
    </font>
    <font>
      <sz val="11"/>
      <color theme="1"/>
      <name val="Calibri"/>
      <family val="2"/>
      <scheme val="minor"/>
    </font>
    <font>
      <b/>
      <sz val="10"/>
      <name val="Arial"/>
      <family val="2"/>
    </font>
    <font>
      <sz val="10"/>
      <name val="Arial"/>
      <family val="2"/>
    </font>
    <font>
      <b/>
      <sz val="12"/>
      <name val="Times New Roman"/>
      <family val="1"/>
    </font>
    <font>
      <b/>
      <sz val="14"/>
      <name val="Times New Roman"/>
      <family val="1"/>
    </font>
    <font>
      <sz val="12"/>
      <name val="Times New Roman"/>
      <family val="1"/>
    </font>
    <font>
      <b/>
      <sz val="12"/>
      <name val="Times New Roman"/>
      <family val="1"/>
    </font>
    <font>
      <b/>
      <u/>
      <sz val="12"/>
      <name val="Times New Roman"/>
      <family val="1"/>
    </font>
    <font>
      <b/>
      <sz val="12"/>
      <color indexed="10"/>
      <name val="Times New Roman"/>
      <family val="1"/>
    </font>
    <font>
      <b/>
      <i/>
      <sz val="12"/>
      <name val="Times New Roman"/>
      <family val="1"/>
    </font>
    <font>
      <sz val="12"/>
      <name val="Arial"/>
      <family val="2"/>
    </font>
    <font>
      <b/>
      <sz val="12"/>
      <name val="Arial"/>
      <family val="2"/>
    </font>
    <font>
      <sz val="12"/>
      <name val="Arial"/>
      <family val="2"/>
    </font>
    <font>
      <b/>
      <sz val="12"/>
      <color indexed="8"/>
      <name val="Times New Roman"/>
      <family val="1"/>
    </font>
    <font>
      <b/>
      <sz val="12"/>
      <color indexed="12"/>
      <name val="Times New Roman"/>
      <family val="1"/>
    </font>
    <font>
      <b/>
      <sz val="11"/>
      <name val="Times New Roman"/>
      <family val="1"/>
    </font>
    <font>
      <b/>
      <sz val="11"/>
      <color indexed="12"/>
      <name val="Times New Roman"/>
      <family val="1"/>
    </font>
    <font>
      <b/>
      <sz val="16"/>
      <name val="Times New Roman"/>
      <family val="1"/>
    </font>
    <font>
      <b/>
      <sz val="12"/>
      <color indexed="50"/>
      <name val="Times New Roman"/>
      <family val="1"/>
    </font>
    <font>
      <b/>
      <sz val="9"/>
      <name val="Arial"/>
      <family val="2"/>
    </font>
    <font>
      <b/>
      <sz val="9"/>
      <color indexed="8"/>
      <name val="Arial"/>
      <family val="2"/>
    </font>
    <font>
      <b/>
      <sz val="9"/>
      <color indexed="10"/>
      <name val="Arial"/>
      <family val="2"/>
    </font>
    <font>
      <b/>
      <sz val="9"/>
      <color indexed="49"/>
      <name val="Arial"/>
      <family val="2"/>
    </font>
    <font>
      <sz val="9"/>
      <name val="Arial"/>
      <family val="2"/>
    </font>
    <font>
      <sz val="9"/>
      <color indexed="8"/>
      <name val="Arial"/>
      <family val="2"/>
    </font>
    <font>
      <sz val="9"/>
      <color indexed="49"/>
      <name val="Arial"/>
      <family val="2"/>
    </font>
    <font>
      <sz val="9"/>
      <color indexed="10"/>
      <name val="Arial"/>
      <family val="2"/>
    </font>
    <font>
      <sz val="8"/>
      <name val="Arial"/>
      <family val="2"/>
    </font>
    <font>
      <b/>
      <sz val="10"/>
      <name val="Times New Roman"/>
      <family val="1"/>
    </font>
    <font>
      <sz val="10"/>
      <name val="Arial"/>
      <family val="2"/>
    </font>
    <font>
      <b/>
      <i/>
      <sz val="10"/>
      <name val="Times New Roman"/>
      <family val="1"/>
    </font>
    <font>
      <sz val="11"/>
      <name val="Arial"/>
      <family val="2"/>
    </font>
    <font>
      <i/>
      <sz val="11"/>
      <name val="Arial"/>
      <family val="2"/>
    </font>
    <font>
      <b/>
      <i/>
      <sz val="12"/>
      <name val="Arial"/>
      <family val="2"/>
    </font>
    <font>
      <b/>
      <sz val="12"/>
      <color indexed="30"/>
      <name val="Times New Roman"/>
      <family val="1"/>
    </font>
    <font>
      <i/>
      <sz val="12"/>
      <name val="Times New Roman"/>
      <family val="1"/>
    </font>
    <font>
      <b/>
      <sz val="10"/>
      <name val="Arial"/>
      <family val="2"/>
    </font>
    <font>
      <sz val="11"/>
      <color indexed="8"/>
      <name val="Calibri"/>
      <family val="2"/>
    </font>
    <font>
      <b/>
      <sz val="12"/>
      <color indexed="10"/>
      <name val="Times New Roman"/>
      <family val="1"/>
    </font>
    <font>
      <sz val="8"/>
      <name val="Arial"/>
      <family val="2"/>
    </font>
    <font>
      <b/>
      <u/>
      <sz val="12"/>
      <name val="Calibri"/>
      <family val="2"/>
    </font>
    <font>
      <sz val="10"/>
      <name val="Calibri"/>
      <family val="2"/>
    </font>
    <font>
      <i/>
      <sz val="10"/>
      <name val="Calibri"/>
      <family val="2"/>
    </font>
    <font>
      <b/>
      <sz val="12"/>
      <name val="Calibri"/>
      <family val="2"/>
    </font>
    <font>
      <b/>
      <sz val="10"/>
      <name val="Calibri"/>
      <family val="2"/>
    </font>
    <font>
      <b/>
      <i/>
      <sz val="10"/>
      <name val="Calibri"/>
      <family val="2"/>
    </font>
    <font>
      <b/>
      <i/>
      <sz val="12"/>
      <name val="Calibri"/>
      <family val="2"/>
    </font>
    <font>
      <i/>
      <sz val="10"/>
      <color indexed="8"/>
      <name val="Calibri"/>
      <family val="2"/>
    </font>
    <font>
      <sz val="10"/>
      <color indexed="8"/>
      <name val="Calibri"/>
      <family val="2"/>
    </font>
    <font>
      <u/>
      <sz val="10"/>
      <name val="Calibri"/>
      <family val="2"/>
    </font>
    <font>
      <b/>
      <i/>
      <u/>
      <sz val="10"/>
      <name val="Calibri"/>
      <family val="2"/>
    </font>
    <font>
      <i/>
      <sz val="10"/>
      <name val="Arial"/>
      <family val="2"/>
    </font>
    <font>
      <b/>
      <sz val="9"/>
      <color indexed="81"/>
      <name val="Tahoma"/>
      <family val="2"/>
    </font>
    <font>
      <sz val="9"/>
      <color indexed="81"/>
      <name val="Tahoma"/>
      <family val="2"/>
    </font>
    <font>
      <b/>
      <sz val="8"/>
      <color indexed="81"/>
      <name val="Tahoma"/>
      <family val="2"/>
    </font>
    <font>
      <b/>
      <sz val="14"/>
      <name val="Arial"/>
      <family val="2"/>
    </font>
    <font>
      <b/>
      <sz val="8"/>
      <name val="Arial"/>
      <family val="2"/>
    </font>
    <font>
      <sz val="14"/>
      <name val="Arial"/>
      <family val="2"/>
    </font>
    <font>
      <b/>
      <i/>
      <sz val="11"/>
      <name val="Arial"/>
      <family val="2"/>
    </font>
    <font>
      <sz val="10"/>
      <name val="Times New Roman"/>
      <family val="1"/>
    </font>
    <font>
      <sz val="10"/>
      <color indexed="8"/>
      <name val="Arial"/>
      <family val="2"/>
    </font>
    <font>
      <sz val="10"/>
      <name val="Arial"/>
      <family val="2"/>
    </font>
    <font>
      <sz val="10"/>
      <color indexed="0"/>
      <name val="Arial"/>
      <family val="2"/>
    </font>
    <font>
      <b/>
      <sz val="10"/>
      <color indexed="8"/>
      <name val="Calibri"/>
      <family val="2"/>
    </font>
    <font>
      <sz val="10"/>
      <color indexed="62"/>
      <name val="Calibri"/>
      <family val="2"/>
    </font>
    <font>
      <b/>
      <sz val="10"/>
      <color indexed="10"/>
      <name val="Calibri"/>
      <family val="2"/>
    </font>
    <font>
      <sz val="8"/>
      <name val="Calibri"/>
      <family val="2"/>
    </font>
    <font>
      <sz val="11"/>
      <color theme="1"/>
      <name val="Calibri"/>
      <family val="2"/>
      <scheme val="minor"/>
    </font>
    <font>
      <sz val="8"/>
      <name val="Calibri"/>
      <family val="2"/>
      <scheme val="minor"/>
    </font>
    <font>
      <b/>
      <sz val="8"/>
      <name val="Calibri"/>
      <family val="2"/>
      <scheme val="minor"/>
    </font>
    <font>
      <b/>
      <sz val="12"/>
      <color rgb="FFFF0000"/>
      <name val="Times New Roman"/>
      <family val="1"/>
    </font>
    <font>
      <sz val="10"/>
      <color rgb="FFFF0000"/>
      <name val="Calibri"/>
      <family val="2"/>
    </font>
    <font>
      <b/>
      <sz val="12"/>
      <color rgb="FF00B050"/>
      <name val="Times New Roman"/>
      <family val="1"/>
    </font>
    <font>
      <i/>
      <sz val="9"/>
      <color indexed="10"/>
      <name val="Times New Roman"/>
      <family val="1"/>
    </font>
    <font>
      <b/>
      <u/>
      <sz val="10"/>
      <name val="Times New Roman"/>
      <family val="1"/>
    </font>
    <font>
      <b/>
      <sz val="12"/>
      <color rgb="FF00B050"/>
      <name val="Arial"/>
      <family val="2"/>
    </font>
    <font>
      <sz val="10"/>
      <name val="Calibri"/>
      <family val="2"/>
      <scheme val="minor"/>
    </font>
    <font>
      <b/>
      <sz val="10"/>
      <name val="Calibri"/>
      <family val="2"/>
      <scheme val="minor"/>
    </font>
    <font>
      <b/>
      <sz val="8"/>
      <name val="Calibri"/>
      <family val="2"/>
    </font>
    <font>
      <sz val="8"/>
      <color indexed="81"/>
      <name val="Tahoma"/>
      <family val="2"/>
    </font>
    <font>
      <sz val="10"/>
      <color rgb="FFFF0000"/>
      <name val="Calibri"/>
      <family val="2"/>
      <scheme val="minor"/>
    </font>
    <font>
      <b/>
      <sz val="12"/>
      <name val="Calibri"/>
      <family val="2"/>
      <scheme val="minor"/>
    </font>
    <font>
      <b/>
      <i/>
      <sz val="8"/>
      <name val="Calibri"/>
      <family val="2"/>
    </font>
    <font>
      <b/>
      <i/>
      <sz val="8"/>
      <name val="Calibri"/>
      <family val="2"/>
      <scheme val="minor"/>
    </font>
    <font>
      <i/>
      <sz val="8"/>
      <name val="Calibri"/>
      <family val="2"/>
    </font>
    <font>
      <b/>
      <sz val="11"/>
      <name val="Arial"/>
      <family val="2"/>
    </font>
    <font>
      <b/>
      <sz val="9"/>
      <name val="Calibri"/>
      <family val="2"/>
    </font>
    <font>
      <sz val="10"/>
      <color theme="1"/>
      <name val="Calibri"/>
      <family val="2"/>
      <scheme val="minor"/>
    </font>
    <font>
      <i/>
      <sz val="8"/>
      <name val="Calibri"/>
      <family val="2"/>
      <scheme val="minor"/>
    </font>
    <font>
      <b/>
      <i/>
      <sz val="8"/>
      <color theme="1"/>
      <name val="Calibri"/>
      <family val="2"/>
      <scheme val="minor"/>
    </font>
    <font>
      <b/>
      <i/>
      <sz val="8"/>
      <color theme="1"/>
      <name val="Calibri"/>
      <family val="2"/>
    </font>
    <font>
      <sz val="8"/>
      <color theme="1"/>
      <name val="Calibri"/>
      <family val="2"/>
      <scheme val="minor"/>
    </font>
    <font>
      <sz val="10"/>
      <color theme="1"/>
      <name val="Calibri"/>
      <family val="2"/>
    </font>
    <font>
      <sz val="8"/>
      <color theme="1"/>
      <name val="Calibri"/>
      <family val="2"/>
    </font>
    <font>
      <sz val="8"/>
      <color rgb="FFFF0000"/>
      <name val="Calibri"/>
      <family val="2"/>
      <scheme val="minor"/>
    </font>
    <font>
      <sz val="11"/>
      <name val="Calibri"/>
      <family val="2"/>
    </font>
    <font>
      <b/>
      <sz val="8"/>
      <color rgb="FFFF0000"/>
      <name val="Calibri"/>
      <family val="2"/>
    </font>
    <font>
      <b/>
      <sz val="8"/>
      <color rgb="FFFF0000"/>
      <name val="Calibri"/>
      <family val="2"/>
      <scheme val="minor"/>
    </font>
    <font>
      <b/>
      <sz val="10"/>
      <name val="Arial"/>
      <family val="2"/>
    </font>
    <font>
      <sz val="9"/>
      <color indexed="81"/>
      <name val="Tahoma"/>
      <charset val="1"/>
    </font>
    <font>
      <b/>
      <sz val="9"/>
      <color indexed="81"/>
      <name val="Tahoma"/>
      <charset val="1"/>
    </font>
  </fonts>
  <fills count="2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11"/>
        <bgColor indexed="64"/>
      </patternFill>
    </fill>
    <fill>
      <patternFill patternType="solid">
        <fgColor indexed="42"/>
        <bgColor indexed="64"/>
      </patternFill>
    </fill>
    <fill>
      <patternFill patternType="solid">
        <fgColor indexed="50"/>
        <bgColor indexed="64"/>
      </patternFill>
    </fill>
    <fill>
      <patternFill patternType="solid">
        <fgColor indexed="48"/>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00FF00"/>
        <bgColor indexed="64"/>
      </patternFill>
    </fill>
    <fill>
      <patternFill patternType="solid">
        <fgColor rgb="FF00B0F0"/>
        <bgColor indexed="64"/>
      </patternFill>
    </fill>
    <fill>
      <patternFill patternType="solid">
        <fgColor rgb="FFFFFFFF"/>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CC"/>
        <bgColor indexed="64"/>
      </patternFill>
    </fill>
    <fill>
      <patternFill patternType="solid">
        <fgColor indexed="9"/>
      </patternFill>
    </fill>
    <fill>
      <patternFill patternType="solid">
        <fgColor theme="5"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9" tint="0.39997558519241921"/>
        <bgColor indexed="64"/>
      </patternFill>
    </fill>
  </fills>
  <borders count="114">
    <border>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top style="hair">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medium">
        <color indexed="64"/>
      </left>
      <right style="thin">
        <color indexed="64"/>
      </right>
      <top style="thin">
        <color indexed="64"/>
      </top>
      <bottom/>
      <diagonal/>
    </border>
    <border>
      <left style="hair">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right style="double">
        <color indexed="64"/>
      </right>
      <top style="double">
        <color indexed="64"/>
      </top>
      <bottom/>
      <diagonal/>
    </border>
    <border>
      <left/>
      <right/>
      <top style="double">
        <color indexed="64"/>
      </top>
      <bottom/>
      <diagonal/>
    </border>
    <border>
      <left style="double">
        <color indexed="64"/>
      </left>
      <right style="double">
        <color indexed="64"/>
      </right>
      <top style="double">
        <color indexed="64"/>
      </top>
      <bottom/>
      <diagonal/>
    </border>
    <border>
      <left/>
      <right style="double">
        <color indexed="64"/>
      </right>
      <top/>
      <bottom/>
      <diagonal/>
    </border>
    <border>
      <left style="double">
        <color indexed="64"/>
      </left>
      <right style="double">
        <color indexed="64"/>
      </right>
      <top/>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medium">
        <color indexed="64"/>
      </bottom>
      <diagonal/>
    </border>
    <border>
      <left style="double">
        <color indexed="64"/>
      </left>
      <right style="double">
        <color indexed="64"/>
      </right>
      <top/>
      <bottom style="thin">
        <color indexed="64"/>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hair">
        <color indexed="64"/>
      </left>
      <right/>
      <top style="medium">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bottom/>
      <diagonal/>
    </border>
    <border>
      <left/>
      <right/>
      <top style="medium">
        <color indexed="64"/>
      </top>
      <bottom/>
      <diagonal/>
    </border>
    <border>
      <left/>
      <right style="hair">
        <color indexed="64"/>
      </right>
      <top style="medium">
        <color indexed="64"/>
      </top>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style="double">
        <color indexed="64"/>
      </right>
      <top style="thin">
        <color indexed="64"/>
      </top>
      <bottom style="medium">
        <color indexed="64"/>
      </bottom>
      <diagonal/>
    </border>
    <border>
      <left/>
      <right style="double">
        <color indexed="64"/>
      </right>
      <top style="double">
        <color indexed="64"/>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right/>
      <top style="thin">
        <color indexed="8"/>
      </top>
      <bottom/>
      <diagonal/>
    </border>
    <border>
      <left/>
      <right/>
      <top style="double">
        <color indexed="8"/>
      </top>
      <bottom/>
      <diagonal/>
    </border>
    <border>
      <left/>
      <right/>
      <top/>
      <bottom style="double">
        <color rgb="FF000000"/>
      </bottom>
      <diagonal/>
    </border>
    <border>
      <left style="double">
        <color rgb="FF000000"/>
      </left>
      <right/>
      <top/>
      <bottom/>
      <diagonal/>
    </border>
    <border>
      <left style="double">
        <color indexed="64"/>
      </left>
      <right style="double">
        <color indexed="64"/>
      </right>
      <top style="double">
        <color indexed="64"/>
      </top>
      <bottom style="thin">
        <color indexed="64"/>
      </bottom>
      <diagonal/>
    </border>
    <border>
      <left/>
      <right style="medium">
        <color indexed="64"/>
      </right>
      <top/>
      <bottom style="medium">
        <color indexed="64"/>
      </bottom>
      <diagonal/>
    </border>
  </borders>
  <cellStyleXfs count="52">
    <xf numFmtId="0" fontId="0" fillId="0" borderId="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79" fontId="63" fillId="0" borderId="0"/>
    <xf numFmtId="0" fontId="3" fillId="0" borderId="0"/>
    <xf numFmtId="0" fontId="3" fillId="0" borderId="0"/>
    <xf numFmtId="0" fontId="3" fillId="0" borderId="0"/>
    <xf numFmtId="0" fontId="68" fillId="0" borderId="0"/>
    <xf numFmtId="0" fontId="3" fillId="0" borderId="0"/>
    <xf numFmtId="0" fontId="68" fillId="0" borderId="0"/>
    <xf numFmtId="0" fontId="61" fillId="0" borderId="0">
      <alignment vertical="top"/>
    </xf>
    <xf numFmtId="0" fontId="60" fillId="0" borderId="0"/>
    <xf numFmtId="9" fontId="3"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cellStyleXfs>
  <cellXfs count="1433">
    <xf numFmtId="0" fontId="0" fillId="0" borderId="0" xfId="0"/>
    <xf numFmtId="0" fontId="4" fillId="0" borderId="0" xfId="0" applyFont="1"/>
    <xf numFmtId="169" fontId="4" fillId="0" borderId="0" xfId="0" applyNumberFormat="1" applyFont="1"/>
    <xf numFmtId="4" fontId="4" fillId="0" borderId="0" xfId="0" applyNumberFormat="1" applyFont="1"/>
    <xf numFmtId="165" fontId="4" fillId="0" borderId="0" xfId="26" applyFont="1"/>
    <xf numFmtId="0" fontId="4" fillId="0" borderId="0" xfId="0" quotePrefix="1" applyFont="1"/>
    <xf numFmtId="0" fontId="4" fillId="0" borderId="0" xfId="0" applyFont="1" applyAlignment="1">
      <alignment horizontal="center"/>
    </xf>
    <xf numFmtId="4" fontId="4" fillId="0" borderId="0" xfId="0" quotePrefix="1" applyNumberFormat="1" applyFont="1" applyAlignment="1">
      <alignment horizontal="center"/>
    </xf>
    <xf numFmtId="0" fontId="4" fillId="0" borderId="0" xfId="0" quotePrefix="1" applyFont="1" applyAlignment="1">
      <alignment horizontal="center"/>
    </xf>
    <xf numFmtId="4" fontId="4" fillId="0" borderId="1" xfId="0" quotePrefix="1" applyNumberFormat="1" applyFont="1" applyBorder="1" applyAlignment="1">
      <alignment horizontal="center"/>
    </xf>
    <xf numFmtId="165" fontId="4" fillId="0" borderId="1" xfId="26" quotePrefix="1" applyFont="1" applyBorder="1" applyAlignment="1">
      <alignment horizontal="center"/>
    </xf>
    <xf numFmtId="171" fontId="4" fillId="0" borderId="1" xfId="26" applyNumberFormat="1" applyFont="1" applyBorder="1"/>
    <xf numFmtId="2" fontId="4" fillId="0" borderId="0" xfId="0" applyNumberFormat="1" applyFont="1"/>
    <xf numFmtId="166" fontId="4" fillId="0" borderId="0" xfId="13" applyFont="1" applyBorder="1"/>
    <xf numFmtId="167" fontId="4" fillId="0" borderId="0" xfId="0" applyNumberFormat="1" applyFont="1"/>
    <xf numFmtId="171" fontId="4" fillId="0" borderId="0" xfId="26" applyNumberFormat="1" applyFont="1" applyBorder="1"/>
    <xf numFmtId="0" fontId="7" fillId="0" borderId="0" xfId="0" applyFont="1"/>
    <xf numFmtId="169" fontId="7" fillId="0" borderId="0" xfId="0" applyNumberFormat="1" applyFont="1"/>
    <xf numFmtId="4" fontId="7" fillId="0" borderId="0" xfId="0" applyNumberFormat="1" applyFont="1"/>
    <xf numFmtId="165" fontId="7" fillId="0" borderId="0" xfId="26" applyFont="1"/>
    <xf numFmtId="3" fontId="4" fillId="0" borderId="1" xfId="0" applyNumberFormat="1" applyFont="1" applyBorder="1"/>
    <xf numFmtId="170" fontId="4" fillId="0" borderId="0" xfId="0" applyNumberFormat="1" applyFont="1"/>
    <xf numFmtId="168" fontId="4" fillId="0" borderId="1" xfId="0" applyNumberFormat="1" applyFont="1" applyBorder="1"/>
    <xf numFmtId="0" fontId="4" fillId="0" borderId="0" xfId="0" applyFont="1" applyAlignment="1">
      <alignment horizontal="left"/>
    </xf>
    <xf numFmtId="172" fontId="7" fillId="0" borderId="0" xfId="0" applyNumberFormat="1" applyFont="1" applyAlignment="1">
      <alignment horizontal="left"/>
    </xf>
    <xf numFmtId="171" fontId="4" fillId="0" borderId="0" xfId="0" applyNumberFormat="1" applyFont="1" applyAlignment="1">
      <alignment horizontal="left"/>
    </xf>
    <xf numFmtId="171" fontId="4" fillId="0" borderId="1" xfId="0" applyNumberFormat="1" applyFont="1" applyBorder="1" applyAlignment="1">
      <alignment horizontal="left"/>
    </xf>
    <xf numFmtId="4" fontId="6" fillId="0" borderId="0" xfId="0" applyNumberFormat="1" applyFont="1"/>
    <xf numFmtId="171" fontId="4" fillId="0" borderId="1" xfId="0" applyNumberFormat="1" applyFont="1" applyBorder="1"/>
    <xf numFmtId="166" fontId="4" fillId="0" borderId="0" xfId="13" applyFont="1" applyBorder="1" applyAlignment="1">
      <alignment horizontal="center"/>
    </xf>
    <xf numFmtId="0" fontId="11" fillId="0" borderId="0" xfId="0" applyFont="1"/>
    <xf numFmtId="38" fontId="0" fillId="0" borderId="2" xfId="0" applyNumberFormat="1" applyBorder="1"/>
    <xf numFmtId="38" fontId="0" fillId="0" borderId="3" xfId="0" applyNumberFormat="1" applyBorder="1"/>
    <xf numFmtId="38" fontId="0" fillId="0" borderId="4" xfId="0" applyNumberFormat="1" applyBorder="1"/>
    <xf numFmtId="38" fontId="0" fillId="0" borderId="0" xfId="0" applyNumberFormat="1"/>
    <xf numFmtId="0" fontId="4" fillId="0" borderId="0" xfId="0" applyFont="1" applyAlignment="1">
      <alignment horizontal="right"/>
    </xf>
    <xf numFmtId="4" fontId="11" fillId="0" borderId="0" xfId="0" applyNumberFormat="1" applyFont="1"/>
    <xf numFmtId="0" fontId="6" fillId="0" borderId="0" xfId="0" applyFont="1" applyAlignment="1">
      <alignment horizontal="right"/>
    </xf>
    <xf numFmtId="0" fontId="6" fillId="0" borderId="0" xfId="0" applyFont="1" applyAlignment="1">
      <alignment horizontal="center"/>
    </xf>
    <xf numFmtId="171" fontId="4" fillId="0" borderId="5" xfId="26" applyNumberFormat="1" applyFont="1" applyBorder="1"/>
    <xf numFmtId="171" fontId="4" fillId="0" borderId="0" xfId="0" applyNumberFormat="1" applyFont="1"/>
    <xf numFmtId="171" fontId="14" fillId="0" borderId="1" xfId="26" applyNumberFormat="1" applyFont="1" applyBorder="1"/>
    <xf numFmtId="171" fontId="4" fillId="0" borderId="6" xfId="26" applyNumberFormat="1" applyFont="1" applyBorder="1"/>
    <xf numFmtId="2" fontId="4" fillId="0" borderId="0" xfId="0" applyNumberFormat="1" applyFont="1" applyAlignment="1">
      <alignment horizontal="center"/>
    </xf>
    <xf numFmtId="0" fontId="10" fillId="0" borderId="0" xfId="0" applyFont="1"/>
    <xf numFmtId="0" fontId="9" fillId="0" borderId="7" xfId="0" applyFont="1" applyBorder="1"/>
    <xf numFmtId="166" fontId="4" fillId="0" borderId="0" xfId="13" applyFont="1" applyBorder="1" applyAlignment="1">
      <alignment horizontal="right"/>
    </xf>
    <xf numFmtId="171" fontId="4" fillId="0" borderId="8" xfId="26" applyNumberFormat="1" applyFont="1" applyBorder="1"/>
    <xf numFmtId="170" fontId="19" fillId="0" borderId="7" xfId="0" applyNumberFormat="1" applyFont="1" applyBorder="1"/>
    <xf numFmtId="170" fontId="19" fillId="0" borderId="7" xfId="0" applyNumberFormat="1" applyFont="1" applyBorder="1" applyAlignment="1">
      <alignment horizontal="center"/>
    </xf>
    <xf numFmtId="37" fontId="24" fillId="0" borderId="0" xfId="0" applyNumberFormat="1" applyFont="1"/>
    <xf numFmtId="170" fontId="25" fillId="0" borderId="0" xfId="0" applyNumberFormat="1" applyFont="1"/>
    <xf numFmtId="4" fontId="24" fillId="0" borderId="0" xfId="0" applyNumberFormat="1" applyFont="1"/>
    <xf numFmtId="164" fontId="24" fillId="0" borderId="0" xfId="0" applyNumberFormat="1" applyFont="1"/>
    <xf numFmtId="164" fontId="27" fillId="0" borderId="0" xfId="0" applyNumberFormat="1" applyFont="1" applyAlignment="1">
      <alignment horizontal="right"/>
    </xf>
    <xf numFmtId="37" fontId="20" fillId="0" borderId="1" xfId="0" applyNumberFormat="1" applyFont="1" applyBorder="1"/>
    <xf numFmtId="37" fontId="20" fillId="0" borderId="0" xfId="0" applyNumberFormat="1" applyFont="1"/>
    <xf numFmtId="164" fontId="20" fillId="0" borderId="0" xfId="0" applyNumberFormat="1" applyFont="1"/>
    <xf numFmtId="37" fontId="24" fillId="0" borderId="1" xfId="0" applyNumberFormat="1" applyFont="1" applyBorder="1"/>
    <xf numFmtId="164" fontId="27" fillId="0" borderId="0" xfId="0" applyNumberFormat="1" applyFont="1"/>
    <xf numFmtId="42" fontId="20" fillId="0" borderId="0" xfId="0" applyNumberFormat="1" applyFont="1"/>
    <xf numFmtId="170" fontId="21" fillId="0" borderId="0" xfId="0" applyNumberFormat="1" applyFont="1"/>
    <xf numFmtId="4" fontId="20" fillId="0" borderId="0" xfId="0" applyNumberFormat="1" applyFont="1"/>
    <xf numFmtId="42" fontId="24" fillId="0" borderId="0" xfId="0" applyNumberFormat="1" applyFont="1"/>
    <xf numFmtId="37" fontId="20" fillId="0" borderId="0" xfId="0" applyNumberFormat="1" applyFont="1" applyAlignment="1">
      <alignment horizontal="centerContinuous"/>
    </xf>
    <xf numFmtId="170" fontId="21" fillId="0" borderId="0" xfId="0" applyNumberFormat="1" applyFont="1" applyAlignment="1">
      <alignment horizontal="centerContinuous"/>
    </xf>
    <xf numFmtId="4" fontId="20" fillId="0" borderId="0" xfId="0" applyNumberFormat="1" applyFont="1" applyAlignment="1">
      <alignment horizontal="centerContinuous"/>
    </xf>
    <xf numFmtId="164" fontId="20" fillId="0" borderId="0" xfId="0" applyNumberFormat="1" applyFont="1" applyAlignment="1">
      <alignment horizontal="centerContinuous"/>
    </xf>
    <xf numFmtId="164" fontId="22" fillId="0" borderId="0" xfId="0" applyNumberFormat="1" applyFont="1" applyAlignment="1">
      <alignment horizontal="centerContinuous"/>
    </xf>
    <xf numFmtId="164" fontId="22" fillId="0" borderId="0" xfId="0" applyNumberFormat="1" applyFont="1" applyAlignment="1">
      <alignment horizontal="right"/>
    </xf>
    <xf numFmtId="164" fontId="22" fillId="0" borderId="0" xfId="0" applyNumberFormat="1" applyFont="1"/>
    <xf numFmtId="164" fontId="24" fillId="0" borderId="0" xfId="0" applyNumberFormat="1" applyFont="1" applyAlignment="1">
      <alignment horizontal="right"/>
    </xf>
    <xf numFmtId="3" fontId="2" fillId="0" borderId="0" xfId="0" applyNumberFormat="1" applyFont="1"/>
    <xf numFmtId="0" fontId="2" fillId="0" borderId="0" xfId="0" applyFont="1"/>
    <xf numFmtId="0" fontId="29" fillId="0" borderId="0" xfId="0" applyFont="1"/>
    <xf numFmtId="169" fontId="29" fillId="0" borderId="0" xfId="0" applyNumberFormat="1" applyFont="1"/>
    <xf numFmtId="4" fontId="29" fillId="0" borderId="0" xfId="0" applyNumberFormat="1" applyFont="1"/>
    <xf numFmtId="171" fontId="29" fillId="0" borderId="0" xfId="0" applyNumberFormat="1" applyFont="1"/>
    <xf numFmtId="4" fontId="29" fillId="0" borderId="0" xfId="0" quotePrefix="1" applyNumberFormat="1" applyFont="1" applyAlignment="1">
      <alignment horizontal="center"/>
    </xf>
    <xf numFmtId="0" fontId="30" fillId="0" borderId="0" xfId="0" applyFont="1"/>
    <xf numFmtId="170" fontId="4" fillId="0" borderId="9" xfId="0" applyNumberFormat="1" applyFont="1" applyBorder="1" applyAlignment="1">
      <alignment horizontal="center"/>
    </xf>
    <xf numFmtId="170" fontId="4" fillId="0" borderId="0" xfId="0" applyNumberFormat="1" applyFont="1" applyAlignment="1">
      <alignment horizontal="center"/>
    </xf>
    <xf numFmtId="171" fontId="4" fillId="0" borderId="10" xfId="0" applyNumberFormat="1" applyFont="1" applyBorder="1"/>
    <xf numFmtId="166" fontId="4" fillId="0" borderId="0" xfId="0" applyNumberFormat="1" applyFont="1"/>
    <xf numFmtId="165" fontId="4" fillId="0" borderId="0" xfId="26" applyFont="1" applyBorder="1"/>
    <xf numFmtId="174" fontId="0" fillId="0" borderId="1" xfId="0" applyNumberFormat="1" applyBorder="1"/>
    <xf numFmtId="174" fontId="0" fillId="0" borderId="0" xfId="0" applyNumberFormat="1"/>
    <xf numFmtId="38" fontId="0" fillId="0" borderId="11" xfId="0" applyNumberFormat="1" applyBorder="1"/>
    <xf numFmtId="38" fontId="0" fillId="0" borderId="12" xfId="0" applyNumberFormat="1" applyBorder="1"/>
    <xf numFmtId="40" fontId="0" fillId="0" borderId="13" xfId="0" applyNumberFormat="1" applyBorder="1"/>
    <xf numFmtId="40" fontId="0" fillId="0" borderId="2" xfId="0" applyNumberFormat="1" applyBorder="1"/>
    <xf numFmtId="40" fontId="0" fillId="0" borderId="3" xfId="0" applyNumberFormat="1" applyBorder="1"/>
    <xf numFmtId="174" fontId="0" fillId="0" borderId="14" xfId="0" applyNumberFormat="1" applyBorder="1"/>
    <xf numFmtId="38" fontId="0" fillId="0" borderId="13" xfId="0" applyNumberFormat="1" applyBorder="1"/>
    <xf numFmtId="164" fontId="26" fillId="2" borderId="0" xfId="0" applyNumberFormat="1" applyFont="1" applyFill="1"/>
    <xf numFmtId="164" fontId="21" fillId="2" borderId="0" xfId="0" applyNumberFormat="1" applyFont="1" applyFill="1"/>
    <xf numFmtId="3" fontId="2" fillId="2" borderId="0" xfId="0" applyNumberFormat="1" applyFont="1" applyFill="1"/>
    <xf numFmtId="164" fontId="23" fillId="2" borderId="0" xfId="0" applyNumberFormat="1" applyFont="1" applyFill="1" applyAlignment="1">
      <alignment horizontal="centerContinuous"/>
    </xf>
    <xf numFmtId="38" fontId="0" fillId="0" borderId="1" xfId="0" applyNumberFormat="1" applyBorder="1"/>
    <xf numFmtId="38" fontId="0" fillId="0" borderId="14" xfId="0" applyNumberFormat="1" applyBorder="1"/>
    <xf numFmtId="0" fontId="0" fillId="0" borderId="4" xfId="0" applyBorder="1"/>
    <xf numFmtId="0" fontId="0" fillId="0" borderId="12" xfId="0" applyBorder="1"/>
    <xf numFmtId="3" fontId="3" fillId="0" borderId="15" xfId="1" applyNumberFormat="1" applyBorder="1"/>
    <xf numFmtId="38" fontId="0" fillId="0" borderId="15" xfId="0" applyNumberFormat="1" applyBorder="1"/>
    <xf numFmtId="3" fontId="3" fillId="0" borderId="16" xfId="1" applyNumberFormat="1" applyBorder="1"/>
    <xf numFmtId="38" fontId="0" fillId="0" borderId="16" xfId="0" applyNumberFormat="1" applyBorder="1"/>
    <xf numFmtId="170" fontId="0" fillId="0" borderId="4" xfId="0" applyNumberFormat="1" applyBorder="1"/>
    <xf numFmtId="170" fontId="0" fillId="0" borderId="12" xfId="0" applyNumberFormat="1" applyBorder="1"/>
    <xf numFmtId="164" fontId="21" fillId="0" borderId="0" xfId="0" applyNumberFormat="1" applyFont="1"/>
    <xf numFmtId="164" fontId="23" fillId="0" borderId="0" xfId="0" applyNumberFormat="1" applyFont="1" applyAlignment="1">
      <alignment horizontal="centerContinuous"/>
    </xf>
    <xf numFmtId="164" fontId="26" fillId="0" borderId="0" xfId="0" applyNumberFormat="1" applyFont="1"/>
    <xf numFmtId="38" fontId="21" fillId="0" borderId="13" xfId="0" applyNumberFormat="1" applyFont="1" applyBorder="1"/>
    <xf numFmtId="38" fontId="21" fillId="0" borderId="2" xfId="0" applyNumberFormat="1" applyFont="1" applyBorder="1"/>
    <xf numFmtId="38" fontId="21" fillId="0" borderId="3" xfId="0" applyNumberFormat="1" applyFont="1" applyBorder="1"/>
    <xf numFmtId="38" fontId="2" fillId="0" borderId="0" xfId="0" applyNumberFormat="1" applyFont="1"/>
    <xf numFmtId="38" fontId="21" fillId="2" borderId="13" xfId="0" applyNumberFormat="1" applyFont="1" applyFill="1" applyBorder="1"/>
    <xf numFmtId="38" fontId="21" fillId="2" borderId="2" xfId="0" applyNumberFormat="1" applyFont="1" applyFill="1" applyBorder="1"/>
    <xf numFmtId="38" fontId="21" fillId="2" borderId="3" xfId="0" applyNumberFormat="1" applyFont="1" applyFill="1" applyBorder="1"/>
    <xf numFmtId="38" fontId="2" fillId="2" borderId="0" xfId="0" applyNumberFormat="1" applyFont="1" applyFill="1"/>
    <xf numFmtId="4" fontId="12" fillId="0" borderId="1" xfId="0" applyNumberFormat="1" applyFont="1" applyBorder="1" applyAlignment="1">
      <alignment horizontal="center"/>
    </xf>
    <xf numFmtId="168" fontId="12" fillId="0" borderId="1" xfId="0" applyNumberFormat="1" applyFont="1" applyBorder="1" applyAlignment="1">
      <alignment horizontal="center"/>
    </xf>
    <xf numFmtId="0" fontId="5" fillId="0" borderId="0" xfId="0" applyFont="1"/>
    <xf numFmtId="4" fontId="4" fillId="0" borderId="0" xfId="0" applyNumberFormat="1" applyFont="1" applyAlignment="1">
      <alignment horizontal="center" wrapText="1"/>
    </xf>
    <xf numFmtId="165" fontId="4" fillId="0" borderId="0" xfId="26" applyFont="1" applyAlignment="1">
      <alignment horizontal="center" wrapText="1"/>
    </xf>
    <xf numFmtId="0" fontId="4" fillId="0" borderId="1" xfId="0" applyFont="1" applyBorder="1"/>
    <xf numFmtId="0" fontId="4" fillId="0" borderId="14" xfId="0" applyFont="1" applyBorder="1" applyAlignment="1">
      <alignment horizontal="center"/>
    </xf>
    <xf numFmtId="0" fontId="14" fillId="0" borderId="1" xfId="0" applyFont="1" applyBorder="1" applyAlignment="1">
      <alignment horizontal="center" wrapText="1"/>
    </xf>
    <xf numFmtId="16" fontId="4" fillId="0" borderId="0" xfId="0" quotePrefix="1" applyNumberFormat="1" applyFont="1" applyAlignment="1">
      <alignment horizontal="right"/>
    </xf>
    <xf numFmtId="0" fontId="4" fillId="0" borderId="0" xfId="0" quotePrefix="1" applyFont="1" applyAlignment="1">
      <alignment horizontal="right"/>
    </xf>
    <xf numFmtId="0" fontId="8" fillId="0" borderId="0" xfId="0" applyFont="1" applyAlignment="1">
      <alignment horizontal="center"/>
    </xf>
    <xf numFmtId="0" fontId="4" fillId="0" borderId="1" xfId="0" applyFont="1" applyBorder="1" applyAlignment="1">
      <alignment horizontal="center" wrapText="1"/>
    </xf>
    <xf numFmtId="0" fontId="4" fillId="0" borderId="6" xfId="0" applyFont="1" applyBorder="1"/>
    <xf numFmtId="170" fontId="21" fillId="0" borderId="1" xfId="0" applyNumberFormat="1" applyFont="1" applyBorder="1" applyAlignment="1">
      <alignment horizontal="center" wrapText="1"/>
    </xf>
    <xf numFmtId="4" fontId="20" fillId="0" borderId="1" xfId="0" applyNumberFormat="1" applyFont="1" applyBorder="1" applyAlignment="1">
      <alignment horizontal="center" wrapText="1"/>
    </xf>
    <xf numFmtId="164" fontId="20" fillId="0" borderId="1" xfId="0" applyNumberFormat="1" applyFont="1" applyBorder="1" applyAlignment="1">
      <alignment horizontal="center" wrapText="1"/>
    </xf>
    <xf numFmtId="37" fontId="20" fillId="0" borderId="1" xfId="0" applyNumberFormat="1" applyFont="1" applyBorder="1" applyAlignment="1">
      <alignment horizontal="center" wrapText="1"/>
    </xf>
    <xf numFmtId="164" fontId="20" fillId="2" borderId="1" xfId="0" applyNumberFormat="1" applyFont="1" applyFill="1" applyBorder="1" applyAlignment="1">
      <alignment horizontal="center" wrapText="1"/>
    </xf>
    <xf numFmtId="164" fontId="21" fillId="2" borderId="17" xfId="0" applyNumberFormat="1" applyFont="1" applyFill="1" applyBorder="1"/>
    <xf numFmtId="164" fontId="21" fillId="2" borderId="15" xfId="0" applyNumberFormat="1" applyFont="1" applyFill="1" applyBorder="1"/>
    <xf numFmtId="164" fontId="21" fillId="2" borderId="16" xfId="0" applyNumberFormat="1" applyFont="1" applyFill="1" applyBorder="1"/>
    <xf numFmtId="39" fontId="24" fillId="0" borderId="0" xfId="0" applyNumberFormat="1" applyFont="1"/>
    <xf numFmtId="164" fontId="26" fillId="0" borderId="0" xfId="0" applyNumberFormat="1" applyFont="1" applyAlignment="1">
      <alignment horizontal="right"/>
    </xf>
    <xf numFmtId="164" fontId="23" fillId="0" borderId="0" xfId="0" applyNumberFormat="1" applyFont="1" applyAlignment="1">
      <alignment horizontal="right"/>
    </xf>
    <xf numFmtId="164" fontId="21" fillId="2" borderId="13" xfId="0" applyNumberFormat="1" applyFont="1" applyFill="1" applyBorder="1"/>
    <xf numFmtId="164" fontId="21" fillId="2" borderId="2" xfId="0" applyNumberFormat="1" applyFont="1" applyFill="1" applyBorder="1"/>
    <xf numFmtId="164" fontId="21" fillId="2" borderId="3" xfId="0" applyNumberFormat="1" applyFont="1" applyFill="1" applyBorder="1"/>
    <xf numFmtId="4" fontId="4" fillId="0" borderId="0" xfId="0" quotePrefix="1" applyNumberFormat="1" applyFont="1" applyAlignment="1">
      <alignment horizontal="left" indent="2"/>
    </xf>
    <xf numFmtId="4" fontId="4" fillId="0" borderId="0" xfId="0" applyNumberFormat="1" applyFont="1" applyAlignment="1">
      <alignment horizontal="left" indent="2"/>
    </xf>
    <xf numFmtId="0" fontId="37" fillId="0" borderId="0" xfId="28" applyFont="1"/>
    <xf numFmtId="0" fontId="3" fillId="0" borderId="0" xfId="28"/>
    <xf numFmtId="0" fontId="3" fillId="0" borderId="18" xfId="28" applyBorder="1"/>
    <xf numFmtId="0" fontId="3" fillId="0" borderId="6" xfId="28" applyBorder="1"/>
    <xf numFmtId="0" fontId="3" fillId="0" borderId="0" xfId="28" applyAlignment="1">
      <alignment horizontal="center"/>
    </xf>
    <xf numFmtId="0" fontId="3" fillId="0" borderId="19" xfId="28" applyBorder="1"/>
    <xf numFmtId="0" fontId="3" fillId="0" borderId="17" xfId="28" applyBorder="1"/>
    <xf numFmtId="0" fontId="3" fillId="0" borderId="11" xfId="28" applyBorder="1"/>
    <xf numFmtId="0" fontId="3" fillId="0" borderId="14" xfId="28" applyBorder="1"/>
    <xf numFmtId="0" fontId="3" fillId="0" borderId="13" xfId="28" applyBorder="1" applyAlignment="1">
      <alignment horizontal="center"/>
    </xf>
    <xf numFmtId="0" fontId="3" fillId="0" borderId="15" xfId="28" applyBorder="1"/>
    <xf numFmtId="0" fontId="3" fillId="0" borderId="4" xfId="28" applyBorder="1"/>
    <xf numFmtId="0" fontId="3" fillId="0" borderId="4" xfId="28" applyBorder="1" applyAlignment="1">
      <alignment horizontal="center"/>
    </xf>
    <xf numFmtId="0" fontId="3" fillId="0" borderId="2" xfId="28" applyBorder="1" applyAlignment="1">
      <alignment horizontal="center"/>
    </xf>
    <xf numFmtId="0" fontId="3" fillId="0" borderId="15" xfId="28" applyBorder="1" applyAlignment="1">
      <alignment horizontal="center"/>
    </xf>
    <xf numFmtId="0" fontId="3" fillId="0" borderId="16" xfId="28" applyBorder="1" applyAlignment="1">
      <alignment horizontal="center"/>
    </xf>
    <xf numFmtId="0" fontId="3" fillId="0" borderId="1" xfId="28" applyBorder="1" applyAlignment="1">
      <alignment horizontal="center"/>
    </xf>
    <xf numFmtId="0" fontId="3" fillId="0" borderId="12" xfId="28" applyBorder="1" applyAlignment="1">
      <alignment horizontal="center"/>
    </xf>
    <xf numFmtId="0" fontId="3" fillId="0" borderId="16" xfId="28" applyBorder="1"/>
    <xf numFmtId="0" fontId="3" fillId="0" borderId="12" xfId="28" applyBorder="1"/>
    <xf numFmtId="0" fontId="3" fillId="0" borderId="1" xfId="28" quotePrefix="1" applyBorder="1" applyAlignment="1">
      <alignment horizontal="center"/>
    </xf>
    <xf numFmtId="0" fontId="3" fillId="0" borderId="12" xfId="28" quotePrefix="1" applyBorder="1" applyAlignment="1">
      <alignment horizontal="center"/>
    </xf>
    <xf numFmtId="0" fontId="3" fillId="0" borderId="0" xfId="28" quotePrefix="1" applyAlignment="1">
      <alignment horizontal="center"/>
    </xf>
    <xf numFmtId="0" fontId="3" fillId="0" borderId="18" xfId="28" quotePrefix="1" applyBorder="1" applyAlignment="1">
      <alignment horizontal="center"/>
    </xf>
    <xf numFmtId="0" fontId="3" fillId="0" borderId="6" xfId="28" quotePrefix="1" applyBorder="1" applyAlignment="1">
      <alignment horizontal="center"/>
    </xf>
    <xf numFmtId="0" fontId="3" fillId="0" borderId="20" xfId="28" quotePrefix="1" applyBorder="1" applyAlignment="1">
      <alignment horizontal="center"/>
    </xf>
    <xf numFmtId="0" fontId="3" fillId="0" borderId="19" xfId="28" quotePrefix="1" applyBorder="1" applyAlignment="1">
      <alignment horizontal="center"/>
    </xf>
    <xf numFmtId="3" fontId="3" fillId="0" borderId="0" xfId="28" applyNumberFormat="1"/>
    <xf numFmtId="4" fontId="3" fillId="0" borderId="0" xfId="28" applyNumberFormat="1"/>
    <xf numFmtId="3" fontId="3" fillId="0" borderId="4" xfId="28" applyNumberFormat="1" applyBorder="1"/>
    <xf numFmtId="3" fontId="3" fillId="0" borderId="17" xfId="28" applyNumberFormat="1" applyBorder="1"/>
    <xf numFmtId="4" fontId="3" fillId="0" borderId="14" xfId="28" applyNumberFormat="1" applyBorder="1"/>
    <xf numFmtId="37" fontId="3" fillId="0" borderId="11" xfId="28" applyNumberFormat="1" applyBorder="1"/>
    <xf numFmtId="37" fontId="3" fillId="0" borderId="0" xfId="28" applyNumberFormat="1"/>
    <xf numFmtId="37" fontId="3" fillId="0" borderId="2" xfId="28" applyNumberFormat="1" applyBorder="1"/>
    <xf numFmtId="3" fontId="3" fillId="0" borderId="15" xfId="28" applyNumberFormat="1" applyBorder="1"/>
    <xf numFmtId="37" fontId="3" fillId="0" borderId="4" xfId="28" applyNumberFormat="1" applyBorder="1"/>
    <xf numFmtId="3" fontId="3" fillId="0" borderId="16" xfId="28" applyNumberFormat="1" applyBorder="1"/>
    <xf numFmtId="4" fontId="3" fillId="0" borderId="1" xfId="28" applyNumberFormat="1" applyBorder="1"/>
    <xf numFmtId="37" fontId="3" fillId="0" borderId="12" xfId="28" applyNumberFormat="1" applyBorder="1"/>
    <xf numFmtId="3" fontId="3" fillId="0" borderId="11" xfId="28" applyNumberFormat="1" applyBorder="1"/>
    <xf numFmtId="37" fontId="3" fillId="0" borderId="13" xfId="28" applyNumberFormat="1" applyBorder="1"/>
    <xf numFmtId="3" fontId="3" fillId="0" borderId="12" xfId="28" applyNumberFormat="1" applyBorder="1"/>
    <xf numFmtId="37" fontId="3" fillId="0" borderId="3" xfId="28" applyNumberFormat="1" applyBorder="1"/>
    <xf numFmtId="0" fontId="3" fillId="0" borderId="17" xfId="28" applyBorder="1" applyAlignment="1">
      <alignment horizontal="center"/>
    </xf>
    <xf numFmtId="3" fontId="3" fillId="0" borderId="1" xfId="28" applyNumberFormat="1" applyBorder="1"/>
    <xf numFmtId="0" fontId="3" fillId="0" borderId="1" xfId="28" applyBorder="1"/>
    <xf numFmtId="0" fontId="37" fillId="0" borderId="0" xfId="28" applyFont="1" applyAlignment="1">
      <alignment horizontal="center"/>
    </xf>
    <xf numFmtId="4" fontId="39" fillId="0" borderId="1" xfId="0" quotePrefix="1" applyNumberFormat="1" applyFont="1" applyBorder="1" applyAlignment="1">
      <alignment horizontal="left" indent="2"/>
    </xf>
    <xf numFmtId="4" fontId="39" fillId="0" borderId="6" xfId="0" quotePrefix="1" applyNumberFormat="1" applyFont="1" applyBorder="1" applyAlignment="1">
      <alignment horizontal="left" indent="2"/>
    </xf>
    <xf numFmtId="44" fontId="4" fillId="0" borderId="0" xfId="0" applyNumberFormat="1" applyFont="1"/>
    <xf numFmtId="0" fontId="39" fillId="0" borderId="0" xfId="0" applyFont="1" applyAlignment="1">
      <alignment horizontal="left"/>
    </xf>
    <xf numFmtId="3" fontId="4" fillId="0" borderId="0" xfId="0" quotePrefix="1" applyNumberFormat="1" applyFont="1" applyAlignment="1">
      <alignment horizontal="left" indent="4"/>
    </xf>
    <xf numFmtId="3" fontId="4" fillId="0" borderId="0" xfId="0" quotePrefix="1" applyNumberFormat="1" applyFont="1" applyAlignment="1">
      <alignment horizontal="left" indent="5"/>
    </xf>
    <xf numFmtId="169" fontId="4" fillId="0" borderId="0" xfId="0" quotePrefix="1" applyNumberFormat="1" applyFont="1"/>
    <xf numFmtId="10" fontId="24" fillId="0" borderId="0" xfId="36" applyNumberFormat="1" applyFont="1" applyBorder="1"/>
    <xf numFmtId="4" fontId="15" fillId="0" borderId="0" xfId="0" applyNumberFormat="1" applyFont="1"/>
    <xf numFmtId="164" fontId="20" fillId="2" borderId="0" xfId="0" applyNumberFormat="1" applyFont="1" applyFill="1" applyAlignment="1">
      <alignment horizontal="center" wrapText="1"/>
    </xf>
    <xf numFmtId="38" fontId="0" fillId="0" borderId="17" xfId="0" applyNumberFormat="1" applyBorder="1"/>
    <xf numFmtId="37" fontId="20" fillId="2" borderId="0" xfId="0" applyNumberFormat="1" applyFont="1" applyFill="1"/>
    <xf numFmtId="37" fontId="20" fillId="2" borderId="0" xfId="0" quotePrefix="1" applyNumberFormat="1" applyFont="1" applyFill="1"/>
    <xf numFmtId="0" fontId="41" fillId="0" borderId="21" xfId="28" applyFont="1" applyBorder="1"/>
    <xf numFmtId="0" fontId="42" fillId="0" borderId="0" xfId="28" applyFont="1"/>
    <xf numFmtId="0" fontId="42" fillId="0" borderId="19" xfId="28" applyFont="1" applyBorder="1" applyAlignment="1">
      <alignment horizontal="left"/>
    </xf>
    <xf numFmtId="10" fontId="42" fillId="3" borderId="19" xfId="37" applyNumberFormat="1" applyFont="1" applyFill="1" applyBorder="1" applyAlignment="1" applyProtection="1">
      <alignment horizontal="center"/>
      <protection locked="0"/>
    </xf>
    <xf numFmtId="43" fontId="43" fillId="0" borderId="0" xfId="3" applyFont="1" applyBorder="1" applyAlignment="1" applyProtection="1">
      <alignment horizontal="left"/>
    </xf>
    <xf numFmtId="0" fontId="42" fillId="0" borderId="0" xfId="28" applyFont="1" applyAlignment="1">
      <alignment horizontal="left"/>
    </xf>
    <xf numFmtId="0" fontId="42" fillId="0" borderId="21" xfId="28" applyFont="1" applyBorder="1"/>
    <xf numFmtId="0" fontId="44" fillId="0" borderId="0" xfId="28" applyFont="1" applyAlignment="1">
      <alignment horizontal="left"/>
    </xf>
    <xf numFmtId="41" fontId="45" fillId="0" borderId="17" xfId="28" applyNumberFormat="1" applyFont="1" applyBorder="1" applyAlignment="1">
      <alignment horizontal="right"/>
    </xf>
    <xf numFmtId="41" fontId="45" fillId="0" borderId="19" xfId="28" applyNumberFormat="1" applyFont="1" applyBorder="1" applyAlignment="1">
      <alignment horizontal="right"/>
    </xf>
    <xf numFmtId="0" fontId="42" fillId="0" borderId="19" xfId="28" applyFont="1" applyBorder="1"/>
    <xf numFmtId="44" fontId="42" fillId="3" borderId="19" xfId="28" applyNumberFormat="1" applyFont="1" applyFill="1" applyBorder="1" applyProtection="1">
      <protection locked="0"/>
    </xf>
    <xf numFmtId="41" fontId="42" fillId="0" borderId="19" xfId="28" applyNumberFormat="1" applyFont="1" applyBorder="1"/>
    <xf numFmtId="41" fontId="42" fillId="3" borderId="19" xfId="28" applyNumberFormat="1" applyFont="1" applyFill="1" applyBorder="1" applyProtection="1">
      <protection locked="0"/>
    </xf>
    <xf numFmtId="0" fontId="46" fillId="0" borderId="0" xfId="28" applyFont="1"/>
    <xf numFmtId="0" fontId="43" fillId="0" borderId="0" xfId="28" applyFont="1"/>
    <xf numFmtId="0" fontId="45" fillId="0" borderId="19" xfId="28" applyFont="1" applyBorder="1" applyAlignment="1">
      <alignment horizontal="right"/>
    </xf>
    <xf numFmtId="176" fontId="42" fillId="3" borderId="19" xfId="28" applyNumberFormat="1" applyFont="1" applyFill="1" applyBorder="1"/>
    <xf numFmtId="0" fontId="45" fillId="0" borderId="0" xfId="28" applyFont="1"/>
    <xf numFmtId="176" fontId="42" fillId="0" borderId="0" xfId="28" applyNumberFormat="1" applyFont="1"/>
    <xf numFmtId="176" fontId="42" fillId="0" borderId="0" xfId="28" applyNumberFormat="1" applyFont="1" applyProtection="1">
      <protection locked="0"/>
    </xf>
    <xf numFmtId="0" fontId="44" fillId="0" borderId="0" xfId="30" applyFont="1"/>
    <xf numFmtId="175" fontId="42" fillId="0" borderId="0" xfId="28" applyNumberFormat="1" applyFont="1" applyAlignment="1">
      <alignment horizontal="center"/>
    </xf>
    <xf numFmtId="9" fontId="42" fillId="0" borderId="19" xfId="30" applyNumberFormat="1" applyFont="1" applyBorder="1" applyAlignment="1">
      <alignment horizontal="right" vertical="top"/>
    </xf>
    <xf numFmtId="3" fontId="42" fillId="0" borderId="19" xfId="30" applyNumberFormat="1" applyFont="1" applyBorder="1" applyAlignment="1">
      <alignment horizontal="right" vertical="top"/>
    </xf>
    <xf numFmtId="0" fontId="42" fillId="0" borderId="19" xfId="28" applyFont="1" applyBorder="1" applyAlignment="1">
      <alignment horizontal="right"/>
    </xf>
    <xf numFmtId="3" fontId="42" fillId="0" borderId="19" xfId="28" applyNumberFormat="1" applyFont="1" applyBorder="1" applyAlignment="1">
      <alignment horizontal="right"/>
    </xf>
    <xf numFmtId="3" fontId="45" fillId="0" borderId="19" xfId="28" applyNumberFormat="1" applyFont="1" applyBorder="1" applyAlignment="1">
      <alignment horizontal="right"/>
    </xf>
    <xf numFmtId="0" fontId="42" fillId="0" borderId="0" xfId="28" applyFont="1" applyAlignment="1">
      <alignment horizontal="right"/>
    </xf>
    <xf numFmtId="3" fontId="42" fillId="0" borderId="0" xfId="28" applyNumberFormat="1" applyFont="1" applyAlignment="1">
      <alignment horizontal="right"/>
    </xf>
    <xf numFmtId="0" fontId="47" fillId="0" borderId="0" xfId="28" applyFont="1"/>
    <xf numFmtId="0" fontId="45" fillId="0" borderId="0" xfId="28" applyFont="1" applyAlignment="1">
      <alignment horizontal="left"/>
    </xf>
    <xf numFmtId="0" fontId="42" fillId="3" borderId="19" xfId="28" applyFont="1" applyFill="1" applyBorder="1" applyProtection="1">
      <protection locked="0"/>
    </xf>
    <xf numFmtId="42" fontId="45" fillId="0" borderId="19" xfId="28" applyNumberFormat="1" applyFont="1" applyBorder="1"/>
    <xf numFmtId="0" fontId="45" fillId="0" borderId="21" xfId="28" applyFont="1" applyBorder="1"/>
    <xf numFmtId="0" fontId="45" fillId="0" borderId="0" xfId="28" applyFont="1" applyAlignment="1">
      <alignment horizontal="right"/>
    </xf>
    <xf numFmtId="10" fontId="42" fillId="0" borderId="19" xfId="28" applyNumberFormat="1" applyFont="1" applyBorder="1"/>
    <xf numFmtId="0" fontId="48" fillId="0" borderId="0" xfId="28" applyFont="1"/>
    <xf numFmtId="0" fontId="49" fillId="0" borderId="0" xfId="28" applyFont="1"/>
    <xf numFmtId="10" fontId="42" fillId="0" borderId="22" xfId="28" applyNumberFormat="1" applyFont="1" applyBorder="1"/>
    <xf numFmtId="43" fontId="0" fillId="0" borderId="0" xfId="0" applyNumberFormat="1"/>
    <xf numFmtId="10" fontId="45" fillId="0" borderId="3" xfId="28" applyNumberFormat="1" applyFont="1" applyBorder="1"/>
    <xf numFmtId="39" fontId="42" fillId="0" borderId="0" xfId="28" applyNumberFormat="1" applyFont="1"/>
    <xf numFmtId="0" fontId="44" fillId="0" borderId="0" xfId="28" applyFont="1"/>
    <xf numFmtId="0" fontId="50" fillId="0" borderId="0" xfId="28" applyFont="1" applyAlignment="1">
      <alignment horizontal="left"/>
    </xf>
    <xf numFmtId="9" fontId="42" fillId="3" borderId="19" xfId="28" applyNumberFormat="1" applyFont="1" applyFill="1" applyBorder="1" applyProtection="1">
      <protection locked="0"/>
    </xf>
    <xf numFmtId="0" fontId="42" fillId="0" borderId="0" xfId="0" applyFont="1"/>
    <xf numFmtId="43" fontId="42" fillId="0" borderId="0" xfId="28" applyNumberFormat="1" applyFont="1"/>
    <xf numFmtId="41" fontId="42" fillId="0" borderId="0" xfId="28" applyNumberFormat="1" applyFont="1"/>
    <xf numFmtId="9" fontId="42" fillId="0" borderId="0" xfId="28" applyNumberFormat="1" applyFont="1"/>
    <xf numFmtId="41" fontId="0" fillId="0" borderId="0" xfId="0" applyNumberFormat="1"/>
    <xf numFmtId="39" fontId="0" fillId="0" borderId="0" xfId="0" applyNumberFormat="1"/>
    <xf numFmtId="177" fontId="42" fillId="0" borderId="0" xfId="28" applyNumberFormat="1" applyFont="1"/>
    <xf numFmtId="0" fontId="45" fillId="0" borderId="23" xfId="28" applyFont="1" applyBorder="1" applyAlignment="1">
      <alignment horizontal="center"/>
    </xf>
    <xf numFmtId="0" fontId="45" fillId="0" borderId="7" xfId="28" applyFont="1" applyBorder="1" applyAlignment="1">
      <alignment horizontal="center"/>
    </xf>
    <xf numFmtId="0" fontId="45" fillId="0" borderId="24" xfId="28" applyFont="1" applyBorder="1" applyAlignment="1">
      <alignment horizontal="center"/>
    </xf>
    <xf numFmtId="0" fontId="42" fillId="0" borderId="25" xfId="28" applyFont="1" applyBorder="1"/>
    <xf numFmtId="14" fontId="42" fillId="0" borderId="3" xfId="28" applyNumberFormat="1" applyFont="1" applyBorder="1" applyAlignment="1">
      <alignment horizontal="center"/>
    </xf>
    <xf numFmtId="37" fontId="42" fillId="0" borderId="3" xfId="3" applyNumberFormat="1" applyFont="1" applyBorder="1" applyAlignment="1" applyProtection="1">
      <alignment horizontal="center"/>
    </xf>
    <xf numFmtId="0" fontId="42" fillId="0" borderId="26" xfId="28" applyFont="1" applyBorder="1"/>
    <xf numFmtId="0" fontId="42" fillId="0" borderId="27" xfId="28" applyFont="1" applyBorder="1"/>
    <xf numFmtId="14" fontId="42" fillId="0" borderId="19" xfId="28" applyNumberFormat="1" applyFont="1" applyBorder="1" applyAlignment="1">
      <alignment horizontal="center"/>
    </xf>
    <xf numFmtId="37" fontId="42" fillId="0" borderId="19" xfId="3" applyNumberFormat="1" applyFont="1" applyBorder="1" applyAlignment="1" applyProtection="1"/>
    <xf numFmtId="0" fontId="42" fillId="0" borderId="28" xfId="28" applyFont="1" applyBorder="1"/>
    <xf numFmtId="14" fontId="42" fillId="0" borderId="22" xfId="28" applyNumberFormat="1" applyFont="1" applyBorder="1" applyAlignment="1">
      <alignment horizontal="center"/>
    </xf>
    <xf numFmtId="37" fontId="42" fillId="0" borderId="22" xfId="3" applyNumberFormat="1" applyFont="1" applyBorder="1" applyAlignment="1" applyProtection="1"/>
    <xf numFmtId="0" fontId="42" fillId="0" borderId="30" xfId="28" applyFont="1" applyBorder="1"/>
    <xf numFmtId="14" fontId="42" fillId="0" borderId="0" xfId="28" applyNumberFormat="1" applyFont="1"/>
    <xf numFmtId="177" fontId="42" fillId="0" borderId="0" xfId="3" applyNumberFormat="1" applyFont="1" applyAlignment="1" applyProtection="1"/>
    <xf numFmtId="173" fontId="45" fillId="0" borderId="0" xfId="30" applyNumberFormat="1" applyFont="1" applyAlignment="1">
      <alignment horizontal="right" vertical="top"/>
    </xf>
    <xf numFmtId="0" fontId="42" fillId="0" borderId="0" xfId="30" applyFont="1"/>
    <xf numFmtId="173" fontId="45" fillId="0" borderId="0" xfId="30" applyNumberFormat="1" applyFont="1" applyAlignment="1">
      <alignment horizontal="right"/>
    </xf>
    <xf numFmtId="0" fontId="52" fillId="0" borderId="0" xfId="0" applyFont="1" applyAlignment="1">
      <alignment horizontal="left" indent="1"/>
    </xf>
    <xf numFmtId="0" fontId="3" fillId="0" borderId="0" xfId="0" applyFont="1"/>
    <xf numFmtId="0" fontId="57" fillId="0" borderId="0" xfId="0" applyFont="1"/>
    <xf numFmtId="0" fontId="56" fillId="0" borderId="35" xfId="0" applyFont="1" applyBorder="1" applyAlignment="1">
      <alignment horizontal="center"/>
    </xf>
    <xf numFmtId="0" fontId="58" fillId="0" borderId="0" xfId="0" applyFont="1"/>
    <xf numFmtId="178" fontId="56" fillId="0" borderId="0" xfId="0" applyNumberFormat="1" applyFont="1"/>
    <xf numFmtId="0" fontId="28" fillId="0" borderId="21" xfId="0" applyFont="1" applyBorder="1"/>
    <xf numFmtId="0" fontId="3" fillId="0" borderId="34" xfId="0" applyFont="1" applyBorder="1"/>
    <xf numFmtId="0" fontId="3" fillId="0" borderId="21" xfId="0" applyFont="1" applyBorder="1" applyAlignment="1">
      <alignment horizontal="left" indent="1"/>
    </xf>
    <xf numFmtId="41" fontId="3" fillId="0" borderId="2" xfId="0" applyNumberFormat="1" applyFont="1" applyBorder="1"/>
    <xf numFmtId="175" fontId="3" fillId="0" borderId="34" xfId="0" applyNumberFormat="1" applyFont="1" applyBorder="1"/>
    <xf numFmtId="3" fontId="3" fillId="0" borderId="0" xfId="0" applyNumberFormat="1" applyFont="1"/>
    <xf numFmtId="0" fontId="52" fillId="0" borderId="21" xfId="0" applyFont="1" applyBorder="1" applyAlignment="1">
      <alignment horizontal="right" indent="1"/>
    </xf>
    <xf numFmtId="41" fontId="52" fillId="0" borderId="2" xfId="0" applyNumberFormat="1" applyFont="1" applyBorder="1"/>
    <xf numFmtId="41" fontId="28" fillId="0" borderId="2" xfId="0" applyNumberFormat="1" applyFont="1" applyBorder="1"/>
    <xf numFmtId="0" fontId="28" fillId="0" borderId="37" xfId="0" applyFont="1" applyBorder="1"/>
    <xf numFmtId="41" fontId="3" fillId="0" borderId="13" xfId="0" applyNumberFormat="1" applyFont="1" applyBorder="1"/>
    <xf numFmtId="0" fontId="34" fillId="4" borderId="38" xfId="0" applyFont="1" applyFill="1" applyBorder="1" applyAlignment="1">
      <alignment horizontal="left"/>
    </xf>
    <xf numFmtId="41" fontId="12" fillId="4" borderId="39" xfId="0" applyNumberFormat="1" applyFont="1" applyFill="1" applyBorder="1"/>
    <xf numFmtId="3" fontId="11" fillId="0" borderId="0" xfId="0" applyNumberFormat="1" applyFont="1"/>
    <xf numFmtId="0" fontId="28" fillId="0" borderId="40" xfId="0" applyFont="1" applyBorder="1"/>
    <xf numFmtId="41" fontId="3" fillId="0" borderId="41" xfId="0" applyNumberFormat="1" applyFont="1" applyBorder="1"/>
    <xf numFmtId="175" fontId="3" fillId="0" borderId="42" xfId="0" applyNumberFormat="1" applyFont="1" applyBorder="1"/>
    <xf numFmtId="0" fontId="3" fillId="0" borderId="21" xfId="0" applyFont="1" applyBorder="1"/>
    <xf numFmtId="41" fontId="3" fillId="0" borderId="3" xfId="0" applyNumberFormat="1" applyFont="1" applyBorder="1"/>
    <xf numFmtId="41" fontId="3" fillId="0" borderId="0" xfId="0" applyNumberFormat="1" applyFont="1"/>
    <xf numFmtId="0" fontId="3" fillId="0" borderId="37" xfId="0" applyFont="1" applyBorder="1"/>
    <xf numFmtId="0" fontId="59" fillId="5" borderId="38" xfId="0" applyFont="1" applyFill="1" applyBorder="1" applyAlignment="1">
      <alignment horizontal="left"/>
    </xf>
    <xf numFmtId="41" fontId="3" fillId="5" borderId="39" xfId="0" applyNumberFormat="1" applyFont="1" applyFill="1" applyBorder="1"/>
    <xf numFmtId="0" fontId="57" fillId="0" borderId="21" xfId="0" applyFont="1" applyBorder="1" applyAlignment="1">
      <alignment horizontal="left"/>
    </xf>
    <xf numFmtId="0" fontId="59" fillId="5" borderId="38" xfId="0" applyFont="1" applyFill="1" applyBorder="1"/>
    <xf numFmtId="41" fontId="28" fillId="0" borderId="41" xfId="0" applyNumberFormat="1" applyFont="1" applyBorder="1"/>
    <xf numFmtId="0" fontId="34" fillId="4" borderId="43" xfId="0" applyFont="1" applyFill="1" applyBorder="1" applyAlignment="1">
      <alignment horizontal="left"/>
    </xf>
    <xf numFmtId="41" fontId="12" fillId="4" borderId="44" xfId="0" applyNumberFormat="1" applyFont="1" applyFill="1" applyBorder="1"/>
    <xf numFmtId="6" fontId="12" fillId="0" borderId="0" xfId="0" applyNumberFormat="1" applyFont="1"/>
    <xf numFmtId="0" fontId="28" fillId="0" borderId="0" xfId="0" applyFont="1"/>
    <xf numFmtId="41" fontId="28" fillId="0" borderId="0" xfId="0" applyNumberFormat="1" applyFont="1"/>
    <xf numFmtId="4" fontId="3" fillId="0" borderId="0" xfId="0" applyNumberFormat="1" applyFont="1"/>
    <xf numFmtId="175" fontId="42" fillId="0" borderId="0" xfId="39" applyNumberFormat="1" applyFont="1" applyFill="1" applyAlignment="1" applyProtection="1">
      <alignment horizontal="center"/>
    </xf>
    <xf numFmtId="39" fontId="42" fillId="0" borderId="0" xfId="39" applyNumberFormat="1" applyFont="1" applyFill="1" applyProtection="1"/>
    <xf numFmtId="175" fontId="42" fillId="0" borderId="0" xfId="39" applyNumberFormat="1" applyFont="1" applyFill="1" applyProtection="1"/>
    <xf numFmtId="177" fontId="42" fillId="0" borderId="0" xfId="5" applyNumberFormat="1" applyFont="1" applyFill="1" applyProtection="1"/>
    <xf numFmtId="177" fontId="42" fillId="0" borderId="0" xfId="5" applyNumberFormat="1" applyFont="1" applyFill="1" applyAlignment="1" applyProtection="1">
      <alignment horizontal="center"/>
    </xf>
    <xf numFmtId="41" fontId="45" fillId="0" borderId="0" xfId="5" applyNumberFormat="1" applyFont="1" applyFill="1" applyProtection="1"/>
    <xf numFmtId="0" fontId="42" fillId="0" borderId="0" xfId="30" applyFont="1" applyAlignment="1">
      <alignment horizontal="center"/>
    </xf>
    <xf numFmtId="173" fontId="49" fillId="0" borderId="0" xfId="0" applyNumberFormat="1" applyFont="1"/>
    <xf numFmtId="0" fontId="49" fillId="0" borderId="0" xfId="0" applyFont="1"/>
    <xf numFmtId="4" fontId="42" fillId="0" borderId="0" xfId="30" applyNumberFormat="1" applyFont="1" applyAlignment="1">
      <alignment horizontal="center"/>
    </xf>
    <xf numFmtId="177" fontId="42" fillId="0" borderId="0" xfId="2" applyNumberFormat="1" applyFont="1" applyProtection="1"/>
    <xf numFmtId="0" fontId="45" fillId="0" borderId="0" xfId="30" applyFont="1"/>
    <xf numFmtId="0" fontId="45" fillId="0" borderId="0" xfId="30" applyFont="1" applyAlignment="1">
      <alignment horizontal="center"/>
    </xf>
    <xf numFmtId="10" fontId="42" fillId="0" borderId="0" xfId="39" applyNumberFormat="1" applyFont="1" applyFill="1" applyAlignment="1" applyProtection="1">
      <alignment horizontal="center"/>
    </xf>
    <xf numFmtId="9" fontId="42" fillId="0" borderId="0" xfId="39" applyFont="1" applyFill="1" applyProtection="1"/>
    <xf numFmtId="0" fontId="42" fillId="0" borderId="23" xfId="0" applyFont="1" applyBorder="1" applyAlignment="1">
      <alignment horizontal="center"/>
    </xf>
    <xf numFmtId="180" fontId="45" fillId="0" borderId="9" xfId="30" applyNumberFormat="1" applyFont="1" applyBorder="1" applyAlignment="1">
      <alignment horizontal="center" wrapText="1"/>
    </xf>
    <xf numFmtId="39" fontId="45" fillId="0" borderId="9" xfId="5" applyNumberFormat="1" applyFont="1" applyFill="1" applyBorder="1" applyAlignment="1" applyProtection="1">
      <alignment horizontal="center" wrapText="1"/>
    </xf>
    <xf numFmtId="175" fontId="45" fillId="0" borderId="9" xfId="39" applyNumberFormat="1" applyFont="1" applyFill="1" applyBorder="1" applyAlignment="1" applyProtection="1">
      <alignment horizontal="center" wrapText="1"/>
    </xf>
    <xf numFmtId="177" fontId="45" fillId="0" borderId="9" xfId="5" applyNumberFormat="1" applyFont="1" applyFill="1" applyBorder="1" applyAlignment="1" applyProtection="1">
      <alignment horizontal="center" wrapText="1"/>
    </xf>
    <xf numFmtId="41" fontId="45" fillId="0" borderId="9" xfId="5" applyNumberFormat="1" applyFont="1" applyFill="1" applyBorder="1" applyAlignment="1" applyProtection="1">
      <alignment horizontal="center" wrapText="1"/>
    </xf>
    <xf numFmtId="180" fontId="45" fillId="0" borderId="0" xfId="30" applyNumberFormat="1" applyFont="1" applyAlignment="1">
      <alignment horizontal="center" wrapText="1"/>
    </xf>
    <xf numFmtId="0" fontId="64" fillId="0" borderId="23" xfId="0" applyFont="1" applyBorder="1" applyAlignment="1">
      <alignment horizontal="center"/>
    </xf>
    <xf numFmtId="0" fontId="42" fillId="0" borderId="7" xfId="0" applyFont="1" applyBorder="1" applyAlignment="1">
      <alignment horizontal="center"/>
    </xf>
    <xf numFmtId="0" fontId="42" fillId="0" borderId="46" xfId="0" applyFont="1" applyBorder="1" applyAlignment="1">
      <alignment horizontal="center"/>
    </xf>
    <xf numFmtId="0" fontId="42" fillId="0" borderId="24" xfId="0" applyFont="1" applyBorder="1" applyAlignment="1">
      <alignment horizontal="center"/>
    </xf>
    <xf numFmtId="0" fontId="64" fillId="3" borderId="47" xfId="0" applyFont="1" applyFill="1" applyBorder="1" applyAlignment="1">
      <alignment horizontal="center" wrapText="1"/>
    </xf>
    <xf numFmtId="0" fontId="64" fillId="3" borderId="48" xfId="0" applyFont="1" applyFill="1" applyBorder="1" applyAlignment="1">
      <alignment horizontal="center" wrapText="1"/>
    </xf>
    <xf numFmtId="0" fontId="64" fillId="3" borderId="49" xfId="0" applyFont="1" applyFill="1" applyBorder="1" applyAlignment="1">
      <alignment horizontal="center"/>
    </xf>
    <xf numFmtId="0" fontId="45" fillId="3" borderId="50" xfId="0" applyFont="1" applyFill="1" applyBorder="1" applyAlignment="1">
      <alignment horizontal="center"/>
    </xf>
    <xf numFmtId="0" fontId="45" fillId="3" borderId="32" xfId="0" applyFont="1" applyFill="1" applyBorder="1" applyAlignment="1">
      <alignment horizontal="center"/>
    </xf>
    <xf numFmtId="0" fontId="45" fillId="3" borderId="51" xfId="0" applyFont="1" applyFill="1" applyBorder="1" applyAlignment="1">
      <alignment horizontal="center"/>
    </xf>
    <xf numFmtId="0" fontId="45" fillId="0" borderId="47" xfId="30" applyFont="1" applyBorder="1" applyAlignment="1">
      <alignment horizontal="center"/>
    </xf>
    <xf numFmtId="0" fontId="45" fillId="0" borderId="48" xfId="30" applyFont="1" applyBorder="1" applyAlignment="1">
      <alignment horizontal="center"/>
    </xf>
    <xf numFmtId="180" fontId="45" fillId="0" borderId="48" xfId="30" applyNumberFormat="1" applyFont="1" applyBorder="1" applyAlignment="1">
      <alignment horizontal="center" wrapText="1"/>
    </xf>
    <xf numFmtId="4" fontId="45" fillId="0" borderId="48" xfId="30" applyNumberFormat="1" applyFont="1" applyBorder="1" applyAlignment="1">
      <alignment horizontal="center" wrapText="1"/>
    </xf>
    <xf numFmtId="4" fontId="45" fillId="0" borderId="49" xfId="30" applyNumberFormat="1" applyFont="1" applyBorder="1" applyAlignment="1">
      <alignment horizontal="center" wrapText="1"/>
    </xf>
    <xf numFmtId="177" fontId="45" fillId="0" borderId="52" xfId="2" applyNumberFormat="1" applyFont="1" applyBorder="1" applyAlignment="1" applyProtection="1">
      <alignment horizontal="center" wrapText="1"/>
    </xf>
    <xf numFmtId="177" fontId="45" fillId="0" borderId="0" xfId="2" applyNumberFormat="1" applyFont="1" applyAlignment="1" applyProtection="1">
      <alignment horizontal="center" wrapText="1"/>
    </xf>
    <xf numFmtId="0" fontId="42" fillId="0" borderId="54" xfId="30" applyFont="1" applyBorder="1" applyAlignment="1">
      <alignment horizontal="center"/>
    </xf>
    <xf numFmtId="14" fontId="42" fillId="3" borderId="54" xfId="30" applyNumberFormat="1" applyFont="1" applyFill="1" applyBorder="1" applyAlignment="1">
      <alignment horizontal="center"/>
    </xf>
    <xf numFmtId="0" fontId="42" fillId="3" borderId="54" xfId="30" applyFont="1" applyFill="1" applyBorder="1" applyAlignment="1">
      <alignment horizontal="center"/>
    </xf>
    <xf numFmtId="41" fontId="45" fillId="0" borderId="55" xfId="15" applyNumberFormat="1" applyFont="1" applyFill="1" applyBorder="1" applyProtection="1"/>
    <xf numFmtId="173" fontId="42" fillId="0" borderId="0" xfId="30" applyNumberFormat="1" applyFont="1"/>
    <xf numFmtId="181" fontId="42" fillId="0" borderId="27" xfId="0" applyNumberFormat="1" applyFont="1" applyBorder="1" applyAlignment="1">
      <alignment horizontal="left"/>
    </xf>
    <xf numFmtId="173" fontId="42" fillId="3" borderId="19" xfId="0" applyNumberFormat="1" applyFont="1" applyFill="1" applyBorder="1" applyAlignment="1">
      <alignment horizontal="center"/>
    </xf>
    <xf numFmtId="173" fontId="49" fillId="0" borderId="12" xfId="0" applyNumberFormat="1" applyFont="1" applyBorder="1" applyAlignment="1">
      <alignment horizontal="center"/>
    </xf>
    <xf numFmtId="173" fontId="49" fillId="0" borderId="3" xfId="0" applyNumberFormat="1" applyFont="1" applyBorder="1" applyAlignment="1">
      <alignment horizontal="center"/>
    </xf>
    <xf numFmtId="173" fontId="64" fillId="0" borderId="16" xfId="0" applyNumberFormat="1" applyFont="1" applyBorder="1" applyAlignment="1">
      <alignment horizontal="center"/>
    </xf>
    <xf numFmtId="167" fontId="42" fillId="0" borderId="27" xfId="39" applyNumberFormat="1" applyFont="1" applyBorder="1" applyAlignment="1" applyProtection="1">
      <alignment horizontal="center"/>
    </xf>
    <xf numFmtId="167" fontId="42" fillId="0" borderId="19" xfId="39" applyNumberFormat="1" applyFont="1" applyBorder="1"/>
    <xf numFmtId="167" fontId="42" fillId="0" borderId="19" xfId="30" applyNumberFormat="1" applyFont="1" applyBorder="1"/>
    <xf numFmtId="182" fontId="42" fillId="0" borderId="19" xfId="30" applyNumberFormat="1" applyFont="1" applyBorder="1"/>
    <xf numFmtId="43" fontId="42" fillId="0" borderId="28" xfId="5" applyFont="1" applyBorder="1" applyAlignment="1" applyProtection="1">
      <alignment horizontal="center"/>
    </xf>
    <xf numFmtId="177" fontId="42" fillId="0" borderId="27" xfId="7" applyNumberFormat="1" applyFont="1" applyBorder="1" applyAlignment="1">
      <alignment horizontal="center"/>
    </xf>
    <xf numFmtId="0" fontId="65" fillId="0" borderId="19" xfId="30" applyFont="1" applyBorder="1" applyAlignment="1">
      <alignment horizontal="center"/>
    </xf>
    <xf numFmtId="43" fontId="42" fillId="0" borderId="19" xfId="30" applyNumberFormat="1" applyFont="1" applyBorder="1" applyAlignment="1">
      <alignment horizontal="center"/>
    </xf>
    <xf numFmtId="14" fontId="42" fillId="0" borderId="19" xfId="30" applyNumberFormat="1" applyFont="1" applyBorder="1"/>
    <xf numFmtId="1" fontId="42" fillId="0" borderId="19" xfId="30" applyNumberFormat="1" applyFont="1" applyBorder="1" applyAlignment="1">
      <alignment horizontal="center"/>
    </xf>
    <xf numFmtId="177" fontId="42" fillId="0" borderId="19" xfId="30" applyNumberFormat="1" applyFont="1" applyBorder="1"/>
    <xf numFmtId="4" fontId="42" fillId="0" borderId="19" xfId="7" applyNumberFormat="1" applyFont="1" applyBorder="1" applyAlignment="1" applyProtection="1">
      <alignment horizontal="center"/>
    </xf>
    <xf numFmtId="4" fontId="42" fillId="0" borderId="3" xfId="7" applyNumberFormat="1" applyFont="1" applyBorder="1" applyAlignment="1" applyProtection="1">
      <alignment horizontal="center"/>
    </xf>
    <xf numFmtId="177" fontId="42" fillId="0" borderId="26" xfId="2" applyNumberFormat="1" applyFont="1" applyBorder="1" applyAlignment="1" applyProtection="1">
      <alignment horizontal="right"/>
    </xf>
    <xf numFmtId="0" fontId="45" fillId="0" borderId="55" xfId="30" applyFont="1" applyBorder="1" applyAlignment="1">
      <alignment horizontal="center"/>
    </xf>
    <xf numFmtId="0" fontId="42" fillId="0" borderId="56" xfId="30" applyFont="1" applyBorder="1" applyAlignment="1">
      <alignment horizontal="center"/>
    </xf>
    <xf numFmtId="0" fontId="42" fillId="3" borderId="55" xfId="30" applyFont="1" applyFill="1" applyBorder="1" applyAlignment="1">
      <alignment horizontal="center"/>
    </xf>
    <xf numFmtId="0" fontId="42" fillId="0" borderId="55" xfId="30" applyFont="1" applyBorder="1" applyAlignment="1">
      <alignment horizontal="center"/>
    </xf>
    <xf numFmtId="0" fontId="64" fillId="3" borderId="19" xfId="0" applyFont="1" applyFill="1" applyBorder="1" applyAlignment="1">
      <alignment horizontal="center"/>
    </xf>
    <xf numFmtId="176" fontId="42" fillId="0" borderId="0" xfId="30" applyNumberFormat="1" applyFont="1"/>
    <xf numFmtId="177" fontId="42" fillId="0" borderId="0" xfId="2" applyNumberFormat="1" applyFont="1" applyFill="1" applyBorder="1" applyProtection="1"/>
    <xf numFmtId="14" fontId="42" fillId="3" borderId="56" xfId="30" applyNumberFormat="1" applyFont="1" applyFill="1" applyBorder="1" applyAlignment="1">
      <alignment horizontal="center"/>
    </xf>
    <xf numFmtId="14" fontId="42" fillId="3" borderId="55" xfId="30" applyNumberFormat="1" applyFont="1" applyFill="1" applyBorder="1" applyAlignment="1">
      <alignment horizontal="center"/>
    </xf>
    <xf numFmtId="0" fontId="42" fillId="0" borderId="9" xfId="30" applyFont="1" applyBorder="1" applyAlignment="1">
      <alignment horizontal="center"/>
    </xf>
    <xf numFmtId="0" fontId="42" fillId="0" borderId="58" xfId="30" applyFont="1" applyBorder="1" applyAlignment="1">
      <alignment horizontal="center"/>
    </xf>
    <xf numFmtId="0" fontId="42" fillId="0" borderId="58" xfId="30" applyFont="1" applyBorder="1"/>
    <xf numFmtId="175" fontId="42" fillId="0" borderId="58" xfId="39" applyNumberFormat="1" applyFont="1" applyFill="1" applyBorder="1" applyAlignment="1" applyProtection="1">
      <alignment horizontal="center"/>
    </xf>
    <xf numFmtId="39" fontId="42" fillId="0" borderId="58" xfId="5" applyNumberFormat="1" applyFont="1" applyFill="1" applyBorder="1" applyProtection="1"/>
    <xf numFmtId="177" fontId="42" fillId="0" borderId="58" xfId="5" applyNumberFormat="1" applyFont="1" applyFill="1" applyBorder="1" applyProtection="1"/>
    <xf numFmtId="41" fontId="45" fillId="0" borderId="58" xfId="5" applyNumberFormat="1" applyFont="1" applyFill="1" applyBorder="1" applyProtection="1"/>
    <xf numFmtId="176" fontId="45" fillId="0" borderId="9" xfId="30" applyNumberFormat="1" applyFont="1" applyBorder="1"/>
    <xf numFmtId="173" fontId="42" fillId="0" borderId="9" xfId="30" applyNumberFormat="1" applyFont="1" applyBorder="1"/>
    <xf numFmtId="181" fontId="42" fillId="0" borderId="29" xfId="0" applyNumberFormat="1" applyFont="1" applyBorder="1" applyAlignment="1">
      <alignment horizontal="left"/>
    </xf>
    <xf numFmtId="0" fontId="64" fillId="0" borderId="22" xfId="0" applyFont="1" applyBorder="1" applyAlignment="1">
      <alignment horizontal="center"/>
    </xf>
    <xf numFmtId="173" fontId="42" fillId="0" borderId="22" xfId="0" applyNumberFormat="1" applyFont="1" applyBorder="1" applyAlignment="1">
      <alignment horizontal="center"/>
    </xf>
    <xf numFmtId="173" fontId="49" fillId="0" borderId="59" xfId="0" applyNumberFormat="1" applyFont="1" applyBorder="1" applyAlignment="1">
      <alignment horizontal="center"/>
    </xf>
    <xf numFmtId="173" fontId="49" fillId="0" borderId="44" xfId="0" applyNumberFormat="1" applyFont="1" applyBorder="1" applyAlignment="1">
      <alignment horizontal="center"/>
    </xf>
    <xf numFmtId="173" fontId="64" fillId="0" borderId="60" xfId="0" applyNumberFormat="1" applyFont="1" applyBorder="1" applyAlignment="1">
      <alignment horizontal="center"/>
    </xf>
    <xf numFmtId="167" fontId="42" fillId="0" borderId="29" xfId="39" applyNumberFormat="1" applyFont="1" applyBorder="1" applyAlignment="1" applyProtection="1">
      <alignment horizontal="center"/>
    </xf>
    <xf numFmtId="167" fontId="42" fillId="0" borderId="22" xfId="39" applyNumberFormat="1" applyFont="1" applyBorder="1"/>
    <xf numFmtId="167" fontId="42" fillId="0" borderId="22" xfId="30" applyNumberFormat="1" applyFont="1" applyBorder="1"/>
    <xf numFmtId="182" fontId="42" fillId="0" borderId="22" xfId="30" applyNumberFormat="1" applyFont="1" applyBorder="1"/>
    <xf numFmtId="43" fontId="42" fillId="0" borderId="30" xfId="5" applyFont="1" applyBorder="1" applyAlignment="1" applyProtection="1">
      <alignment horizontal="center"/>
    </xf>
    <xf numFmtId="0" fontId="42" fillId="0" borderId="9" xfId="30" applyFont="1" applyBorder="1"/>
    <xf numFmtId="177" fontId="42" fillId="0" borderId="29" xfId="7" applyNumberFormat="1" applyFont="1" applyBorder="1" applyAlignment="1">
      <alignment horizontal="center"/>
    </xf>
    <xf numFmtId="0" fontId="65" fillId="0" borderId="22" xfId="30" applyFont="1" applyBorder="1" applyAlignment="1">
      <alignment horizontal="center"/>
    </xf>
    <xf numFmtId="43" fontId="42" fillId="0" borderId="22" xfId="30" applyNumberFormat="1" applyFont="1" applyBorder="1" applyAlignment="1">
      <alignment horizontal="center"/>
    </xf>
    <xf numFmtId="14" fontId="42" fillId="0" borderId="22" xfId="30" applyNumberFormat="1" applyFont="1" applyBorder="1"/>
    <xf numFmtId="1" fontId="42" fillId="0" borderId="22" xfId="30" applyNumberFormat="1" applyFont="1" applyBorder="1" applyAlignment="1">
      <alignment horizontal="center"/>
    </xf>
    <xf numFmtId="177" fontId="42" fillId="0" borderId="22" xfId="30" applyNumberFormat="1" applyFont="1" applyBorder="1"/>
    <xf numFmtId="4" fontId="42" fillId="0" borderId="22" xfId="7" applyNumberFormat="1" applyFont="1" applyBorder="1" applyAlignment="1" applyProtection="1">
      <alignment horizontal="center"/>
    </xf>
    <xf numFmtId="4" fontId="42" fillId="0" borderId="61" xfId="7" applyNumberFormat="1" applyFont="1" applyBorder="1" applyAlignment="1" applyProtection="1">
      <alignment horizontal="center"/>
    </xf>
    <xf numFmtId="177" fontId="42" fillId="0" borderId="30" xfId="2" applyNumberFormat="1" applyFont="1" applyFill="1" applyBorder="1" applyProtection="1"/>
    <xf numFmtId="177" fontId="42" fillId="0" borderId="9" xfId="2" applyNumberFormat="1" applyFont="1" applyFill="1" applyBorder="1" applyProtection="1"/>
    <xf numFmtId="0" fontId="45" fillId="0" borderId="9" xfId="30" applyFont="1" applyBorder="1"/>
    <xf numFmtId="0" fontId="42" fillId="3" borderId="54" xfId="30" applyFont="1" applyFill="1" applyBorder="1" applyProtection="1">
      <protection locked="0"/>
    </xf>
    <xf numFmtId="181" fontId="42" fillId="0" borderId="25" xfId="0" applyNumberFormat="1" applyFont="1" applyBorder="1" applyAlignment="1">
      <alignment horizontal="left"/>
    </xf>
    <xf numFmtId="173" fontId="42" fillId="0" borderId="12" xfId="0" applyNumberFormat="1" applyFont="1" applyBorder="1" applyAlignment="1">
      <alignment horizontal="center"/>
    </xf>
    <xf numFmtId="173" fontId="42" fillId="0" borderId="3" xfId="0" applyNumberFormat="1" applyFont="1" applyBorder="1" applyAlignment="1">
      <alignment horizontal="center"/>
    </xf>
    <xf numFmtId="173" fontId="45" fillId="0" borderId="16" xfId="0" applyNumberFormat="1" applyFont="1" applyBorder="1" applyAlignment="1">
      <alignment horizontal="center"/>
    </xf>
    <xf numFmtId="167" fontId="42" fillId="0" borderId="25" xfId="39" applyNumberFormat="1" applyFont="1" applyBorder="1" applyAlignment="1" applyProtection="1">
      <alignment horizontal="center"/>
    </xf>
    <xf numFmtId="167" fontId="42" fillId="0" borderId="3" xfId="39" applyNumberFormat="1" applyFont="1" applyBorder="1"/>
    <xf numFmtId="167" fontId="42" fillId="0" borderId="3" xfId="30" applyNumberFormat="1" applyFont="1" applyBorder="1"/>
    <xf numFmtId="182" fontId="42" fillId="0" borderId="3" xfId="30" applyNumberFormat="1" applyFont="1" applyBorder="1"/>
    <xf numFmtId="43" fontId="42" fillId="0" borderId="26" xfId="5" applyFont="1" applyBorder="1" applyAlignment="1" applyProtection="1">
      <alignment horizontal="center"/>
    </xf>
    <xf numFmtId="177" fontId="42" fillId="0" borderId="25" xfId="7" applyNumberFormat="1" applyFont="1" applyBorder="1" applyAlignment="1">
      <alignment horizontal="center"/>
    </xf>
    <xf numFmtId="0" fontId="42" fillId="0" borderId="3" xfId="30" applyFont="1" applyBorder="1" applyAlignment="1">
      <alignment horizontal="center"/>
    </xf>
    <xf numFmtId="43" fontId="42" fillId="0" borderId="3" xfId="30" applyNumberFormat="1" applyFont="1" applyBorder="1" applyAlignment="1">
      <alignment horizontal="center"/>
    </xf>
    <xf numFmtId="14" fontId="42" fillId="0" borderId="3" xfId="30" applyNumberFormat="1" applyFont="1" applyBorder="1"/>
    <xf numFmtId="1" fontId="42" fillId="0" borderId="3" xfId="30" applyNumberFormat="1" applyFont="1" applyBorder="1" applyAlignment="1">
      <alignment horizontal="center"/>
    </xf>
    <xf numFmtId="177" fontId="42" fillId="0" borderId="3" xfId="30" applyNumberFormat="1" applyFont="1" applyBorder="1"/>
    <xf numFmtId="4" fontId="42" fillId="0" borderId="16" xfId="7" applyNumberFormat="1" applyFont="1" applyBorder="1" applyAlignment="1" applyProtection="1">
      <alignment horizontal="center"/>
    </xf>
    <xf numFmtId="9" fontId="45" fillId="0" borderId="0" xfId="39" applyFont="1" applyFill="1" applyAlignment="1" applyProtection="1">
      <alignment horizontal="center"/>
    </xf>
    <xf numFmtId="0" fontId="42" fillId="0" borderId="19" xfId="30" applyFont="1" applyBorder="1" applyAlignment="1">
      <alignment horizontal="center"/>
    </xf>
    <xf numFmtId="4" fontId="42" fillId="0" borderId="18" xfId="7" applyNumberFormat="1" applyFont="1" applyBorder="1" applyAlignment="1" applyProtection="1">
      <alignment horizontal="center"/>
    </xf>
    <xf numFmtId="177" fontId="42" fillId="0" borderId="28" xfId="2" applyNumberFormat="1" applyFont="1" applyBorder="1" applyAlignment="1" applyProtection="1">
      <alignment horizontal="right"/>
    </xf>
    <xf numFmtId="0" fontId="64" fillId="3" borderId="22" xfId="0" applyFont="1" applyFill="1" applyBorder="1" applyAlignment="1">
      <alignment horizontal="center"/>
    </xf>
    <xf numFmtId="173" fontId="42" fillId="3" borderId="22" xfId="0" applyNumberFormat="1" applyFont="1" applyFill="1" applyBorder="1" applyAlignment="1">
      <alignment horizontal="center"/>
    </xf>
    <xf numFmtId="0" fontId="65" fillId="0" borderId="3" xfId="30" applyFont="1" applyBorder="1" applyAlignment="1">
      <alignment horizontal="center"/>
    </xf>
    <xf numFmtId="177" fontId="42" fillId="0" borderId="0" xfId="2" applyNumberFormat="1" applyFont="1"/>
    <xf numFmtId="177" fontId="42" fillId="0" borderId="30" xfId="2" applyNumberFormat="1" applyFont="1" applyBorder="1" applyAlignment="1" applyProtection="1">
      <alignment horizontal="right"/>
    </xf>
    <xf numFmtId="177" fontId="42" fillId="0" borderId="43" xfId="2" applyNumberFormat="1" applyFont="1" applyFill="1" applyBorder="1" applyProtection="1"/>
    <xf numFmtId="3" fontId="42" fillId="0" borderId="3" xfId="7" applyNumberFormat="1" applyFont="1" applyBorder="1" applyAlignment="1" applyProtection="1">
      <alignment horizontal="center"/>
    </xf>
    <xf numFmtId="173" fontId="42" fillId="3" borderId="3" xfId="0" applyNumberFormat="1" applyFont="1" applyFill="1" applyBorder="1" applyAlignment="1">
      <alignment horizontal="center"/>
    </xf>
    <xf numFmtId="0" fontId="45" fillId="0" borderId="54" xfId="30" applyFont="1" applyBorder="1" applyAlignment="1">
      <alignment wrapText="1"/>
    </xf>
    <xf numFmtId="0" fontId="45" fillId="0" borderId="0" xfId="30" applyFont="1" applyAlignment="1">
      <alignment horizontal="center" wrapText="1"/>
    </xf>
    <xf numFmtId="177" fontId="42" fillId="0" borderId="58" xfId="5" applyNumberFormat="1" applyFont="1" applyFill="1" applyBorder="1" applyAlignment="1" applyProtection="1">
      <alignment horizontal="center"/>
    </xf>
    <xf numFmtId="177" fontId="42" fillId="0" borderId="9" xfId="2" applyNumberFormat="1" applyFont="1" applyBorder="1" applyProtection="1"/>
    <xf numFmtId="177" fontId="42" fillId="0" borderId="9" xfId="2" applyNumberFormat="1" applyFont="1" applyBorder="1"/>
    <xf numFmtId="0" fontId="45" fillId="0" borderId="54" xfId="30" applyFont="1" applyBorder="1" applyAlignment="1">
      <alignment horizontal="center" vertical="top" wrapText="1"/>
    </xf>
    <xf numFmtId="0" fontId="45" fillId="0" borderId="57" xfId="30" applyFont="1" applyBorder="1" applyAlignment="1">
      <alignment wrapText="1"/>
    </xf>
    <xf numFmtId="176" fontId="45" fillId="0" borderId="0" xfId="30" applyNumberFormat="1" applyFont="1"/>
    <xf numFmtId="181" fontId="42" fillId="0" borderId="36" xfId="0" applyNumberFormat="1" applyFont="1" applyBorder="1" applyAlignment="1">
      <alignment horizontal="left"/>
    </xf>
    <xf numFmtId="0" fontId="45" fillId="0" borderId="54" xfId="30" applyFont="1" applyBorder="1" applyAlignment="1">
      <alignment horizontal="center"/>
    </xf>
    <xf numFmtId="0" fontId="42" fillId="0" borderId="62" xfId="30" applyFont="1" applyBorder="1" applyAlignment="1">
      <alignment horizontal="center"/>
    </xf>
    <xf numFmtId="0" fontId="42" fillId="0" borderId="62" xfId="30" applyFont="1" applyBorder="1"/>
    <xf numFmtId="39" fontId="42" fillId="0" borderId="62" xfId="5" applyNumberFormat="1" applyFont="1" applyFill="1" applyBorder="1" applyProtection="1"/>
    <xf numFmtId="175" fontId="42" fillId="0" borderId="62" xfId="39" applyNumberFormat="1" applyFont="1" applyFill="1" applyBorder="1" applyAlignment="1" applyProtection="1">
      <alignment horizontal="center"/>
    </xf>
    <xf numFmtId="39" fontId="42" fillId="0" borderId="62" xfId="5" applyNumberFormat="1" applyFont="1" applyFill="1" applyBorder="1" applyProtection="1">
      <protection locked="0"/>
    </xf>
    <xf numFmtId="177" fontId="42" fillId="0" borderId="62" xfId="5" applyNumberFormat="1" applyFont="1" applyFill="1" applyBorder="1" applyProtection="1">
      <protection locked="0"/>
    </xf>
    <xf numFmtId="177" fontId="42" fillId="0" borderId="62" xfId="5" applyNumberFormat="1" applyFont="1" applyFill="1" applyBorder="1" applyProtection="1"/>
    <xf numFmtId="177" fontId="42" fillId="0" borderId="62" xfId="5" applyNumberFormat="1" applyFont="1" applyFill="1" applyBorder="1" applyAlignment="1" applyProtection="1">
      <alignment horizontal="center"/>
    </xf>
    <xf numFmtId="41" fontId="45" fillId="0" borderId="62" xfId="5" applyNumberFormat="1" applyFont="1" applyFill="1" applyBorder="1" applyProtection="1"/>
    <xf numFmtId="176" fontId="45" fillId="0" borderId="58" xfId="30" applyNumberFormat="1" applyFont="1" applyBorder="1"/>
    <xf numFmtId="0" fontId="42" fillId="0" borderId="53" xfId="30" applyFont="1" applyBorder="1" applyAlignment="1">
      <alignment horizontal="center"/>
    </xf>
    <xf numFmtId="0" fontId="42" fillId="0" borderId="63" xfId="30" applyFont="1" applyBorder="1" applyAlignment="1">
      <alignment horizontal="center"/>
    </xf>
    <xf numFmtId="0" fontId="42" fillId="3" borderId="55" xfId="30" applyFont="1" applyFill="1" applyBorder="1" applyProtection="1">
      <protection locked="0"/>
    </xf>
    <xf numFmtId="14" fontId="42" fillId="3" borderId="55" xfId="30" applyNumberFormat="1" applyFont="1" applyFill="1" applyBorder="1" applyProtection="1">
      <protection locked="0"/>
    </xf>
    <xf numFmtId="181" fontId="42" fillId="0" borderId="64" xfId="0" applyNumberFormat="1" applyFont="1" applyBorder="1" applyAlignment="1">
      <alignment horizontal="left"/>
    </xf>
    <xf numFmtId="0" fontId="42" fillId="0" borderId="62" xfId="30" applyFont="1" applyBorder="1" applyProtection="1">
      <protection locked="0"/>
    </xf>
    <xf numFmtId="175" fontId="42" fillId="0" borderId="62" xfId="39" applyNumberFormat="1" applyFont="1" applyFill="1" applyBorder="1" applyAlignment="1" applyProtection="1">
      <alignment horizontal="center"/>
      <protection locked="0"/>
    </xf>
    <xf numFmtId="177" fontId="42" fillId="0" borderId="63" xfId="5" applyNumberFormat="1" applyFont="1" applyFill="1" applyBorder="1" applyProtection="1"/>
    <xf numFmtId="177" fontId="42" fillId="0" borderId="65" xfId="5" applyNumberFormat="1" applyFont="1" applyFill="1" applyBorder="1" applyProtection="1"/>
    <xf numFmtId="177" fontId="42" fillId="0" borderId="0" xfId="2" applyNumberFormat="1" applyFont="1" applyBorder="1"/>
    <xf numFmtId="43" fontId="42" fillId="0" borderId="0" xfId="30" applyNumberFormat="1" applyFont="1"/>
    <xf numFmtId="14" fontId="42" fillId="0" borderId="58" xfId="30" applyNumberFormat="1" applyFont="1" applyBorder="1" applyAlignment="1">
      <alignment horizontal="center"/>
    </xf>
    <xf numFmtId="176" fontId="42" fillId="0" borderId="9" xfId="30" applyNumberFormat="1" applyFont="1" applyBorder="1"/>
    <xf numFmtId="167" fontId="42" fillId="0" borderId="9" xfId="30" applyNumberFormat="1" applyFont="1" applyBorder="1"/>
    <xf numFmtId="43" fontId="42" fillId="0" borderId="9" xfId="30" applyNumberFormat="1" applyFont="1" applyBorder="1"/>
    <xf numFmtId="177" fontId="45" fillId="0" borderId="0" xfId="5" applyNumberFormat="1" applyFont="1" applyAlignment="1" applyProtection="1">
      <alignment horizontal="center"/>
    </xf>
    <xf numFmtId="41" fontId="45" fillId="0" borderId="66" xfId="15" applyNumberFormat="1" applyFont="1" applyFill="1" applyBorder="1" applyProtection="1"/>
    <xf numFmtId="39" fontId="45" fillId="0" borderId="66" xfId="15" applyNumberFormat="1" applyFont="1" applyFill="1" applyBorder="1" applyProtection="1"/>
    <xf numFmtId="176" fontId="45" fillId="0" borderId="66" xfId="15" applyNumberFormat="1" applyFont="1" applyFill="1" applyBorder="1" applyProtection="1"/>
    <xf numFmtId="173" fontId="49" fillId="0" borderId="0" xfId="0" applyNumberFormat="1" applyFont="1" applyAlignment="1">
      <alignment horizontal="center"/>
    </xf>
    <xf numFmtId="177" fontId="42" fillId="0" borderId="0" xfId="7" applyNumberFormat="1" applyFont="1" applyBorder="1" applyAlignment="1">
      <alignment horizontal="center"/>
    </xf>
    <xf numFmtId="0" fontId="65" fillId="0" borderId="0" xfId="30" applyFont="1" applyAlignment="1">
      <alignment horizontal="center"/>
    </xf>
    <xf numFmtId="43" fontId="42" fillId="0" borderId="0" xfId="30" applyNumberFormat="1" applyFont="1" applyAlignment="1">
      <alignment horizontal="center"/>
    </xf>
    <xf numFmtId="14" fontId="42" fillId="0" borderId="0" xfId="30" applyNumberFormat="1" applyFont="1"/>
    <xf numFmtId="1" fontId="42" fillId="0" borderId="0" xfId="30" applyNumberFormat="1" applyFont="1" applyAlignment="1">
      <alignment horizontal="center"/>
    </xf>
    <xf numFmtId="177" fontId="42" fillId="0" borderId="0" xfId="30" applyNumberFormat="1" applyFont="1"/>
    <xf numFmtId="4" fontId="42" fillId="0" borderId="0" xfId="7" applyNumberFormat="1" applyFont="1" applyBorder="1" applyAlignment="1" applyProtection="1">
      <alignment horizontal="center"/>
    </xf>
    <xf numFmtId="41" fontId="66" fillId="0" borderId="0" xfId="5" applyNumberFormat="1" applyFont="1" applyFill="1" applyAlignment="1" applyProtection="1">
      <alignment horizontal="center"/>
    </xf>
    <xf numFmtId="10" fontId="45" fillId="0" borderId="9" xfId="39" applyNumberFormat="1" applyFont="1" applyFill="1" applyBorder="1" applyProtection="1"/>
    <xf numFmtId="173" fontId="45" fillId="0" borderId="0" xfId="30" applyNumberFormat="1" applyFont="1" applyAlignment="1">
      <alignment horizontal="center"/>
    </xf>
    <xf numFmtId="3" fontId="45" fillId="0" borderId="1" xfId="5" applyNumberFormat="1" applyFont="1" applyBorder="1" applyAlignment="1" applyProtection="1">
      <alignment horizontal="center"/>
    </xf>
    <xf numFmtId="3" fontId="45" fillId="0" borderId="0" xfId="30" applyNumberFormat="1" applyFont="1" applyAlignment="1">
      <alignment horizontal="center"/>
    </xf>
    <xf numFmtId="177" fontId="45" fillId="0" borderId="0" xfId="2" applyNumberFormat="1" applyFont="1" applyAlignment="1" applyProtection="1">
      <alignment horizontal="center"/>
    </xf>
    <xf numFmtId="3" fontId="42" fillId="0" borderId="0" xfId="30" applyNumberFormat="1" applyFont="1" applyAlignment="1">
      <alignment horizontal="center"/>
    </xf>
    <xf numFmtId="3" fontId="42" fillId="0" borderId="0" xfId="30" applyNumberFormat="1" applyFont="1"/>
    <xf numFmtId="10" fontId="42" fillId="0" borderId="0" xfId="39" applyNumberFormat="1" applyFont="1" applyAlignment="1">
      <alignment horizontal="center"/>
    </xf>
    <xf numFmtId="177" fontId="42" fillId="0" borderId="0" xfId="2" applyNumberFormat="1" applyFont="1" applyAlignment="1">
      <alignment horizontal="center"/>
    </xf>
    <xf numFmtId="177" fontId="42" fillId="0" borderId="0" xfId="2" applyNumberFormat="1" applyFont="1" applyAlignment="1" applyProtection="1">
      <alignment horizontal="center"/>
    </xf>
    <xf numFmtId="41" fontId="42" fillId="0" borderId="0" xfId="5" applyNumberFormat="1" applyFont="1" applyFill="1" applyProtection="1"/>
    <xf numFmtId="10" fontId="42" fillId="0" borderId="0" xfId="30" applyNumberFormat="1" applyFont="1" applyAlignment="1">
      <alignment horizontal="center"/>
    </xf>
    <xf numFmtId="10" fontId="45" fillId="0" borderId="0" xfId="5" applyNumberFormat="1" applyFont="1" applyFill="1" applyProtection="1"/>
    <xf numFmtId="41" fontId="42" fillId="0" borderId="0" xfId="2" applyNumberFormat="1" applyFont="1" applyFill="1" applyProtection="1"/>
    <xf numFmtId="41" fontId="45" fillId="0" borderId="67" xfId="30" applyNumberFormat="1" applyFont="1" applyBorder="1"/>
    <xf numFmtId="38" fontId="45" fillId="0" borderId="0" xfId="30" applyNumberFormat="1" applyFont="1"/>
    <xf numFmtId="3" fontId="45" fillId="0" borderId="0" xfId="30" applyNumberFormat="1" applyFont="1"/>
    <xf numFmtId="38" fontId="45" fillId="0" borderId="67" xfId="30" applyNumberFormat="1" applyFont="1" applyBorder="1"/>
    <xf numFmtId="10" fontId="42" fillId="0" borderId="0" xfId="39" applyNumberFormat="1" applyFont="1" applyFill="1" applyProtection="1"/>
    <xf numFmtId="43" fontId="42" fillId="0" borderId="0" xfId="5" applyFont="1" applyFill="1" applyProtection="1"/>
    <xf numFmtId="167" fontId="42" fillId="0" borderId="0" xfId="39" applyNumberFormat="1" applyFont="1" applyFill="1" applyProtection="1"/>
    <xf numFmtId="0" fontId="45" fillId="0" borderId="13" xfId="30" applyFont="1" applyBorder="1" applyAlignment="1">
      <alignment horizontal="center"/>
    </xf>
    <xf numFmtId="0" fontId="45" fillId="0" borderId="19" xfId="30" applyFont="1" applyBorder="1" applyAlignment="1">
      <alignment horizontal="center"/>
    </xf>
    <xf numFmtId="0" fontId="45" fillId="0" borderId="3" xfId="30" applyFont="1" applyBorder="1" applyAlignment="1">
      <alignment horizontal="center"/>
    </xf>
    <xf numFmtId="180" fontId="45" fillId="6" borderId="8" xfId="30" applyNumberFormat="1" applyFont="1" applyFill="1" applyBorder="1" applyAlignment="1">
      <alignment horizontal="center" wrapText="1"/>
    </xf>
    <xf numFmtId="180" fontId="45" fillId="6" borderId="8" xfId="30" applyNumberFormat="1" applyFont="1" applyFill="1" applyBorder="1" applyAlignment="1">
      <alignment wrapText="1"/>
    </xf>
    <xf numFmtId="180" fontId="45" fillId="6" borderId="68" xfId="30" applyNumberFormat="1" applyFont="1" applyFill="1" applyBorder="1" applyAlignment="1">
      <alignment wrapText="1"/>
    </xf>
    <xf numFmtId="0" fontId="45" fillId="0" borderId="69" xfId="30" applyFont="1" applyBorder="1" applyAlignment="1">
      <alignment horizontal="center"/>
    </xf>
    <xf numFmtId="0" fontId="42" fillId="6" borderId="70" xfId="30" applyFont="1" applyFill="1" applyBorder="1" applyAlignment="1">
      <alignment horizontal="center"/>
    </xf>
    <xf numFmtId="2" fontId="42" fillId="0" borderId="71" xfId="30" applyNumberFormat="1" applyFont="1" applyBorder="1" applyAlignment="1">
      <alignment horizontal="center"/>
    </xf>
    <xf numFmtId="2" fontId="42" fillId="0" borderId="72" xfId="30" applyNumberFormat="1" applyFont="1" applyBorder="1" applyAlignment="1">
      <alignment horizontal="center"/>
    </xf>
    <xf numFmtId="2" fontId="45" fillId="0" borderId="73" xfId="30" applyNumberFormat="1" applyFont="1" applyBorder="1" applyAlignment="1">
      <alignment horizontal="center"/>
    </xf>
    <xf numFmtId="0" fontId="42" fillId="6" borderId="74" xfId="30" applyFont="1" applyFill="1" applyBorder="1" applyAlignment="1">
      <alignment horizontal="center"/>
    </xf>
    <xf numFmtId="2" fontId="42" fillId="0" borderId="27" xfId="30" applyNumberFormat="1" applyFont="1" applyBorder="1" applyAlignment="1">
      <alignment horizontal="center"/>
    </xf>
    <xf numFmtId="2" fontId="42" fillId="0" borderId="19" xfId="30" applyNumberFormat="1" applyFont="1" applyBorder="1" applyAlignment="1">
      <alignment horizontal="center"/>
    </xf>
    <xf numFmtId="2" fontId="45" fillId="0" borderId="28" xfId="30" applyNumberFormat="1" applyFont="1" applyBorder="1" applyAlignment="1">
      <alignment horizontal="center"/>
    </xf>
    <xf numFmtId="0" fontId="42" fillId="6" borderId="37" xfId="30" applyFont="1" applyFill="1" applyBorder="1" applyAlignment="1">
      <alignment horizontal="center"/>
    </xf>
    <xf numFmtId="2" fontId="42" fillId="0" borderId="64" xfId="30" applyNumberFormat="1" applyFont="1" applyBorder="1" applyAlignment="1">
      <alignment horizontal="center"/>
    </xf>
    <xf numFmtId="2" fontId="42" fillId="0" borderId="13" xfId="30" applyNumberFormat="1" applyFont="1" applyBorder="1" applyAlignment="1">
      <alignment horizontal="center"/>
    </xf>
    <xf numFmtId="0" fontId="42" fillId="6" borderId="75" xfId="30" applyFont="1" applyFill="1" applyBorder="1" applyAlignment="1">
      <alignment horizontal="center"/>
    </xf>
    <xf numFmtId="2" fontId="42" fillId="0" borderId="29" xfId="30" applyNumberFormat="1" applyFont="1" applyBorder="1" applyAlignment="1">
      <alignment horizontal="center"/>
    </xf>
    <xf numFmtId="2" fontId="42" fillId="0" borderId="22" xfId="30" applyNumberFormat="1" applyFont="1" applyBorder="1" applyAlignment="1">
      <alignment horizontal="center"/>
    </xf>
    <xf numFmtId="2" fontId="45" fillId="0" borderId="30" xfId="30" applyNumberFormat="1" applyFont="1" applyBorder="1" applyAlignment="1">
      <alignment horizontal="center"/>
    </xf>
    <xf numFmtId="0" fontId="45" fillId="0" borderId="0" xfId="30" applyFont="1" applyAlignment="1">
      <alignment horizontal="left"/>
    </xf>
    <xf numFmtId="2" fontId="42" fillId="0" borderId="0" xfId="30" applyNumberFormat="1" applyFont="1" applyAlignment="1">
      <alignment horizontal="center"/>
    </xf>
    <xf numFmtId="2" fontId="45" fillId="0" borderId="34" xfId="30" applyNumberFormat="1" applyFont="1" applyBorder="1" applyAlignment="1">
      <alignment horizontal="center"/>
    </xf>
    <xf numFmtId="180" fontId="45" fillId="2" borderId="0" xfId="30" applyNumberFormat="1" applyFont="1" applyFill="1" applyAlignment="1">
      <alignment horizontal="center" wrapText="1"/>
    </xf>
    <xf numFmtId="180" fontId="45" fillId="2" borderId="0" xfId="30" applyNumberFormat="1" applyFont="1" applyFill="1" applyAlignment="1">
      <alignment wrapText="1"/>
    </xf>
    <xf numFmtId="180" fontId="45" fillId="2" borderId="34" xfId="30" applyNumberFormat="1" applyFont="1" applyFill="1" applyBorder="1" applyAlignment="1">
      <alignment wrapText="1"/>
    </xf>
    <xf numFmtId="0" fontId="45" fillId="0" borderId="11" xfId="30" applyFont="1" applyBorder="1" applyAlignment="1">
      <alignment horizontal="center"/>
    </xf>
    <xf numFmtId="0" fontId="45" fillId="2" borderId="72" xfId="30" applyFont="1" applyFill="1" applyBorder="1" applyAlignment="1">
      <alignment horizontal="center"/>
    </xf>
    <xf numFmtId="0" fontId="45" fillId="2" borderId="19" xfId="30" applyFont="1" applyFill="1" applyBorder="1" applyAlignment="1">
      <alignment horizontal="center"/>
    </xf>
    <xf numFmtId="0" fontId="45" fillId="2" borderId="13" xfId="30" applyFont="1" applyFill="1" applyBorder="1" applyAlignment="1">
      <alignment horizontal="center"/>
    </xf>
    <xf numFmtId="0" fontId="45" fillId="2" borderId="22" xfId="30" applyFont="1" applyFill="1" applyBorder="1" applyAlignment="1">
      <alignment horizontal="center"/>
    </xf>
    <xf numFmtId="180" fontId="45" fillId="7" borderId="0" xfId="30" applyNumberFormat="1" applyFont="1" applyFill="1" applyAlignment="1">
      <alignment horizontal="center" wrapText="1"/>
    </xf>
    <xf numFmtId="180" fontId="45" fillId="7" borderId="0" xfId="30" applyNumberFormat="1" applyFont="1" applyFill="1" applyAlignment="1">
      <alignment wrapText="1"/>
    </xf>
    <xf numFmtId="180" fontId="45" fillId="7" borderId="34" xfId="30" applyNumberFormat="1" applyFont="1" applyFill="1" applyBorder="1" applyAlignment="1">
      <alignment wrapText="1"/>
    </xf>
    <xf numFmtId="0" fontId="45" fillId="7" borderId="72" xfId="30" applyFont="1" applyFill="1" applyBorder="1" applyAlignment="1">
      <alignment horizontal="center"/>
    </xf>
    <xf numFmtId="0" fontId="45" fillId="7" borderId="19" xfId="30" applyFont="1" applyFill="1" applyBorder="1" applyAlignment="1">
      <alignment horizontal="center"/>
    </xf>
    <xf numFmtId="0" fontId="45" fillId="7" borderId="13" xfId="30" applyFont="1" applyFill="1" applyBorder="1" applyAlignment="1">
      <alignment horizontal="center"/>
    </xf>
    <xf numFmtId="0" fontId="45" fillId="7" borderId="22" xfId="30" applyFont="1" applyFill="1" applyBorder="1" applyAlignment="1">
      <alignment horizontal="center"/>
    </xf>
    <xf numFmtId="180" fontId="45" fillId="3" borderId="0" xfId="30" applyNumberFormat="1" applyFont="1" applyFill="1" applyAlignment="1">
      <alignment horizontal="center" wrapText="1"/>
    </xf>
    <xf numFmtId="180" fontId="45" fillId="3" borderId="0" xfId="30" applyNumberFormat="1" applyFont="1" applyFill="1" applyAlignment="1">
      <alignment wrapText="1"/>
    </xf>
    <xf numFmtId="180" fontId="45" fillId="3" borderId="34" xfId="30" applyNumberFormat="1" applyFont="1" applyFill="1" applyBorder="1" applyAlignment="1">
      <alignment wrapText="1"/>
    </xf>
    <xf numFmtId="0" fontId="45" fillId="3" borderId="72" xfId="30" applyFont="1" applyFill="1" applyBorder="1" applyAlignment="1">
      <alignment horizontal="center"/>
    </xf>
    <xf numFmtId="0" fontId="45" fillId="3" borderId="3" xfId="30" applyFont="1" applyFill="1" applyBorder="1" applyAlignment="1">
      <alignment horizontal="center"/>
    </xf>
    <xf numFmtId="2" fontId="42" fillId="0" borderId="25" xfId="30" applyNumberFormat="1" applyFont="1" applyBorder="1" applyAlignment="1">
      <alignment horizontal="center"/>
    </xf>
    <xf numFmtId="2" fontId="42" fillId="0" borderId="3" xfId="30" applyNumberFormat="1" applyFont="1" applyBorder="1" applyAlignment="1">
      <alignment horizontal="center"/>
    </xf>
    <xf numFmtId="0" fontId="45" fillId="3" borderId="19" xfId="30" applyFont="1" applyFill="1" applyBorder="1" applyAlignment="1">
      <alignment horizontal="center"/>
    </xf>
    <xf numFmtId="0" fontId="45" fillId="3" borderId="22" xfId="30" applyFont="1" applyFill="1" applyBorder="1" applyAlignment="1">
      <alignment horizontal="center"/>
    </xf>
    <xf numFmtId="0" fontId="42" fillId="0" borderId="22" xfId="30" applyFont="1" applyBorder="1" applyAlignment="1">
      <alignment horizontal="center"/>
    </xf>
    <xf numFmtId="2" fontId="45" fillId="0" borderId="9" xfId="30" applyNumberFormat="1" applyFont="1" applyBorder="1" applyAlignment="1">
      <alignment horizontal="center"/>
    </xf>
    <xf numFmtId="39" fontId="45" fillId="0" borderId="48" xfId="39" applyNumberFormat="1" applyFont="1" applyFill="1" applyBorder="1" applyAlignment="1" applyProtection="1">
      <alignment horizontal="center"/>
    </xf>
    <xf numFmtId="175" fontId="45" fillId="0" borderId="48" xfId="39" applyNumberFormat="1" applyFont="1" applyFill="1" applyBorder="1" applyAlignment="1" applyProtection="1">
      <alignment horizontal="center"/>
    </xf>
    <xf numFmtId="175" fontId="45" fillId="0" borderId="49" xfId="39" applyNumberFormat="1" applyFont="1" applyFill="1" applyBorder="1" applyAlignment="1" applyProtection="1">
      <alignment horizontal="center"/>
    </xf>
    <xf numFmtId="175" fontId="45" fillId="0" borderId="52" xfId="39" applyNumberFormat="1" applyFont="1" applyFill="1" applyBorder="1" applyAlignment="1" applyProtection="1">
      <alignment horizontal="center"/>
    </xf>
    <xf numFmtId="1" fontId="42" fillId="0" borderId="0" xfId="5" applyNumberFormat="1" applyFont="1" applyFill="1" applyAlignment="1" applyProtection="1">
      <alignment horizontal="center"/>
    </xf>
    <xf numFmtId="0" fontId="45" fillId="0" borderId="76" xfId="30" applyFont="1" applyBorder="1" applyAlignment="1">
      <alignment horizontal="center"/>
    </xf>
    <xf numFmtId="0" fontId="45" fillId="0" borderId="44" xfId="30" applyFont="1" applyBorder="1" applyAlignment="1">
      <alignment horizontal="center"/>
    </xf>
    <xf numFmtId="41" fontId="45" fillId="0" borderId="44" xfId="5" applyNumberFormat="1" applyFont="1" applyFill="1" applyBorder="1" applyAlignment="1" applyProtection="1">
      <alignment horizontal="center"/>
    </xf>
    <xf numFmtId="177" fontId="45" fillId="0" borderId="45" xfId="5" applyNumberFormat="1" applyFont="1" applyFill="1" applyBorder="1" applyAlignment="1" applyProtection="1">
      <alignment horizontal="center"/>
    </xf>
    <xf numFmtId="39" fontId="45" fillId="0" borderId="44" xfId="5" applyNumberFormat="1" applyFont="1" applyFill="1" applyBorder="1" applyAlignment="1" applyProtection="1">
      <alignment horizontal="center"/>
    </xf>
    <xf numFmtId="175" fontId="45" fillId="0" borderId="44" xfId="39" applyNumberFormat="1" applyFont="1" applyFill="1" applyBorder="1" applyAlignment="1" applyProtection="1">
      <alignment horizontal="center"/>
    </xf>
    <xf numFmtId="175" fontId="45" fillId="0" borderId="60" xfId="39" applyNumberFormat="1" applyFont="1" applyFill="1" applyBorder="1" applyAlignment="1" applyProtection="1">
      <alignment horizontal="center"/>
    </xf>
    <xf numFmtId="1" fontId="45" fillId="0" borderId="45" xfId="5" applyNumberFormat="1" applyFont="1" applyFill="1" applyBorder="1" applyAlignment="1" applyProtection="1">
      <alignment horizontal="center"/>
    </xf>
    <xf numFmtId="167" fontId="42" fillId="0" borderId="3" xfId="39" applyNumberFormat="1" applyFont="1" applyBorder="1" applyAlignment="1" applyProtection="1">
      <alignment horizontal="center"/>
    </xf>
    <xf numFmtId="43" fontId="42" fillId="0" borderId="3" xfId="5" applyFont="1" applyBorder="1" applyAlignment="1" applyProtection="1">
      <alignment horizontal="center"/>
    </xf>
    <xf numFmtId="10" fontId="42" fillId="0" borderId="3" xfId="39" applyNumberFormat="1" applyFont="1" applyFill="1" applyBorder="1" applyProtection="1"/>
    <xf numFmtId="0" fontId="42" fillId="0" borderId="3" xfId="30" applyFont="1" applyBorder="1"/>
    <xf numFmtId="43" fontId="42" fillId="0" borderId="3" xfId="5" applyFont="1" applyFill="1" applyBorder="1" applyAlignment="1" applyProtection="1">
      <alignment horizontal="center"/>
    </xf>
    <xf numFmtId="39" fontId="42" fillId="0" borderId="3" xfId="30" applyNumberFormat="1" applyFont="1" applyBorder="1" applyAlignment="1">
      <alignment horizontal="center"/>
    </xf>
    <xf numFmtId="177" fontId="42" fillId="0" borderId="3" xfId="5" applyNumberFormat="1" applyFont="1" applyFill="1" applyBorder="1" applyProtection="1"/>
    <xf numFmtId="167" fontId="42" fillId="0" borderId="19" xfId="39" applyNumberFormat="1" applyFont="1" applyBorder="1" applyAlignment="1" applyProtection="1">
      <alignment horizontal="center"/>
    </xf>
    <xf numFmtId="43" fontId="42" fillId="0" borderId="19" xfId="5" applyFont="1" applyBorder="1" applyAlignment="1" applyProtection="1">
      <alignment horizontal="center"/>
    </xf>
    <xf numFmtId="10" fontId="42" fillId="0" borderId="19" xfId="39" applyNumberFormat="1" applyFont="1" applyFill="1" applyBorder="1" applyProtection="1"/>
    <xf numFmtId="0" fontId="42" fillId="0" borderId="19" xfId="30" applyFont="1" applyBorder="1"/>
    <xf numFmtId="43" fontId="42" fillId="0" borderId="19" xfId="5" applyFont="1" applyFill="1" applyBorder="1" applyAlignment="1" applyProtection="1">
      <alignment horizontal="center"/>
    </xf>
    <xf numFmtId="39" fontId="42" fillId="0" borderId="19" xfId="30" applyNumberFormat="1" applyFont="1" applyBorder="1" applyAlignment="1">
      <alignment horizontal="center"/>
    </xf>
    <xf numFmtId="1" fontId="42" fillId="0" borderId="19" xfId="5" applyNumberFormat="1" applyFont="1" applyFill="1" applyBorder="1" applyAlignment="1" applyProtection="1">
      <alignment horizontal="center"/>
    </xf>
    <xf numFmtId="177" fontId="42" fillId="0" borderId="19" xfId="5" applyNumberFormat="1" applyFont="1" applyFill="1" applyBorder="1" applyProtection="1"/>
    <xf numFmtId="39" fontId="42" fillId="0" borderId="19" xfId="5" applyNumberFormat="1" applyFont="1" applyFill="1" applyBorder="1" applyAlignment="1" applyProtection="1">
      <alignment horizontal="center"/>
    </xf>
    <xf numFmtId="177" fontId="42" fillId="0" borderId="19" xfId="5" applyNumberFormat="1" applyFont="1" applyFill="1" applyBorder="1" applyAlignment="1" applyProtection="1">
      <alignment horizontal="center"/>
    </xf>
    <xf numFmtId="167" fontId="42" fillId="0" borderId="19" xfId="39" applyNumberFormat="1" applyFont="1" applyFill="1" applyBorder="1" applyAlignment="1" applyProtection="1">
      <alignment horizontal="center"/>
    </xf>
    <xf numFmtId="43" fontId="42" fillId="0" borderId="19" xfId="5" applyFont="1" applyFill="1" applyBorder="1" applyProtection="1"/>
    <xf numFmtId="43" fontId="42" fillId="0" borderId="0" xfId="5" applyFont="1" applyAlignment="1" applyProtection="1">
      <alignment horizontal="center"/>
    </xf>
    <xf numFmtId="43" fontId="42" fillId="0" borderId="0" xfId="5" applyFont="1" applyFill="1" applyAlignment="1" applyProtection="1">
      <alignment horizontal="center"/>
    </xf>
    <xf numFmtId="39" fontId="42" fillId="0" borderId="0" xfId="5" applyNumberFormat="1" applyFont="1" applyFill="1" applyAlignment="1" applyProtection="1">
      <alignment horizontal="center"/>
    </xf>
    <xf numFmtId="41" fontId="69" fillId="0" borderId="0" xfId="3" applyNumberFormat="1" applyFont="1" applyFill="1" applyBorder="1" applyProtection="1">
      <protection locked="0"/>
    </xf>
    <xf numFmtId="41" fontId="69" fillId="0" borderId="0" xfId="3" applyNumberFormat="1" applyFont="1" applyFill="1" applyBorder="1"/>
    <xf numFmtId="41" fontId="69" fillId="0" borderId="67" xfId="3" applyNumberFormat="1" applyFont="1" applyFill="1" applyBorder="1"/>
    <xf numFmtId="164" fontId="20" fillId="9" borderId="1" xfId="0" applyNumberFormat="1" applyFont="1" applyFill="1" applyBorder="1" applyAlignment="1">
      <alignment horizontal="center" wrapText="1"/>
    </xf>
    <xf numFmtId="37" fontId="20" fillId="9" borderId="0" xfId="0" applyNumberFormat="1" applyFont="1" applyFill="1"/>
    <xf numFmtId="37" fontId="20" fillId="9" borderId="0" xfId="0" quotePrefix="1" applyNumberFormat="1" applyFont="1" applyFill="1"/>
    <xf numFmtId="164" fontId="21" fillId="9" borderId="13" xfId="0" applyNumberFormat="1" applyFont="1" applyFill="1" applyBorder="1"/>
    <xf numFmtId="164" fontId="21" fillId="9" borderId="2" xfId="0" applyNumberFormat="1" applyFont="1" applyFill="1" applyBorder="1"/>
    <xf numFmtId="164" fontId="21" fillId="9" borderId="3" xfId="0" applyNumberFormat="1" applyFont="1" applyFill="1" applyBorder="1"/>
    <xf numFmtId="164" fontId="26" fillId="9" borderId="0" xfId="0" applyNumberFormat="1" applyFont="1" applyFill="1"/>
    <xf numFmtId="0" fontId="69" fillId="0" borderId="0" xfId="28" applyFont="1"/>
    <xf numFmtId="41" fontId="69" fillId="0" borderId="0" xfId="28" applyNumberFormat="1" applyFont="1" applyProtection="1">
      <protection locked="0"/>
    </xf>
    <xf numFmtId="41" fontId="69" fillId="0" borderId="0" xfId="28" applyNumberFormat="1" applyFont="1"/>
    <xf numFmtId="0" fontId="69" fillId="0" borderId="10" xfId="28" applyFont="1" applyBorder="1"/>
    <xf numFmtId="178" fontId="70" fillId="0" borderId="79" xfId="35" applyNumberFormat="1" applyFont="1" applyBorder="1" applyAlignment="1">
      <alignment horizontal="center"/>
    </xf>
    <xf numFmtId="41" fontId="70" fillId="0" borderId="0" xfId="35" applyNumberFormat="1" applyFont="1" applyAlignment="1">
      <alignment horizontal="center"/>
    </xf>
    <xf numFmtId="41" fontId="70" fillId="0" borderId="82" xfId="35" applyNumberFormat="1" applyFont="1" applyBorder="1" applyAlignment="1">
      <alignment horizontal="center"/>
    </xf>
    <xf numFmtId="41" fontId="69" fillId="0" borderId="82" xfId="28" applyNumberFormat="1" applyFont="1" applyBorder="1"/>
    <xf numFmtId="41" fontId="69" fillId="0" borderId="81" xfId="3" applyNumberFormat="1" applyFont="1" applyFill="1" applyBorder="1"/>
    <xf numFmtId="41" fontId="69" fillId="0" borderId="82" xfId="3" applyNumberFormat="1" applyFont="1" applyFill="1" applyBorder="1"/>
    <xf numFmtId="41" fontId="69" fillId="0" borderId="82" xfId="28" applyNumberFormat="1" applyFont="1" applyBorder="1" applyProtection="1">
      <protection locked="0"/>
    </xf>
    <xf numFmtId="41" fontId="69" fillId="0" borderId="82" xfId="3" applyNumberFormat="1" applyFont="1" applyFill="1" applyBorder="1" applyProtection="1">
      <protection locked="0"/>
    </xf>
    <xf numFmtId="41" fontId="69" fillId="0" borderId="83" xfId="3" applyNumberFormat="1" applyFont="1" applyFill="1" applyBorder="1" applyProtection="1"/>
    <xf numFmtId="41" fontId="69" fillId="0" borderId="78" xfId="3" applyNumberFormat="1" applyFont="1" applyFill="1" applyBorder="1" applyProtection="1"/>
    <xf numFmtId="41" fontId="69" fillId="0" borderId="81" xfId="3" applyNumberFormat="1" applyFont="1" applyFill="1" applyBorder="1" applyProtection="1"/>
    <xf numFmtId="41" fontId="69" fillId="0" borderId="83" xfId="28" applyNumberFormat="1" applyFont="1" applyBorder="1"/>
    <xf numFmtId="41" fontId="69" fillId="0" borderId="84" xfId="3" applyNumberFormat="1" applyFont="1" applyFill="1" applyBorder="1" applyProtection="1"/>
    <xf numFmtId="41" fontId="69" fillId="0" borderId="82" xfId="3" applyNumberFormat="1" applyFont="1" applyFill="1" applyBorder="1" applyProtection="1"/>
    <xf numFmtId="41" fontId="69" fillId="0" borderId="80" xfId="3" applyNumberFormat="1" applyFont="1" applyFill="1" applyBorder="1" applyProtection="1"/>
    <xf numFmtId="41" fontId="69" fillId="0" borderId="86" xfId="3" applyNumberFormat="1" applyFont="1" applyFill="1" applyBorder="1" applyProtection="1">
      <protection locked="0"/>
    </xf>
    <xf numFmtId="41" fontId="69" fillId="0" borderId="88" xfId="3" applyNumberFormat="1" applyFont="1" applyFill="1" applyBorder="1"/>
    <xf numFmtId="41" fontId="69" fillId="0" borderId="80" xfId="28" applyNumberFormat="1" applyFont="1" applyBorder="1" applyProtection="1">
      <protection locked="0"/>
    </xf>
    <xf numFmtId="41" fontId="69" fillId="8" borderId="84" xfId="28" applyNumberFormat="1" applyFont="1" applyFill="1" applyBorder="1" applyProtection="1">
      <protection locked="0"/>
    </xf>
    <xf numFmtId="41" fontId="69" fillId="0" borderId="83" xfId="3" applyNumberFormat="1" applyFont="1" applyFill="1" applyBorder="1" applyProtection="1">
      <protection locked="0"/>
    </xf>
    <xf numFmtId="41" fontId="69" fillId="0" borderId="79" xfId="28" applyNumberFormat="1" applyFont="1" applyBorder="1"/>
    <xf numFmtId="39" fontId="42" fillId="0" borderId="9" xfId="5" applyNumberFormat="1" applyFont="1" applyFill="1" applyBorder="1" applyProtection="1"/>
    <xf numFmtId="0" fontId="42" fillId="0" borderId="90" xfId="30" applyFont="1" applyBorder="1" applyAlignment="1">
      <alignment horizontal="center"/>
    </xf>
    <xf numFmtId="177" fontId="45" fillId="0" borderId="0" xfId="5" applyNumberFormat="1" applyFont="1" applyFill="1" applyProtection="1"/>
    <xf numFmtId="41" fontId="70" fillId="0" borderId="10" xfId="37" applyNumberFormat="1" applyFont="1" applyFill="1" applyBorder="1" applyAlignment="1" applyProtection="1">
      <alignment horizontal="center"/>
      <protection locked="0"/>
    </xf>
    <xf numFmtId="164" fontId="20" fillId="0" borderId="0" xfId="0" applyNumberFormat="1" applyFont="1" applyAlignment="1">
      <alignment horizontal="center" wrapText="1"/>
    </xf>
    <xf numFmtId="37" fontId="24" fillId="9" borderId="0" xfId="0" applyNumberFormat="1" applyFont="1" applyFill="1" applyAlignment="1">
      <alignment horizontal="center" wrapText="1"/>
    </xf>
    <xf numFmtId="164" fontId="21" fillId="0" borderId="17" xfId="0" applyNumberFormat="1" applyFont="1" applyBorder="1"/>
    <xf numFmtId="183" fontId="21" fillId="2" borderId="17" xfId="0" applyNumberFormat="1" applyFont="1" applyFill="1" applyBorder="1"/>
    <xf numFmtId="5" fontId="24" fillId="0" borderId="0" xfId="0" applyNumberFormat="1" applyFont="1"/>
    <xf numFmtId="164" fontId="21" fillId="0" borderId="15" xfId="0" applyNumberFormat="1" applyFont="1" applyBorder="1"/>
    <xf numFmtId="183" fontId="21" fillId="2" borderId="15" xfId="0" applyNumberFormat="1" applyFont="1" applyFill="1" applyBorder="1"/>
    <xf numFmtId="164" fontId="21" fillId="0" borderId="16" xfId="0" applyNumberFormat="1" applyFont="1" applyBorder="1"/>
    <xf numFmtId="183" fontId="21" fillId="2" borderId="16" xfId="0" applyNumberFormat="1" applyFont="1" applyFill="1" applyBorder="1"/>
    <xf numFmtId="2" fontId="73" fillId="0" borderId="0" xfId="0" applyNumberFormat="1" applyFont="1" applyAlignment="1">
      <alignment horizontal="center"/>
    </xf>
    <xf numFmtId="4" fontId="76" fillId="0" borderId="1" xfId="0" applyNumberFormat="1" applyFont="1" applyBorder="1" applyAlignment="1">
      <alignment horizontal="center"/>
    </xf>
    <xf numFmtId="168" fontId="76" fillId="0" borderId="1" xfId="0" applyNumberFormat="1" applyFont="1" applyBorder="1" applyAlignment="1">
      <alignment horizontal="center"/>
    </xf>
    <xf numFmtId="39" fontId="42" fillId="0" borderId="0" xfId="5" applyNumberFormat="1" applyFont="1" applyFill="1" applyBorder="1" applyProtection="1"/>
    <xf numFmtId="39" fontId="42" fillId="0" borderId="0" xfId="5" applyNumberFormat="1" applyFont="1" applyFill="1" applyProtection="1"/>
    <xf numFmtId="14" fontId="42" fillId="10" borderId="54" xfId="30" applyNumberFormat="1" applyFont="1" applyFill="1" applyBorder="1" applyAlignment="1">
      <alignment horizontal="center"/>
    </xf>
    <xf numFmtId="0" fontId="77" fillId="0" borderId="96" xfId="30" applyFont="1" applyBorder="1" applyProtection="1">
      <protection locked="0"/>
    </xf>
    <xf numFmtId="175" fontId="42" fillId="0" borderId="54" xfId="39" applyNumberFormat="1" applyFont="1" applyFill="1" applyBorder="1" applyAlignment="1" applyProtection="1">
      <alignment horizontal="center"/>
      <protection locked="0"/>
    </xf>
    <xf numFmtId="39" fontId="42" fillId="0" borderId="56" xfId="5" applyNumberFormat="1" applyFont="1" applyFill="1" applyBorder="1" applyProtection="1">
      <protection locked="0"/>
    </xf>
    <xf numFmtId="177" fontId="77" fillId="0" borderId="96" xfId="5" applyNumberFormat="1" applyFont="1" applyFill="1" applyBorder="1" applyProtection="1">
      <protection locked="0"/>
    </xf>
    <xf numFmtId="177" fontId="42" fillId="0" borderId="54" xfId="5" applyNumberFormat="1" applyFont="1" applyFill="1" applyBorder="1" applyProtection="1">
      <protection locked="0"/>
    </xf>
    <xf numFmtId="177" fontId="42" fillId="0" borderId="55" xfId="5" applyNumberFormat="1" applyFont="1" applyFill="1" applyBorder="1" applyProtection="1">
      <protection locked="0"/>
    </xf>
    <xf numFmtId="9" fontId="42" fillId="0" borderId="55" xfId="41" applyFont="1" applyFill="1" applyBorder="1" applyAlignment="1" applyProtection="1">
      <alignment horizontal="center"/>
      <protection locked="0"/>
    </xf>
    <xf numFmtId="0" fontId="64" fillId="10" borderId="27" xfId="30" applyFont="1" applyFill="1" applyBorder="1" applyAlignment="1">
      <alignment horizontal="center"/>
    </xf>
    <xf numFmtId="173" fontId="42" fillId="10" borderId="19" xfId="0" applyNumberFormat="1" applyFont="1" applyFill="1" applyBorder="1" applyAlignment="1">
      <alignment horizontal="center"/>
    </xf>
    <xf numFmtId="0" fontId="64" fillId="10" borderId="19" xfId="30" applyFont="1" applyFill="1" applyBorder="1" applyAlignment="1">
      <alignment horizontal="center"/>
    </xf>
    <xf numFmtId="0" fontId="42" fillId="3" borderId="91" xfId="30" applyFont="1" applyFill="1" applyBorder="1" applyAlignment="1">
      <alignment horizontal="center"/>
    </xf>
    <xf numFmtId="175" fontId="42" fillId="0" borderId="55" xfId="39" applyNumberFormat="1" applyFont="1" applyFill="1" applyBorder="1" applyAlignment="1" applyProtection="1">
      <alignment horizontal="center"/>
      <protection locked="0"/>
    </xf>
    <xf numFmtId="9" fontId="42" fillId="0" borderId="55" xfId="42" applyFont="1" applyFill="1" applyBorder="1" applyAlignment="1" applyProtection="1">
      <alignment horizontal="center"/>
      <protection locked="0"/>
    </xf>
    <xf numFmtId="177" fontId="78" fillId="0" borderId="96" xfId="5" applyNumberFormat="1" applyFont="1" applyFill="1" applyBorder="1" applyProtection="1">
      <protection locked="0"/>
    </xf>
    <xf numFmtId="0" fontId="77" fillId="0" borderId="55" xfId="30" applyFont="1" applyBorder="1" applyProtection="1">
      <protection locked="0"/>
    </xf>
    <xf numFmtId="173" fontId="42" fillId="0" borderId="91" xfId="30" applyNumberFormat="1" applyFont="1" applyBorder="1" applyProtection="1">
      <protection locked="0"/>
    </xf>
    <xf numFmtId="0" fontId="42" fillId="0" borderId="91" xfId="30" applyFont="1" applyBorder="1" applyProtection="1">
      <protection locked="0"/>
    </xf>
    <xf numFmtId="39" fontId="42" fillId="0" borderId="55" xfId="15" applyNumberFormat="1" applyFont="1" applyFill="1" applyBorder="1" applyProtection="1">
      <protection locked="0"/>
    </xf>
    <xf numFmtId="9" fontId="42" fillId="0" borderId="55" xfId="39" applyFont="1" applyFill="1" applyBorder="1" applyAlignment="1" applyProtection="1">
      <alignment horizontal="center"/>
      <protection locked="0"/>
    </xf>
    <xf numFmtId="173" fontId="42" fillId="0" borderId="91" xfId="0" applyNumberFormat="1" applyFont="1" applyBorder="1" applyProtection="1">
      <protection locked="0"/>
    </xf>
    <xf numFmtId="0" fontId="42" fillId="0" borderId="55" xfId="30" applyFont="1" applyBorder="1" applyProtection="1">
      <protection locked="0"/>
    </xf>
    <xf numFmtId="175" fontId="42" fillId="0" borderId="56" xfId="39" applyNumberFormat="1" applyFont="1" applyFill="1" applyBorder="1" applyAlignment="1" applyProtection="1">
      <alignment horizontal="center"/>
      <protection locked="0"/>
    </xf>
    <xf numFmtId="9" fontId="42" fillId="0" borderId="54" xfId="39" applyFont="1" applyFill="1" applyBorder="1" applyAlignment="1" applyProtection="1">
      <alignment horizontal="center"/>
      <protection locked="0"/>
    </xf>
    <xf numFmtId="173" fontId="42" fillId="0" borderId="55" xfId="30" applyNumberFormat="1" applyFont="1" applyBorder="1" applyProtection="1">
      <protection locked="0"/>
    </xf>
    <xf numFmtId="39" fontId="42" fillId="0" borderId="55" xfId="5" applyNumberFormat="1" applyFont="1" applyFill="1" applyBorder="1" applyProtection="1">
      <protection locked="0"/>
    </xf>
    <xf numFmtId="3" fontId="77" fillId="0" borderId="55" xfId="5" applyNumberFormat="1" applyFont="1" applyFill="1" applyBorder="1" applyProtection="1">
      <protection locked="0"/>
    </xf>
    <xf numFmtId="0" fontId="42" fillId="0" borderId="55" xfId="30" applyFont="1" applyBorder="1"/>
    <xf numFmtId="39" fontId="72" fillId="0" borderId="55" xfId="5" applyNumberFormat="1" applyFont="1" applyFill="1" applyBorder="1" applyProtection="1">
      <protection locked="0"/>
    </xf>
    <xf numFmtId="9" fontId="42" fillId="0" borderId="55" xfId="5" applyNumberFormat="1" applyFont="1" applyFill="1" applyBorder="1" applyAlignment="1" applyProtection="1">
      <alignment horizontal="center"/>
      <protection locked="0"/>
    </xf>
    <xf numFmtId="177" fontId="42" fillId="0" borderId="55" xfId="5" applyNumberFormat="1" applyFont="1" applyFill="1" applyBorder="1" applyAlignment="1" applyProtection="1">
      <alignment horizontal="center"/>
      <protection locked="0"/>
    </xf>
    <xf numFmtId="0" fontId="42" fillId="0" borderId="54" xfId="30" applyFont="1" applyBorder="1" applyProtection="1">
      <protection locked="0"/>
    </xf>
    <xf numFmtId="39" fontId="42" fillId="0" borderId="54" xfId="5" applyNumberFormat="1" applyFont="1" applyFill="1" applyBorder="1" applyProtection="1">
      <protection locked="0"/>
    </xf>
    <xf numFmtId="41" fontId="45" fillId="0" borderId="54" xfId="15" applyNumberFormat="1" applyFont="1" applyFill="1" applyBorder="1" applyProtection="1"/>
    <xf numFmtId="39" fontId="72" fillId="0" borderId="54" xfId="5" applyNumberFormat="1" applyFont="1" applyFill="1" applyBorder="1" applyProtection="1">
      <protection locked="0"/>
    </xf>
    <xf numFmtId="0" fontId="42" fillId="0" borderId="90" xfId="30" applyFont="1" applyBorder="1" applyProtection="1">
      <protection locked="0"/>
    </xf>
    <xf numFmtId="0" fontId="77" fillId="0" borderId="54" xfId="30" applyFont="1" applyBorder="1" applyProtection="1">
      <protection locked="0"/>
    </xf>
    <xf numFmtId="177" fontId="77" fillId="0" borderId="55" xfId="5" applyNumberFormat="1" applyFont="1" applyFill="1" applyBorder="1" applyProtection="1">
      <protection locked="0"/>
    </xf>
    <xf numFmtId="0" fontId="77" fillId="0" borderId="55" xfId="30" applyFont="1" applyBorder="1"/>
    <xf numFmtId="3" fontId="77" fillId="0" borderId="55" xfId="5" applyNumberFormat="1" applyFont="1" applyFill="1" applyBorder="1" applyProtection="1"/>
    <xf numFmtId="177" fontId="77" fillId="0" borderId="55" xfId="5" applyNumberFormat="1" applyFont="1" applyFill="1" applyBorder="1" applyProtection="1"/>
    <xf numFmtId="175" fontId="42" fillId="0" borderId="0" xfId="39" applyNumberFormat="1" applyFont="1" applyFill="1" applyBorder="1" applyAlignment="1" applyProtection="1">
      <alignment horizontal="center"/>
    </xf>
    <xf numFmtId="177" fontId="42" fillId="0" borderId="92" xfId="5" applyNumberFormat="1" applyFont="1" applyFill="1" applyBorder="1" applyProtection="1"/>
    <xf numFmtId="177" fontId="42" fillId="0" borderId="0" xfId="5" applyNumberFormat="1" applyFont="1" applyFill="1" applyBorder="1" applyProtection="1"/>
    <xf numFmtId="41" fontId="45" fillId="0" borderId="0" xfId="5" applyNumberFormat="1" applyFont="1" applyFill="1" applyBorder="1" applyProtection="1"/>
    <xf numFmtId="173" fontId="42" fillId="10" borderId="13" xfId="0" applyNumberFormat="1" applyFont="1" applyFill="1" applyBorder="1" applyAlignment="1">
      <alignment horizontal="center"/>
    </xf>
    <xf numFmtId="39" fontId="42" fillId="0" borderId="92" xfId="5" applyNumberFormat="1" applyFont="1" applyFill="1" applyBorder="1" applyProtection="1"/>
    <xf numFmtId="0" fontId="42" fillId="3" borderId="90" xfId="30" applyFont="1" applyFill="1" applyBorder="1" applyAlignment="1">
      <alignment horizontal="center"/>
    </xf>
    <xf numFmtId="175" fontId="42" fillId="0" borderId="90" xfId="39" applyNumberFormat="1" applyFont="1" applyFill="1" applyBorder="1" applyAlignment="1" applyProtection="1">
      <alignment horizontal="center"/>
      <protection locked="0"/>
    </xf>
    <xf numFmtId="39" fontId="42" fillId="0" borderId="90" xfId="5" applyNumberFormat="1" applyFont="1" applyFill="1" applyBorder="1" applyProtection="1">
      <protection locked="0"/>
    </xf>
    <xf numFmtId="177" fontId="42" fillId="0" borderId="90" xfId="5" applyNumberFormat="1" applyFont="1" applyFill="1" applyBorder="1" applyProtection="1">
      <protection locked="0"/>
    </xf>
    <xf numFmtId="0" fontId="64" fillId="10" borderId="11" xfId="30" applyFont="1" applyFill="1" applyBorder="1" applyAlignment="1">
      <alignment horizontal="center"/>
    </xf>
    <xf numFmtId="0" fontId="64" fillId="10" borderId="13" xfId="30" applyFont="1" applyFill="1" applyBorder="1" applyAlignment="1">
      <alignment horizontal="center"/>
    </xf>
    <xf numFmtId="173" fontId="49" fillId="0" borderId="4" xfId="0" applyNumberFormat="1" applyFont="1" applyBorder="1" applyAlignment="1">
      <alignment horizontal="center"/>
    </xf>
    <xf numFmtId="173" fontId="49" fillId="0" borderId="2" xfId="0" applyNumberFormat="1" applyFont="1" applyBorder="1" applyAlignment="1">
      <alignment horizontal="center"/>
    </xf>
    <xf numFmtId="173" fontId="64" fillId="0" borderId="15" xfId="0" applyNumberFormat="1" applyFont="1" applyBorder="1" applyAlignment="1">
      <alignment horizontal="center"/>
    </xf>
    <xf numFmtId="167" fontId="42" fillId="0" borderId="36" xfId="39" applyNumberFormat="1" applyFont="1" applyBorder="1" applyAlignment="1" applyProtection="1">
      <alignment horizontal="center"/>
    </xf>
    <xf numFmtId="167" fontId="42" fillId="0" borderId="2" xfId="39" applyNumberFormat="1" applyFont="1" applyBorder="1"/>
    <xf numFmtId="167" fontId="42" fillId="0" borderId="2" xfId="30" applyNumberFormat="1" applyFont="1" applyBorder="1"/>
    <xf numFmtId="182" fontId="42" fillId="0" borderId="2" xfId="30" applyNumberFormat="1" applyFont="1" applyBorder="1"/>
    <xf numFmtId="43" fontId="42" fillId="0" borderId="97" xfId="5" applyFont="1" applyBorder="1" applyAlignment="1" applyProtection="1">
      <alignment horizontal="center"/>
    </xf>
    <xf numFmtId="177" fontId="42" fillId="0" borderId="36" xfId="7" applyNumberFormat="1" applyFont="1" applyBorder="1" applyAlignment="1">
      <alignment horizontal="center"/>
    </xf>
    <xf numFmtId="0" fontId="65" fillId="0" borderId="2" xfId="30" applyFont="1" applyBorder="1" applyAlignment="1">
      <alignment horizontal="center"/>
    </xf>
    <xf numFmtId="43" fontId="42" fillId="0" borderId="2" xfId="30" applyNumberFormat="1" applyFont="1" applyBorder="1" applyAlignment="1">
      <alignment horizontal="center"/>
    </xf>
    <xf numFmtId="14" fontId="42" fillId="0" borderId="13" xfId="30" applyNumberFormat="1" applyFont="1" applyBorder="1"/>
    <xf numFmtId="1" fontId="42" fillId="0" borderId="2" xfId="30" applyNumberFormat="1" applyFont="1" applyBorder="1" applyAlignment="1">
      <alignment horizontal="center"/>
    </xf>
    <xf numFmtId="177" fontId="42" fillId="0" borderId="2" xfId="30" applyNumberFormat="1" applyFont="1" applyBorder="1"/>
    <xf numFmtId="4" fontId="42" fillId="0" borderId="2" xfId="7" applyNumberFormat="1" applyFont="1" applyBorder="1" applyAlignment="1" applyProtection="1">
      <alignment horizontal="center"/>
    </xf>
    <xf numFmtId="4" fontId="42" fillId="0" borderId="15" xfId="7" applyNumberFormat="1" applyFont="1" applyBorder="1" applyAlignment="1" applyProtection="1">
      <alignment horizontal="center"/>
    </xf>
    <xf numFmtId="177" fontId="42" fillId="0" borderId="97" xfId="2" applyNumberFormat="1" applyFont="1" applyBorder="1" applyAlignment="1" applyProtection="1">
      <alignment horizontal="right"/>
    </xf>
    <xf numFmtId="39" fontId="45" fillId="0" borderId="44" xfId="39" applyNumberFormat="1" applyFont="1" applyFill="1" applyBorder="1" applyAlignment="1" applyProtection="1">
      <alignment horizontal="center"/>
    </xf>
    <xf numFmtId="39" fontId="42" fillId="0" borderId="3" xfId="39" applyNumberFormat="1" applyFont="1" applyFill="1" applyBorder="1" applyProtection="1"/>
    <xf numFmtId="39" fontId="42" fillId="0" borderId="19" xfId="39" applyNumberFormat="1" applyFont="1" applyFill="1" applyBorder="1" applyProtection="1"/>
    <xf numFmtId="0" fontId="67" fillId="0" borderId="0" xfId="28" applyFont="1"/>
    <xf numFmtId="0" fontId="79" fillId="0" borderId="0" xfId="28" applyFont="1"/>
    <xf numFmtId="41" fontId="70" fillId="0" borderId="0" xfId="28" applyNumberFormat="1" applyFont="1" applyAlignment="1" applyProtection="1">
      <alignment horizontal="center" wrapText="1"/>
      <protection locked="0"/>
    </xf>
    <xf numFmtId="9" fontId="79" fillId="0" borderId="0" xfId="28" applyNumberFormat="1" applyFont="1" applyAlignment="1">
      <alignment horizontal="center"/>
    </xf>
    <xf numFmtId="178" fontId="79" fillId="0" borderId="79" xfId="35" applyNumberFormat="1" applyFont="1" applyBorder="1" applyAlignment="1">
      <alignment horizontal="center" wrapText="1"/>
    </xf>
    <xf numFmtId="178" fontId="70" fillId="0" borderId="80" xfId="35" applyNumberFormat="1" applyFont="1" applyBorder="1" applyAlignment="1">
      <alignment horizontal="center"/>
    </xf>
    <xf numFmtId="0" fontId="70" fillId="0" borderId="80" xfId="28" applyFont="1" applyBorder="1" applyAlignment="1" applyProtection="1">
      <alignment horizontal="center" wrapText="1" shrinkToFit="1"/>
      <protection locked="0"/>
    </xf>
    <xf numFmtId="41" fontId="70" fillId="0" borderId="98" xfId="28" applyNumberFormat="1" applyFont="1" applyBorder="1"/>
    <xf numFmtId="41" fontId="79" fillId="0" borderId="0" xfId="35" applyNumberFormat="1" applyFont="1" applyAlignment="1">
      <alignment horizontal="center"/>
    </xf>
    <xf numFmtId="0" fontId="67" fillId="0" borderId="82" xfId="28" applyFont="1" applyBorder="1"/>
    <xf numFmtId="41" fontId="79" fillId="0" borderId="0" xfId="3" applyNumberFormat="1" applyFont="1" applyFill="1" applyBorder="1"/>
    <xf numFmtId="0" fontId="67" fillId="0" borderId="0" xfId="34" applyFont="1">
      <alignment vertical="top"/>
    </xf>
    <xf numFmtId="0" fontId="67" fillId="0" borderId="82" xfId="34" applyFont="1" applyBorder="1">
      <alignment vertical="top"/>
    </xf>
    <xf numFmtId="41" fontId="79" fillId="0" borderId="0" xfId="3" applyNumberFormat="1" applyFont="1" applyFill="1" applyBorder="1" applyProtection="1">
      <protection locked="0"/>
    </xf>
    <xf numFmtId="177" fontId="69" fillId="0" borderId="82" xfId="1" applyNumberFormat="1" applyFont="1" applyFill="1" applyBorder="1" applyProtection="1"/>
    <xf numFmtId="41" fontId="69" fillId="0" borderId="87" xfId="3" applyNumberFormat="1" applyFont="1" applyFill="1" applyBorder="1" applyProtection="1"/>
    <xf numFmtId="41" fontId="69" fillId="0" borderId="83" xfId="4" applyNumberFormat="1" applyFont="1" applyFill="1" applyBorder="1" applyProtection="1"/>
    <xf numFmtId="41" fontId="69" fillId="0" borderId="87" xfId="3" applyNumberFormat="1" applyFont="1" applyFill="1" applyBorder="1"/>
    <xf numFmtId="41" fontId="79" fillId="0" borderId="99" xfId="3" applyNumberFormat="1" applyFont="1" applyFill="1" applyBorder="1"/>
    <xf numFmtId="41" fontId="79" fillId="0" borderId="100" xfId="3" applyNumberFormat="1" applyFont="1" applyFill="1" applyBorder="1"/>
    <xf numFmtId="41" fontId="69" fillId="0" borderId="101" xfId="3" applyNumberFormat="1" applyFont="1" applyFill="1" applyBorder="1" applyProtection="1"/>
    <xf numFmtId="3" fontId="79" fillId="0" borderId="99" xfId="3" applyNumberFormat="1" applyFont="1" applyFill="1" applyBorder="1" applyProtection="1">
      <protection locked="0"/>
    </xf>
    <xf numFmtId="3" fontId="67" fillId="0" borderId="82" xfId="28" applyNumberFormat="1" applyFont="1" applyBorder="1"/>
    <xf numFmtId="3" fontId="67" fillId="0" borderId="0" xfId="28" applyNumberFormat="1" applyFont="1"/>
    <xf numFmtId="3" fontId="67" fillId="0" borderId="0" xfId="34" applyNumberFormat="1" applyFont="1">
      <alignment vertical="top"/>
    </xf>
    <xf numFmtId="3" fontId="79" fillId="0" borderId="82" xfId="0" applyNumberFormat="1" applyFont="1" applyBorder="1" applyAlignment="1">
      <alignment horizontal="left"/>
    </xf>
    <xf numFmtId="3" fontId="79" fillId="0" borderId="99" xfId="3" applyNumberFormat="1" applyFont="1" applyFill="1" applyBorder="1"/>
    <xf numFmtId="41" fontId="67" fillId="0" borderId="81" xfId="0" applyNumberFormat="1" applyFont="1" applyBorder="1" applyAlignment="1">
      <alignment horizontal="left"/>
    </xf>
    <xf numFmtId="3" fontId="67" fillId="0" borderId="99" xfId="34" applyNumberFormat="1" applyFont="1" applyBorder="1">
      <alignment vertical="top"/>
    </xf>
    <xf numFmtId="41" fontId="79" fillId="0" borderId="83" xfId="3" applyNumberFormat="1" applyFont="1" applyFill="1" applyBorder="1"/>
    <xf numFmtId="41" fontId="79" fillId="0" borderId="82" xfId="3" applyNumberFormat="1" applyFont="1" applyFill="1" applyBorder="1"/>
    <xf numFmtId="41" fontId="79" fillId="0" borderId="82" xfId="3" applyNumberFormat="1" applyFont="1" applyFill="1" applyBorder="1" applyProtection="1">
      <protection locked="0"/>
    </xf>
    <xf numFmtId="39" fontId="67" fillId="0" borderId="82" xfId="28" applyNumberFormat="1" applyFont="1" applyBorder="1"/>
    <xf numFmtId="39" fontId="67" fillId="0" borderId="0" xfId="28" applyNumberFormat="1" applyFont="1"/>
    <xf numFmtId="0" fontId="67" fillId="0" borderId="0" xfId="0" applyFont="1" applyAlignment="1">
      <alignment horizontal="left"/>
    </xf>
    <xf numFmtId="0" fontId="79" fillId="0" borderId="82" xfId="34" applyFont="1" applyBorder="1">
      <alignment vertical="top"/>
    </xf>
    <xf numFmtId="177" fontId="69" fillId="0" borderId="83" xfId="3" applyNumberFormat="1" applyFont="1" applyFill="1" applyBorder="1" applyProtection="1">
      <protection locked="0"/>
    </xf>
    <xf numFmtId="41" fontId="79" fillId="0" borderId="84" xfId="3" applyNumberFormat="1" applyFont="1" applyFill="1" applyBorder="1"/>
    <xf numFmtId="0" fontId="79" fillId="0" borderId="82" xfId="28" applyFont="1" applyBorder="1"/>
    <xf numFmtId="0" fontId="67" fillId="0" borderId="84" xfId="28" applyFont="1" applyBorder="1"/>
    <xf numFmtId="41" fontId="67" fillId="0" borderId="0" xfId="28" applyNumberFormat="1" applyFont="1"/>
    <xf numFmtId="41" fontId="67" fillId="0" borderId="79" xfId="28" applyNumberFormat="1" applyFont="1" applyBorder="1"/>
    <xf numFmtId="39" fontId="79" fillId="0" borderId="0" xfId="28" applyNumberFormat="1" applyFont="1"/>
    <xf numFmtId="41" fontId="2" fillId="0" borderId="2" xfId="0" applyNumberFormat="1" applyFont="1" applyBorder="1" applyAlignment="1">
      <alignment horizontal="center"/>
    </xf>
    <xf numFmtId="0" fontId="2" fillId="0" borderId="26" xfId="0" applyFont="1" applyBorder="1" applyAlignment="1">
      <alignment horizontal="center"/>
    </xf>
    <xf numFmtId="0" fontId="2" fillId="0" borderId="21" xfId="0" applyFont="1" applyBorder="1"/>
    <xf numFmtId="0" fontId="2" fillId="0" borderId="36" xfId="0" applyFont="1" applyBorder="1"/>
    <xf numFmtId="0" fontId="34" fillId="15" borderId="38" xfId="0" applyFont="1" applyFill="1" applyBorder="1" applyAlignment="1">
      <alignment horizontal="left"/>
    </xf>
    <xf numFmtId="175" fontId="3" fillId="15" borderId="34" xfId="0" applyNumberFormat="1" applyFont="1" applyFill="1" applyBorder="1"/>
    <xf numFmtId="175" fontId="3" fillId="0" borderId="69" xfId="0" applyNumberFormat="1" applyFont="1" applyBorder="1"/>
    <xf numFmtId="9" fontId="2" fillId="0" borderId="0" xfId="41" applyFont="1" applyProtection="1"/>
    <xf numFmtId="41" fontId="78" fillId="0" borderId="10" xfId="37" applyNumberFormat="1" applyFont="1" applyFill="1" applyBorder="1" applyAlignment="1" applyProtection="1">
      <alignment horizontal="center"/>
      <protection locked="0"/>
    </xf>
    <xf numFmtId="173" fontId="42" fillId="11" borderId="91" xfId="0" applyNumberFormat="1" applyFont="1" applyFill="1" applyBorder="1" applyProtection="1">
      <protection locked="0"/>
    </xf>
    <xf numFmtId="3" fontId="81" fillId="0" borderId="55" xfId="5" applyNumberFormat="1" applyFont="1" applyFill="1" applyBorder="1" applyProtection="1">
      <protection locked="0"/>
    </xf>
    <xf numFmtId="0" fontId="42" fillId="0" borderId="57" xfId="30" applyFont="1" applyBorder="1"/>
    <xf numFmtId="9" fontId="70" fillId="0" borderId="10" xfId="28" applyNumberFormat="1" applyFont="1" applyBorder="1"/>
    <xf numFmtId="0" fontId="82" fillId="0" borderId="0" xfId="28" quotePrefix="1" applyFont="1" applyAlignment="1">
      <alignment horizontal="left"/>
    </xf>
    <xf numFmtId="0" fontId="67" fillId="0" borderId="0" xfId="34" applyFont="1" applyAlignment="1"/>
    <xf numFmtId="0" fontId="67" fillId="0" borderId="82" xfId="34" applyFont="1" applyBorder="1" applyAlignment="1"/>
    <xf numFmtId="41" fontId="79" fillId="0" borderId="0" xfId="3" applyNumberFormat="1" applyFont="1" applyFill="1" applyBorder="1" applyAlignment="1" applyProtection="1">
      <protection locked="0"/>
    </xf>
    <xf numFmtId="41" fontId="69" fillId="0" borderId="82" xfId="3" applyNumberFormat="1" applyFont="1" applyFill="1" applyBorder="1" applyAlignment="1"/>
    <xf numFmtId="177" fontId="69" fillId="0" borderId="82" xfId="1" applyNumberFormat="1" applyFont="1" applyFill="1" applyBorder="1" applyAlignment="1" applyProtection="1"/>
    <xf numFmtId="0" fontId="72" fillId="0" borderId="0" xfId="0" applyFont="1"/>
    <xf numFmtId="41" fontId="72" fillId="0" borderId="19" xfId="28" applyNumberFormat="1" applyFont="1" applyBorder="1"/>
    <xf numFmtId="41" fontId="72" fillId="3" borderId="19" xfId="28" applyNumberFormat="1" applyFont="1" applyFill="1" applyBorder="1" applyProtection="1">
      <protection locked="0"/>
    </xf>
    <xf numFmtId="0" fontId="2" fillId="0" borderId="0" xfId="28" applyFont="1"/>
    <xf numFmtId="0" fontId="2" fillId="0" borderId="0" xfId="28" applyFont="1" applyAlignment="1">
      <alignment horizontal="center"/>
    </xf>
    <xf numFmtId="3" fontId="3" fillId="0" borderId="4" xfId="28" applyNumberFormat="1" applyBorder="1" applyAlignment="1">
      <alignment horizontal="right"/>
    </xf>
    <xf numFmtId="3" fontId="3" fillId="0" borderId="11" xfId="28" applyNumberFormat="1" applyBorder="1" applyAlignment="1">
      <alignment horizontal="right"/>
    </xf>
    <xf numFmtId="3" fontId="3" fillId="0" borderId="12" xfId="28" applyNumberFormat="1" applyBorder="1" applyAlignment="1">
      <alignment horizontal="right"/>
    </xf>
    <xf numFmtId="165" fontId="29" fillId="0" borderId="1" xfId="26" applyFont="1" applyBorder="1" applyAlignment="1">
      <alignment horizontal="center" wrapText="1"/>
    </xf>
    <xf numFmtId="171" fontId="4" fillId="12" borderId="1" xfId="26" applyNumberFormat="1" applyFont="1" applyFill="1" applyBorder="1"/>
    <xf numFmtId="173" fontId="42" fillId="0" borderId="96" xfId="30" applyNumberFormat="1" applyFont="1" applyBorder="1" applyProtection="1">
      <protection locked="0"/>
    </xf>
    <xf numFmtId="0" fontId="77" fillId="0" borderId="91" xfId="30" applyFont="1" applyBorder="1" applyProtection="1">
      <protection locked="0"/>
    </xf>
    <xf numFmtId="164" fontId="23" fillId="9" borderId="0" xfId="0" applyNumberFormat="1" applyFont="1" applyFill="1" applyAlignment="1">
      <alignment horizontal="centerContinuous"/>
    </xf>
    <xf numFmtId="41" fontId="69" fillId="0" borderId="86" xfId="28" applyNumberFormat="1" applyFont="1" applyBorder="1"/>
    <xf numFmtId="41" fontId="69" fillId="0" borderId="84" xfId="28" applyNumberFormat="1" applyFont="1" applyBorder="1"/>
    <xf numFmtId="41" fontId="69" fillId="0" borderId="81" xfId="3" applyNumberFormat="1" applyFont="1" applyFill="1" applyBorder="1" applyProtection="1">
      <protection locked="0"/>
    </xf>
    <xf numFmtId="177" fontId="69" fillId="0" borderId="81" xfId="3" applyNumberFormat="1" applyFont="1" applyFill="1" applyBorder="1" applyProtection="1">
      <protection locked="0"/>
    </xf>
    <xf numFmtId="41" fontId="70" fillId="0" borderId="81" xfId="3" applyNumberFormat="1" applyFont="1" applyFill="1" applyBorder="1"/>
    <xf numFmtId="0" fontId="69" fillId="0" borderId="78" xfId="28" applyFont="1" applyBorder="1"/>
    <xf numFmtId="177" fontId="69" fillId="0" borderId="81" xfId="1" applyNumberFormat="1" applyFont="1" applyFill="1" applyBorder="1"/>
    <xf numFmtId="41" fontId="69" fillId="0" borderId="81" xfId="28" applyNumberFormat="1" applyFont="1" applyBorder="1"/>
    <xf numFmtId="0" fontId="69" fillId="0" borderId="81" xfId="28" applyFont="1" applyBorder="1"/>
    <xf numFmtId="41" fontId="70" fillId="0" borderId="87" xfId="3" applyNumberFormat="1" applyFont="1" applyFill="1" applyBorder="1"/>
    <xf numFmtId="0" fontId="64" fillId="0" borderId="27" xfId="30" applyFont="1" applyBorder="1" applyAlignment="1">
      <alignment horizontal="center"/>
    </xf>
    <xf numFmtId="173" fontId="42" fillId="0" borderId="19" xfId="0" applyNumberFormat="1" applyFont="1" applyBorder="1" applyAlignment="1">
      <alignment horizontal="center"/>
    </xf>
    <xf numFmtId="0" fontId="64" fillId="0" borderId="19" xfId="30" applyFont="1" applyBorder="1" applyAlignment="1">
      <alignment horizontal="center"/>
    </xf>
    <xf numFmtId="167" fontId="42" fillId="0" borderId="27" xfId="39" applyNumberFormat="1" applyFont="1" applyFill="1" applyBorder="1" applyAlignment="1" applyProtection="1">
      <alignment horizontal="center"/>
    </xf>
    <xf numFmtId="167" fontId="42" fillId="0" borderId="19" xfId="39" applyNumberFormat="1" applyFont="1" applyFill="1" applyBorder="1"/>
    <xf numFmtId="177" fontId="42" fillId="0" borderId="27" xfId="7" applyNumberFormat="1" applyFont="1" applyFill="1" applyBorder="1" applyAlignment="1">
      <alignment horizontal="center"/>
    </xf>
    <xf numFmtId="4" fontId="42" fillId="0" borderId="19" xfId="7" applyNumberFormat="1" applyFont="1" applyFill="1" applyBorder="1" applyAlignment="1" applyProtection="1">
      <alignment horizontal="center"/>
    </xf>
    <xf numFmtId="4" fontId="42" fillId="0" borderId="3" xfId="7" applyNumberFormat="1" applyFont="1" applyFill="1" applyBorder="1" applyAlignment="1" applyProtection="1">
      <alignment horizontal="center"/>
    </xf>
    <xf numFmtId="177" fontId="42" fillId="0" borderId="26" xfId="2" applyNumberFormat="1" applyFont="1" applyFill="1" applyBorder="1" applyAlignment="1" applyProtection="1">
      <alignment horizontal="right"/>
    </xf>
    <xf numFmtId="177" fontId="42" fillId="0" borderId="0" xfId="2" applyNumberFormat="1" applyFont="1" applyFill="1"/>
    <xf numFmtId="41" fontId="69" fillId="12" borderId="81" xfId="3" applyNumberFormat="1" applyFont="1" applyFill="1" applyBorder="1" applyProtection="1">
      <protection locked="0"/>
    </xf>
    <xf numFmtId="0" fontId="67" fillId="12" borderId="0" xfId="28" applyFont="1" applyFill="1"/>
    <xf numFmtId="0" fontId="67" fillId="12" borderId="82" xfId="28" applyFont="1" applyFill="1" applyBorder="1"/>
    <xf numFmtId="41" fontId="79" fillId="12" borderId="82" xfId="3" applyNumberFormat="1" applyFont="1" applyFill="1" applyBorder="1" applyProtection="1">
      <protection locked="0"/>
    </xf>
    <xf numFmtId="41" fontId="69" fillId="12" borderId="0" xfId="28" applyNumberFormat="1" applyFont="1" applyFill="1"/>
    <xf numFmtId="0" fontId="42" fillId="11" borderId="19" xfId="28" applyFont="1" applyFill="1" applyBorder="1"/>
    <xf numFmtId="0" fontId="42" fillId="11" borderId="0" xfId="28" applyFont="1" applyFill="1"/>
    <xf numFmtId="0" fontId="0" fillId="11" borderId="0" xfId="0" applyFill="1"/>
    <xf numFmtId="9" fontId="42" fillId="11" borderId="19" xfId="37" applyFont="1" applyFill="1" applyBorder="1" applyAlignment="1" applyProtection="1">
      <alignment horizontal="center"/>
    </xf>
    <xf numFmtId="176" fontId="42" fillId="11" borderId="19" xfId="28" applyNumberFormat="1" applyFont="1" applyFill="1" applyBorder="1"/>
    <xf numFmtId="0" fontId="42" fillId="11" borderId="0" xfId="28" applyFont="1" applyFill="1" applyAlignment="1">
      <alignment horizontal="right"/>
    </xf>
    <xf numFmtId="41" fontId="42" fillId="11" borderId="0" xfId="28" applyNumberFormat="1" applyFont="1" applyFill="1"/>
    <xf numFmtId="0" fontId="56" fillId="0" borderId="21" xfId="0" applyFont="1" applyBorder="1" applyAlignment="1">
      <alignment horizontal="center"/>
    </xf>
    <xf numFmtId="0" fontId="56" fillId="0" borderId="0" xfId="0" applyFont="1" applyAlignment="1">
      <alignment horizontal="center"/>
    </xf>
    <xf numFmtId="0" fontId="56" fillId="0" borderId="34" xfId="0" applyFont="1" applyBorder="1" applyAlignment="1">
      <alignment horizontal="center"/>
    </xf>
    <xf numFmtId="0" fontId="70" fillId="0" borderId="82" xfId="28" applyFont="1" applyBorder="1"/>
    <xf numFmtId="177" fontId="70" fillId="0" borderId="82" xfId="1" applyNumberFormat="1" applyFont="1" applyFill="1" applyBorder="1" applyProtection="1">
      <protection locked="0"/>
    </xf>
    <xf numFmtId="175" fontId="3" fillId="5" borderId="103" xfId="0" applyNumberFormat="1" applyFont="1" applyFill="1" applyBorder="1"/>
    <xf numFmtId="175" fontId="3" fillId="0" borderId="97" xfId="0" applyNumberFormat="1" applyFont="1" applyBorder="1"/>
    <xf numFmtId="175" fontId="28" fillId="0" borderId="97" xfId="0" applyNumberFormat="1" applyFont="1" applyBorder="1"/>
    <xf numFmtId="175" fontId="12" fillId="4" borderId="103" xfId="0" applyNumberFormat="1" applyFont="1" applyFill="1" applyBorder="1"/>
    <xf numFmtId="175" fontId="28" fillId="0" borderId="104" xfId="0" applyNumberFormat="1" applyFont="1" applyBorder="1"/>
    <xf numFmtId="175" fontId="12" fillId="4" borderId="45" xfId="0" applyNumberFormat="1" applyFont="1" applyFill="1" applyBorder="1"/>
    <xf numFmtId="41" fontId="86" fillId="0" borderId="3" xfId="0" applyNumberFormat="1" applyFont="1" applyBorder="1" applyAlignment="1">
      <alignment horizontal="center"/>
    </xf>
    <xf numFmtId="0" fontId="67" fillId="0" borderId="80" xfId="28" applyFont="1" applyBorder="1"/>
    <xf numFmtId="0" fontId="44" fillId="0" borderId="82" xfId="28" applyFont="1" applyBorder="1"/>
    <xf numFmtId="0" fontId="79" fillId="0" borderId="82" xfId="28" quotePrefix="1" applyFont="1" applyBorder="1" applyAlignment="1">
      <alignment horizontal="left"/>
    </xf>
    <xf numFmtId="0" fontId="85" fillId="0" borderId="82" xfId="28" applyFont="1" applyBorder="1" applyAlignment="1">
      <alignment horizontal="left"/>
    </xf>
    <xf numFmtId="0" fontId="67" fillId="0" borderId="82" xfId="28" applyFont="1" applyBorder="1" applyAlignment="1">
      <alignment horizontal="left"/>
    </xf>
    <xf numFmtId="0" fontId="79" fillId="0" borderId="85" xfId="28" applyFont="1" applyBorder="1" applyAlignment="1">
      <alignment horizontal="left"/>
    </xf>
    <xf numFmtId="0" fontId="44" fillId="0" borderId="82" xfId="28" applyFont="1" applyBorder="1" applyAlignment="1">
      <alignment horizontal="left"/>
    </xf>
    <xf numFmtId="3" fontId="69" fillId="0" borderId="81" xfId="3" applyNumberFormat="1" applyFont="1" applyFill="1" applyBorder="1" applyProtection="1">
      <protection locked="0"/>
    </xf>
    <xf numFmtId="3" fontId="69" fillId="0" borderId="0" xfId="3" applyNumberFormat="1" applyFont="1" applyFill="1" applyBorder="1" applyProtection="1">
      <protection locked="0"/>
    </xf>
    <xf numFmtId="9" fontId="69" fillId="0" borderId="81" xfId="3" applyNumberFormat="1" applyFont="1" applyFill="1" applyBorder="1" applyProtection="1">
      <protection locked="0"/>
    </xf>
    <xf numFmtId="3" fontId="67" fillId="0" borderId="82" xfId="28" applyNumberFormat="1" applyFont="1" applyBorder="1" applyAlignment="1">
      <alignment horizontal="left"/>
    </xf>
    <xf numFmtId="0" fontId="85" fillId="0" borderId="82" xfId="28" applyFont="1" applyBorder="1" applyAlignment="1">
      <alignment horizontal="right"/>
    </xf>
    <xf numFmtId="0" fontId="79" fillId="0" borderId="82" xfId="28" applyFont="1" applyBorder="1" applyAlignment="1">
      <alignment horizontal="left"/>
    </xf>
    <xf numFmtId="0" fontId="87" fillId="0" borderId="82" xfId="28" applyFont="1" applyBorder="1"/>
    <xf numFmtId="0" fontId="79" fillId="0" borderId="84" xfId="28" applyFont="1" applyBorder="1" applyAlignment="1">
      <alignment horizontal="left"/>
    </xf>
    <xf numFmtId="0" fontId="79" fillId="0" borderId="82" xfId="28" applyFont="1" applyBorder="1" applyAlignment="1">
      <alignment horizontal="right"/>
    </xf>
    <xf numFmtId="0" fontId="79" fillId="0" borderId="84" xfId="28" applyFont="1" applyBorder="1"/>
    <xf numFmtId="41" fontId="67" fillId="0" borderId="79" xfId="28" applyNumberFormat="1" applyFont="1" applyBorder="1" applyAlignment="1">
      <alignment horizontal="left"/>
    </xf>
    <xf numFmtId="41" fontId="67" fillId="0" borderId="0" xfId="28" applyNumberFormat="1" applyFont="1" applyAlignment="1">
      <alignment horizontal="left"/>
    </xf>
    <xf numFmtId="41" fontId="42" fillId="0" borderId="0" xfId="28" applyNumberFormat="1" applyFont="1" applyAlignment="1">
      <alignment horizontal="left"/>
    </xf>
    <xf numFmtId="0" fontId="67" fillId="0" borderId="82" xfId="28" applyFont="1" applyBorder="1" applyAlignment="1">
      <alignment wrapText="1"/>
    </xf>
    <xf numFmtId="0" fontId="42" fillId="0" borderId="90" xfId="30" applyFont="1" applyBorder="1"/>
    <xf numFmtId="3" fontId="81" fillId="0" borderId="54" xfId="5" applyNumberFormat="1" applyFont="1" applyFill="1" applyBorder="1" applyProtection="1">
      <protection locked="0"/>
    </xf>
    <xf numFmtId="0" fontId="45" fillId="0" borderId="89" xfId="30" applyFont="1" applyBorder="1"/>
    <xf numFmtId="0" fontId="45" fillId="0" borderId="57" xfId="30" applyFont="1" applyBorder="1"/>
    <xf numFmtId="177" fontId="42" fillId="0" borderId="0" xfId="2" applyNumberFormat="1" applyFont="1" applyFill="1" applyProtection="1"/>
    <xf numFmtId="3" fontId="77" fillId="0" borderId="55" xfId="30" applyNumberFormat="1" applyFont="1" applyBorder="1" applyProtection="1">
      <protection locked="0"/>
    </xf>
    <xf numFmtId="3" fontId="77" fillId="0" borderId="54" xfId="5" applyNumberFormat="1" applyFont="1" applyFill="1" applyBorder="1" applyAlignment="1" applyProtection="1">
      <alignment horizontal="right"/>
      <protection locked="0"/>
    </xf>
    <xf numFmtId="37" fontId="42" fillId="0" borderId="55" xfId="5" applyNumberFormat="1" applyFont="1" applyFill="1" applyBorder="1" applyProtection="1">
      <protection locked="0"/>
    </xf>
    <xf numFmtId="41" fontId="69" fillId="0" borderId="82" xfId="3" applyNumberFormat="1" applyFont="1" applyFill="1" applyBorder="1" applyAlignment="1" applyProtection="1">
      <protection locked="0"/>
    </xf>
    <xf numFmtId="173" fontId="77" fillId="0" borderId="96" xfId="30" applyNumberFormat="1" applyFont="1" applyBorder="1" applyProtection="1">
      <protection locked="0"/>
    </xf>
    <xf numFmtId="173" fontId="88" fillId="0" borderId="96" xfId="30" applyNumberFormat="1" applyFont="1" applyBorder="1" applyProtection="1">
      <protection locked="0"/>
    </xf>
    <xf numFmtId="3" fontId="42" fillId="0" borderId="55" xfId="30" applyNumberFormat="1" applyFont="1" applyBorder="1" applyProtection="1">
      <protection locked="0"/>
    </xf>
    <xf numFmtId="41" fontId="77" fillId="0" borderId="55" xfId="5" applyNumberFormat="1" applyFont="1" applyFill="1" applyBorder="1" applyProtection="1">
      <protection locked="0"/>
    </xf>
    <xf numFmtId="3" fontId="77" fillId="0" borderId="96" xfId="47" applyNumberFormat="1" applyFont="1" applyFill="1" applyBorder="1" applyProtection="1">
      <protection locked="0"/>
    </xf>
    <xf numFmtId="184" fontId="42" fillId="3" borderId="19" xfId="28" applyNumberFormat="1" applyFont="1" applyFill="1" applyBorder="1" applyProtection="1">
      <protection locked="0"/>
    </xf>
    <xf numFmtId="185" fontId="69" fillId="0" borderId="0" xfId="0" applyNumberFormat="1" applyFont="1" applyAlignment="1">
      <alignment wrapText="1"/>
    </xf>
    <xf numFmtId="41" fontId="69" fillId="0" borderId="0" xfId="0" applyNumberFormat="1" applyFont="1" applyAlignment="1">
      <alignment vertical="top" wrapText="1"/>
    </xf>
    <xf numFmtId="172" fontId="4" fillId="0" borderId="0" xfId="0" applyNumberFormat="1" applyFont="1" applyAlignment="1">
      <alignment horizontal="left"/>
    </xf>
    <xf numFmtId="38" fontId="4" fillId="0" borderId="1" xfId="0" applyNumberFormat="1" applyFont="1" applyBorder="1"/>
    <xf numFmtId="0" fontId="18" fillId="0" borderId="0" xfId="0" applyFont="1"/>
    <xf numFmtId="38" fontId="4" fillId="0" borderId="0" xfId="0" quotePrefix="1" applyNumberFormat="1" applyFont="1"/>
    <xf numFmtId="4" fontId="4" fillId="0" borderId="1" xfId="0" applyNumberFormat="1" applyFont="1" applyBorder="1" applyAlignment="1">
      <alignment horizontal="center" wrapText="1"/>
    </xf>
    <xf numFmtId="171" fontId="4" fillId="0" borderId="14" xfId="26" applyNumberFormat="1" applyFont="1" applyBorder="1"/>
    <xf numFmtId="170" fontId="4" fillId="0" borderId="0" xfId="0" applyNumberFormat="1" applyFont="1" applyAlignment="1">
      <alignment horizontal="right"/>
    </xf>
    <xf numFmtId="170" fontId="73" fillId="0" borderId="0" xfId="0" applyNumberFormat="1" applyFont="1" applyAlignment="1">
      <alignment horizontal="right"/>
    </xf>
    <xf numFmtId="171" fontId="4" fillId="0" borderId="7" xfId="26" applyNumberFormat="1" applyFont="1" applyBorder="1"/>
    <xf numFmtId="4" fontId="4" fillId="0" borderId="0" xfId="0" applyNumberFormat="1" applyFont="1" applyAlignment="1">
      <alignment horizontal="center"/>
    </xf>
    <xf numFmtId="0" fontId="71" fillId="0" borderId="0" xfId="0" applyFont="1"/>
    <xf numFmtId="171" fontId="4" fillId="0" borderId="7" xfId="0" applyNumberFormat="1" applyFont="1" applyBorder="1"/>
    <xf numFmtId="165" fontId="4" fillId="0" borderId="0" xfId="26" applyFont="1" applyBorder="1" applyAlignment="1">
      <alignment horizontal="center" wrapText="1"/>
    </xf>
    <xf numFmtId="171" fontId="4" fillId="0" borderId="0" xfId="26" applyNumberFormat="1" applyFont="1" applyBorder="1" applyAlignment="1">
      <alignment horizontal="center"/>
    </xf>
    <xf numFmtId="169" fontId="4" fillId="0" borderId="0" xfId="0" applyNumberFormat="1" applyFont="1" applyAlignment="1">
      <alignment wrapText="1"/>
    </xf>
    <xf numFmtId="170" fontId="4" fillId="0" borderId="6" xfId="0" applyNumberFormat="1" applyFont="1" applyBorder="1"/>
    <xf numFmtId="171" fontId="4" fillId="13" borderId="1" xfId="26" applyNumberFormat="1" applyFont="1" applyFill="1" applyBorder="1"/>
    <xf numFmtId="170" fontId="4" fillId="0" borderId="7" xfId="0" applyNumberFormat="1" applyFont="1" applyBorder="1" applyAlignment="1">
      <alignment horizontal="center"/>
    </xf>
    <xf numFmtId="7" fontId="4" fillId="0" borderId="0" xfId="0" applyNumberFormat="1" applyFont="1"/>
    <xf numFmtId="7" fontId="4" fillId="0" borderId="1" xfId="0" applyNumberFormat="1" applyFont="1" applyBorder="1"/>
    <xf numFmtId="165" fontId="4" fillId="0" borderId="1" xfId="26" applyFont="1" applyBorder="1" applyAlignment="1">
      <alignment horizontal="center" wrapText="1"/>
    </xf>
    <xf numFmtId="0" fontId="4" fillId="0" borderId="1" xfId="0" applyFont="1" applyBorder="1" applyAlignment="1">
      <alignment horizontal="left" indent="2"/>
    </xf>
    <xf numFmtId="169" fontId="4" fillId="0" borderId="0" xfId="0" applyNumberFormat="1" applyFont="1" applyAlignment="1">
      <alignment horizontal="right"/>
    </xf>
    <xf numFmtId="0" fontId="44" fillId="0" borderId="0" xfId="0" applyFont="1" applyAlignment="1">
      <alignment horizontal="center"/>
    </xf>
    <xf numFmtId="0" fontId="6" fillId="0" borderId="1" xfId="0" quotePrefix="1" applyFont="1" applyBorder="1" applyAlignment="1">
      <alignment horizontal="center"/>
    </xf>
    <xf numFmtId="0" fontId="6" fillId="0" borderId="0" xfId="0" quotePrefix="1" applyFont="1" applyAlignment="1">
      <alignment horizontal="center"/>
    </xf>
    <xf numFmtId="4" fontId="73" fillId="0" borderId="1" xfId="0" applyNumberFormat="1" applyFont="1" applyBorder="1" applyAlignment="1">
      <alignment horizontal="center"/>
    </xf>
    <xf numFmtId="38" fontId="4" fillId="0" borderId="0" xfId="0" applyNumberFormat="1" applyFont="1"/>
    <xf numFmtId="0" fontId="6" fillId="0" borderId="0" xfId="0" applyFont="1" applyAlignment="1">
      <alignment horizontal="left" indent="4"/>
    </xf>
    <xf numFmtId="3" fontId="88" fillId="0" borderId="96" xfId="47" applyNumberFormat="1" applyFont="1" applyFill="1" applyBorder="1" applyProtection="1">
      <protection locked="0"/>
    </xf>
    <xf numFmtId="3" fontId="77" fillId="17" borderId="96" xfId="47" applyNumberFormat="1" applyFont="1" applyFill="1" applyBorder="1" applyProtection="1">
      <protection locked="0"/>
    </xf>
    <xf numFmtId="173" fontId="88" fillId="0" borderId="0" xfId="30" applyNumberFormat="1" applyFont="1" applyProtection="1">
      <protection locked="0"/>
    </xf>
    <xf numFmtId="39" fontId="42" fillId="17" borderId="55" xfId="15" applyNumberFormat="1" applyFont="1" applyFill="1" applyBorder="1" applyProtection="1">
      <protection locked="0"/>
    </xf>
    <xf numFmtId="41" fontId="88" fillId="0" borderId="55" xfId="5" applyNumberFormat="1" applyFont="1" applyFill="1" applyBorder="1" applyProtection="1">
      <protection locked="0"/>
    </xf>
    <xf numFmtId="0" fontId="42" fillId="17" borderId="53" xfId="30" applyFont="1" applyFill="1" applyBorder="1" applyProtection="1">
      <protection locked="0"/>
    </xf>
    <xf numFmtId="0" fontId="77" fillId="17" borderId="55" xfId="30" applyFont="1" applyFill="1" applyBorder="1" applyProtection="1">
      <protection locked="0"/>
    </xf>
    <xf numFmtId="3" fontId="77" fillId="17" borderId="55" xfId="5" applyNumberFormat="1" applyFont="1" applyFill="1" applyBorder="1" applyProtection="1">
      <protection locked="0"/>
    </xf>
    <xf numFmtId="181" fontId="42" fillId="11" borderId="27" xfId="0" applyNumberFormat="1" applyFont="1" applyFill="1" applyBorder="1" applyAlignment="1">
      <alignment horizontal="left"/>
    </xf>
    <xf numFmtId="41" fontId="89" fillId="0" borderId="0" xfId="28" applyNumberFormat="1" applyFont="1"/>
    <xf numFmtId="0" fontId="83" fillId="0" borderId="0" xfId="28" applyFont="1"/>
    <xf numFmtId="0" fontId="2" fillId="0" borderId="0" xfId="28" applyFont="1" applyAlignment="1">
      <alignment vertical="top"/>
    </xf>
    <xf numFmtId="2" fontId="72" fillId="0" borderId="0" xfId="0" applyNumberFormat="1" applyFont="1"/>
    <xf numFmtId="186" fontId="42" fillId="11" borderId="19" xfId="28" applyNumberFormat="1" applyFont="1" applyFill="1" applyBorder="1"/>
    <xf numFmtId="37" fontId="91" fillId="0" borderId="82" xfId="3" applyNumberFormat="1" applyFont="1" applyFill="1" applyBorder="1" applyAlignment="1" applyProtection="1">
      <alignment horizontal="right"/>
    </xf>
    <xf numFmtId="41" fontId="45" fillId="16" borderId="19" xfId="28" applyNumberFormat="1" applyFont="1" applyFill="1" applyBorder="1"/>
    <xf numFmtId="0" fontId="42" fillId="16" borderId="0" xfId="28" applyFont="1" applyFill="1"/>
    <xf numFmtId="0" fontId="3" fillId="16" borderId="0" xfId="0" applyFont="1" applyFill="1"/>
    <xf numFmtId="0" fontId="0" fillId="16" borderId="0" xfId="0" applyFill="1"/>
    <xf numFmtId="0" fontId="77" fillId="12" borderId="55" xfId="30" applyFont="1" applyFill="1" applyBorder="1" applyProtection="1">
      <protection locked="0"/>
    </xf>
    <xf numFmtId="3" fontId="88" fillId="12" borderId="55" xfId="5" applyNumberFormat="1" applyFont="1" applyFill="1" applyBorder="1" applyProtection="1">
      <protection locked="0"/>
    </xf>
    <xf numFmtId="41" fontId="28" fillId="0" borderId="32" xfId="0" applyNumberFormat="1" applyFont="1" applyBorder="1"/>
    <xf numFmtId="0" fontId="3" fillId="0" borderId="33" xfId="0" applyFont="1" applyBorder="1"/>
    <xf numFmtId="0" fontId="33" fillId="0" borderId="64" xfId="0" applyFont="1" applyBorder="1"/>
    <xf numFmtId="0" fontId="33" fillId="0" borderId="36" xfId="0" applyFont="1" applyBorder="1" applyAlignment="1">
      <alignment horizontal="left"/>
    </xf>
    <xf numFmtId="0" fontId="33" fillId="0" borderId="25" xfId="0" applyFont="1" applyBorder="1"/>
    <xf numFmtId="175" fontId="3" fillId="0" borderId="26" xfId="0" applyNumberFormat="1" applyFont="1" applyBorder="1"/>
    <xf numFmtId="175" fontId="3" fillId="4" borderId="45" xfId="0" applyNumberFormat="1" applyFont="1" applyFill="1" applyBorder="1"/>
    <xf numFmtId="0" fontId="33" fillId="0" borderId="21" xfId="0" applyFont="1" applyBorder="1"/>
    <xf numFmtId="0" fontId="67" fillId="0" borderId="82" xfId="0" applyFont="1" applyBorder="1" applyAlignment="1">
      <alignment wrapText="1"/>
    </xf>
    <xf numFmtId="43" fontId="69" fillId="18" borderId="0" xfId="3" applyFont="1" applyFill="1" applyBorder="1"/>
    <xf numFmtId="185" fontId="69" fillId="18" borderId="0" xfId="0" applyNumberFormat="1" applyFont="1" applyFill="1" applyAlignment="1">
      <alignment wrapText="1"/>
    </xf>
    <xf numFmtId="41" fontId="69" fillId="18" borderId="0" xfId="3" applyNumberFormat="1" applyFont="1" applyFill="1" applyBorder="1" applyProtection="1">
      <protection locked="0"/>
    </xf>
    <xf numFmtId="41" fontId="69" fillId="18" borderId="67" xfId="3" applyNumberFormat="1" applyFont="1" applyFill="1" applyBorder="1"/>
    <xf numFmtId="41" fontId="69" fillId="18" borderId="0" xfId="3" applyNumberFormat="1" applyFont="1" applyFill="1" applyBorder="1"/>
    <xf numFmtId="41" fontId="69" fillId="18" borderId="0" xfId="0" applyNumberFormat="1" applyFont="1" applyFill="1" applyAlignment="1">
      <alignment vertical="top" wrapText="1"/>
    </xf>
    <xf numFmtId="41" fontId="69" fillId="18" borderId="5" xfId="3" applyNumberFormat="1" applyFont="1" applyFill="1" applyBorder="1"/>
    <xf numFmtId="177" fontId="90" fillId="18" borderId="10" xfId="1" applyNumberFormat="1" applyFont="1" applyFill="1" applyBorder="1" applyAlignment="1">
      <alignment horizontal="center"/>
    </xf>
    <xf numFmtId="41" fontId="70" fillId="18" borderId="67" xfId="3" applyNumberFormat="1" applyFont="1" applyFill="1" applyBorder="1"/>
    <xf numFmtId="41" fontId="70" fillId="18" borderId="0" xfId="3" applyNumberFormat="1" applyFont="1" applyFill="1" applyBorder="1"/>
    <xf numFmtId="41" fontId="69" fillId="18" borderId="67" xfId="3" applyNumberFormat="1" applyFont="1" applyFill="1" applyBorder="1" applyProtection="1">
      <protection locked="0"/>
    </xf>
    <xf numFmtId="41" fontId="69" fillId="18" borderId="10" xfId="3" applyNumberFormat="1" applyFont="1" applyFill="1" applyBorder="1"/>
    <xf numFmtId="41" fontId="69" fillId="18" borderId="0" xfId="28" applyNumberFormat="1" applyFont="1" applyFill="1"/>
    <xf numFmtId="41" fontId="70" fillId="18" borderId="0" xfId="28" applyNumberFormat="1" applyFont="1" applyFill="1"/>
    <xf numFmtId="41" fontId="69" fillId="18" borderId="10" xfId="28" applyNumberFormat="1" applyFont="1" applyFill="1" applyBorder="1"/>
    <xf numFmtId="0" fontId="78" fillId="0" borderId="0" xfId="28" applyFont="1"/>
    <xf numFmtId="3" fontId="67" fillId="0" borderId="82" xfId="34" applyNumberFormat="1" applyFont="1" applyBorder="1">
      <alignment vertical="top"/>
    </xf>
    <xf numFmtId="41" fontId="67" fillId="0" borderId="82" xfId="34" applyNumberFormat="1" applyFont="1" applyBorder="1">
      <alignment vertical="top"/>
    </xf>
    <xf numFmtId="41" fontId="67" fillId="0" borderId="82" xfId="0" applyNumberFormat="1" applyFont="1" applyBorder="1"/>
    <xf numFmtId="0" fontId="67" fillId="0" borderId="82" xfId="0" applyFont="1" applyBorder="1"/>
    <xf numFmtId="0" fontId="85" fillId="0" borderId="82" xfId="28" applyFont="1" applyBorder="1"/>
    <xf numFmtId="0" fontId="67" fillId="0" borderId="82" xfId="28" applyFont="1" applyBorder="1" applyAlignment="1">
      <alignment horizontal="left" wrapText="1"/>
    </xf>
    <xf numFmtId="41" fontId="69" fillId="0" borderId="82" xfId="28" applyNumberFormat="1" applyFont="1" applyBorder="1" applyAlignment="1">
      <alignment horizontal="left" wrapText="1"/>
    </xf>
    <xf numFmtId="3" fontId="67" fillId="0" borderId="82" xfId="28" applyNumberFormat="1" applyFont="1" applyBorder="1" applyAlignment="1">
      <alignment wrapText="1"/>
    </xf>
    <xf numFmtId="41" fontId="70" fillId="0" borderId="83" xfId="3" applyNumberFormat="1" applyFont="1" applyFill="1" applyBorder="1" applyProtection="1"/>
    <xf numFmtId="0" fontId="83" fillId="0" borderId="82" xfId="28" applyFont="1" applyBorder="1"/>
    <xf numFmtId="0" fontId="69" fillId="0" borderId="0" xfId="28" applyFont="1" applyAlignment="1">
      <alignment horizontal="center"/>
    </xf>
    <xf numFmtId="0" fontId="82" fillId="0" borderId="0" xfId="28" applyFont="1"/>
    <xf numFmtId="0" fontId="69" fillId="0" borderId="0" xfId="0" applyFont="1"/>
    <xf numFmtId="41" fontId="70" fillId="0" borderId="0" xfId="28" applyNumberFormat="1" applyFont="1" applyProtection="1">
      <protection locked="0"/>
    </xf>
    <xf numFmtId="41" fontId="70" fillId="0" borderId="0" xfId="28" applyNumberFormat="1" applyFont="1" applyAlignment="1" applyProtection="1">
      <alignment horizontal="center"/>
      <protection locked="0"/>
    </xf>
    <xf numFmtId="14" fontId="70" fillId="0" borderId="0" xfId="28" applyNumberFormat="1" applyFont="1" applyAlignment="1">
      <alignment horizontal="center"/>
    </xf>
    <xf numFmtId="41" fontId="70" fillId="0" borderId="0" xfId="28" applyNumberFormat="1" applyFont="1" applyAlignment="1">
      <alignment horizontal="center"/>
    </xf>
    <xf numFmtId="0" fontId="69" fillId="0" borderId="80" xfId="28" applyFont="1" applyBorder="1"/>
    <xf numFmtId="0" fontId="82" fillId="0" borderId="82" xfId="28" applyFont="1" applyBorder="1"/>
    <xf numFmtId="0" fontId="70" fillId="0" borderId="82" xfId="28" quotePrefix="1" applyFont="1" applyBorder="1" applyAlignment="1">
      <alignment horizontal="left"/>
    </xf>
    <xf numFmtId="0" fontId="69" fillId="0" borderId="82" xfId="34" applyFont="1" applyBorder="1">
      <alignment vertical="top"/>
    </xf>
    <xf numFmtId="0" fontId="89" fillId="0" borderId="82" xfId="28" applyFont="1" applyBorder="1" applyAlignment="1">
      <alignment horizontal="left"/>
    </xf>
    <xf numFmtId="0" fontId="69" fillId="0" borderId="82" xfId="28" applyFont="1" applyBorder="1"/>
    <xf numFmtId="0" fontId="69" fillId="0" borderId="82" xfId="28" quotePrefix="1" applyFont="1" applyBorder="1" applyAlignment="1">
      <alignment horizontal="left"/>
    </xf>
    <xf numFmtId="0" fontId="69" fillId="0" borderId="82" xfId="28" applyFont="1" applyBorder="1" applyAlignment="1">
      <alignment horizontal="left"/>
    </xf>
    <xf numFmtId="0" fontId="70" fillId="0" borderId="85" xfId="28" applyFont="1" applyBorder="1" applyAlignment="1">
      <alignment horizontal="left"/>
    </xf>
    <xf numFmtId="41" fontId="69" fillId="0" borderId="85" xfId="3" applyNumberFormat="1" applyFont="1" applyFill="1" applyBorder="1" applyProtection="1"/>
    <xf numFmtId="0" fontId="82" fillId="0" borderId="82" xfId="28" applyFont="1" applyBorder="1" applyAlignment="1">
      <alignment horizontal="left"/>
    </xf>
    <xf numFmtId="0" fontId="89" fillId="0" borderId="0" xfId="28" applyFont="1"/>
    <xf numFmtId="0" fontId="89" fillId="0" borderId="82" xfId="28" applyFont="1" applyBorder="1" applyAlignment="1">
      <alignment horizontal="right"/>
    </xf>
    <xf numFmtId="0" fontId="70" fillId="0" borderId="82" xfId="28" applyFont="1" applyBorder="1" applyAlignment="1">
      <alignment horizontal="left"/>
    </xf>
    <xf numFmtId="41" fontId="69" fillId="0" borderId="83" xfId="3" applyNumberFormat="1" applyFont="1" applyFill="1" applyBorder="1"/>
    <xf numFmtId="3" fontId="69" fillId="0" borderId="0" xfId="28" applyNumberFormat="1" applyFont="1"/>
    <xf numFmtId="0" fontId="84" fillId="0" borderId="0" xfId="28" applyFont="1"/>
    <xf numFmtId="0" fontId="69" fillId="0" borderId="82" xfId="34" applyFont="1" applyBorder="1" applyAlignment="1"/>
    <xf numFmtId="0" fontId="70" fillId="0" borderId="82" xfId="34" applyFont="1" applyBorder="1">
      <alignment vertical="top"/>
    </xf>
    <xf numFmtId="0" fontId="69" fillId="0" borderId="82" xfId="0" applyFont="1" applyBorder="1"/>
    <xf numFmtId="0" fontId="70" fillId="0" borderId="84" xfId="28" applyFont="1" applyBorder="1" applyAlignment="1">
      <alignment horizontal="left"/>
    </xf>
    <xf numFmtId="41" fontId="69" fillId="0" borderId="80" xfId="28" applyNumberFormat="1" applyFont="1" applyBorder="1"/>
    <xf numFmtId="41" fontId="69" fillId="0" borderId="81" xfId="28" applyNumberFormat="1" applyFont="1" applyBorder="1" applyProtection="1">
      <protection locked="0"/>
    </xf>
    <xf numFmtId="0" fontId="70" fillId="0" borderId="84" xfId="28" applyFont="1" applyBorder="1"/>
    <xf numFmtId="41" fontId="69" fillId="0" borderId="84" xfId="3" applyNumberFormat="1" applyFont="1" applyFill="1" applyBorder="1" applyProtection="1">
      <protection locked="0"/>
    </xf>
    <xf numFmtId="41" fontId="69" fillId="0" borderId="79" xfId="28" applyNumberFormat="1" applyFont="1" applyBorder="1" applyAlignment="1">
      <alignment horizontal="left"/>
    </xf>
    <xf numFmtId="41" fontId="69" fillId="0" borderId="0" xfId="28" applyNumberFormat="1" applyFont="1" applyAlignment="1">
      <alignment horizontal="left"/>
    </xf>
    <xf numFmtId="41" fontId="69" fillId="0" borderId="0" xfId="28" applyNumberFormat="1" applyFont="1" applyAlignment="1">
      <alignment horizontal="center"/>
    </xf>
    <xf numFmtId="0" fontId="69" fillId="0" borderId="82" xfId="28" applyFont="1" applyBorder="1" applyAlignment="1">
      <alignment wrapText="1"/>
    </xf>
    <xf numFmtId="41" fontId="69" fillId="0" borderId="82" xfId="28" applyNumberFormat="1" applyFont="1" applyBorder="1" applyAlignment="1">
      <alignment wrapText="1"/>
    </xf>
    <xf numFmtId="0" fontId="69" fillId="0" borderId="84" xfId="28" applyFont="1" applyBorder="1"/>
    <xf numFmtId="41" fontId="69" fillId="0" borderId="81" xfId="3" applyNumberFormat="1" applyFont="1" applyFill="1" applyBorder="1" applyAlignment="1" applyProtection="1">
      <protection locked="0"/>
    </xf>
    <xf numFmtId="43" fontId="69" fillId="19" borderId="0" xfId="3" applyFont="1" applyFill="1" applyBorder="1"/>
    <xf numFmtId="185" fontId="69" fillId="19" borderId="0" xfId="0" applyNumberFormat="1" applyFont="1" applyFill="1" applyAlignment="1">
      <alignment wrapText="1"/>
    </xf>
    <xf numFmtId="41" fontId="69" fillId="19" borderId="0" xfId="3" applyNumberFormat="1" applyFont="1" applyFill="1" applyBorder="1" applyProtection="1">
      <protection locked="0"/>
    </xf>
    <xf numFmtId="37" fontId="67" fillId="19" borderId="0" xfId="50" applyNumberFormat="1" applyFont="1" applyFill="1" applyBorder="1" applyProtection="1"/>
    <xf numFmtId="41" fontId="69" fillId="19" borderId="67" xfId="3" applyNumberFormat="1" applyFont="1" applyFill="1" applyBorder="1"/>
    <xf numFmtId="41" fontId="69" fillId="19" borderId="0" xfId="3" applyNumberFormat="1" applyFont="1" applyFill="1" applyBorder="1"/>
    <xf numFmtId="41" fontId="69" fillId="19" borderId="0" xfId="0" applyNumberFormat="1" applyFont="1" applyFill="1" applyAlignment="1">
      <alignment vertical="top" wrapText="1"/>
    </xf>
    <xf numFmtId="41" fontId="69" fillId="19" borderId="5" xfId="3" applyNumberFormat="1" applyFont="1" applyFill="1" applyBorder="1"/>
    <xf numFmtId="177" fontId="90" fillId="19" borderId="10" xfId="1" applyNumberFormat="1" applyFont="1" applyFill="1" applyBorder="1" applyAlignment="1">
      <alignment horizontal="center"/>
    </xf>
    <xf numFmtId="177" fontId="69" fillId="19" borderId="0" xfId="3" applyNumberFormat="1" applyFont="1" applyFill="1" applyBorder="1" applyProtection="1">
      <protection locked="0"/>
    </xf>
    <xf numFmtId="41" fontId="70" fillId="19" borderId="67" xfId="3" applyNumberFormat="1" applyFont="1" applyFill="1" applyBorder="1"/>
    <xf numFmtId="41" fontId="70" fillId="19" borderId="0" xfId="3" applyNumberFormat="1" applyFont="1" applyFill="1" applyBorder="1"/>
    <xf numFmtId="41" fontId="92" fillId="19" borderId="0" xfId="3" applyNumberFormat="1" applyFont="1" applyFill="1" applyBorder="1" applyProtection="1">
      <protection locked="0"/>
    </xf>
    <xf numFmtId="41" fontId="69" fillId="19" borderId="67" xfId="3" applyNumberFormat="1" applyFont="1" applyFill="1" applyBorder="1" applyProtection="1">
      <protection locked="0"/>
    </xf>
    <xf numFmtId="41" fontId="69" fillId="19" borderId="10" xfId="3" applyNumberFormat="1" applyFont="1" applyFill="1" applyBorder="1"/>
    <xf numFmtId="41" fontId="69" fillId="19" borderId="0" xfId="28" applyNumberFormat="1" applyFont="1" applyFill="1"/>
    <xf numFmtId="41" fontId="70" fillId="19" borderId="0" xfId="28" applyNumberFormat="1" applyFont="1" applyFill="1"/>
    <xf numFmtId="41" fontId="69" fillId="19" borderId="10" xfId="28" applyNumberFormat="1" applyFont="1" applyFill="1" applyBorder="1"/>
    <xf numFmtId="0" fontId="83" fillId="0" borderId="82" xfId="28" applyFont="1" applyBorder="1" applyAlignment="1">
      <alignment wrapText="1"/>
    </xf>
    <xf numFmtId="41" fontId="42" fillId="0" borderId="19" xfId="14" applyNumberFormat="1" applyFont="1" applyFill="1" applyBorder="1" applyAlignment="1" applyProtection="1"/>
    <xf numFmtId="41" fontId="79" fillId="0" borderId="106" xfId="3" applyNumberFormat="1" applyFont="1" applyFill="1" applyBorder="1"/>
    <xf numFmtId="41" fontId="79" fillId="0" borderId="99" xfId="3" applyNumberFormat="1" applyFont="1" applyFill="1" applyBorder="1" applyProtection="1">
      <protection locked="0"/>
    </xf>
    <xf numFmtId="41" fontId="79" fillId="0" borderId="99" xfId="3" applyNumberFormat="1" applyFont="1" applyFill="1" applyBorder="1" applyAlignment="1" applyProtection="1">
      <protection locked="0"/>
    </xf>
    <xf numFmtId="41" fontId="79" fillId="12" borderId="99" xfId="3" applyNumberFormat="1" applyFont="1" applyFill="1" applyBorder="1" applyProtection="1">
      <protection locked="0"/>
    </xf>
    <xf numFmtId="41" fontId="79" fillId="0" borderId="107" xfId="3" applyNumberFormat="1" applyFont="1" applyFill="1" applyBorder="1"/>
    <xf numFmtId="1" fontId="77" fillId="0" borderId="55" xfId="30" applyNumberFormat="1" applyFont="1" applyBorder="1" applyProtection="1">
      <protection locked="0"/>
    </xf>
    <xf numFmtId="0" fontId="34" fillId="0" borderId="43" xfId="0" applyFont="1" applyBorder="1" applyAlignment="1">
      <alignment horizontal="left"/>
    </xf>
    <xf numFmtId="41" fontId="12" fillId="0" borderId="44" xfId="0" applyNumberFormat="1" applyFont="1" applyBorder="1"/>
    <xf numFmtId="175" fontId="3" fillId="0" borderId="45" xfId="0" applyNumberFormat="1" applyFont="1" applyBorder="1"/>
    <xf numFmtId="43" fontId="69" fillId="20" borderId="0" xfId="3" applyFont="1" applyFill="1" applyBorder="1"/>
    <xf numFmtId="185" fontId="69" fillId="20" borderId="0" xfId="0" applyNumberFormat="1" applyFont="1" applyFill="1" applyAlignment="1">
      <alignment wrapText="1"/>
    </xf>
    <xf numFmtId="41" fontId="69" fillId="20" borderId="0" xfId="3" applyNumberFormat="1" applyFont="1" applyFill="1" applyBorder="1" applyProtection="1">
      <protection locked="0"/>
    </xf>
    <xf numFmtId="41" fontId="69" fillId="20" borderId="81" xfId="3" applyNumberFormat="1" applyFont="1" applyFill="1" applyBorder="1" applyProtection="1">
      <protection locked="0"/>
    </xf>
    <xf numFmtId="41" fontId="69" fillId="20" borderId="105" xfId="3" applyNumberFormat="1" applyFont="1" applyFill="1" applyBorder="1" applyProtection="1">
      <protection locked="0"/>
    </xf>
    <xf numFmtId="41" fontId="69" fillId="20" borderId="67" xfId="3" applyNumberFormat="1" applyFont="1" applyFill="1" applyBorder="1"/>
    <xf numFmtId="41" fontId="69" fillId="20" borderId="0" xfId="3" applyNumberFormat="1" applyFont="1" applyFill="1" applyBorder="1"/>
    <xf numFmtId="41" fontId="69" fillId="20" borderId="0" xfId="0" applyNumberFormat="1" applyFont="1" applyFill="1" applyAlignment="1">
      <alignment vertical="top" wrapText="1"/>
    </xf>
    <xf numFmtId="41" fontId="69" fillId="20" borderId="102" xfId="3" applyNumberFormat="1" applyFont="1" applyFill="1" applyBorder="1"/>
    <xf numFmtId="41" fontId="69" fillId="20" borderId="5" xfId="3" applyNumberFormat="1" applyFont="1" applyFill="1" applyBorder="1"/>
    <xf numFmtId="177" fontId="90" fillId="20" borderId="10" xfId="1" applyNumberFormat="1" applyFont="1" applyFill="1" applyBorder="1" applyAlignment="1">
      <alignment horizontal="center"/>
    </xf>
    <xf numFmtId="41" fontId="70" fillId="20" borderId="0" xfId="3" applyNumberFormat="1" applyFont="1" applyFill="1" applyBorder="1" applyAlignment="1">
      <alignment horizontal="center"/>
    </xf>
    <xf numFmtId="177" fontId="69" fillId="20" borderId="0" xfId="3" applyNumberFormat="1" applyFont="1" applyFill="1" applyBorder="1" applyProtection="1">
      <protection locked="0"/>
    </xf>
    <xf numFmtId="177" fontId="69" fillId="20" borderId="81" xfId="3" applyNumberFormat="1" applyFont="1" applyFill="1" applyBorder="1" applyProtection="1">
      <protection locked="0"/>
    </xf>
    <xf numFmtId="41" fontId="70" fillId="20" borderId="67" xfId="3" applyNumberFormat="1" applyFont="1" applyFill="1" applyBorder="1"/>
    <xf numFmtId="41" fontId="70" fillId="20" borderId="87" xfId="3" applyNumberFormat="1" applyFont="1" applyFill="1" applyBorder="1"/>
    <xf numFmtId="41" fontId="70" fillId="20" borderId="0" xfId="3" applyNumberFormat="1" applyFont="1" applyFill="1" applyBorder="1"/>
    <xf numFmtId="41" fontId="70" fillId="20" borderId="81" xfId="3" applyNumberFormat="1" applyFont="1" applyFill="1" applyBorder="1"/>
    <xf numFmtId="41" fontId="69" fillId="20" borderId="81" xfId="3" applyNumberFormat="1" applyFont="1" applyFill="1" applyBorder="1"/>
    <xf numFmtId="41" fontId="69" fillId="20" borderId="87" xfId="3" applyNumberFormat="1" applyFont="1" applyFill="1" applyBorder="1"/>
    <xf numFmtId="41" fontId="69" fillId="20" borderId="0" xfId="3" applyNumberFormat="1" applyFont="1" applyFill="1" applyBorder="1" applyAlignment="1" applyProtection="1">
      <protection locked="0"/>
    </xf>
    <xf numFmtId="41" fontId="69" fillId="20" borderId="81" xfId="3" applyNumberFormat="1" applyFont="1" applyFill="1" applyBorder="1" applyAlignment="1" applyProtection="1">
      <protection locked="0"/>
    </xf>
    <xf numFmtId="41" fontId="92" fillId="20" borderId="0" xfId="3" applyNumberFormat="1" applyFont="1" applyFill="1" applyBorder="1" applyProtection="1">
      <protection locked="0"/>
    </xf>
    <xf numFmtId="0" fontId="67" fillId="20" borderId="0" xfId="28" applyFont="1" applyFill="1"/>
    <xf numFmtId="41" fontId="84" fillId="20" borderId="0" xfId="3" applyNumberFormat="1" applyFont="1" applyFill="1" applyBorder="1" applyProtection="1">
      <protection locked="0"/>
    </xf>
    <xf numFmtId="41" fontId="69" fillId="20" borderId="67" xfId="3" applyNumberFormat="1" applyFont="1" applyFill="1" applyBorder="1" applyProtection="1">
      <protection locked="0"/>
    </xf>
    <xf numFmtId="41" fontId="69" fillId="20" borderId="87" xfId="3" applyNumberFormat="1" applyFont="1" applyFill="1" applyBorder="1" applyProtection="1">
      <protection locked="0"/>
    </xf>
    <xf numFmtId="41" fontId="69" fillId="20" borderId="10" xfId="3" applyNumberFormat="1" applyFont="1" applyFill="1" applyBorder="1"/>
    <xf numFmtId="41" fontId="69" fillId="20" borderId="88" xfId="3" applyNumberFormat="1" applyFont="1" applyFill="1" applyBorder="1"/>
    <xf numFmtId="41" fontId="69" fillId="20" borderId="0" xfId="28" applyNumberFormat="1" applyFont="1" applyFill="1"/>
    <xf numFmtId="41" fontId="69" fillId="20" borderId="81" xfId="28" applyNumberFormat="1" applyFont="1" applyFill="1" applyBorder="1"/>
    <xf numFmtId="41" fontId="70" fillId="20" borderId="0" xfId="28" applyNumberFormat="1" applyFont="1" applyFill="1"/>
    <xf numFmtId="41" fontId="70" fillId="20" borderId="81" xfId="28" applyNumberFormat="1" applyFont="1" applyFill="1" applyBorder="1"/>
    <xf numFmtId="41" fontId="69" fillId="20" borderId="10" xfId="28" applyNumberFormat="1" applyFont="1" applyFill="1" applyBorder="1"/>
    <xf numFmtId="41" fontId="69" fillId="20" borderId="88" xfId="28" applyNumberFormat="1" applyFont="1" applyFill="1" applyBorder="1"/>
    <xf numFmtId="0" fontId="71" fillId="13" borderId="1" xfId="0" applyFont="1" applyFill="1" applyBorder="1"/>
    <xf numFmtId="0" fontId="42" fillId="16" borderId="0" xfId="30" applyFont="1" applyFill="1"/>
    <xf numFmtId="43" fontId="42" fillId="0" borderId="54" xfId="5" applyFont="1" applyFill="1" applyBorder="1" applyProtection="1">
      <protection locked="0"/>
    </xf>
    <xf numFmtId="43" fontId="70" fillId="0" borderId="10" xfId="1" applyFont="1" applyFill="1" applyBorder="1" applyAlignment="1"/>
    <xf numFmtId="9" fontId="42" fillId="0" borderId="55" xfId="36" applyFont="1" applyFill="1" applyBorder="1" applyAlignment="1" applyProtection="1">
      <alignment horizontal="center"/>
      <protection locked="0"/>
    </xf>
    <xf numFmtId="41" fontId="89" fillId="0" borderId="0" xfId="3" applyNumberFormat="1" applyFont="1" applyFill="1" applyBorder="1" applyProtection="1">
      <protection locked="0"/>
    </xf>
    <xf numFmtId="0" fontId="85" fillId="0" borderId="0" xfId="28" applyFont="1"/>
    <xf numFmtId="37" fontId="42" fillId="0" borderId="55" xfId="5" applyNumberFormat="1" applyFont="1" applyFill="1" applyBorder="1" applyProtection="1"/>
    <xf numFmtId="37" fontId="93" fillId="0" borderId="55" xfId="5" applyNumberFormat="1" applyFont="1" applyFill="1" applyBorder="1" applyProtection="1">
      <protection locked="0"/>
    </xf>
    <xf numFmtId="0" fontId="77" fillId="21" borderId="0" xfId="0" applyFont="1" applyFill="1" applyAlignment="1">
      <alignment vertical="top"/>
    </xf>
    <xf numFmtId="0" fontId="77" fillId="0" borderId="0" xfId="0" applyFont="1" applyAlignment="1">
      <alignment vertical="top"/>
    </xf>
    <xf numFmtId="187" fontId="77" fillId="0" borderId="0" xfId="0" applyNumberFormat="1" applyFont="1" applyAlignment="1">
      <alignment vertical="top"/>
    </xf>
    <xf numFmtId="0" fontId="77" fillId="0" borderId="108" xfId="0" applyFont="1" applyBorder="1" applyAlignment="1">
      <alignment vertical="top" readingOrder="1"/>
    </xf>
    <xf numFmtId="0" fontId="77" fillId="0" borderId="109" xfId="0" applyFont="1" applyBorder="1" applyAlignment="1">
      <alignment vertical="top" readingOrder="1"/>
    </xf>
    <xf numFmtId="0" fontId="77" fillId="0" borderId="0" xfId="0" applyFont="1" applyAlignment="1">
      <alignment horizontal="right" vertical="top"/>
    </xf>
    <xf numFmtId="187" fontId="77" fillId="0" borderId="0" xfId="0" applyNumberFormat="1" applyFont="1" applyAlignment="1">
      <alignment horizontal="right" vertical="top"/>
    </xf>
    <xf numFmtId="0" fontId="77" fillId="0" borderId="108" xfId="0" applyFont="1" applyBorder="1" applyAlignment="1">
      <alignment horizontal="left" vertical="top" readingOrder="1"/>
    </xf>
    <xf numFmtId="0" fontId="77" fillId="0" borderId="109" xfId="0" applyFont="1" applyBorder="1" applyAlignment="1">
      <alignment horizontal="left" vertical="top" readingOrder="1"/>
    </xf>
    <xf numFmtId="0" fontId="84" fillId="0" borderId="82" xfId="28" applyFont="1" applyBorder="1"/>
    <xf numFmtId="0" fontId="84" fillId="0" borderId="82" xfId="28" applyFont="1" applyBorder="1" applyAlignment="1">
      <alignment wrapText="1"/>
    </xf>
    <xf numFmtId="41" fontId="84" fillId="0" borderId="0" xfId="28" applyNumberFormat="1" applyFont="1"/>
    <xf numFmtId="177" fontId="91" fillId="0" borderId="110" xfId="0" applyNumberFormat="1" applyFont="1" applyBorder="1" applyAlignment="1">
      <alignment horizontal="center"/>
    </xf>
    <xf numFmtId="37" fontId="94" fillId="0" borderId="111" xfId="0" applyNumberFormat="1" applyFont="1" applyBorder="1"/>
    <xf numFmtId="9" fontId="69" fillId="0" borderId="81" xfId="36" applyFont="1" applyFill="1" applyBorder="1"/>
    <xf numFmtId="188" fontId="42" fillId="0" borderId="91" xfId="30" applyNumberFormat="1" applyFont="1" applyBorder="1" applyProtection="1">
      <protection locked="0"/>
    </xf>
    <xf numFmtId="189" fontId="42" fillId="0" borderId="91" xfId="30" applyNumberFormat="1" applyFont="1" applyBorder="1" applyProtection="1">
      <protection locked="0"/>
    </xf>
    <xf numFmtId="173" fontId="77" fillId="0" borderId="55" xfId="30" applyNumberFormat="1" applyFont="1" applyBorder="1" applyProtection="1">
      <protection locked="0"/>
    </xf>
    <xf numFmtId="0" fontId="77" fillId="11" borderId="54" xfId="30" applyFont="1" applyFill="1" applyBorder="1" applyProtection="1">
      <protection locked="0"/>
    </xf>
    <xf numFmtId="41" fontId="88" fillId="11" borderId="54" xfId="5" applyNumberFormat="1" applyFont="1" applyFill="1" applyBorder="1" applyProtection="1">
      <protection locked="0"/>
    </xf>
    <xf numFmtId="41" fontId="95" fillId="0" borderId="0" xfId="28" applyNumberFormat="1" applyFont="1"/>
    <xf numFmtId="41" fontId="95" fillId="0" borderId="0" xfId="28" applyNumberFormat="1" applyFont="1" applyProtection="1">
      <protection locked="0"/>
    </xf>
    <xf numFmtId="41" fontId="95" fillId="0" borderId="82" xfId="28" applyNumberFormat="1" applyFont="1" applyBorder="1"/>
    <xf numFmtId="41" fontId="92" fillId="18" borderId="0" xfId="3" applyNumberFormat="1" applyFont="1" applyFill="1" applyBorder="1" applyProtection="1">
      <protection locked="0"/>
    </xf>
    <xf numFmtId="0" fontId="77" fillId="0" borderId="0" xfId="0" applyFont="1" applyAlignment="1">
      <alignment vertical="top" readingOrder="1"/>
    </xf>
    <xf numFmtId="0" fontId="96" fillId="0" borderId="0" xfId="0" applyFont="1" applyAlignment="1">
      <alignment horizontal="center" vertical="center"/>
    </xf>
    <xf numFmtId="43" fontId="4" fillId="0" borderId="0" xfId="1" quotePrefix="1" applyFont="1" applyFill="1"/>
    <xf numFmtId="0" fontId="88" fillId="11" borderId="54" xfId="30" applyFont="1" applyFill="1" applyBorder="1" applyProtection="1">
      <protection locked="0"/>
    </xf>
    <xf numFmtId="0" fontId="88" fillId="0" borderId="55" xfId="30" applyFont="1" applyBorder="1" applyProtection="1">
      <protection locked="0"/>
    </xf>
    <xf numFmtId="0" fontId="88" fillId="0" borderId="55" xfId="30" applyFont="1" applyBorder="1"/>
    <xf numFmtId="0" fontId="93" fillId="0" borderId="55" xfId="30" applyFont="1" applyBorder="1" applyProtection="1">
      <protection locked="0"/>
    </xf>
    <xf numFmtId="41" fontId="70" fillId="11" borderId="10" xfId="37" applyNumberFormat="1" applyFont="1" applyFill="1" applyBorder="1" applyAlignment="1" applyProtection="1">
      <alignment horizontal="center"/>
      <protection locked="0"/>
    </xf>
    <xf numFmtId="41" fontId="67" fillId="11" borderId="0" xfId="28" applyNumberFormat="1" applyFont="1" applyFill="1"/>
    <xf numFmtId="175" fontId="42" fillId="22" borderId="0" xfId="39" applyNumberFormat="1" applyFont="1" applyFill="1" applyProtection="1"/>
    <xf numFmtId="175" fontId="45" fillId="22" borderId="9" xfId="39" applyNumberFormat="1" applyFont="1" applyFill="1" applyBorder="1" applyAlignment="1" applyProtection="1">
      <alignment horizontal="center" wrapText="1"/>
    </xf>
    <xf numFmtId="177" fontId="42" fillId="22" borderId="54" xfId="5" applyNumberFormat="1" applyFont="1" applyFill="1" applyBorder="1" applyProtection="1"/>
    <xf numFmtId="177" fontId="42" fillId="22" borderId="58" xfId="5" applyNumberFormat="1" applyFont="1" applyFill="1" applyBorder="1" applyProtection="1"/>
    <xf numFmtId="177" fontId="42" fillId="22" borderId="0" xfId="5" applyNumberFormat="1" applyFont="1" applyFill="1" applyBorder="1" applyProtection="1"/>
    <xf numFmtId="177" fontId="42" fillId="22" borderId="62" xfId="5" applyNumberFormat="1" applyFont="1" applyFill="1" applyBorder="1" applyProtection="1"/>
    <xf numFmtId="177" fontId="42" fillId="22" borderId="53" xfId="5" applyNumberFormat="1" applyFont="1" applyFill="1" applyBorder="1" applyProtection="1"/>
    <xf numFmtId="177" fontId="42" fillId="22" borderId="63" xfId="5" applyNumberFormat="1" applyFont="1" applyFill="1" applyBorder="1" applyProtection="1"/>
    <xf numFmtId="176" fontId="45" fillId="22" borderId="66" xfId="15" applyNumberFormat="1" applyFont="1" applyFill="1" applyBorder="1" applyProtection="1"/>
    <xf numFmtId="177" fontId="42" fillId="22" borderId="0" xfId="1" applyNumberFormat="1" applyFont="1" applyFill="1" applyProtection="1"/>
    <xf numFmtId="43" fontId="42" fillId="22" borderId="0" xfId="1" applyFont="1" applyFill="1" applyProtection="1"/>
    <xf numFmtId="175" fontId="42" fillId="22" borderId="0" xfId="39" applyNumberFormat="1" applyFont="1" applyFill="1" applyAlignment="1" applyProtection="1">
      <alignment horizontal="left"/>
    </xf>
    <xf numFmtId="175" fontId="45" fillId="22" borderId="48" xfId="39" applyNumberFormat="1" applyFont="1" applyFill="1" applyBorder="1" applyAlignment="1" applyProtection="1">
      <alignment horizontal="center"/>
    </xf>
    <xf numFmtId="41" fontId="45" fillId="22" borderId="44" xfId="5" applyNumberFormat="1" applyFont="1" applyFill="1" applyBorder="1" applyAlignment="1" applyProtection="1">
      <alignment horizontal="center"/>
    </xf>
    <xf numFmtId="0" fontId="42" fillId="22" borderId="3" xfId="30" applyFont="1" applyFill="1" applyBorder="1" applyAlignment="1">
      <alignment horizontal="center"/>
    </xf>
    <xf numFmtId="0" fontId="42" fillId="22" borderId="19" xfId="30" applyFont="1" applyFill="1" applyBorder="1" applyAlignment="1">
      <alignment horizontal="center"/>
    </xf>
    <xf numFmtId="177" fontId="42" fillId="22" borderId="19" xfId="5" applyNumberFormat="1" applyFont="1" applyFill="1" applyBorder="1" applyAlignment="1" applyProtection="1">
      <alignment horizontal="center"/>
    </xf>
    <xf numFmtId="43" fontId="42" fillId="22" borderId="19" xfId="5" applyFont="1" applyFill="1" applyBorder="1" applyAlignment="1" applyProtection="1">
      <alignment horizontal="center"/>
    </xf>
    <xf numFmtId="43" fontId="42" fillId="22" borderId="0" xfId="5" applyFont="1" applyFill="1" applyAlignment="1" applyProtection="1">
      <alignment horizontal="center"/>
    </xf>
    <xf numFmtId="41" fontId="97" fillId="11" borderId="0" xfId="28" applyNumberFormat="1" applyFont="1" applyFill="1"/>
    <xf numFmtId="37" fontId="0" fillId="0" borderId="0" xfId="0" applyNumberFormat="1"/>
    <xf numFmtId="0" fontId="70" fillId="23" borderId="80" xfId="28" applyFont="1" applyFill="1" applyBorder="1" applyAlignment="1" applyProtection="1">
      <alignment horizontal="center" wrapText="1" shrinkToFit="1"/>
      <protection locked="0"/>
    </xf>
    <xf numFmtId="41" fontId="95" fillId="23" borderId="82" xfId="28" applyNumberFormat="1" applyFont="1" applyFill="1" applyBorder="1"/>
    <xf numFmtId="41" fontId="69" fillId="23" borderId="82" xfId="28" applyNumberFormat="1" applyFont="1" applyFill="1" applyBorder="1" applyProtection="1">
      <protection locked="0"/>
    </xf>
    <xf numFmtId="177" fontId="69" fillId="23" borderId="82" xfId="1" applyNumberFormat="1" applyFont="1" applyFill="1" applyBorder="1" applyAlignment="1" applyProtection="1"/>
    <xf numFmtId="177" fontId="69" fillId="23" borderId="82" xfId="1" applyNumberFormat="1" applyFont="1" applyFill="1" applyBorder="1" applyProtection="1"/>
    <xf numFmtId="41" fontId="69" fillId="23" borderId="83" xfId="3" applyNumberFormat="1" applyFont="1" applyFill="1" applyBorder="1" applyProtection="1"/>
    <xf numFmtId="41" fontId="69" fillId="23" borderId="78" xfId="3" applyNumberFormat="1" applyFont="1" applyFill="1" applyBorder="1" applyProtection="1"/>
    <xf numFmtId="41" fontId="69" fillId="23" borderId="81" xfId="3" applyNumberFormat="1" applyFont="1" applyFill="1" applyBorder="1" applyProtection="1"/>
    <xf numFmtId="41" fontId="69" fillId="23" borderId="83" xfId="4" applyNumberFormat="1" applyFont="1" applyFill="1" applyBorder="1" applyProtection="1"/>
    <xf numFmtId="41" fontId="69" fillId="23" borderId="81" xfId="3" applyNumberFormat="1" applyFont="1" applyFill="1" applyBorder="1"/>
    <xf numFmtId="41" fontId="69" fillId="23" borderId="82" xfId="3" applyNumberFormat="1" applyFont="1" applyFill="1" applyBorder="1" applyProtection="1">
      <protection locked="0"/>
    </xf>
    <xf numFmtId="41" fontId="69" fillId="23" borderId="101" xfId="3" applyNumberFormat="1" applyFont="1" applyFill="1" applyBorder="1" applyProtection="1"/>
    <xf numFmtId="41" fontId="69" fillId="23" borderId="82" xfId="3" applyNumberFormat="1" applyFont="1" applyFill="1" applyBorder="1" applyProtection="1"/>
    <xf numFmtId="41" fontId="69" fillId="23" borderId="80" xfId="3" applyNumberFormat="1" applyFont="1" applyFill="1" applyBorder="1" applyProtection="1"/>
    <xf numFmtId="41" fontId="69" fillId="23" borderId="84" xfId="3" applyNumberFormat="1" applyFont="1" applyFill="1" applyBorder="1" applyProtection="1"/>
    <xf numFmtId="41" fontId="69" fillId="23" borderId="83" xfId="28" applyNumberFormat="1" applyFont="1" applyFill="1" applyBorder="1"/>
    <xf numFmtId="41" fontId="69" fillId="23" borderId="86" xfId="3" applyNumberFormat="1" applyFont="1" applyFill="1" applyBorder="1" applyProtection="1">
      <protection locked="0"/>
    </xf>
    <xf numFmtId="177" fontId="69" fillId="23" borderId="83" xfId="3" applyNumberFormat="1" applyFont="1" applyFill="1" applyBorder="1" applyProtection="1">
      <protection locked="0"/>
    </xf>
    <xf numFmtId="41" fontId="69" fillId="23" borderId="67" xfId="3" applyNumberFormat="1" applyFont="1" applyFill="1" applyBorder="1"/>
    <xf numFmtId="41" fontId="69" fillId="23" borderId="80" xfId="28" applyNumberFormat="1" applyFont="1" applyFill="1" applyBorder="1" applyProtection="1">
      <protection locked="0"/>
    </xf>
    <xf numFmtId="177" fontId="70" fillId="23" borderId="82" xfId="1" applyNumberFormat="1" applyFont="1" applyFill="1" applyBorder="1" applyProtection="1">
      <protection locked="0"/>
    </xf>
    <xf numFmtId="41" fontId="69" fillId="23" borderId="82" xfId="28" applyNumberFormat="1" applyFont="1" applyFill="1" applyBorder="1"/>
    <xf numFmtId="41" fontId="69" fillId="23" borderId="0" xfId="28" applyNumberFormat="1" applyFont="1" applyFill="1"/>
    <xf numFmtId="41" fontId="69" fillId="23" borderId="87" xfId="3" applyNumberFormat="1" applyFont="1" applyFill="1" applyBorder="1" applyProtection="1"/>
    <xf numFmtId="41" fontId="69" fillId="23" borderId="85" xfId="3" applyNumberFormat="1" applyFont="1" applyFill="1" applyBorder="1" applyProtection="1"/>
    <xf numFmtId="41" fontId="69" fillId="23" borderId="83" xfId="3" applyNumberFormat="1" applyFont="1" applyFill="1" applyBorder="1"/>
    <xf numFmtId="41" fontId="69" fillId="23" borderId="81" xfId="28" applyNumberFormat="1" applyFont="1" applyFill="1" applyBorder="1" applyProtection="1">
      <protection locked="0"/>
    </xf>
    <xf numFmtId="41" fontId="69" fillId="23" borderId="81" xfId="28" applyNumberFormat="1" applyFont="1" applyFill="1" applyBorder="1"/>
    <xf numFmtId="177" fontId="69" fillId="0" borderId="82" xfId="3" applyNumberFormat="1" applyFont="1" applyFill="1" applyBorder="1" applyProtection="1">
      <protection locked="0"/>
    </xf>
    <xf numFmtId="39" fontId="77" fillId="0" borderId="108" xfId="0" applyNumberFormat="1" applyFont="1" applyBorder="1" applyAlignment="1">
      <alignment vertical="top" readingOrder="1"/>
    </xf>
    <xf numFmtId="0" fontId="89" fillId="0" borderId="82" xfId="28" applyFont="1" applyBorder="1"/>
    <xf numFmtId="41" fontId="89" fillId="0" borderId="82" xfId="3" applyNumberFormat="1" applyFont="1" applyFill="1" applyBorder="1" applyProtection="1"/>
    <xf numFmtId="3" fontId="69" fillId="0" borderId="82" xfId="28" applyNumberFormat="1" applyFont="1" applyBorder="1" applyAlignment="1">
      <alignment wrapText="1"/>
    </xf>
    <xf numFmtId="187" fontId="77" fillId="0" borderId="109" xfId="0" applyNumberFormat="1" applyFont="1" applyBorder="1" applyAlignment="1">
      <alignment horizontal="left" vertical="top" readingOrder="1"/>
    </xf>
    <xf numFmtId="177" fontId="69" fillId="0" borderId="86" xfId="1" applyNumberFormat="1" applyFont="1" applyFill="1" applyBorder="1" applyProtection="1"/>
    <xf numFmtId="177" fontId="69" fillId="23" borderId="86" xfId="1" applyNumberFormat="1" applyFont="1" applyFill="1" applyBorder="1" applyProtection="1"/>
    <xf numFmtId="41" fontId="69" fillId="0" borderId="84" xfId="28" applyNumberFormat="1" applyFont="1" applyBorder="1" applyProtection="1">
      <protection locked="0"/>
    </xf>
    <xf numFmtId="0" fontId="83" fillId="0" borderId="82" xfId="0" applyFont="1" applyBorder="1" applyAlignment="1">
      <alignment wrapText="1"/>
    </xf>
    <xf numFmtId="0" fontId="67" fillId="20" borderId="81" xfId="28" applyFont="1" applyFill="1" applyBorder="1"/>
    <xf numFmtId="187" fontId="77" fillId="11" borderId="0" xfId="0" applyNumberFormat="1" applyFont="1" applyFill="1" applyAlignment="1">
      <alignment horizontal="right" vertical="top"/>
    </xf>
    <xf numFmtId="181" fontId="42" fillId="24" borderId="27" xfId="0" applyNumberFormat="1" applyFont="1" applyFill="1" applyBorder="1" applyAlignment="1">
      <alignment horizontal="left"/>
    </xf>
    <xf numFmtId="181" fontId="42" fillId="24" borderId="25" xfId="0" applyNumberFormat="1" applyFont="1" applyFill="1" applyBorder="1" applyAlignment="1">
      <alignment horizontal="left"/>
    </xf>
    <xf numFmtId="181" fontId="42" fillId="24" borderId="36" xfId="0" applyNumberFormat="1" applyFont="1" applyFill="1" applyBorder="1" applyAlignment="1">
      <alignment horizontal="left"/>
    </xf>
    <xf numFmtId="3" fontId="88" fillId="0" borderId="55" xfId="5" applyNumberFormat="1" applyFont="1" applyFill="1" applyBorder="1" applyProtection="1">
      <protection locked="0"/>
    </xf>
    <xf numFmtId="181" fontId="42" fillId="24" borderId="64" xfId="0" applyNumberFormat="1" applyFont="1" applyFill="1" applyBorder="1" applyAlignment="1">
      <alignment horizontal="left"/>
    </xf>
    <xf numFmtId="43" fontId="42" fillId="11" borderId="0" xfId="30" applyNumberFormat="1" applyFont="1" applyFill="1"/>
    <xf numFmtId="41" fontId="84" fillId="0" borderId="82" xfId="28" applyNumberFormat="1" applyFont="1" applyBorder="1" applyAlignment="1">
      <alignment horizontal="left" wrapText="1"/>
    </xf>
    <xf numFmtId="41" fontId="84" fillId="0" borderId="82" xfId="28" applyNumberFormat="1" applyFont="1" applyBorder="1" applyAlignment="1">
      <alignment wrapText="1"/>
    </xf>
    <xf numFmtId="41" fontId="69" fillId="11" borderId="84" xfId="28" applyNumberFormat="1" applyFont="1" applyFill="1" applyBorder="1" applyProtection="1">
      <protection locked="0"/>
    </xf>
    <xf numFmtId="177" fontId="67" fillId="0" borderId="0" xfId="28" applyNumberFormat="1" applyFont="1"/>
    <xf numFmtId="177" fontId="67" fillId="11" borderId="0" xfId="28" applyNumberFormat="1" applyFont="1" applyFill="1"/>
    <xf numFmtId="177" fontId="69" fillId="11" borderId="82" xfId="1" applyNumberFormat="1" applyFont="1" applyFill="1" applyBorder="1" applyAlignment="1" applyProtection="1"/>
    <xf numFmtId="41" fontId="95" fillId="0" borderId="0" xfId="28" applyNumberFormat="1" applyFont="1" applyAlignment="1">
      <alignment horizontal="left"/>
    </xf>
    <xf numFmtId="0" fontId="95" fillId="0" borderId="0" xfId="28" applyFont="1"/>
    <xf numFmtId="41" fontId="70" fillId="0" borderId="112" xfId="28" applyNumberFormat="1" applyFont="1" applyBorder="1" applyAlignment="1" applyProtection="1">
      <alignment horizontal="center" wrapText="1" shrinkToFit="1"/>
      <protection locked="0"/>
    </xf>
    <xf numFmtId="41" fontId="70" fillId="23" borderId="112" xfId="28" applyNumberFormat="1" applyFont="1" applyFill="1" applyBorder="1" applyAlignment="1" applyProtection="1">
      <alignment horizontal="center" wrapText="1" shrinkToFit="1"/>
      <protection locked="0"/>
    </xf>
    <xf numFmtId="41" fontId="70" fillId="0" borderId="112" xfId="28" applyNumberFormat="1" applyFont="1" applyBorder="1" applyAlignment="1" applyProtection="1">
      <alignment horizontal="center" wrapText="1"/>
      <protection locked="0"/>
    </xf>
    <xf numFmtId="0" fontId="70" fillId="0" borderId="112" xfId="28" applyFont="1" applyBorder="1"/>
    <xf numFmtId="41" fontId="98" fillId="11" borderId="10" xfId="37" applyNumberFormat="1" applyFont="1" applyFill="1" applyBorder="1" applyAlignment="1" applyProtection="1">
      <alignment horizontal="center"/>
      <protection locked="0"/>
    </xf>
    <xf numFmtId="177" fontId="95" fillId="23" borderId="82" xfId="1" applyNumberFormat="1" applyFont="1" applyFill="1" applyBorder="1" applyProtection="1"/>
    <xf numFmtId="0" fontId="45" fillId="0" borderId="53" xfId="30" applyFont="1" applyBorder="1" applyAlignment="1">
      <alignment horizontal="center" wrapText="1"/>
    </xf>
    <xf numFmtId="0" fontId="45" fillId="0" borderId="57" xfId="30" applyFont="1" applyBorder="1" applyAlignment="1">
      <alignment horizontal="center" wrapText="1"/>
    </xf>
    <xf numFmtId="0" fontId="45" fillId="0" borderId="54" xfId="30" applyFont="1" applyBorder="1" applyAlignment="1">
      <alignment horizontal="center" wrapText="1"/>
    </xf>
    <xf numFmtId="0" fontId="45" fillId="0" borderId="23" xfId="30" applyFont="1" applyBorder="1" applyAlignment="1">
      <alignment horizontal="center"/>
    </xf>
    <xf numFmtId="0" fontId="45" fillId="0" borderId="46" xfId="30" applyFont="1" applyBorder="1" applyAlignment="1">
      <alignment horizontal="center"/>
    </xf>
    <xf numFmtId="0" fontId="45" fillId="0" borderId="24" xfId="30" applyFont="1" applyBorder="1" applyAlignment="1">
      <alignment horizontal="center"/>
    </xf>
    <xf numFmtId="173" fontId="42" fillId="25" borderId="91" xfId="30" applyNumberFormat="1" applyFont="1" applyFill="1" applyBorder="1" applyProtection="1">
      <protection locked="0"/>
    </xf>
    <xf numFmtId="177" fontId="69" fillId="0" borderId="81" xfId="1" applyNumberFormat="1" applyFont="1" applyFill="1" applyBorder="1" applyProtection="1">
      <protection locked="0"/>
    </xf>
    <xf numFmtId="43" fontId="67" fillId="0" borderId="0" xfId="1" applyFont="1" applyFill="1"/>
    <xf numFmtId="43" fontId="67" fillId="0" borderId="0" xfId="28" applyNumberFormat="1" applyFont="1"/>
    <xf numFmtId="17" fontId="70" fillId="0" borderId="0" xfId="28" applyNumberFormat="1" applyFont="1" applyAlignment="1" applyProtection="1">
      <alignment horizontal="center" wrapText="1"/>
      <protection locked="0"/>
    </xf>
    <xf numFmtId="10" fontId="42" fillId="0" borderId="0" xfId="36" applyNumberFormat="1" applyFont="1" applyFill="1" applyProtection="1"/>
    <xf numFmtId="43" fontId="42" fillId="0" borderId="0" xfId="1" applyFont="1" applyFill="1" applyAlignment="1" applyProtection="1">
      <alignment horizontal="center"/>
    </xf>
    <xf numFmtId="41" fontId="69" fillId="11" borderId="0" xfId="28" applyNumberFormat="1" applyFont="1" applyFill="1"/>
    <xf numFmtId="41" fontId="69" fillId="0" borderId="31" xfId="28" applyNumberFormat="1" applyFont="1" applyBorder="1"/>
    <xf numFmtId="43" fontId="69" fillId="0" borderId="33" xfId="1" applyFont="1" applyFill="1" applyBorder="1"/>
    <xf numFmtId="41" fontId="69" fillId="0" borderId="21" xfId="28" applyNumberFormat="1" applyFont="1" applyBorder="1"/>
    <xf numFmtId="43" fontId="69" fillId="0" borderId="34" xfId="1" applyFont="1" applyFill="1" applyBorder="1"/>
    <xf numFmtId="41" fontId="70" fillId="11" borderId="21" xfId="28" applyNumberFormat="1" applyFont="1" applyFill="1" applyBorder="1"/>
    <xf numFmtId="43" fontId="98" fillId="11" borderId="34" xfId="1" applyFont="1" applyFill="1" applyBorder="1"/>
    <xf numFmtId="0" fontId="69" fillId="0" borderId="21" xfId="28" applyFont="1" applyBorder="1"/>
    <xf numFmtId="41" fontId="69" fillId="0" borderId="34" xfId="28" applyNumberFormat="1" applyFont="1" applyBorder="1"/>
    <xf numFmtId="0" fontId="70" fillId="11" borderId="43" xfId="28" applyFont="1" applyFill="1" applyBorder="1"/>
    <xf numFmtId="41" fontId="98" fillId="11" borderId="113" xfId="28" applyNumberFormat="1" applyFont="1" applyFill="1" applyBorder="1"/>
    <xf numFmtId="177" fontId="42" fillId="22" borderId="65" xfId="5" applyNumberFormat="1" applyFont="1" applyFill="1" applyBorder="1" applyProtection="1"/>
    <xf numFmtId="175" fontId="45" fillId="22" borderId="0" xfId="39" applyNumberFormat="1" applyFont="1" applyFill="1" applyBorder="1" applyAlignment="1" applyProtection="1">
      <alignment horizontal="center"/>
    </xf>
    <xf numFmtId="41" fontId="45" fillId="22" borderId="0" xfId="5" applyNumberFormat="1" applyFont="1" applyFill="1" applyBorder="1" applyAlignment="1" applyProtection="1">
      <alignment horizontal="center"/>
    </xf>
    <xf numFmtId="0" fontId="42" fillId="22" borderId="0" xfId="30" applyFont="1" applyFill="1" applyAlignment="1">
      <alignment horizontal="center"/>
    </xf>
    <xf numFmtId="177" fontId="42" fillId="22" borderId="0" xfId="5" applyNumberFormat="1" applyFont="1" applyFill="1" applyBorder="1" applyAlignment="1" applyProtection="1">
      <alignment horizontal="center"/>
    </xf>
    <xf numFmtId="43" fontId="42" fillId="22" borderId="0" xfId="5" applyFont="1" applyFill="1" applyBorder="1" applyAlignment="1" applyProtection="1">
      <alignment horizontal="center"/>
    </xf>
    <xf numFmtId="0" fontId="4" fillId="0" borderId="0" xfId="0" applyFont="1" applyAlignment="1">
      <alignment horizontal="left" indent="2"/>
    </xf>
    <xf numFmtId="3" fontId="4" fillId="0" borderId="0" xfId="0" quotePrefix="1" applyNumberFormat="1" applyFont="1" applyAlignment="1">
      <alignment horizontal="center"/>
    </xf>
    <xf numFmtId="0" fontId="4" fillId="0" borderId="1" xfId="0" applyFont="1" applyBorder="1" applyAlignment="1">
      <alignment horizontal="center"/>
    </xf>
    <xf numFmtId="0" fontId="4" fillId="0" borderId="0" xfId="0" applyFont="1" applyAlignment="1">
      <alignment horizontal="left" indent="3"/>
    </xf>
    <xf numFmtId="7" fontId="0" fillId="0" borderId="0" xfId="0" applyNumberFormat="1" applyAlignment="1">
      <alignment horizontal="center"/>
    </xf>
    <xf numFmtId="3" fontId="4" fillId="0" borderId="14" xfId="0" applyNumberFormat="1" applyFont="1" applyBorder="1"/>
    <xf numFmtId="171" fontId="4" fillId="0" borderId="67" xfId="0" applyNumberFormat="1" applyFont="1" applyBorder="1"/>
    <xf numFmtId="164" fontId="20" fillId="0" borderId="4" xfId="0" applyNumberFormat="1" applyFont="1" applyBorder="1" applyAlignment="1">
      <alignment horizontal="center" wrapText="1"/>
    </xf>
    <xf numFmtId="164" fontId="21" fillId="0" borderId="13" xfId="0" applyNumberFormat="1" applyFont="1" applyBorder="1"/>
    <xf numFmtId="164" fontId="21" fillId="0" borderId="2" xfId="0" applyNumberFormat="1" applyFont="1" applyBorder="1"/>
    <xf numFmtId="164" fontId="21" fillId="0" borderId="3" xfId="0" applyNumberFormat="1" applyFont="1" applyBorder="1"/>
    <xf numFmtId="3" fontId="99" fillId="0" borderId="0" xfId="0" applyNumberFormat="1" applyFont="1"/>
    <xf numFmtId="3" fontId="99" fillId="9" borderId="0" xfId="0" applyNumberFormat="1" applyFont="1" applyFill="1"/>
    <xf numFmtId="38" fontId="99" fillId="0" borderId="0" xfId="0" applyNumberFormat="1" applyFont="1"/>
    <xf numFmtId="4" fontId="99" fillId="0" borderId="0" xfId="0" applyNumberFormat="1" applyFont="1"/>
    <xf numFmtId="3" fontId="99" fillId="2" borderId="0" xfId="0" applyNumberFormat="1" applyFont="1" applyFill="1"/>
    <xf numFmtId="177" fontId="69" fillId="0" borderId="0" xfId="3" applyNumberFormat="1" applyFont="1" applyFill="1" applyBorder="1" applyProtection="1">
      <protection locked="0"/>
    </xf>
    <xf numFmtId="0" fontId="42" fillId="0" borderId="96" xfId="30" applyFont="1" applyBorder="1"/>
    <xf numFmtId="173" fontId="77" fillId="11" borderId="96" xfId="30" applyNumberFormat="1" applyFont="1" applyFill="1" applyBorder="1" applyProtection="1">
      <protection locked="0"/>
    </xf>
    <xf numFmtId="3" fontId="77" fillId="11" borderId="96" xfId="47" applyNumberFormat="1" applyFont="1" applyFill="1" applyBorder="1" applyProtection="1">
      <protection locked="0"/>
    </xf>
    <xf numFmtId="173" fontId="88" fillId="11" borderId="96" xfId="30" applyNumberFormat="1" applyFont="1" applyFill="1" applyBorder="1" applyProtection="1">
      <protection locked="0"/>
    </xf>
    <xf numFmtId="0" fontId="42" fillId="25" borderId="55" xfId="30" applyFont="1" applyFill="1" applyBorder="1" applyProtection="1">
      <protection locked="0"/>
    </xf>
    <xf numFmtId="175" fontId="42" fillId="11" borderId="55" xfId="39" applyNumberFormat="1" applyFont="1" applyFill="1" applyBorder="1" applyAlignment="1" applyProtection="1">
      <alignment horizontal="center"/>
      <protection locked="0"/>
    </xf>
    <xf numFmtId="44" fontId="42" fillId="0" borderId="0" xfId="30" applyNumberFormat="1" applyFont="1" applyAlignment="1">
      <alignment horizontal="center"/>
    </xf>
    <xf numFmtId="0" fontId="71" fillId="12" borderId="0" xfId="0" applyFont="1" applyFill="1"/>
    <xf numFmtId="0" fontId="4" fillId="0" borderId="0" xfId="28" applyFont="1" applyAlignment="1">
      <alignment horizontal="right"/>
    </xf>
    <xf numFmtId="171" fontId="4" fillId="11" borderId="0" xfId="28" applyNumberFormat="1" applyFont="1" applyFill="1" applyAlignment="1">
      <alignment horizontal="right"/>
    </xf>
    <xf numFmtId="0" fontId="51" fillId="0" borderId="0" xfId="28" applyFont="1" applyAlignment="1">
      <alignment horizontal="center"/>
    </xf>
    <xf numFmtId="0" fontId="45" fillId="0" borderId="31" xfId="28" applyFont="1" applyBorder="1" applyAlignment="1">
      <alignment horizontal="center"/>
    </xf>
    <xf numFmtId="0" fontId="45" fillId="0" borderId="94" xfId="28" applyFont="1" applyBorder="1" applyAlignment="1">
      <alignment horizontal="center"/>
    </xf>
    <xf numFmtId="0" fontId="45" fillId="0" borderId="33" xfId="28" applyFont="1" applyBorder="1" applyAlignment="1">
      <alignment horizontal="center"/>
    </xf>
    <xf numFmtId="0" fontId="56" fillId="0" borderId="21" xfId="0" applyFont="1" applyBorder="1" applyAlignment="1">
      <alignment horizontal="center"/>
    </xf>
    <xf numFmtId="0" fontId="56" fillId="0" borderId="0" xfId="0" applyFont="1" applyAlignment="1">
      <alignment horizontal="center"/>
    </xf>
    <xf numFmtId="0" fontId="56" fillId="0" borderId="34" xfId="0" applyFont="1" applyBorder="1" applyAlignment="1">
      <alignment horizontal="center"/>
    </xf>
    <xf numFmtId="0" fontId="56" fillId="0" borderId="31" xfId="0" applyFont="1" applyBorder="1" applyAlignment="1">
      <alignment horizontal="center"/>
    </xf>
    <xf numFmtId="0" fontId="56" fillId="0" borderId="94" xfId="0" applyFont="1" applyBorder="1" applyAlignment="1">
      <alignment horizontal="center"/>
    </xf>
    <xf numFmtId="0" fontId="56" fillId="0" borderId="33" xfId="0" applyFont="1" applyBorder="1" applyAlignment="1">
      <alignment horizontal="center"/>
    </xf>
    <xf numFmtId="41" fontId="70" fillId="0" borderId="10" xfId="37" applyNumberFormat="1" applyFont="1" applyFill="1" applyBorder="1" applyAlignment="1" applyProtection="1">
      <alignment horizontal="center"/>
      <protection locked="0"/>
    </xf>
    <xf numFmtId="0" fontId="45" fillId="3" borderId="0" xfId="30" applyFont="1" applyFill="1" applyAlignment="1" applyProtection="1">
      <alignment horizontal="center"/>
      <protection locked="0"/>
    </xf>
    <xf numFmtId="0" fontId="45" fillId="0" borderId="0" xfId="30" applyFont="1" applyAlignment="1">
      <alignment horizontal="center"/>
    </xf>
    <xf numFmtId="0" fontId="64" fillId="0" borderId="31" xfId="0" applyFont="1" applyBorder="1" applyAlignment="1">
      <alignment horizontal="center"/>
    </xf>
    <xf numFmtId="0" fontId="64" fillId="0" borderId="94" xfId="0" applyFont="1" applyBorder="1" applyAlignment="1">
      <alignment horizontal="center"/>
    </xf>
    <xf numFmtId="0" fontId="64" fillId="0" borderId="33" xfId="0" applyFont="1" applyBorder="1" applyAlignment="1">
      <alignment horizontal="center"/>
    </xf>
    <xf numFmtId="0" fontId="45" fillId="0" borderId="23" xfId="30" applyFont="1" applyBorder="1" applyAlignment="1">
      <alignment horizontal="center"/>
    </xf>
    <xf numFmtId="0" fontId="45" fillId="0" borderId="46" xfId="30" applyFont="1" applyBorder="1" applyAlignment="1">
      <alignment horizontal="center"/>
    </xf>
    <xf numFmtId="0" fontId="45" fillId="0" borderId="24" xfId="30" applyFont="1" applyBorder="1" applyAlignment="1">
      <alignment horizontal="center"/>
    </xf>
    <xf numFmtId="0" fontId="45" fillId="0" borderId="77" xfId="30" applyFont="1" applyBorder="1" applyAlignment="1">
      <alignment horizontal="center" wrapText="1"/>
    </xf>
    <xf numFmtId="0" fontId="45" fillId="0" borderId="53" xfId="30" applyFont="1" applyBorder="1" applyAlignment="1">
      <alignment horizontal="center" wrapText="1"/>
    </xf>
    <xf numFmtId="0" fontId="45" fillId="0" borderId="31" xfId="30" applyFont="1" applyBorder="1" applyAlignment="1">
      <alignment horizontal="center"/>
    </xf>
    <xf numFmtId="0" fontId="45" fillId="0" borderId="94" xfId="30" applyFont="1" applyBorder="1" applyAlignment="1">
      <alignment horizontal="center"/>
    </xf>
    <xf numFmtId="1" fontId="45" fillId="0" borderId="47" xfId="5" applyNumberFormat="1" applyFont="1" applyBorder="1" applyAlignment="1" applyProtection="1">
      <alignment horizontal="center"/>
    </xf>
    <xf numFmtId="1" fontId="45" fillId="0" borderId="48" xfId="5" applyNumberFormat="1" applyFont="1" applyBorder="1" applyAlignment="1" applyProtection="1">
      <alignment horizontal="center"/>
    </xf>
    <xf numFmtId="1" fontId="45" fillId="0" borderId="52" xfId="5" applyNumberFormat="1" applyFont="1" applyBorder="1" applyAlignment="1" applyProtection="1">
      <alignment horizontal="center"/>
    </xf>
    <xf numFmtId="0" fontId="45" fillId="3" borderId="23" xfId="30" applyFont="1" applyFill="1" applyBorder="1" applyAlignment="1">
      <alignment horizontal="center"/>
    </xf>
    <xf numFmtId="0" fontId="45" fillId="3" borderId="46" xfId="30" applyFont="1" applyFill="1" applyBorder="1" applyAlignment="1">
      <alignment horizontal="center"/>
    </xf>
    <xf numFmtId="0" fontId="45" fillId="3" borderId="24" xfId="30" applyFont="1" applyFill="1" applyBorder="1" applyAlignment="1">
      <alignment horizontal="center"/>
    </xf>
    <xf numFmtId="0" fontId="45" fillId="0" borderId="57" xfId="30" applyFont="1" applyBorder="1" applyAlignment="1">
      <alignment horizontal="center" wrapText="1"/>
    </xf>
    <xf numFmtId="0" fontId="45" fillId="0" borderId="54" xfId="30" applyFont="1" applyBorder="1" applyAlignment="1">
      <alignment horizontal="center" wrapText="1"/>
    </xf>
    <xf numFmtId="0" fontId="45" fillId="0" borderId="77" xfId="30" applyFont="1" applyBorder="1" applyAlignment="1">
      <alignment horizontal="center" vertical="top" wrapText="1"/>
    </xf>
    <xf numFmtId="0" fontId="45" fillId="0" borderId="53" xfId="30" applyFont="1" applyBorder="1" applyAlignment="1">
      <alignment horizontal="center" vertical="top" wrapText="1"/>
    </xf>
    <xf numFmtId="0" fontId="45" fillId="0" borderId="95" xfId="30" applyFont="1" applyBorder="1" applyAlignment="1">
      <alignment horizontal="center" wrapText="1"/>
    </xf>
    <xf numFmtId="0" fontId="45" fillId="0" borderId="93" xfId="30" applyFont="1" applyBorder="1" applyAlignment="1">
      <alignment horizontal="center" wrapText="1"/>
    </xf>
    <xf numFmtId="0" fontId="45" fillId="0" borderId="77" xfId="30" applyFont="1" applyBorder="1" applyAlignment="1">
      <alignment horizontal="center"/>
    </xf>
    <xf numFmtId="0" fontId="45" fillId="0" borderId="54" xfId="30" applyFont="1" applyBorder="1" applyAlignment="1">
      <alignment horizontal="center"/>
    </xf>
    <xf numFmtId="0" fontId="29" fillId="0" borderId="0" xfId="0" applyFont="1" applyAlignment="1">
      <alignment horizontal="left" wrapText="1"/>
    </xf>
    <xf numFmtId="170" fontId="4" fillId="0" borderId="0" xfId="0" applyNumberFormat="1" applyFont="1" applyAlignment="1">
      <alignment horizontal="center"/>
    </xf>
    <xf numFmtId="0" fontId="4" fillId="0" borderId="0" xfId="0" applyFont="1" applyAlignment="1">
      <alignment horizontal="left"/>
    </xf>
    <xf numFmtId="0" fontId="4" fillId="0" borderId="0" xfId="0" applyFont="1" applyAlignment="1">
      <alignment horizontal="left" indent="2"/>
    </xf>
    <xf numFmtId="0" fontId="31" fillId="0" borderId="0" xfId="0" applyFont="1" applyAlignment="1">
      <alignment horizontal="left"/>
    </xf>
    <xf numFmtId="0" fontId="4" fillId="0" borderId="1" xfId="0" applyFont="1" applyBorder="1" applyAlignment="1">
      <alignment horizontal="left" indent="3"/>
    </xf>
    <xf numFmtId="0" fontId="71" fillId="13" borderId="6" xfId="0" applyFont="1" applyFill="1" applyBorder="1" applyAlignment="1">
      <alignment horizontal="center"/>
    </xf>
    <xf numFmtId="0" fontId="4" fillId="14" borderId="1" xfId="0" applyFont="1" applyFill="1" applyBorder="1" applyAlignment="1">
      <alignment horizontal="center"/>
    </xf>
    <xf numFmtId="0" fontId="4" fillId="0" borderId="0" xfId="0" applyFont="1" applyAlignment="1">
      <alignment horizontal="center"/>
    </xf>
    <xf numFmtId="3" fontId="4" fillId="0" borderId="0" xfId="0" quotePrefix="1" applyNumberFormat="1" applyFont="1" applyAlignment="1">
      <alignment horizontal="center"/>
    </xf>
    <xf numFmtId="0" fontId="4" fillId="0" borderId="0" xfId="0" applyFont="1" applyAlignment="1">
      <alignment horizontal="right"/>
    </xf>
    <xf numFmtId="0" fontId="31" fillId="0" borderId="0" xfId="0" applyFont="1" applyAlignment="1">
      <alignment horizontal="left" wrapText="1"/>
    </xf>
    <xf numFmtId="0" fontId="75" fillId="0" borderId="0" xfId="0" applyFont="1" applyAlignment="1">
      <alignment horizontal="left" wrapText="1"/>
    </xf>
    <xf numFmtId="0" fontId="29" fillId="0" borderId="0" xfId="0" applyFont="1" applyAlignment="1">
      <alignment horizontal="left"/>
    </xf>
    <xf numFmtId="4" fontId="71" fillId="13" borderId="6" xfId="0" applyNumberFormat="1" applyFont="1" applyFill="1" applyBorder="1" applyAlignment="1">
      <alignment horizontal="center" vertical="center" wrapText="1"/>
    </xf>
    <xf numFmtId="0" fontId="4" fillId="0" borderId="0" xfId="0" applyFont="1" applyAlignment="1">
      <alignment horizontal="left" indent="3"/>
    </xf>
    <xf numFmtId="0" fontId="4" fillId="0" borderId="1" xfId="0" applyFont="1" applyBorder="1" applyAlignment="1">
      <alignment horizontal="center"/>
    </xf>
    <xf numFmtId="0" fontId="4" fillId="0" borderId="1" xfId="0" applyFont="1" applyBorder="1" applyAlignment="1">
      <alignment horizontal="center" wrapText="1"/>
    </xf>
    <xf numFmtId="7" fontId="4" fillId="0" borderId="14" xfId="0" applyNumberFormat="1" applyFont="1" applyBorder="1" applyAlignment="1">
      <alignment horizontal="right"/>
    </xf>
    <xf numFmtId="0" fontId="71" fillId="0" borderId="0" xfId="0" applyFont="1" applyAlignment="1">
      <alignment horizontal="right"/>
    </xf>
    <xf numFmtId="0" fontId="8" fillId="0" borderId="0" xfId="0" applyFont="1" applyAlignment="1">
      <alignment horizontal="center"/>
    </xf>
    <xf numFmtId="0" fontId="4" fillId="0" borderId="0" xfId="0" applyFont="1" applyAlignment="1">
      <alignment horizontal="left" wrapText="1" indent="2"/>
    </xf>
    <xf numFmtId="0" fontId="8" fillId="0" borderId="0" xfId="0" applyFont="1" applyAlignment="1">
      <alignment horizontal="right"/>
    </xf>
    <xf numFmtId="4" fontId="8" fillId="0" borderId="0" xfId="0" applyNumberFormat="1" applyFont="1" applyAlignment="1">
      <alignment horizontal="left"/>
    </xf>
    <xf numFmtId="166" fontId="4" fillId="0" borderId="21" xfId="13" applyFont="1" applyBorder="1" applyAlignment="1">
      <alignment horizontal="right"/>
    </xf>
    <xf numFmtId="166" fontId="4" fillId="0" borderId="0" xfId="13" applyFont="1" applyBorder="1" applyAlignment="1">
      <alignment horizontal="right"/>
    </xf>
    <xf numFmtId="2" fontId="36" fillId="0" borderId="0" xfId="0" applyNumberFormat="1" applyFont="1" applyAlignment="1">
      <alignment horizontal="left" indent="6"/>
    </xf>
    <xf numFmtId="4" fontId="4" fillId="0" borderId="0" xfId="0" quotePrefix="1" applyNumberFormat="1" applyFont="1" applyAlignment="1">
      <alignment horizontal="center"/>
    </xf>
    <xf numFmtId="7" fontId="4" fillId="0" borderId="0" xfId="0" applyNumberFormat="1" applyFont="1" applyAlignment="1">
      <alignment horizontal="right"/>
    </xf>
    <xf numFmtId="0" fontId="71" fillId="0" borderId="1" xfId="0" applyFont="1" applyBorder="1" applyAlignment="1">
      <alignment horizontal="center"/>
    </xf>
    <xf numFmtId="0" fontId="71" fillId="13" borderId="1" xfId="0" applyFont="1" applyFill="1" applyBorder="1" applyAlignment="1">
      <alignment horizontal="center"/>
    </xf>
    <xf numFmtId="4" fontId="71" fillId="13" borderId="6" xfId="0" applyNumberFormat="1" applyFont="1" applyFill="1" applyBorder="1" applyAlignment="1">
      <alignment horizontal="center"/>
    </xf>
    <xf numFmtId="0" fontId="4" fillId="0" borderId="1" xfId="0" applyFont="1" applyBorder="1" applyAlignment="1">
      <alignment horizontal="left" wrapText="1"/>
    </xf>
    <xf numFmtId="4" fontId="8" fillId="0" borderId="0" xfId="0" applyNumberFormat="1" applyFont="1" applyAlignment="1">
      <alignment horizontal="left" indent="1"/>
    </xf>
    <xf numFmtId="0" fontId="4" fillId="0" borderId="0" xfId="0" applyFont="1" applyAlignment="1">
      <alignment horizontal="left" wrapText="1"/>
    </xf>
    <xf numFmtId="167" fontId="73" fillId="0" borderId="1" xfId="0" applyNumberFormat="1" applyFont="1" applyBorder="1" applyAlignment="1">
      <alignment horizontal="left" indent="2"/>
    </xf>
    <xf numFmtId="2" fontId="4" fillId="0" borderId="8" xfId="0" applyNumberFormat="1" applyFont="1" applyBorder="1" applyAlignment="1">
      <alignment horizontal="center"/>
    </xf>
    <xf numFmtId="167" fontId="73" fillId="0" borderId="0" xfId="0" applyNumberFormat="1" applyFont="1" applyAlignment="1">
      <alignment horizontal="left" indent="2"/>
    </xf>
    <xf numFmtId="4" fontId="71" fillId="13" borderId="5" xfId="0" applyNumberFormat="1" applyFont="1" applyFill="1" applyBorder="1" applyAlignment="1">
      <alignment horizontal="center" vertical="center" wrapText="1"/>
    </xf>
    <xf numFmtId="0" fontId="6" fillId="0" borderId="14" xfId="0" applyFont="1" applyBorder="1" applyAlignment="1">
      <alignment horizontal="left" vertical="center" wrapText="1" indent="3"/>
    </xf>
    <xf numFmtId="0" fontId="6" fillId="0" borderId="0" xfId="0" applyFont="1" applyAlignment="1">
      <alignment horizontal="left" vertical="center" wrapText="1" indent="3"/>
    </xf>
    <xf numFmtId="2" fontId="4" fillId="0" borderId="0" xfId="0" applyNumberFormat="1" applyFont="1" applyAlignment="1">
      <alignment horizontal="center"/>
    </xf>
    <xf numFmtId="169" fontId="4" fillId="0" borderId="0" xfId="0" applyNumberFormat="1" applyFont="1" applyAlignment="1">
      <alignment horizontal="center" wrapText="1"/>
    </xf>
    <xf numFmtId="169" fontId="4" fillId="0" borderId="1" xfId="0" applyNumberFormat="1" applyFont="1" applyBorder="1" applyAlignment="1">
      <alignment horizontal="center"/>
    </xf>
    <xf numFmtId="2" fontId="73" fillId="0" borderId="1" xfId="0" applyNumberFormat="1" applyFont="1" applyBorder="1" applyAlignment="1">
      <alignment horizontal="center"/>
    </xf>
    <xf numFmtId="2" fontId="71" fillId="13" borderId="6" xfId="0" applyNumberFormat="1" applyFont="1" applyFill="1" applyBorder="1" applyAlignment="1">
      <alignment horizontal="center"/>
    </xf>
    <xf numFmtId="169" fontId="4" fillId="0" borderId="0" xfId="0" applyNumberFormat="1" applyFont="1" applyAlignment="1">
      <alignment horizontal="center"/>
    </xf>
    <xf numFmtId="0" fontId="15" fillId="0" borderId="21" xfId="0" applyFont="1" applyBorder="1" applyAlignment="1">
      <alignment horizontal="left"/>
    </xf>
    <xf numFmtId="0" fontId="15" fillId="0" borderId="0" xfId="0" applyFont="1" applyAlignment="1">
      <alignment horizontal="left"/>
    </xf>
    <xf numFmtId="4" fontId="4" fillId="0" borderId="0" xfId="0" applyNumberFormat="1" applyFont="1" applyAlignment="1">
      <alignment horizontal="left"/>
    </xf>
    <xf numFmtId="0" fontId="6" fillId="0" borderId="0" xfId="0" applyFont="1" applyAlignment="1">
      <alignment horizontal="left"/>
    </xf>
    <xf numFmtId="170" fontId="6" fillId="0" borderId="0" xfId="0" applyNumberFormat="1" applyFont="1" applyAlignment="1">
      <alignment horizontal="left"/>
    </xf>
    <xf numFmtId="0" fontId="6" fillId="0" borderId="0" xfId="0" applyFont="1" applyAlignment="1">
      <alignment horizontal="center"/>
    </xf>
    <xf numFmtId="4" fontId="4" fillId="0" borderId="0" xfId="0" applyNumberFormat="1" applyFont="1" applyAlignment="1">
      <alignment horizontal="left" indent="2"/>
    </xf>
    <xf numFmtId="7" fontId="6" fillId="0" borderId="0" xfId="0" applyNumberFormat="1" applyFont="1" applyAlignment="1">
      <alignment horizontal="center"/>
    </xf>
    <xf numFmtId="0" fontId="18" fillId="0" borderId="0" xfId="0" applyFont="1" applyAlignment="1">
      <alignment horizontal="center"/>
    </xf>
    <xf numFmtId="4" fontId="15" fillId="0" borderId="0" xfId="0" applyNumberFormat="1" applyFont="1" applyAlignment="1">
      <alignment horizontal="left"/>
    </xf>
    <xf numFmtId="169" fontId="4" fillId="0" borderId="1" xfId="0" applyNumberFormat="1" applyFont="1" applyBorder="1" applyAlignment="1">
      <alignment horizontal="center" wrapText="1"/>
    </xf>
    <xf numFmtId="169"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9" fillId="0" borderId="1" xfId="0" applyFont="1" applyBorder="1" applyAlignment="1">
      <alignment horizontal="center" wrapText="1"/>
    </xf>
    <xf numFmtId="0" fontId="9" fillId="0" borderId="1" xfId="0" quotePrefix="1" applyFont="1" applyBorder="1" applyAlignment="1">
      <alignment horizontal="center"/>
    </xf>
    <xf numFmtId="169" fontId="4" fillId="0" borderId="14" xfId="0" applyNumberFormat="1" applyFont="1" applyBorder="1" applyAlignment="1">
      <alignment horizontal="center"/>
    </xf>
    <xf numFmtId="0" fontId="4" fillId="0" borderId="14" xfId="0" applyFont="1" applyBorder="1" applyAlignment="1">
      <alignment horizontal="left" indent="3"/>
    </xf>
    <xf numFmtId="0" fontId="4" fillId="0" borderId="1" xfId="0" applyFont="1" applyBorder="1" applyAlignment="1">
      <alignment horizontal="left"/>
    </xf>
    <xf numFmtId="2" fontId="71" fillId="0" borderId="1" xfId="0" applyNumberFormat="1" applyFont="1" applyBorder="1" applyAlignment="1">
      <alignment horizontal="center" wrapText="1"/>
    </xf>
    <xf numFmtId="2" fontId="71" fillId="0" borderId="1" xfId="0" applyNumberFormat="1" applyFont="1" applyBorder="1" applyAlignment="1">
      <alignment horizontal="center"/>
    </xf>
    <xf numFmtId="0" fontId="4" fillId="0" borderId="14" xfId="0" applyFont="1" applyBorder="1" applyAlignment="1">
      <alignment horizontal="right"/>
    </xf>
    <xf numFmtId="4" fontId="71" fillId="13" borderId="6" xfId="0" applyNumberFormat="1" applyFont="1" applyFill="1" applyBorder="1" applyAlignment="1">
      <alignment horizontal="center" wrapText="1"/>
    </xf>
    <xf numFmtId="4" fontId="71" fillId="13" borderId="1" xfId="0" applyNumberFormat="1" applyFont="1" applyFill="1" applyBorder="1" applyAlignment="1">
      <alignment horizontal="center" vertical="center" wrapText="1"/>
    </xf>
    <xf numFmtId="2" fontId="9" fillId="0" borderId="1" xfId="0" applyNumberFormat="1" applyFont="1" applyBorder="1" applyAlignment="1">
      <alignment horizontal="center"/>
    </xf>
    <xf numFmtId="0" fontId="4" fillId="0" borderId="0" xfId="0" applyFont="1" applyAlignment="1">
      <alignment horizontal="left" wrapText="1" indent="3"/>
    </xf>
    <xf numFmtId="37" fontId="20" fillId="0" borderId="0" xfId="0" applyNumberFormat="1" applyFont="1" applyAlignment="1">
      <alignment horizontal="center"/>
    </xf>
    <xf numFmtId="37" fontId="20" fillId="0" borderId="0" xfId="0" applyNumberFormat="1" applyFont="1" applyAlignment="1">
      <alignment horizontal="center" wrapText="1"/>
    </xf>
    <xf numFmtId="0" fontId="0" fillId="0" borderId="1" xfId="0" applyBorder="1" applyAlignment="1">
      <alignment horizontal="center" vertical="center"/>
    </xf>
    <xf numFmtId="0" fontId="0" fillId="0" borderId="17" xfId="0" applyBorder="1"/>
    <xf numFmtId="0" fontId="0" fillId="0" borderId="15" xfId="0" applyBorder="1"/>
    <xf numFmtId="0" fontId="0" fillId="0" borderId="16" xfId="0" applyBorder="1"/>
    <xf numFmtId="0" fontId="0" fillId="0" borderId="11" xfId="0" applyBorder="1"/>
    <xf numFmtId="0" fontId="0" fillId="0" borderId="4" xfId="0" applyBorder="1"/>
    <xf numFmtId="0" fontId="0" fillId="0" borderId="12" xfId="0" applyBorder="1"/>
    <xf numFmtId="0" fontId="0" fillId="0" borderId="13" xfId="0" applyBorder="1" applyAlignment="1">
      <alignment horizontal="center" wrapText="1"/>
    </xf>
    <xf numFmtId="0" fontId="0" fillId="0" borderId="2" xfId="0" applyBorder="1" applyAlignment="1">
      <alignment horizontal="center"/>
    </xf>
    <xf numFmtId="0" fontId="0" fillId="0" borderId="18" xfId="0"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3" xfId="0" applyBorder="1" applyAlignment="1">
      <alignment horizontal="center"/>
    </xf>
    <xf numFmtId="0" fontId="0" fillId="0" borderId="13" xfId="0"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3" fillId="0" borderId="0" xfId="28" applyAlignment="1">
      <alignment horizontal="center"/>
    </xf>
    <xf numFmtId="0" fontId="3" fillId="0" borderId="0" xfId="28" applyAlignment="1">
      <alignment horizontal="center" vertical="top"/>
    </xf>
    <xf numFmtId="0" fontId="3" fillId="0" borderId="18" xfId="28" applyBorder="1" applyAlignment="1">
      <alignment horizontal="center"/>
    </xf>
    <xf numFmtId="0" fontId="3" fillId="0" borderId="6" xfId="28" applyBorder="1" applyAlignment="1">
      <alignment horizontal="center"/>
    </xf>
    <xf numFmtId="0" fontId="3" fillId="0" borderId="20" xfId="28" applyBorder="1" applyAlignment="1">
      <alignment horizontal="center"/>
    </xf>
    <xf numFmtId="0" fontId="71" fillId="12" borderId="1" xfId="0" applyFont="1" applyFill="1" applyBorder="1" applyAlignment="1">
      <alignment horizontal="center"/>
    </xf>
    <xf numFmtId="0" fontId="71" fillId="12" borderId="6" xfId="0" applyFont="1" applyFill="1" applyBorder="1" applyAlignment="1">
      <alignment horizontal="center"/>
    </xf>
    <xf numFmtId="170" fontId="16" fillId="0" borderId="0" xfId="0" applyNumberFormat="1" applyFont="1" applyAlignment="1">
      <alignment horizontal="center"/>
    </xf>
    <xf numFmtId="4" fontId="4" fillId="0" borderId="0" xfId="0" quotePrefix="1" applyNumberFormat="1" applyFont="1" applyAlignment="1">
      <alignment horizontal="left" indent="2"/>
    </xf>
    <xf numFmtId="4" fontId="71" fillId="12" borderId="1" xfId="0" applyNumberFormat="1" applyFont="1" applyFill="1" applyBorder="1" applyAlignment="1">
      <alignment horizontal="center" vertical="center" wrapText="1"/>
    </xf>
    <xf numFmtId="4" fontId="71" fillId="12" borderId="6" xfId="0" applyNumberFormat="1" applyFont="1" applyFill="1" applyBorder="1" applyAlignment="1">
      <alignment horizontal="center" vertical="center" wrapText="1"/>
    </xf>
    <xf numFmtId="4" fontId="71" fillId="12" borderId="5" xfId="0" applyNumberFormat="1" applyFont="1" applyFill="1" applyBorder="1" applyAlignment="1">
      <alignment horizontal="center" vertical="center" wrapText="1"/>
    </xf>
    <xf numFmtId="0" fontId="6" fillId="0" borderId="0" xfId="0" applyFont="1" applyAlignment="1">
      <alignment horizontal="left" vertical="center" wrapText="1" indent="6"/>
    </xf>
    <xf numFmtId="0" fontId="4" fillId="0" borderId="0" xfId="0" applyFont="1" applyAlignment="1">
      <alignment horizontal="left" indent="6"/>
    </xf>
    <xf numFmtId="169" fontId="4" fillId="0" borderId="0" xfId="0" applyNumberFormat="1" applyFont="1" applyAlignment="1">
      <alignment horizontal="left"/>
    </xf>
    <xf numFmtId="3" fontId="4" fillId="0" borderId="0" xfId="0" quotePrefix="1" applyNumberFormat="1" applyFont="1" applyAlignment="1">
      <alignment horizontal="left" indent="2"/>
    </xf>
    <xf numFmtId="0" fontId="4" fillId="0" borderId="1" xfId="0" applyFont="1" applyBorder="1" applyAlignment="1">
      <alignment horizontal="left" indent="6"/>
    </xf>
    <xf numFmtId="0" fontId="71" fillId="12" borderId="6" xfId="0" applyFont="1" applyFill="1" applyBorder="1" applyAlignment="1">
      <alignment horizontal="center" wrapText="1"/>
    </xf>
    <xf numFmtId="2" fontId="71" fillId="12" borderId="6" xfId="0" applyNumberFormat="1" applyFont="1" applyFill="1" applyBorder="1" applyAlignment="1">
      <alignment horizontal="center"/>
    </xf>
    <xf numFmtId="0" fontId="17" fillId="0" borderId="21" xfId="0" applyFont="1" applyBorder="1" applyAlignment="1">
      <alignment horizontal="left"/>
    </xf>
    <xf numFmtId="0" fontId="17" fillId="0" borderId="0" xfId="0" applyFont="1" applyAlignment="1">
      <alignment horizontal="left"/>
    </xf>
    <xf numFmtId="7" fontId="0" fillId="0" borderId="0" xfId="0" applyNumberFormat="1" applyAlignment="1">
      <alignment horizontal="center"/>
    </xf>
    <xf numFmtId="0" fontId="29" fillId="0" borderId="0" xfId="0" applyFont="1" applyAlignment="1">
      <alignment horizontal="left" vertical="top" wrapText="1"/>
    </xf>
    <xf numFmtId="3" fontId="4" fillId="0" borderId="6" xfId="0" applyNumberFormat="1" applyFont="1" applyBorder="1" applyAlignment="1">
      <alignment horizontal="right"/>
    </xf>
    <xf numFmtId="0" fontId="31" fillId="0" borderId="0" xfId="0" applyFont="1" applyAlignment="1">
      <alignment horizontal="left" vertical="top" wrapText="1"/>
    </xf>
    <xf numFmtId="0" fontId="31" fillId="0" borderId="0" xfId="0" applyFont="1" applyAlignment="1">
      <alignment horizontal="left" vertical="top"/>
    </xf>
    <xf numFmtId="0" fontId="39" fillId="0" borderId="0" xfId="0" applyFont="1" applyAlignment="1">
      <alignment horizontal="right"/>
    </xf>
    <xf numFmtId="3" fontId="4" fillId="0" borderId="1" xfId="0" applyNumberFormat="1" applyFont="1" applyBorder="1" applyAlignment="1">
      <alignment horizontal="right"/>
    </xf>
    <xf numFmtId="38" fontId="4" fillId="0" borderId="6" xfId="0" applyNumberFormat="1" applyFont="1" applyBorder="1" applyAlignment="1">
      <alignment horizontal="right"/>
    </xf>
    <xf numFmtId="4" fontId="8" fillId="0" borderId="0" xfId="0" applyNumberFormat="1" applyFont="1" applyAlignment="1">
      <alignment horizontal="left" indent="2"/>
    </xf>
    <xf numFmtId="167" fontId="4" fillId="0" borderId="0" xfId="0" applyNumberFormat="1" applyFont="1" applyAlignment="1">
      <alignment horizontal="left" indent="2"/>
    </xf>
    <xf numFmtId="3" fontId="4" fillId="0" borderId="0" xfId="0" applyNumberFormat="1" applyFont="1" applyAlignment="1">
      <alignment horizontal="left"/>
    </xf>
    <xf numFmtId="0" fontId="34" fillId="0" borderId="0" xfId="0" applyFont="1" applyAlignment="1">
      <alignment horizontal="left" indent="6"/>
    </xf>
    <xf numFmtId="0" fontId="12" fillId="0" borderId="0" xfId="0" applyFont="1" applyAlignment="1">
      <alignment horizontal="left"/>
    </xf>
    <xf numFmtId="0" fontId="32" fillId="0" borderId="0" xfId="0" applyFont="1" applyAlignment="1">
      <alignment horizontal="left"/>
    </xf>
    <xf numFmtId="0" fontId="13" fillId="0" borderId="0" xfId="0" applyFont="1" applyAlignment="1">
      <alignment horizontal="center"/>
    </xf>
    <xf numFmtId="171" fontId="4" fillId="0" borderId="0" xfId="26" applyNumberFormat="1" applyFont="1" applyBorder="1" applyAlignment="1">
      <alignment horizontal="left" indent="4"/>
    </xf>
    <xf numFmtId="0" fontId="4" fillId="0" borderId="0" xfId="0" applyFont="1" applyAlignment="1">
      <alignment horizontal="left" indent="16"/>
    </xf>
    <xf numFmtId="0" fontId="33" fillId="0" borderId="0" xfId="0" applyFont="1" applyAlignment="1">
      <alignment horizontal="center"/>
    </xf>
    <xf numFmtId="4" fontId="4" fillId="0" borderId="0" xfId="0" quotePrefix="1" applyNumberFormat="1" applyFont="1" applyAlignment="1">
      <alignment horizontal="left" indent="7"/>
    </xf>
    <xf numFmtId="2" fontId="4" fillId="0" borderId="34" xfId="0" applyNumberFormat="1" applyFont="1" applyBorder="1" applyAlignment="1">
      <alignment horizontal="center"/>
    </xf>
    <xf numFmtId="2" fontId="9" fillId="0" borderId="6" xfId="0" applyNumberFormat="1" applyFont="1" applyBorder="1" applyAlignment="1">
      <alignment horizontal="center"/>
    </xf>
    <xf numFmtId="4" fontId="39" fillId="0" borderId="6" xfId="0" applyNumberFormat="1" applyFont="1" applyBorder="1" applyAlignment="1">
      <alignment horizontal="center" vertical="center" wrapText="1"/>
    </xf>
    <xf numFmtId="4" fontId="39" fillId="0" borderId="5" xfId="0" applyNumberFormat="1" applyFont="1" applyBorder="1" applyAlignment="1">
      <alignment horizontal="center" vertical="center" wrapText="1"/>
    </xf>
    <xf numFmtId="2" fontId="39" fillId="0" borderId="6" xfId="0" applyNumberFormat="1" applyFont="1" applyBorder="1" applyAlignment="1">
      <alignment horizontal="center"/>
    </xf>
    <xf numFmtId="2" fontId="39" fillId="0" borderId="5" xfId="0" applyNumberFormat="1" applyFont="1" applyBorder="1" applyAlignment="1">
      <alignment horizontal="center"/>
    </xf>
    <xf numFmtId="0" fontId="4" fillId="0" borderId="1" xfId="0" quotePrefix="1" applyFont="1" applyBorder="1" applyAlignment="1">
      <alignment horizontal="left" indent="2"/>
    </xf>
    <xf numFmtId="0" fontId="9" fillId="0" borderId="0" xfId="0" applyFont="1" applyAlignment="1">
      <alignment horizontal="center" wrapText="1"/>
    </xf>
  </cellXfs>
  <cellStyles count="52">
    <cellStyle name="Comma" xfId="1" builtinId="3"/>
    <cellStyle name="Comma 10" xfId="2"/>
    <cellStyle name="Comma 10 2" xfId="51"/>
    <cellStyle name="Comma 2" xfId="3"/>
    <cellStyle name="Comma 2 2" xfId="4"/>
    <cellStyle name="Comma 2 2 2" xfId="5"/>
    <cellStyle name="Comma 2 2 2 2" xfId="50"/>
    <cellStyle name="Comma 3" xfId="6"/>
    <cellStyle name="Comma 3 2" xfId="7"/>
    <cellStyle name="Comma 3 2 2" xfId="8"/>
    <cellStyle name="Comma 4" xfId="9"/>
    <cellStyle name="Comma 4 2" xfId="10"/>
    <cellStyle name="Comma 5" xfId="11"/>
    <cellStyle name="Comma 6" xfId="12"/>
    <cellStyle name="Comma_charter school revenue frame" xfId="13"/>
    <cellStyle name="Currency 2" xfId="14"/>
    <cellStyle name="Currency 2 2" xfId="15"/>
    <cellStyle name="Currency 3" xfId="16"/>
    <cellStyle name="Currency 3 2" xfId="17"/>
    <cellStyle name="Currency 3 3" xfId="18"/>
    <cellStyle name="Currency 3 4" xfId="19"/>
    <cellStyle name="Currency 4" xfId="20"/>
    <cellStyle name="Currency 4 2" xfId="21"/>
    <cellStyle name="Currency 4 2 2" xfId="22"/>
    <cellStyle name="Currency 5" xfId="23"/>
    <cellStyle name="Currency 5 2" xfId="24"/>
    <cellStyle name="Currency 6" xfId="25"/>
    <cellStyle name="Currency 7 2" xfId="47"/>
    <cellStyle name="Currency_charter school revenue frame" xfId="26"/>
    <cellStyle name="FRxAmtStyle" xfId="27"/>
    <cellStyle name="Normal" xfId="0" builtinId="0"/>
    <cellStyle name="Normal 2" xfId="28"/>
    <cellStyle name="Normal 2 2" xfId="29"/>
    <cellStyle name="Normal 2 2 2" xfId="30"/>
    <cellStyle name="Normal 3 2" xfId="31"/>
    <cellStyle name="Normal 3 2 2" xfId="48"/>
    <cellStyle name="Normal 3 3" xfId="32"/>
    <cellStyle name="Normal 4" xfId="33"/>
    <cellStyle name="Normal 4 2" xfId="49"/>
    <cellStyle name="Normal_LOL.REDBOOK.TRENDREPORT" xfId="34"/>
    <cellStyle name="Normal_Weston FY 02 Budget Wks" xfId="35"/>
    <cellStyle name="Percent" xfId="36" builtinId="5"/>
    <cellStyle name="Percent 2" xfId="37"/>
    <cellStyle name="Percent 2 2" xfId="38"/>
    <cellStyle name="Percent 2 3" xfId="39"/>
    <cellStyle name="Percent 3" xfId="40"/>
    <cellStyle name="Percent 3 2" xfId="41"/>
    <cellStyle name="Percent 3 2 2" xfId="42"/>
    <cellStyle name="Percent 4" xfId="43"/>
    <cellStyle name="Percent 4 2" xfId="44"/>
    <cellStyle name="Percent 5" xfId="45"/>
    <cellStyle name="Percent 6" xfId="4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color rgb="FF9999FF"/>
      <color rgb="FFFFFFFF"/>
      <color rgb="FFCCFF99"/>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thy%20Helean/AppData/Local/Microsoft/Windows/Temporary%20Internet%20Files/Content.Outlook/2OPL9D46/FY16%20Preliminary%20NP%20Budget0401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thy%20Helean/AppData/Local/Microsoft/Windows/Temporary%20Internet%20Files/Content.Outlook/2OPL9D46/Copy%20of%20NPT%20FY15%20Revised%20Budget%203-17-15%20(Full%20Version)(Approv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counting/CCS/Kissimmee/Kissimmee%20FY%202001%20Budget%20EMO%20Contra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y%20Drive\CMM\CMM\Schools\LOL\LOL%20Financial%20Analysis%20through%20Oct%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y%20Drive\CMM\CMM\Schools\LOL\Bldg%20purchase%20and%20bond\Annual%20Operating%20Template%20for%20Imagine%20School%20at%20Land%20O%20Lakes,%20FL%20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hristine/Downloads/2223CSREW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 FB"/>
      <sheetName val="Narrative"/>
      <sheetName val="Cash Flow Startup"/>
      <sheetName val="Cash Flow 1"/>
      <sheetName val="Cash Flow 2"/>
      <sheetName val="Cash Flow 3"/>
      <sheetName val="Cash Flow 4"/>
      <sheetName val="Cash Flow 5"/>
      <sheetName val="Staffing"/>
      <sheetName val="Enroll"/>
      <sheetName val="Misc"/>
      <sheetName val="Food Svc"/>
      <sheetName val="Computers"/>
      <sheetName val="PIVOT (COU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CY) (DISTRIBUTION)"/>
      <sheetName val="Salary Lookup"/>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
      <sheetName val="Annual Budget"/>
      <sheetName val="Monthly Budget"/>
      <sheetName val="Master Salary List"/>
      <sheetName val="All charter school calculator"/>
      <sheetName val=" Detail 2014-15 Third FEFP"/>
      <sheetName val="111-112-113 ADDITIONAL FUND (2"/>
      <sheetName val="Transportation Per Student (2)"/>
      <sheetName val="75% or more ESE calculation (2"/>
      <sheetName val=" Detail 2014-15 Conf FEFP"/>
      <sheetName val="111-112-113 ADDITIONAL FUND"/>
      <sheetName val="Transportation Per Student"/>
      <sheetName val="75% or more ES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
      <sheetName val="Annual Budget"/>
      <sheetName val="Monthly Budget"/>
      <sheetName val="Master Salary List"/>
      <sheetName val="All charter school calculator"/>
      <sheetName val=" Detail 2014-15 Third FEFP"/>
      <sheetName val="111-112-113 ADDITIONAL FUND (2"/>
      <sheetName val="Transportation Per Student (2)"/>
      <sheetName val="75% or more ESE calculation (2"/>
      <sheetName val=" Detail 2014-15 Conf FEFP"/>
      <sheetName val="111-112-113 ADDITIONAL FUND"/>
      <sheetName val="Transportation Per Student"/>
      <sheetName val="75% or more ESE calculation"/>
    </sheetNames>
    <sheetDataSet>
      <sheetData sheetId="0">
        <row r="24">
          <cell r="B24">
            <v>36225</v>
          </cell>
        </row>
      </sheetData>
      <sheetData sheetId="1" refreshError="1"/>
      <sheetData sheetId="2">
        <row r="34">
          <cell r="Q34">
            <v>2406720.33</v>
          </cell>
        </row>
      </sheetData>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
      <sheetName val="Monthly Assumptions"/>
      <sheetName val="Monthly School Back-up"/>
      <sheetName val="Monthly Facilities-lease"/>
      <sheetName val="Facil Use Fee"/>
      <sheetName val="Monthly Cash Flow"/>
      <sheetName val="FY 01 Budget"/>
      <sheetName val="Orig Rev Calc"/>
      <sheetName val="Revised Rev Calc"/>
      <sheetName val="SAI High"/>
      <sheetName val="SAI Elem"/>
      <sheetName val="Comp Sch"/>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
      <sheetName val="Annual Budget"/>
      <sheetName val="Board Format"/>
      <sheetName val="Monthly Budget"/>
      <sheetName val="All charter school calculator"/>
      <sheetName val="Master Salary List"/>
      <sheetName val="Trend Report"/>
      <sheetName val="Monthly compared to prior month"/>
      <sheetName val=" Detail 2019-20 2nd FEFP"/>
      <sheetName val="111-112-113 ADDITIONAL FUND (2"/>
      <sheetName val="Transportation Per Student (2)"/>
      <sheetName val="75% or more ESE calculation (2"/>
      <sheetName val=" Detail 2014-15 Conf FEFP"/>
      <sheetName val="111-112-113 ADDITIONAL FUND"/>
      <sheetName val="Transportation Per Student"/>
      <sheetName val="75% or more ESE calculation"/>
    </sheetNames>
    <sheetDataSet>
      <sheetData sheetId="0"/>
      <sheetData sheetId="1"/>
      <sheetData sheetId="2">
        <row r="8">
          <cell r="C8">
            <v>6218925.9176201373</v>
          </cell>
        </row>
        <row r="9">
          <cell r="C9">
            <v>0</v>
          </cell>
        </row>
        <row r="10">
          <cell r="C10">
            <v>462063.05760368664</v>
          </cell>
        </row>
        <row r="11">
          <cell r="C11">
            <v>414571.64</v>
          </cell>
        </row>
        <row r="12">
          <cell r="C12">
            <v>7095560.615223824</v>
          </cell>
        </row>
        <row r="13">
          <cell r="C13"/>
        </row>
        <row r="14">
          <cell r="C14"/>
        </row>
        <row r="15">
          <cell r="C15">
            <v>0</v>
          </cell>
        </row>
        <row r="16">
          <cell r="C16">
            <v>106120</v>
          </cell>
        </row>
        <row r="17">
          <cell r="C17">
            <v>119509</v>
          </cell>
        </row>
        <row r="18">
          <cell r="C18">
            <v>7823.25</v>
          </cell>
        </row>
        <row r="19">
          <cell r="C19">
            <v>11945</v>
          </cell>
        </row>
        <row r="20">
          <cell r="C20">
            <v>101233.62000000001</v>
          </cell>
        </row>
        <row r="21">
          <cell r="C21">
            <v>346630.87</v>
          </cell>
        </row>
        <row r="22">
          <cell r="C22"/>
        </row>
        <row r="23">
          <cell r="C23">
            <v>0</v>
          </cell>
        </row>
        <row r="24">
          <cell r="C24"/>
        </row>
        <row r="25">
          <cell r="C25">
            <v>7442191.4852238242</v>
          </cell>
        </row>
        <row r="26">
          <cell r="C26"/>
        </row>
        <row r="27">
          <cell r="C27"/>
        </row>
        <row r="28">
          <cell r="C28">
            <v>4290053.6831259532</v>
          </cell>
        </row>
        <row r="29">
          <cell r="C29">
            <v>4290053.6831259532</v>
          </cell>
        </row>
        <row r="30">
          <cell r="C30"/>
        </row>
        <row r="31">
          <cell r="C31"/>
        </row>
        <row r="32">
          <cell r="C32">
            <v>4420.7600000000057</v>
          </cell>
        </row>
        <row r="33">
          <cell r="C33">
            <v>4420.7600000000057</v>
          </cell>
        </row>
        <row r="34">
          <cell r="C34"/>
        </row>
        <row r="35">
          <cell r="C35"/>
        </row>
        <row r="36">
          <cell r="C36">
            <v>18736.379999999997</v>
          </cell>
        </row>
        <row r="37">
          <cell r="C37">
            <v>18736.379999999997</v>
          </cell>
        </row>
        <row r="38">
          <cell r="C38"/>
        </row>
        <row r="39">
          <cell r="C39"/>
        </row>
        <row r="40">
          <cell r="C40">
            <v>55087.46</v>
          </cell>
        </row>
        <row r="41">
          <cell r="C41">
            <v>51204.43</v>
          </cell>
        </row>
        <row r="42">
          <cell r="C42">
            <v>0</v>
          </cell>
        </row>
        <row r="43">
          <cell r="C43">
            <v>12551.66</v>
          </cell>
        </row>
        <row r="44">
          <cell r="C44">
            <v>1474.7900000000002</v>
          </cell>
        </row>
        <row r="45">
          <cell r="C45">
            <v>27205.440000000002</v>
          </cell>
        </row>
        <row r="46">
          <cell r="C46">
            <v>31766.550000000025</v>
          </cell>
        </row>
        <row r="47">
          <cell r="C47">
            <v>179290.33000000002</v>
          </cell>
        </row>
        <row r="48">
          <cell r="C48">
            <v>0</v>
          </cell>
        </row>
        <row r="49">
          <cell r="C49"/>
        </row>
        <row r="50">
          <cell r="C50">
            <v>208078.13999999998</v>
          </cell>
        </row>
        <row r="51">
          <cell r="C51">
            <v>208078.13999999998</v>
          </cell>
        </row>
        <row r="52">
          <cell r="C52"/>
        </row>
        <row r="53">
          <cell r="C53"/>
        </row>
        <row r="54">
          <cell r="C54">
            <v>813878.39702685887</v>
          </cell>
        </row>
        <row r="55">
          <cell r="C55">
            <v>813878.39702685887</v>
          </cell>
        </row>
        <row r="56">
          <cell r="C56"/>
        </row>
        <row r="57">
          <cell r="C57"/>
        </row>
        <row r="58">
          <cell r="C58">
            <v>4422.79</v>
          </cell>
        </row>
        <row r="59">
          <cell r="C59"/>
        </row>
        <row r="60">
          <cell r="C60"/>
        </row>
        <row r="61">
          <cell r="C61">
            <v>768496.91999999993</v>
          </cell>
        </row>
        <row r="62">
          <cell r="C62">
            <v>513255.48</v>
          </cell>
        </row>
        <row r="63">
          <cell r="C63">
            <v>184868.69</v>
          </cell>
        </row>
        <row r="64">
          <cell r="C64">
            <v>9700</v>
          </cell>
        </row>
        <row r="65">
          <cell r="C65">
            <v>80979.039999999979</v>
          </cell>
        </row>
        <row r="66">
          <cell r="C66">
            <v>1557300.13</v>
          </cell>
        </row>
        <row r="67">
          <cell r="C67"/>
        </row>
        <row r="68">
          <cell r="C68"/>
        </row>
        <row r="69">
          <cell r="C69">
            <v>5408.26</v>
          </cell>
        </row>
        <row r="70">
          <cell r="C70">
            <v>7666</v>
          </cell>
        </row>
        <row r="71">
          <cell r="C71">
            <v>60381.87</v>
          </cell>
        </row>
        <row r="72">
          <cell r="C72">
            <v>31874.85</v>
          </cell>
        </row>
        <row r="73">
          <cell r="C73">
            <v>235278.63</v>
          </cell>
        </row>
        <row r="74">
          <cell r="C74">
            <v>340609.61</v>
          </cell>
        </row>
        <row r="75">
          <cell r="C75"/>
        </row>
        <row r="76">
          <cell r="C76">
            <v>7416790.2201528111</v>
          </cell>
        </row>
        <row r="77">
          <cell r="C77"/>
        </row>
        <row r="78">
          <cell r="C78"/>
        </row>
        <row r="79">
          <cell r="C79"/>
        </row>
        <row r="80">
          <cell r="C80">
            <v>25401.265071013011</v>
          </cell>
        </row>
        <row r="81">
          <cell r="C81"/>
        </row>
        <row r="82">
          <cell r="C82">
            <v>1040562</v>
          </cell>
        </row>
        <row r="83">
          <cell r="C83"/>
        </row>
        <row r="84">
          <cell r="C84">
            <v>513255.48</v>
          </cell>
        </row>
        <row r="85">
          <cell r="C85">
            <v>0</v>
          </cell>
        </row>
        <row r="86">
          <cell r="C86">
            <v>-297646.96000000008</v>
          </cell>
        </row>
        <row r="87">
          <cell r="C87"/>
        </row>
        <row r="88">
          <cell r="C88">
            <v>241009.78507101291</v>
          </cell>
        </row>
        <row r="89">
          <cell r="C89"/>
        </row>
        <row r="90">
          <cell r="C90">
            <v>1281571.785071013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Report"/>
    </sheetNames>
    <sheetDataSet>
      <sheetData sheetId="0">
        <row r="30">
          <cell r="D30">
            <v>1035705.2264808362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22-23 FEFP Third"/>
      <sheetName val="111-112-113 ADDITIONAL FUND"/>
      <sheetName val="Transportation Per Student"/>
      <sheetName val="75% or more ESE Calc"/>
    </sheetNames>
    <sheetDataSet>
      <sheetData sheetId="0">
        <row r="1">
          <cell r="A1">
            <v>51</v>
          </cell>
        </row>
        <row r="4">
          <cell r="C4" t="str">
            <v>Pasco</v>
          </cell>
        </row>
        <row r="6">
          <cell r="C6">
            <v>4587.3999999999996</v>
          </cell>
          <cell r="G6">
            <v>0.98129999999999995</v>
          </cell>
        </row>
        <row r="7">
          <cell r="H7" t="str">
            <v>2022-23</v>
          </cell>
        </row>
        <row r="40">
          <cell r="G40">
            <v>974</v>
          </cell>
        </row>
        <row r="41">
          <cell r="G41">
            <v>3145</v>
          </cell>
        </row>
        <row r="42">
          <cell r="G42">
            <v>6418</v>
          </cell>
        </row>
        <row r="43">
          <cell r="G43">
            <v>1092</v>
          </cell>
        </row>
        <row r="44">
          <cell r="G44">
            <v>3263</v>
          </cell>
        </row>
        <row r="45">
          <cell r="G45">
            <v>6536</v>
          </cell>
        </row>
        <row r="46">
          <cell r="G46">
            <v>777</v>
          </cell>
        </row>
        <row r="47">
          <cell r="G47">
            <v>2948</v>
          </cell>
        </row>
        <row r="48">
          <cell r="G48">
            <v>6221</v>
          </cell>
        </row>
        <row r="51">
          <cell r="G51">
            <v>85045.62</v>
          </cell>
        </row>
        <row r="54">
          <cell r="G54">
            <v>93972.22</v>
          </cell>
        </row>
        <row r="56">
          <cell r="E56">
            <v>21867547</v>
          </cell>
        </row>
        <row r="58">
          <cell r="E58">
            <v>27840534</v>
          </cell>
        </row>
        <row r="59">
          <cell r="E59">
            <v>5121702</v>
          </cell>
        </row>
        <row r="60">
          <cell r="E60">
            <v>7022395</v>
          </cell>
        </row>
        <row r="64">
          <cell r="E64">
            <v>3891756</v>
          </cell>
        </row>
        <row r="65">
          <cell r="E65">
            <v>1796984</v>
          </cell>
        </row>
        <row r="66">
          <cell r="E66">
            <v>0</v>
          </cell>
        </row>
        <row r="67">
          <cell r="E67">
            <v>4663210</v>
          </cell>
        </row>
        <row r="68">
          <cell r="E68">
            <v>33490989</v>
          </cell>
        </row>
        <row r="73">
          <cell r="E73">
            <v>0</v>
          </cell>
        </row>
        <row r="86">
          <cell r="E86">
            <v>0</v>
          </cell>
        </row>
      </sheetData>
      <sheetData sheetId="1">
        <row r="1">
          <cell r="A1" t="str">
            <v>Charter School Worksheet DATA</v>
          </cell>
        </row>
        <row r="2">
          <cell r="B2" t="str">
            <v>District</v>
          </cell>
          <cell r="C2" t="str">
            <v>District Cost Differential</v>
          </cell>
          <cell r="F2" t="str">
            <v>Sparsity Supplement</v>
          </cell>
          <cell r="P2" t="str">
            <v>Total Disc.</v>
          </cell>
          <cell r="Q2" t="str">
            <v>Total Proration to Funds Available</v>
          </cell>
          <cell r="W2" t="str">
            <v>Total Funds Compression and Hold Harmless Allocation</v>
          </cell>
          <cell r="Y2" t="str">
            <v>Exempt Property Allocation Per Military and Indian Land Student</v>
          </cell>
        </row>
        <row r="3">
          <cell r="A3">
            <v>1</v>
          </cell>
          <cell r="B3" t="str">
            <v>Alachua</v>
          </cell>
          <cell r="C3">
            <v>0.97960000000000003</v>
          </cell>
          <cell r="F3">
            <v>0</v>
          </cell>
          <cell r="P3">
            <v>16275457</v>
          </cell>
          <cell r="Q3">
            <v>0</v>
          </cell>
          <cell r="W3">
            <v>2026772</v>
          </cell>
          <cell r="Y3">
            <v>0</v>
          </cell>
          <cell r="AE3">
            <v>957.94</v>
          </cell>
          <cell r="AF3">
            <v>914.63</v>
          </cell>
          <cell r="AG3">
            <v>916.84</v>
          </cell>
          <cell r="AO3">
            <v>138</v>
          </cell>
          <cell r="AP3">
            <v>482</v>
          </cell>
        </row>
        <row r="4">
          <cell r="A4">
            <v>2</v>
          </cell>
          <cell r="B4" t="str">
            <v>Baker</v>
          </cell>
          <cell r="C4">
            <v>0.96060000000000001</v>
          </cell>
          <cell r="F4">
            <v>844716</v>
          </cell>
          <cell r="P4">
            <v>1049859</v>
          </cell>
          <cell r="Q4">
            <v>0</v>
          </cell>
          <cell r="W4">
            <v>280324</v>
          </cell>
          <cell r="Y4">
            <v>0</v>
          </cell>
        </row>
        <row r="5">
          <cell r="A5">
            <v>3</v>
          </cell>
          <cell r="B5" t="str">
            <v>Bay</v>
          </cell>
          <cell r="C5">
            <v>0.96870000000000001</v>
          </cell>
          <cell r="F5">
            <v>2688796</v>
          </cell>
          <cell r="P5">
            <v>18298932</v>
          </cell>
          <cell r="Q5">
            <v>0</v>
          </cell>
          <cell r="W5">
            <v>14216</v>
          </cell>
          <cell r="Y5">
            <v>485.04</v>
          </cell>
        </row>
        <row r="6">
          <cell r="A6">
            <v>4</v>
          </cell>
          <cell r="B6" t="str">
            <v>Bradford</v>
          </cell>
          <cell r="C6">
            <v>0.95130000000000003</v>
          </cell>
          <cell r="F6">
            <v>1218536</v>
          </cell>
          <cell r="P6">
            <v>950659</v>
          </cell>
          <cell r="Q6">
            <v>0</v>
          </cell>
          <cell r="W6">
            <v>237317</v>
          </cell>
          <cell r="Y6">
            <v>0</v>
          </cell>
        </row>
        <row r="7">
          <cell r="A7">
            <v>5</v>
          </cell>
          <cell r="B7" t="str">
            <v>Brevard</v>
          </cell>
          <cell r="C7">
            <v>0.99039999999999995</v>
          </cell>
          <cell r="F7">
            <v>0</v>
          </cell>
          <cell r="P7">
            <v>44955268</v>
          </cell>
          <cell r="Q7">
            <v>0</v>
          </cell>
          <cell r="W7">
            <v>2009055</v>
          </cell>
          <cell r="Y7">
            <v>820.7</v>
          </cell>
        </row>
        <row r="8">
          <cell r="A8">
            <v>6</v>
          </cell>
          <cell r="B8" t="str">
            <v>Broward</v>
          </cell>
          <cell r="C8">
            <v>1.0196000000000001</v>
          </cell>
          <cell r="F8">
            <v>0</v>
          </cell>
          <cell r="P8">
            <v>192119329</v>
          </cell>
          <cell r="Q8">
            <v>0</v>
          </cell>
          <cell r="W8">
            <v>908471</v>
          </cell>
          <cell r="Y8">
            <v>0</v>
          </cell>
        </row>
        <row r="9">
          <cell r="A9">
            <v>7</v>
          </cell>
          <cell r="B9" t="str">
            <v>Calhoun</v>
          </cell>
          <cell r="C9">
            <v>0.92220000000000002</v>
          </cell>
          <cell r="F9">
            <v>1911065</v>
          </cell>
          <cell r="P9">
            <v>386060</v>
          </cell>
          <cell r="Q9">
            <v>0</v>
          </cell>
          <cell r="W9">
            <v>119097</v>
          </cell>
          <cell r="Y9">
            <v>0</v>
          </cell>
        </row>
        <row r="10">
          <cell r="A10">
            <v>8</v>
          </cell>
          <cell r="B10" t="str">
            <v>Charlotte</v>
          </cell>
          <cell r="C10">
            <v>0.98450000000000004</v>
          </cell>
          <cell r="F10">
            <v>0</v>
          </cell>
          <cell r="P10">
            <v>20436638</v>
          </cell>
          <cell r="Q10">
            <v>0</v>
          </cell>
          <cell r="W10">
            <v>397039</v>
          </cell>
          <cell r="Y10">
            <v>0</v>
          </cell>
        </row>
        <row r="11">
          <cell r="A11">
            <v>9</v>
          </cell>
          <cell r="B11" t="str">
            <v>Citrus</v>
          </cell>
          <cell r="C11">
            <v>0.94299999999999995</v>
          </cell>
          <cell r="F11">
            <v>2214101</v>
          </cell>
          <cell r="P11">
            <v>10020761</v>
          </cell>
          <cell r="Q11">
            <v>0</v>
          </cell>
          <cell r="W11">
            <v>438719</v>
          </cell>
          <cell r="Y11">
            <v>0</v>
          </cell>
        </row>
        <row r="12">
          <cell r="A12">
            <v>10</v>
          </cell>
          <cell r="B12" t="str">
            <v>Clay</v>
          </cell>
          <cell r="C12">
            <v>0.9798</v>
          </cell>
          <cell r="F12">
            <v>0</v>
          </cell>
          <cell r="P12">
            <v>11888149</v>
          </cell>
          <cell r="Q12">
            <v>0</v>
          </cell>
          <cell r="W12">
            <v>1656126</v>
          </cell>
          <cell r="Y12">
            <v>0</v>
          </cell>
        </row>
        <row r="13">
          <cell r="A13">
            <v>11</v>
          </cell>
          <cell r="B13" t="str">
            <v>Collier</v>
          </cell>
          <cell r="C13">
            <v>1.0523</v>
          </cell>
          <cell r="F13">
            <v>0</v>
          </cell>
          <cell r="P13">
            <v>101967669</v>
          </cell>
          <cell r="Q13">
            <v>0</v>
          </cell>
          <cell r="W13">
            <v>0</v>
          </cell>
          <cell r="Y13">
            <v>0</v>
          </cell>
        </row>
        <row r="14">
          <cell r="A14">
            <v>12</v>
          </cell>
          <cell r="B14" t="str">
            <v>Columbia</v>
          </cell>
          <cell r="C14">
            <v>0.94069999999999998</v>
          </cell>
          <cell r="F14">
            <v>1564214</v>
          </cell>
          <cell r="P14">
            <v>2848443</v>
          </cell>
          <cell r="Q14">
            <v>0</v>
          </cell>
          <cell r="W14">
            <v>432795</v>
          </cell>
          <cell r="Y14">
            <v>0</v>
          </cell>
        </row>
        <row r="15">
          <cell r="A15">
            <v>13</v>
          </cell>
          <cell r="B15" t="str">
            <v>Miami-Dade</v>
          </cell>
          <cell r="C15">
            <v>1.0165999999999999</v>
          </cell>
          <cell r="F15">
            <v>0</v>
          </cell>
          <cell r="P15">
            <v>307939276</v>
          </cell>
          <cell r="Q15">
            <v>0</v>
          </cell>
          <cell r="W15">
            <v>0</v>
          </cell>
          <cell r="Y15">
            <v>0</v>
          </cell>
        </row>
        <row r="16">
          <cell r="A16">
            <v>14</v>
          </cell>
          <cell r="B16" t="str">
            <v>De Soto</v>
          </cell>
          <cell r="C16">
            <v>0.96450000000000002</v>
          </cell>
          <cell r="F16">
            <v>903617</v>
          </cell>
          <cell r="P16">
            <v>1831863</v>
          </cell>
          <cell r="Q16">
            <v>0</v>
          </cell>
          <cell r="W16">
            <v>317393</v>
          </cell>
          <cell r="Y16">
            <v>0</v>
          </cell>
        </row>
        <row r="17">
          <cell r="A17">
            <v>15</v>
          </cell>
          <cell r="B17" t="str">
            <v>Dixie</v>
          </cell>
          <cell r="C17">
            <v>0.92579999999999996</v>
          </cell>
          <cell r="F17">
            <v>1246894</v>
          </cell>
          <cell r="P17">
            <v>525507</v>
          </cell>
          <cell r="Q17">
            <v>0</v>
          </cell>
          <cell r="W17">
            <v>142561</v>
          </cell>
          <cell r="Y17">
            <v>0</v>
          </cell>
        </row>
        <row r="18">
          <cell r="A18">
            <v>16</v>
          </cell>
          <cell r="B18" t="str">
            <v>Duval</v>
          </cell>
          <cell r="C18">
            <v>1.0058</v>
          </cell>
          <cell r="F18">
            <v>0</v>
          </cell>
          <cell r="P18">
            <v>71602566</v>
          </cell>
          <cell r="Q18">
            <v>0</v>
          </cell>
          <cell r="W18">
            <v>2421162</v>
          </cell>
          <cell r="Y18">
            <v>166.32</v>
          </cell>
        </row>
        <row r="19">
          <cell r="A19">
            <v>17</v>
          </cell>
          <cell r="B19" t="str">
            <v>Escambia</v>
          </cell>
          <cell r="C19">
            <v>0.97460000000000002</v>
          </cell>
          <cell r="F19">
            <v>0</v>
          </cell>
          <cell r="P19">
            <v>19763383</v>
          </cell>
          <cell r="Q19">
            <v>0</v>
          </cell>
          <cell r="W19">
            <v>1687152</v>
          </cell>
          <cell r="Y19">
            <v>607.52</v>
          </cell>
        </row>
        <row r="20">
          <cell r="A20">
            <v>18</v>
          </cell>
          <cell r="B20" t="str">
            <v>Flagler</v>
          </cell>
          <cell r="C20">
            <v>0.95599999999999996</v>
          </cell>
          <cell r="F20">
            <v>1365122</v>
          </cell>
          <cell r="P20">
            <v>10842399</v>
          </cell>
          <cell r="Q20">
            <v>0</v>
          </cell>
          <cell r="W20">
            <v>536593</v>
          </cell>
          <cell r="Y20">
            <v>0</v>
          </cell>
        </row>
        <row r="21">
          <cell r="A21">
            <v>19</v>
          </cell>
          <cell r="B21" t="str">
            <v>Franklin</v>
          </cell>
          <cell r="C21">
            <v>0.92749999999999999</v>
          </cell>
          <cell r="F21">
            <v>0</v>
          </cell>
          <cell r="P21">
            <v>2257348</v>
          </cell>
          <cell r="Q21">
            <v>0</v>
          </cell>
          <cell r="W21">
            <v>5551</v>
          </cell>
          <cell r="Y21">
            <v>0</v>
          </cell>
        </row>
        <row r="22">
          <cell r="A22">
            <v>20</v>
          </cell>
          <cell r="B22" t="str">
            <v>Gadsden</v>
          </cell>
          <cell r="C22">
            <v>0.94350000000000001</v>
          </cell>
          <cell r="F22">
            <v>924482</v>
          </cell>
          <cell r="P22">
            <v>1498148</v>
          </cell>
          <cell r="Q22">
            <v>0</v>
          </cell>
          <cell r="W22">
            <v>187099</v>
          </cell>
          <cell r="Y22">
            <v>0</v>
          </cell>
        </row>
        <row r="23">
          <cell r="A23">
            <v>21</v>
          </cell>
          <cell r="B23" t="str">
            <v>Gilchrist</v>
          </cell>
          <cell r="C23">
            <v>0.94240000000000002</v>
          </cell>
          <cell r="F23">
            <v>2291906</v>
          </cell>
          <cell r="P23">
            <v>841176</v>
          </cell>
          <cell r="Q23">
            <v>0</v>
          </cell>
          <cell r="W23">
            <v>170804</v>
          </cell>
          <cell r="Y23">
            <v>0</v>
          </cell>
        </row>
        <row r="24">
          <cell r="A24">
            <v>22</v>
          </cell>
          <cell r="B24" t="str">
            <v>Glades</v>
          </cell>
          <cell r="C24">
            <v>0.97340000000000004</v>
          </cell>
          <cell r="F24">
            <v>1201736</v>
          </cell>
          <cell r="P24">
            <v>752216</v>
          </cell>
          <cell r="Q24">
            <v>0</v>
          </cell>
          <cell r="W24">
            <v>145928</v>
          </cell>
          <cell r="Y24">
            <v>914.72</v>
          </cell>
        </row>
        <row r="25">
          <cell r="A25">
            <v>23</v>
          </cell>
          <cell r="B25" t="str">
            <v>Gulf</v>
          </cell>
          <cell r="C25">
            <v>0.93889999999999996</v>
          </cell>
          <cell r="F25">
            <v>894087</v>
          </cell>
          <cell r="P25">
            <v>2276870</v>
          </cell>
          <cell r="Q25">
            <v>0</v>
          </cell>
          <cell r="W25">
            <v>25053</v>
          </cell>
          <cell r="Y25">
            <v>0</v>
          </cell>
        </row>
        <row r="26">
          <cell r="A26">
            <v>24</v>
          </cell>
          <cell r="B26" t="str">
            <v>Hamilton</v>
          </cell>
          <cell r="C26">
            <v>0.91679999999999995</v>
          </cell>
          <cell r="F26">
            <v>1164156</v>
          </cell>
          <cell r="P26">
            <v>844095</v>
          </cell>
          <cell r="Q26">
            <v>0</v>
          </cell>
          <cell r="W26">
            <v>45141</v>
          </cell>
          <cell r="Y26">
            <v>0</v>
          </cell>
        </row>
        <row r="27">
          <cell r="A27">
            <v>25</v>
          </cell>
          <cell r="B27" t="str">
            <v>Hardee</v>
          </cell>
          <cell r="C27">
            <v>0.95569999999999999</v>
          </cell>
          <cell r="F27">
            <v>844692</v>
          </cell>
          <cell r="P27">
            <v>1600583</v>
          </cell>
          <cell r="Q27">
            <v>0</v>
          </cell>
          <cell r="W27">
            <v>253666</v>
          </cell>
          <cell r="Y27">
            <v>0</v>
          </cell>
        </row>
        <row r="28">
          <cell r="A28">
            <v>26</v>
          </cell>
          <cell r="B28" t="str">
            <v>Hendry</v>
          </cell>
          <cell r="C28">
            <v>0.98229999999999995</v>
          </cell>
          <cell r="F28">
            <v>2353143</v>
          </cell>
          <cell r="P28">
            <v>2680492</v>
          </cell>
          <cell r="Q28">
            <v>0</v>
          </cell>
          <cell r="W28">
            <v>1344254</v>
          </cell>
          <cell r="Y28">
            <v>0</v>
          </cell>
        </row>
        <row r="29">
          <cell r="A29">
            <v>27</v>
          </cell>
          <cell r="B29" t="str">
            <v>Hernando</v>
          </cell>
          <cell r="C29">
            <v>0.9587</v>
          </cell>
          <cell r="F29">
            <v>2499471</v>
          </cell>
          <cell r="P29">
            <v>11115941</v>
          </cell>
          <cell r="Q29">
            <v>0</v>
          </cell>
          <cell r="W29">
            <v>1119819</v>
          </cell>
          <cell r="Y29">
            <v>0</v>
          </cell>
        </row>
        <row r="30">
          <cell r="A30">
            <v>28</v>
          </cell>
          <cell r="B30" t="str">
            <v>Highlands</v>
          </cell>
          <cell r="C30">
            <v>0.94889999999999997</v>
          </cell>
          <cell r="F30">
            <v>3145067</v>
          </cell>
          <cell r="P30">
            <v>5343587</v>
          </cell>
          <cell r="Q30">
            <v>0</v>
          </cell>
          <cell r="W30">
            <v>656896</v>
          </cell>
          <cell r="Y30">
            <v>0</v>
          </cell>
        </row>
        <row r="31">
          <cell r="A31">
            <v>29</v>
          </cell>
          <cell r="B31" t="str">
            <v>Hillsborough</v>
          </cell>
          <cell r="C31">
            <v>1.0072000000000001</v>
          </cell>
          <cell r="F31">
            <v>0</v>
          </cell>
          <cell r="P31">
            <v>113584339</v>
          </cell>
          <cell r="Q31">
            <v>0</v>
          </cell>
          <cell r="W31">
            <v>5936377</v>
          </cell>
          <cell r="Y31">
            <v>64.78</v>
          </cell>
        </row>
        <row r="32">
          <cell r="A32">
            <v>30</v>
          </cell>
          <cell r="B32" t="str">
            <v>Holmes</v>
          </cell>
          <cell r="C32">
            <v>0.92589999999999995</v>
          </cell>
          <cell r="F32">
            <v>2761889</v>
          </cell>
          <cell r="P32">
            <v>443246</v>
          </cell>
          <cell r="Q32">
            <v>0</v>
          </cell>
          <cell r="W32">
            <v>206938</v>
          </cell>
          <cell r="Y32">
            <v>0</v>
          </cell>
        </row>
        <row r="33">
          <cell r="A33">
            <v>31</v>
          </cell>
          <cell r="B33" t="str">
            <v>Indian River</v>
          </cell>
          <cell r="C33">
            <v>0.999</v>
          </cell>
          <cell r="F33">
            <v>0</v>
          </cell>
          <cell r="P33">
            <v>18531795</v>
          </cell>
          <cell r="Q33">
            <v>0</v>
          </cell>
          <cell r="W33">
            <v>77997</v>
          </cell>
          <cell r="Y33">
            <v>0</v>
          </cell>
        </row>
        <row r="34">
          <cell r="A34">
            <v>32</v>
          </cell>
          <cell r="B34" t="str">
            <v>Jackson</v>
          </cell>
          <cell r="C34">
            <v>0.92190000000000005</v>
          </cell>
          <cell r="F34">
            <v>3767489</v>
          </cell>
          <cell r="P34">
            <v>1532308</v>
          </cell>
          <cell r="Q34">
            <v>0</v>
          </cell>
          <cell r="W34">
            <v>152285</v>
          </cell>
          <cell r="Y34">
            <v>0</v>
          </cell>
        </row>
        <row r="35">
          <cell r="A35">
            <v>33</v>
          </cell>
          <cell r="B35" t="str">
            <v>Jefferson</v>
          </cell>
          <cell r="C35">
            <v>0.93959999999999999</v>
          </cell>
          <cell r="F35">
            <v>666856</v>
          </cell>
          <cell r="P35">
            <v>637319</v>
          </cell>
          <cell r="Q35">
            <v>0</v>
          </cell>
          <cell r="W35">
            <v>37557</v>
          </cell>
          <cell r="Y35">
            <v>0</v>
          </cell>
        </row>
        <row r="36">
          <cell r="A36">
            <v>34</v>
          </cell>
          <cell r="B36" t="str">
            <v>Lafayette</v>
          </cell>
          <cell r="C36">
            <v>0.91869999999999996</v>
          </cell>
          <cell r="F36">
            <v>1032896</v>
          </cell>
          <cell r="P36">
            <v>254111</v>
          </cell>
          <cell r="Q36">
            <v>0</v>
          </cell>
          <cell r="W36">
            <v>38699</v>
          </cell>
          <cell r="Y36">
            <v>0</v>
          </cell>
        </row>
        <row r="37">
          <cell r="A37">
            <v>35</v>
          </cell>
          <cell r="B37" t="str">
            <v>Lake</v>
          </cell>
          <cell r="C37">
            <v>0.97460000000000002</v>
          </cell>
          <cell r="F37">
            <v>0</v>
          </cell>
          <cell r="P37">
            <v>24775709</v>
          </cell>
          <cell r="Q37">
            <v>0</v>
          </cell>
          <cell r="W37">
            <v>2656744</v>
          </cell>
          <cell r="Y37">
            <v>0</v>
          </cell>
        </row>
        <row r="38">
          <cell r="A38">
            <v>36</v>
          </cell>
          <cell r="B38" t="str">
            <v>Lee</v>
          </cell>
          <cell r="C38">
            <v>1.0173000000000001</v>
          </cell>
          <cell r="F38">
            <v>0</v>
          </cell>
          <cell r="P38">
            <v>96164182</v>
          </cell>
          <cell r="Q38">
            <v>0</v>
          </cell>
          <cell r="W38">
            <v>2223599</v>
          </cell>
          <cell r="Y38">
            <v>0</v>
          </cell>
        </row>
        <row r="39">
          <cell r="A39">
            <v>37</v>
          </cell>
          <cell r="B39" t="str">
            <v>Leon</v>
          </cell>
          <cell r="C39">
            <v>0.9718</v>
          </cell>
          <cell r="F39">
            <v>0</v>
          </cell>
          <cell r="P39">
            <v>16564521</v>
          </cell>
          <cell r="Q39">
            <v>0</v>
          </cell>
          <cell r="W39">
            <v>885167</v>
          </cell>
          <cell r="Y39">
            <v>0</v>
          </cell>
        </row>
        <row r="40">
          <cell r="A40">
            <v>38</v>
          </cell>
          <cell r="B40" t="str">
            <v>Levy</v>
          </cell>
          <cell r="C40">
            <v>0.94310000000000005</v>
          </cell>
          <cell r="F40">
            <v>3708685</v>
          </cell>
          <cell r="P40">
            <v>2125036</v>
          </cell>
          <cell r="Q40">
            <v>0</v>
          </cell>
          <cell r="W40">
            <v>302281</v>
          </cell>
          <cell r="Y40">
            <v>0</v>
          </cell>
        </row>
        <row r="41">
          <cell r="A41">
            <v>39</v>
          </cell>
          <cell r="B41" t="str">
            <v>Liberty</v>
          </cell>
          <cell r="C41">
            <v>0.92449999999999999</v>
          </cell>
          <cell r="F41">
            <v>1106705</v>
          </cell>
          <cell r="P41">
            <v>256762</v>
          </cell>
          <cell r="Q41">
            <v>0</v>
          </cell>
          <cell r="W41">
            <v>68062</v>
          </cell>
          <cell r="Y41">
            <v>0</v>
          </cell>
        </row>
        <row r="42">
          <cell r="A42">
            <v>40</v>
          </cell>
          <cell r="B42" t="str">
            <v>Madison</v>
          </cell>
          <cell r="C42">
            <v>0.91890000000000005</v>
          </cell>
          <cell r="F42">
            <v>1239614</v>
          </cell>
          <cell r="P42">
            <v>739835</v>
          </cell>
          <cell r="Q42">
            <v>0</v>
          </cell>
          <cell r="W42">
            <v>72420</v>
          </cell>
          <cell r="Y42">
            <v>0</v>
          </cell>
        </row>
        <row r="43">
          <cell r="A43">
            <v>41</v>
          </cell>
          <cell r="B43" t="str">
            <v>Manatee</v>
          </cell>
          <cell r="C43">
            <v>0.99370000000000003</v>
          </cell>
          <cell r="F43">
            <v>0</v>
          </cell>
          <cell r="P43">
            <v>43061809</v>
          </cell>
          <cell r="Q43">
            <v>0</v>
          </cell>
          <cell r="W43">
            <v>1458559</v>
          </cell>
          <cell r="Y43">
            <v>0</v>
          </cell>
        </row>
        <row r="44">
          <cell r="A44">
            <v>42</v>
          </cell>
          <cell r="B44" t="str">
            <v>Marion</v>
          </cell>
          <cell r="C44">
            <v>0.94720000000000004</v>
          </cell>
          <cell r="F44">
            <v>0</v>
          </cell>
          <cell r="P44">
            <v>21351361</v>
          </cell>
          <cell r="Q44">
            <v>0</v>
          </cell>
          <cell r="W44">
            <v>2353274</v>
          </cell>
          <cell r="Y44">
            <v>0</v>
          </cell>
        </row>
        <row r="45">
          <cell r="A45">
            <v>43</v>
          </cell>
          <cell r="B45" t="str">
            <v>Martin</v>
          </cell>
          <cell r="C45">
            <v>1.0164</v>
          </cell>
          <cell r="F45">
            <v>0</v>
          </cell>
          <cell r="P45">
            <v>22247326</v>
          </cell>
          <cell r="Q45">
            <v>0</v>
          </cell>
          <cell r="W45">
            <v>87457</v>
          </cell>
          <cell r="Y45">
            <v>0</v>
          </cell>
        </row>
        <row r="46">
          <cell r="A46">
            <v>44</v>
          </cell>
          <cell r="B46" t="str">
            <v>Monroe</v>
          </cell>
          <cell r="C46">
            <v>1.0516000000000001</v>
          </cell>
          <cell r="F46">
            <v>0</v>
          </cell>
          <cell r="P46">
            <v>32006358</v>
          </cell>
          <cell r="Q46">
            <v>0</v>
          </cell>
          <cell r="W46">
            <v>0</v>
          </cell>
          <cell r="Y46">
            <v>1567.78</v>
          </cell>
        </row>
        <row r="47">
          <cell r="A47">
            <v>45</v>
          </cell>
          <cell r="B47" t="str">
            <v>Nassau</v>
          </cell>
          <cell r="C47">
            <v>0.98699999999999999</v>
          </cell>
          <cell r="F47">
            <v>2982552</v>
          </cell>
          <cell r="P47">
            <v>10265424</v>
          </cell>
          <cell r="Q47">
            <v>0</v>
          </cell>
          <cell r="W47">
            <v>182931</v>
          </cell>
          <cell r="Y47">
            <v>0</v>
          </cell>
        </row>
        <row r="48">
          <cell r="A48">
            <v>46</v>
          </cell>
          <cell r="B48" t="str">
            <v>Okaloosa</v>
          </cell>
          <cell r="C48">
            <v>0.99</v>
          </cell>
          <cell r="F48">
            <v>0</v>
          </cell>
          <cell r="P48">
            <v>19370904</v>
          </cell>
          <cell r="Q48">
            <v>0</v>
          </cell>
          <cell r="W48">
            <v>216633</v>
          </cell>
          <cell r="Y48">
            <v>195.13</v>
          </cell>
        </row>
        <row r="49">
          <cell r="A49">
            <v>47</v>
          </cell>
          <cell r="B49" t="str">
            <v>Okeechobee</v>
          </cell>
          <cell r="C49">
            <v>0.96379999999999999</v>
          </cell>
          <cell r="F49">
            <v>624995</v>
          </cell>
          <cell r="P49">
            <v>2896301</v>
          </cell>
          <cell r="Q49">
            <v>0</v>
          </cell>
          <cell r="W49">
            <v>498738</v>
          </cell>
          <cell r="Y49">
            <v>0</v>
          </cell>
        </row>
        <row r="50">
          <cell r="A50">
            <v>48</v>
          </cell>
          <cell r="B50" t="str">
            <v>Orange</v>
          </cell>
          <cell r="C50">
            <v>1.0091000000000001</v>
          </cell>
          <cell r="F50">
            <v>0</v>
          </cell>
          <cell r="P50">
            <v>145446883</v>
          </cell>
          <cell r="Q50">
            <v>0</v>
          </cell>
          <cell r="W50">
            <v>1985501</v>
          </cell>
          <cell r="Y50">
            <v>0</v>
          </cell>
        </row>
        <row r="51">
          <cell r="A51">
            <v>49</v>
          </cell>
          <cell r="B51" t="str">
            <v>Osceola</v>
          </cell>
          <cell r="C51">
            <v>0.98699999999999999</v>
          </cell>
          <cell r="F51">
            <v>0</v>
          </cell>
          <cell r="P51">
            <v>31784763</v>
          </cell>
          <cell r="Q51">
            <v>0</v>
          </cell>
          <cell r="W51">
            <v>4592943</v>
          </cell>
          <cell r="Y51">
            <v>0</v>
          </cell>
        </row>
        <row r="52">
          <cell r="A52">
            <v>50</v>
          </cell>
          <cell r="B52" t="str">
            <v>Palm Beach</v>
          </cell>
          <cell r="C52">
            <v>1.0438000000000001</v>
          </cell>
          <cell r="F52">
            <v>0</v>
          </cell>
          <cell r="P52">
            <v>206284749</v>
          </cell>
          <cell r="Q52">
            <v>0</v>
          </cell>
          <cell r="W52">
            <v>0</v>
          </cell>
          <cell r="Y52">
            <v>0</v>
          </cell>
        </row>
        <row r="53">
          <cell r="A53">
            <v>51</v>
          </cell>
          <cell r="B53" t="str">
            <v>Pasco</v>
          </cell>
          <cell r="C53">
            <v>0.98129999999999995</v>
          </cell>
          <cell r="F53">
            <v>0</v>
          </cell>
          <cell r="P53">
            <v>33490989</v>
          </cell>
          <cell r="Q53">
            <v>0</v>
          </cell>
          <cell r="W53">
            <v>1796984</v>
          </cell>
          <cell r="Y53">
            <v>0</v>
          </cell>
        </row>
        <row r="54">
          <cell r="A54">
            <v>52</v>
          </cell>
          <cell r="B54" t="str">
            <v>Pinellas</v>
          </cell>
          <cell r="C54">
            <v>1.0011000000000001</v>
          </cell>
          <cell r="F54">
            <v>0</v>
          </cell>
          <cell r="P54">
            <v>89847077</v>
          </cell>
          <cell r="Q54">
            <v>0</v>
          </cell>
          <cell r="W54">
            <v>0</v>
          </cell>
          <cell r="Y54">
            <v>0</v>
          </cell>
        </row>
        <row r="55">
          <cell r="A55">
            <v>53</v>
          </cell>
          <cell r="B55" t="str">
            <v>Polk</v>
          </cell>
          <cell r="C55">
            <v>0.97040000000000004</v>
          </cell>
          <cell r="F55">
            <v>0</v>
          </cell>
          <cell r="P55">
            <v>42939374</v>
          </cell>
          <cell r="Q55">
            <v>0</v>
          </cell>
          <cell r="W55">
            <v>6897085</v>
          </cell>
          <cell r="Y55">
            <v>0</v>
          </cell>
        </row>
        <row r="56">
          <cell r="A56">
            <v>54</v>
          </cell>
          <cell r="B56" t="str">
            <v>Putnam</v>
          </cell>
          <cell r="C56">
            <v>0.94550000000000001</v>
          </cell>
          <cell r="F56">
            <v>3529695</v>
          </cell>
          <cell r="P56">
            <v>4439585</v>
          </cell>
          <cell r="Q56">
            <v>0</v>
          </cell>
          <cell r="W56">
            <v>609186</v>
          </cell>
          <cell r="Y56">
            <v>0</v>
          </cell>
        </row>
        <row r="57">
          <cell r="A57">
            <v>55</v>
          </cell>
          <cell r="B57" t="str">
            <v>St. Johns</v>
          </cell>
          <cell r="C57">
            <v>1.0023</v>
          </cell>
          <cell r="F57">
            <v>0</v>
          </cell>
          <cell r="P57">
            <v>32787323</v>
          </cell>
          <cell r="Q57">
            <v>0</v>
          </cell>
          <cell r="W57">
            <v>903782</v>
          </cell>
          <cell r="Y57">
            <v>0</v>
          </cell>
        </row>
        <row r="58">
          <cell r="A58">
            <v>56</v>
          </cell>
          <cell r="B58" t="str">
            <v>St. Lucie</v>
          </cell>
          <cell r="C58">
            <v>0.99350000000000005</v>
          </cell>
          <cell r="F58">
            <v>0</v>
          </cell>
          <cell r="P58">
            <v>26091809</v>
          </cell>
          <cell r="Q58">
            <v>0</v>
          </cell>
          <cell r="W58">
            <v>1982975</v>
          </cell>
          <cell r="Y58">
            <v>0</v>
          </cell>
        </row>
        <row r="59">
          <cell r="A59">
            <v>57</v>
          </cell>
          <cell r="B59" t="str">
            <v>Santa Rosa</v>
          </cell>
          <cell r="C59">
            <v>0.9627</v>
          </cell>
          <cell r="F59">
            <v>0</v>
          </cell>
          <cell r="P59">
            <v>11786158</v>
          </cell>
          <cell r="Q59">
            <v>0</v>
          </cell>
          <cell r="W59">
            <v>1294207</v>
          </cell>
          <cell r="Y59">
            <v>403.92</v>
          </cell>
        </row>
        <row r="60">
          <cell r="A60">
            <v>58</v>
          </cell>
          <cell r="B60" t="str">
            <v>Sarasota</v>
          </cell>
          <cell r="C60">
            <v>1.0153000000000001</v>
          </cell>
          <cell r="F60">
            <v>0</v>
          </cell>
          <cell r="P60">
            <v>68049473</v>
          </cell>
          <cell r="Q60">
            <v>0</v>
          </cell>
          <cell r="W60">
            <v>0</v>
          </cell>
          <cell r="Y60">
            <v>0</v>
          </cell>
        </row>
        <row r="61">
          <cell r="A61">
            <v>59</v>
          </cell>
          <cell r="B61" t="str">
            <v>Seminole</v>
          </cell>
          <cell r="C61">
            <v>0.99509999999999998</v>
          </cell>
          <cell r="F61">
            <v>0</v>
          </cell>
          <cell r="P61">
            <v>35811692</v>
          </cell>
          <cell r="Q61">
            <v>0</v>
          </cell>
          <cell r="W61">
            <v>5499997</v>
          </cell>
          <cell r="Y61">
            <v>0</v>
          </cell>
        </row>
        <row r="62">
          <cell r="A62">
            <v>60</v>
          </cell>
          <cell r="B62" t="str">
            <v>Sumter</v>
          </cell>
          <cell r="C62">
            <v>0.9708</v>
          </cell>
          <cell r="F62">
            <v>0</v>
          </cell>
          <cell r="P62">
            <v>14238962</v>
          </cell>
          <cell r="Q62">
            <v>0</v>
          </cell>
          <cell r="W62">
            <v>0</v>
          </cell>
          <cell r="Y62">
            <v>0</v>
          </cell>
        </row>
        <row r="63">
          <cell r="A63">
            <v>61</v>
          </cell>
          <cell r="B63" t="str">
            <v>Suwannee</v>
          </cell>
          <cell r="C63">
            <v>0.92510000000000003</v>
          </cell>
          <cell r="F63">
            <v>2434906</v>
          </cell>
          <cell r="P63">
            <v>1829396</v>
          </cell>
          <cell r="Q63">
            <v>0</v>
          </cell>
          <cell r="W63">
            <v>395744</v>
          </cell>
          <cell r="Y63">
            <v>0</v>
          </cell>
        </row>
        <row r="64">
          <cell r="A64">
            <v>62</v>
          </cell>
          <cell r="B64" t="str">
            <v>Taylor</v>
          </cell>
          <cell r="C64">
            <v>0.92149999999999999</v>
          </cell>
          <cell r="F64">
            <v>1318690</v>
          </cell>
          <cell r="P64">
            <v>1407910</v>
          </cell>
          <cell r="Q64">
            <v>0</v>
          </cell>
          <cell r="W64">
            <v>49643</v>
          </cell>
          <cell r="Y64">
            <v>0</v>
          </cell>
        </row>
        <row r="65">
          <cell r="A65">
            <v>63</v>
          </cell>
          <cell r="B65" t="str">
            <v>Union</v>
          </cell>
          <cell r="C65">
            <v>0.9415</v>
          </cell>
          <cell r="F65">
            <v>1251403</v>
          </cell>
          <cell r="P65">
            <v>259220</v>
          </cell>
          <cell r="Q65">
            <v>0</v>
          </cell>
          <cell r="W65">
            <v>179142</v>
          </cell>
          <cell r="Y65">
            <v>0</v>
          </cell>
        </row>
        <row r="66">
          <cell r="A66">
            <v>64</v>
          </cell>
          <cell r="B66" t="str">
            <v>Volusia</v>
          </cell>
          <cell r="C66">
            <v>0.96389999999999998</v>
          </cell>
          <cell r="F66">
            <v>0</v>
          </cell>
          <cell r="P66">
            <v>40214756</v>
          </cell>
          <cell r="Q66">
            <v>0</v>
          </cell>
          <cell r="W66">
            <v>4580639</v>
          </cell>
          <cell r="Y66">
            <v>0</v>
          </cell>
        </row>
        <row r="67">
          <cell r="A67">
            <v>65</v>
          </cell>
          <cell r="B67" t="str">
            <v>Wakulla</v>
          </cell>
          <cell r="C67">
            <v>0.94699999999999995</v>
          </cell>
          <cell r="F67">
            <v>762129</v>
          </cell>
          <cell r="P67">
            <v>1481921</v>
          </cell>
          <cell r="Q67">
            <v>0</v>
          </cell>
          <cell r="W67">
            <v>138862</v>
          </cell>
          <cell r="Y67">
            <v>0</v>
          </cell>
        </row>
        <row r="68">
          <cell r="A68">
            <v>66</v>
          </cell>
          <cell r="B68" t="str">
            <v>Walton</v>
          </cell>
          <cell r="C68">
            <v>0.98440000000000005</v>
          </cell>
          <cell r="F68">
            <v>0</v>
          </cell>
          <cell r="P68">
            <v>27620692</v>
          </cell>
          <cell r="Q68">
            <v>0</v>
          </cell>
          <cell r="W68">
            <v>0</v>
          </cell>
          <cell r="Y68">
            <v>0</v>
          </cell>
        </row>
        <row r="69">
          <cell r="A69">
            <v>67</v>
          </cell>
          <cell r="B69" t="str">
            <v>Washington</v>
          </cell>
          <cell r="C69">
            <v>0.93030000000000002</v>
          </cell>
          <cell r="F69">
            <v>2401756</v>
          </cell>
          <cell r="P69">
            <v>909099</v>
          </cell>
          <cell r="Q69">
            <v>0</v>
          </cell>
          <cell r="W69">
            <v>147752</v>
          </cell>
          <cell r="Y69">
            <v>0</v>
          </cell>
        </row>
        <row r="70">
          <cell r="A70">
            <v>69</v>
          </cell>
          <cell r="B70" t="str">
            <v>FAMU Lab School</v>
          </cell>
          <cell r="C70">
            <v>0.9718</v>
          </cell>
          <cell r="F70">
            <v>542692</v>
          </cell>
          <cell r="Q70">
            <v>0</v>
          </cell>
          <cell r="W70">
            <v>0</v>
          </cell>
        </row>
        <row r="71">
          <cell r="A71">
            <v>70</v>
          </cell>
          <cell r="B71" t="str">
            <v>FAU Lab School</v>
          </cell>
          <cell r="C71">
            <v>1.0438000000000001</v>
          </cell>
          <cell r="F71">
            <v>657828</v>
          </cell>
          <cell r="P71">
            <v>0</v>
          </cell>
          <cell r="Q71">
            <v>0</v>
          </cell>
          <cell r="W71">
            <v>0</v>
          </cell>
          <cell r="Y71">
            <v>0</v>
          </cell>
        </row>
        <row r="72">
          <cell r="A72">
            <v>71</v>
          </cell>
          <cell r="B72" t="str">
            <v>FAU St. Lucie</v>
          </cell>
          <cell r="C72">
            <v>0.99350000000000005</v>
          </cell>
          <cell r="F72">
            <v>0</v>
          </cell>
          <cell r="P72">
            <v>0</v>
          </cell>
          <cell r="Q72">
            <v>0</v>
          </cell>
          <cell r="W72">
            <v>66926</v>
          </cell>
          <cell r="Y72">
            <v>0</v>
          </cell>
        </row>
        <row r="73">
          <cell r="A73">
            <v>72</v>
          </cell>
          <cell r="B73" t="str">
            <v>FSU Lab - Broward</v>
          </cell>
          <cell r="C73">
            <v>1.0196000000000001</v>
          </cell>
          <cell r="F73">
            <v>0</v>
          </cell>
          <cell r="P73">
            <v>0</v>
          </cell>
          <cell r="Q73">
            <v>0</v>
          </cell>
          <cell r="W73">
            <v>0</v>
          </cell>
          <cell r="Y73">
            <v>0</v>
          </cell>
        </row>
        <row r="74">
          <cell r="A74">
            <v>73</v>
          </cell>
          <cell r="B74" t="str">
            <v>FSU Lab - Leon</v>
          </cell>
          <cell r="C74">
            <v>0.9718</v>
          </cell>
          <cell r="F74">
            <v>1185896</v>
          </cell>
          <cell r="P74">
            <v>0</v>
          </cell>
          <cell r="Q74">
            <v>0</v>
          </cell>
          <cell r="W74">
            <v>0</v>
          </cell>
          <cell r="Y74">
            <v>0</v>
          </cell>
        </row>
        <row r="75">
          <cell r="A75">
            <v>74</v>
          </cell>
          <cell r="B75" t="str">
            <v>UF Lab School</v>
          </cell>
          <cell r="C75">
            <v>0.97960000000000003</v>
          </cell>
          <cell r="F75">
            <v>1005083</v>
          </cell>
          <cell r="P75">
            <v>0</v>
          </cell>
          <cell r="Q75">
            <v>0</v>
          </cell>
          <cell r="W75">
            <v>0</v>
          </cell>
          <cell r="Y75">
            <v>0</v>
          </cell>
        </row>
        <row r="76">
          <cell r="A76">
            <v>75</v>
          </cell>
          <cell r="B76" t="str">
            <v>Virtual School</v>
          </cell>
          <cell r="C76">
            <v>1</v>
          </cell>
          <cell r="F76">
            <v>0</v>
          </cell>
          <cell r="P76">
            <v>0</v>
          </cell>
          <cell r="Q76">
            <v>0</v>
          </cell>
          <cell r="W76">
            <v>0</v>
          </cell>
          <cell r="Y76">
            <v>0</v>
          </cell>
        </row>
        <row r="77">
          <cell r="B77" t="str">
            <v>Total</v>
          </cell>
          <cell r="F77">
            <v>62257560</v>
          </cell>
          <cell r="P77">
            <v>2106443151</v>
          </cell>
          <cell r="Q77">
            <v>0</v>
          </cell>
          <cell r="W77">
            <v>66156089</v>
          </cell>
        </row>
      </sheetData>
      <sheetData sheetId="2">
        <row r="1">
          <cell r="A1" t="str">
            <v>ESE Funding Based on the 2001-02 Matrix Levels</v>
          </cell>
        </row>
        <row r="2">
          <cell r="D2" t="str">
            <v>Program 111- Grades K-3</v>
          </cell>
          <cell r="G2" t="str">
            <v>Program 112- Grades 4-8</v>
          </cell>
          <cell r="J2" t="str">
            <v>Program 113- Grades 9-12</v>
          </cell>
        </row>
        <row r="3">
          <cell r="D3" t="str">
            <v xml:space="preserve">ESE LEVEL 1
</v>
          </cell>
          <cell r="E3" t="str">
            <v xml:space="preserve">ESE LEVEL 2
</v>
          </cell>
          <cell r="F3" t="str">
            <v>ESE LEVEL 3</v>
          </cell>
          <cell r="G3" t="str">
            <v>ESE LEVEL 1</v>
          </cell>
          <cell r="H3" t="str">
            <v>ESE LEVEL 2</v>
          </cell>
          <cell r="I3" t="str">
            <v>ESE LEVEL 3</v>
          </cell>
          <cell r="J3" t="str">
            <v>ESE LEVEL 1</v>
          </cell>
          <cell r="K3" t="str">
            <v>ESE LEVEL 2</v>
          </cell>
          <cell r="L3" t="str">
            <v>ESE LEVEL 3</v>
          </cell>
        </row>
        <row r="6">
          <cell r="A6">
            <v>1</v>
          </cell>
          <cell r="D6">
            <v>975</v>
          </cell>
          <cell r="E6">
            <v>3147</v>
          </cell>
          <cell r="F6">
            <v>6422</v>
          </cell>
          <cell r="G6">
            <v>1093</v>
          </cell>
          <cell r="H6">
            <v>3265</v>
          </cell>
          <cell r="I6">
            <v>6540</v>
          </cell>
          <cell r="J6">
            <v>778</v>
          </cell>
          <cell r="K6">
            <v>2950</v>
          </cell>
          <cell r="L6">
            <v>6225</v>
          </cell>
        </row>
        <row r="7">
          <cell r="A7">
            <v>2</v>
          </cell>
          <cell r="D7">
            <v>947</v>
          </cell>
          <cell r="E7">
            <v>3058</v>
          </cell>
          <cell r="F7">
            <v>6241</v>
          </cell>
          <cell r="G7">
            <v>1062</v>
          </cell>
          <cell r="H7">
            <v>3173</v>
          </cell>
          <cell r="I7">
            <v>6356</v>
          </cell>
          <cell r="J7">
            <v>756</v>
          </cell>
          <cell r="K7">
            <v>2867</v>
          </cell>
          <cell r="L7">
            <v>6050</v>
          </cell>
        </row>
        <row r="8">
          <cell r="A8">
            <v>3</v>
          </cell>
          <cell r="D8">
            <v>973</v>
          </cell>
          <cell r="E8">
            <v>3143</v>
          </cell>
          <cell r="F8">
            <v>6414</v>
          </cell>
          <cell r="G8">
            <v>1091</v>
          </cell>
          <cell r="H8">
            <v>3261</v>
          </cell>
          <cell r="I8">
            <v>6532</v>
          </cell>
          <cell r="J8">
            <v>777</v>
          </cell>
          <cell r="K8">
            <v>2946</v>
          </cell>
          <cell r="L8">
            <v>6217</v>
          </cell>
        </row>
        <row r="9">
          <cell r="A9">
            <v>4</v>
          </cell>
          <cell r="D9">
            <v>943</v>
          </cell>
          <cell r="E9">
            <v>3046</v>
          </cell>
          <cell r="F9">
            <v>6215</v>
          </cell>
          <cell r="G9">
            <v>1058</v>
          </cell>
          <cell r="H9">
            <v>3160</v>
          </cell>
          <cell r="I9">
            <v>6329</v>
          </cell>
          <cell r="J9">
            <v>753</v>
          </cell>
          <cell r="K9">
            <v>2855</v>
          </cell>
          <cell r="L9">
            <v>6025</v>
          </cell>
        </row>
        <row r="10">
          <cell r="A10">
            <v>5</v>
          </cell>
          <cell r="D10">
            <v>996</v>
          </cell>
          <cell r="E10">
            <v>3217</v>
          </cell>
          <cell r="F10">
            <v>6565</v>
          </cell>
          <cell r="G10">
            <v>1117</v>
          </cell>
          <cell r="H10">
            <v>3338</v>
          </cell>
          <cell r="I10">
            <v>6686</v>
          </cell>
          <cell r="J10">
            <v>795</v>
          </cell>
          <cell r="K10">
            <v>3016</v>
          </cell>
          <cell r="L10">
            <v>6364</v>
          </cell>
        </row>
        <row r="11">
          <cell r="A11">
            <v>6</v>
          </cell>
          <cell r="D11">
            <v>1058</v>
          </cell>
          <cell r="E11">
            <v>3418</v>
          </cell>
          <cell r="F11">
            <v>6974</v>
          </cell>
          <cell r="G11">
            <v>1187</v>
          </cell>
          <cell r="H11">
            <v>3546</v>
          </cell>
          <cell r="I11">
            <v>7102</v>
          </cell>
          <cell r="J11">
            <v>845</v>
          </cell>
          <cell r="K11">
            <v>3204</v>
          </cell>
          <cell r="L11">
            <v>6760</v>
          </cell>
        </row>
        <row r="12">
          <cell r="A12">
            <v>7</v>
          </cell>
          <cell r="D12">
            <v>927</v>
          </cell>
          <cell r="E12">
            <v>2992</v>
          </cell>
          <cell r="F12">
            <v>6105</v>
          </cell>
          <cell r="G12">
            <v>1039</v>
          </cell>
          <cell r="H12">
            <v>3104</v>
          </cell>
          <cell r="I12">
            <v>6218</v>
          </cell>
          <cell r="J12">
            <v>739</v>
          </cell>
          <cell r="K12">
            <v>2805</v>
          </cell>
          <cell r="L12">
            <v>5918</v>
          </cell>
        </row>
        <row r="13">
          <cell r="A13">
            <v>8</v>
          </cell>
          <cell r="D13">
            <v>984</v>
          </cell>
          <cell r="E13">
            <v>3177</v>
          </cell>
          <cell r="F13">
            <v>6483</v>
          </cell>
          <cell r="G13">
            <v>1103</v>
          </cell>
          <cell r="H13">
            <v>3296</v>
          </cell>
          <cell r="I13">
            <v>6602</v>
          </cell>
          <cell r="J13">
            <v>785</v>
          </cell>
          <cell r="K13">
            <v>2978</v>
          </cell>
          <cell r="L13">
            <v>6284</v>
          </cell>
        </row>
        <row r="14">
          <cell r="A14">
            <v>9</v>
          </cell>
          <cell r="D14">
            <v>948</v>
          </cell>
          <cell r="E14">
            <v>3062</v>
          </cell>
          <cell r="F14">
            <v>6249</v>
          </cell>
          <cell r="G14">
            <v>1063</v>
          </cell>
          <cell r="H14">
            <v>3177</v>
          </cell>
          <cell r="I14">
            <v>6364</v>
          </cell>
          <cell r="J14">
            <v>757</v>
          </cell>
          <cell r="K14">
            <v>2870</v>
          </cell>
          <cell r="L14">
            <v>6057</v>
          </cell>
        </row>
        <row r="15">
          <cell r="A15">
            <v>10</v>
          </cell>
          <cell r="D15">
            <v>982</v>
          </cell>
          <cell r="E15">
            <v>3170</v>
          </cell>
          <cell r="F15">
            <v>6470</v>
          </cell>
          <cell r="G15">
            <v>1101</v>
          </cell>
          <cell r="H15">
            <v>3290</v>
          </cell>
          <cell r="I15">
            <v>6589</v>
          </cell>
          <cell r="J15">
            <v>784</v>
          </cell>
          <cell r="K15">
            <v>2972</v>
          </cell>
          <cell r="L15">
            <v>6272</v>
          </cell>
        </row>
        <row r="16">
          <cell r="A16">
            <v>11</v>
          </cell>
          <cell r="D16">
            <v>1024</v>
          </cell>
          <cell r="E16">
            <v>3306</v>
          </cell>
          <cell r="F16">
            <v>6746</v>
          </cell>
          <cell r="G16">
            <v>1148</v>
          </cell>
          <cell r="H16">
            <v>3430</v>
          </cell>
          <cell r="I16">
            <v>6870</v>
          </cell>
          <cell r="J16">
            <v>817</v>
          </cell>
          <cell r="K16">
            <v>3099</v>
          </cell>
          <cell r="L16">
            <v>6539</v>
          </cell>
        </row>
        <row r="17">
          <cell r="A17">
            <v>12</v>
          </cell>
          <cell r="D17">
            <v>947</v>
          </cell>
          <cell r="E17">
            <v>3059</v>
          </cell>
          <cell r="F17">
            <v>6243</v>
          </cell>
          <cell r="G17">
            <v>1062</v>
          </cell>
          <cell r="H17">
            <v>3174</v>
          </cell>
          <cell r="I17">
            <v>6357</v>
          </cell>
          <cell r="J17">
            <v>756</v>
          </cell>
          <cell r="K17">
            <v>2868</v>
          </cell>
          <cell r="L17">
            <v>6051</v>
          </cell>
        </row>
        <row r="18">
          <cell r="A18">
            <v>13</v>
          </cell>
          <cell r="D18">
            <v>1070</v>
          </cell>
          <cell r="E18">
            <v>3455</v>
          </cell>
          <cell r="F18">
            <v>7050</v>
          </cell>
          <cell r="G18">
            <v>1200</v>
          </cell>
          <cell r="H18">
            <v>3584</v>
          </cell>
          <cell r="I18">
            <v>7179</v>
          </cell>
          <cell r="J18">
            <v>854</v>
          </cell>
          <cell r="K18">
            <v>3238</v>
          </cell>
          <cell r="L18">
            <v>6833</v>
          </cell>
        </row>
        <row r="19">
          <cell r="A19">
            <v>14</v>
          </cell>
          <cell r="D19">
            <v>951</v>
          </cell>
          <cell r="E19">
            <v>3070</v>
          </cell>
          <cell r="F19">
            <v>6265</v>
          </cell>
          <cell r="G19">
            <v>1066</v>
          </cell>
          <cell r="H19">
            <v>3185</v>
          </cell>
          <cell r="I19">
            <v>6380</v>
          </cell>
          <cell r="J19">
            <v>759</v>
          </cell>
          <cell r="K19">
            <v>2878</v>
          </cell>
          <cell r="L19">
            <v>6073</v>
          </cell>
        </row>
        <row r="20">
          <cell r="A20">
            <v>15</v>
          </cell>
          <cell r="D20">
            <v>949</v>
          </cell>
          <cell r="E20">
            <v>3065</v>
          </cell>
          <cell r="F20">
            <v>6255</v>
          </cell>
          <cell r="G20">
            <v>1064</v>
          </cell>
          <cell r="H20">
            <v>3180</v>
          </cell>
          <cell r="I20">
            <v>6370</v>
          </cell>
          <cell r="J20">
            <v>758</v>
          </cell>
          <cell r="K20">
            <v>2874</v>
          </cell>
          <cell r="L20">
            <v>6063</v>
          </cell>
        </row>
        <row r="21">
          <cell r="A21">
            <v>16</v>
          </cell>
          <cell r="D21">
            <v>994</v>
          </cell>
          <cell r="E21">
            <v>3209</v>
          </cell>
          <cell r="F21">
            <v>6549</v>
          </cell>
          <cell r="G21">
            <v>1114</v>
          </cell>
          <cell r="H21">
            <v>3330</v>
          </cell>
          <cell r="I21">
            <v>6669</v>
          </cell>
          <cell r="J21">
            <v>793</v>
          </cell>
          <cell r="K21">
            <v>3008</v>
          </cell>
          <cell r="L21">
            <v>6348</v>
          </cell>
        </row>
        <row r="22">
          <cell r="A22">
            <v>17</v>
          </cell>
          <cell r="D22">
            <v>966</v>
          </cell>
          <cell r="E22">
            <v>3118</v>
          </cell>
          <cell r="F22">
            <v>6363</v>
          </cell>
          <cell r="G22">
            <v>1083</v>
          </cell>
          <cell r="H22">
            <v>3235</v>
          </cell>
          <cell r="I22">
            <v>6480</v>
          </cell>
          <cell r="J22">
            <v>771</v>
          </cell>
          <cell r="K22">
            <v>2923</v>
          </cell>
          <cell r="L22">
            <v>6168</v>
          </cell>
        </row>
        <row r="23">
          <cell r="A23">
            <v>18</v>
          </cell>
          <cell r="D23">
            <v>975</v>
          </cell>
          <cell r="E23">
            <v>3148</v>
          </cell>
          <cell r="F23">
            <v>6424</v>
          </cell>
          <cell r="G23">
            <v>1093</v>
          </cell>
          <cell r="H23">
            <v>3266</v>
          </cell>
          <cell r="I23">
            <v>6542</v>
          </cell>
          <cell r="J23">
            <v>778</v>
          </cell>
          <cell r="K23">
            <v>2951</v>
          </cell>
          <cell r="L23">
            <v>6227</v>
          </cell>
        </row>
        <row r="24">
          <cell r="A24">
            <v>19</v>
          </cell>
          <cell r="D24">
            <v>975</v>
          </cell>
          <cell r="E24">
            <v>3149</v>
          </cell>
          <cell r="F24">
            <v>6426</v>
          </cell>
          <cell r="G24">
            <v>1094</v>
          </cell>
          <cell r="H24">
            <v>3267</v>
          </cell>
          <cell r="I24">
            <v>6545</v>
          </cell>
          <cell r="J24">
            <v>778</v>
          </cell>
          <cell r="K24">
            <v>2952</v>
          </cell>
          <cell r="L24">
            <v>6229</v>
          </cell>
        </row>
        <row r="25">
          <cell r="A25">
            <v>20</v>
          </cell>
          <cell r="D25">
            <v>954</v>
          </cell>
          <cell r="E25">
            <v>3080</v>
          </cell>
          <cell r="F25">
            <v>6286</v>
          </cell>
          <cell r="G25">
            <v>1070</v>
          </cell>
          <cell r="H25">
            <v>3196</v>
          </cell>
          <cell r="I25">
            <v>6402</v>
          </cell>
          <cell r="J25">
            <v>761</v>
          </cell>
          <cell r="K25">
            <v>2888</v>
          </cell>
          <cell r="L25">
            <v>6093</v>
          </cell>
        </row>
        <row r="26">
          <cell r="A26">
            <v>21</v>
          </cell>
          <cell r="D26">
            <v>950</v>
          </cell>
          <cell r="E26">
            <v>3068</v>
          </cell>
          <cell r="F26">
            <v>6261</v>
          </cell>
          <cell r="G26">
            <v>1065</v>
          </cell>
          <cell r="H26">
            <v>3183</v>
          </cell>
          <cell r="I26">
            <v>6376</v>
          </cell>
          <cell r="J26">
            <v>758</v>
          </cell>
          <cell r="K26">
            <v>2876</v>
          </cell>
          <cell r="L26">
            <v>6069</v>
          </cell>
        </row>
        <row r="27">
          <cell r="A27">
            <v>22</v>
          </cell>
          <cell r="D27">
            <v>975</v>
          </cell>
          <cell r="E27">
            <v>3149</v>
          </cell>
          <cell r="F27">
            <v>6426</v>
          </cell>
          <cell r="G27">
            <v>1094</v>
          </cell>
          <cell r="H27">
            <v>3267</v>
          </cell>
          <cell r="I27">
            <v>6545</v>
          </cell>
          <cell r="J27">
            <v>778</v>
          </cell>
          <cell r="K27">
            <v>2952</v>
          </cell>
          <cell r="L27">
            <v>6229</v>
          </cell>
        </row>
        <row r="28">
          <cell r="A28">
            <v>23</v>
          </cell>
          <cell r="D28">
            <v>952</v>
          </cell>
          <cell r="E28">
            <v>3075</v>
          </cell>
          <cell r="F28">
            <v>6275</v>
          </cell>
          <cell r="G28">
            <v>1068</v>
          </cell>
          <cell r="H28">
            <v>3190</v>
          </cell>
          <cell r="I28">
            <v>6390</v>
          </cell>
          <cell r="J28">
            <v>760</v>
          </cell>
          <cell r="K28">
            <v>2882</v>
          </cell>
          <cell r="L28">
            <v>6082</v>
          </cell>
        </row>
        <row r="29">
          <cell r="A29">
            <v>24</v>
          </cell>
          <cell r="D29">
            <v>947</v>
          </cell>
          <cell r="E29">
            <v>3059</v>
          </cell>
          <cell r="F29">
            <v>6243</v>
          </cell>
          <cell r="G29">
            <v>1062</v>
          </cell>
          <cell r="H29">
            <v>3174</v>
          </cell>
          <cell r="I29">
            <v>6357</v>
          </cell>
          <cell r="J29">
            <v>756</v>
          </cell>
          <cell r="K29">
            <v>2868</v>
          </cell>
          <cell r="L29">
            <v>6051</v>
          </cell>
        </row>
        <row r="30">
          <cell r="A30">
            <v>25</v>
          </cell>
          <cell r="D30">
            <v>946</v>
          </cell>
          <cell r="E30">
            <v>3054</v>
          </cell>
          <cell r="F30">
            <v>6233</v>
          </cell>
          <cell r="G30">
            <v>1061</v>
          </cell>
          <cell r="H30">
            <v>3169</v>
          </cell>
          <cell r="I30">
            <v>6348</v>
          </cell>
          <cell r="J30">
            <v>755</v>
          </cell>
          <cell r="K30">
            <v>2863</v>
          </cell>
          <cell r="L30">
            <v>6042</v>
          </cell>
        </row>
        <row r="31">
          <cell r="A31">
            <v>26</v>
          </cell>
          <cell r="D31">
            <v>968</v>
          </cell>
          <cell r="E31">
            <v>3125</v>
          </cell>
          <cell r="F31">
            <v>6376</v>
          </cell>
          <cell r="G31">
            <v>1085</v>
          </cell>
          <cell r="H31">
            <v>3242</v>
          </cell>
          <cell r="I31">
            <v>6494</v>
          </cell>
          <cell r="J31">
            <v>772</v>
          </cell>
          <cell r="K31">
            <v>2929</v>
          </cell>
          <cell r="L31">
            <v>6181</v>
          </cell>
        </row>
        <row r="32">
          <cell r="A32">
            <v>27</v>
          </cell>
          <cell r="D32">
            <v>961</v>
          </cell>
          <cell r="E32">
            <v>3102</v>
          </cell>
          <cell r="F32">
            <v>6330</v>
          </cell>
          <cell r="G32">
            <v>1077</v>
          </cell>
          <cell r="H32">
            <v>3218</v>
          </cell>
          <cell r="I32">
            <v>6447</v>
          </cell>
          <cell r="J32">
            <v>767</v>
          </cell>
          <cell r="K32">
            <v>2908</v>
          </cell>
          <cell r="L32">
            <v>6136</v>
          </cell>
        </row>
        <row r="33">
          <cell r="A33">
            <v>28</v>
          </cell>
          <cell r="D33">
            <v>964</v>
          </cell>
          <cell r="E33">
            <v>3114</v>
          </cell>
          <cell r="F33">
            <v>6355</v>
          </cell>
          <cell r="G33">
            <v>1081</v>
          </cell>
          <cell r="H33">
            <v>3231</v>
          </cell>
          <cell r="I33">
            <v>6472</v>
          </cell>
          <cell r="J33">
            <v>770</v>
          </cell>
          <cell r="K33">
            <v>2919</v>
          </cell>
          <cell r="L33">
            <v>6160</v>
          </cell>
        </row>
        <row r="34">
          <cell r="A34">
            <v>29</v>
          </cell>
          <cell r="D34">
            <v>1016</v>
          </cell>
          <cell r="E34">
            <v>3282</v>
          </cell>
          <cell r="F34">
            <v>6697</v>
          </cell>
          <cell r="G34">
            <v>1139</v>
          </cell>
          <cell r="H34">
            <v>3405</v>
          </cell>
          <cell r="I34">
            <v>6820</v>
          </cell>
          <cell r="J34">
            <v>811</v>
          </cell>
          <cell r="K34">
            <v>3076</v>
          </cell>
          <cell r="L34">
            <v>6491</v>
          </cell>
        </row>
        <row r="35">
          <cell r="A35">
            <v>30</v>
          </cell>
          <cell r="D35">
            <v>946</v>
          </cell>
          <cell r="E35">
            <v>3056</v>
          </cell>
          <cell r="F35">
            <v>6237</v>
          </cell>
          <cell r="G35">
            <v>1061</v>
          </cell>
          <cell r="H35">
            <v>3171</v>
          </cell>
          <cell r="I35">
            <v>6351</v>
          </cell>
          <cell r="J35">
            <v>755</v>
          </cell>
          <cell r="K35">
            <v>2865</v>
          </cell>
          <cell r="L35">
            <v>6045</v>
          </cell>
        </row>
        <row r="36">
          <cell r="A36">
            <v>31</v>
          </cell>
          <cell r="D36">
            <v>999</v>
          </cell>
          <cell r="E36">
            <v>3227</v>
          </cell>
          <cell r="F36">
            <v>6586</v>
          </cell>
          <cell r="G36">
            <v>1121</v>
          </cell>
          <cell r="H36">
            <v>3348</v>
          </cell>
          <cell r="I36">
            <v>6707</v>
          </cell>
          <cell r="J36">
            <v>798</v>
          </cell>
          <cell r="K36">
            <v>3025</v>
          </cell>
          <cell r="L36">
            <v>6384</v>
          </cell>
        </row>
        <row r="37">
          <cell r="A37">
            <v>32</v>
          </cell>
          <cell r="D37">
            <v>934</v>
          </cell>
          <cell r="E37">
            <v>3015</v>
          </cell>
          <cell r="F37">
            <v>6154</v>
          </cell>
          <cell r="G37">
            <v>1047</v>
          </cell>
          <cell r="H37">
            <v>3129</v>
          </cell>
          <cell r="I37">
            <v>6267</v>
          </cell>
          <cell r="J37">
            <v>745</v>
          </cell>
          <cell r="K37">
            <v>2827</v>
          </cell>
          <cell r="L37">
            <v>5965</v>
          </cell>
        </row>
        <row r="38">
          <cell r="A38">
            <v>33</v>
          </cell>
          <cell r="D38">
            <v>969</v>
          </cell>
          <cell r="E38">
            <v>3129</v>
          </cell>
          <cell r="F38">
            <v>6385</v>
          </cell>
          <cell r="G38">
            <v>1086</v>
          </cell>
          <cell r="H38">
            <v>3246</v>
          </cell>
          <cell r="I38">
            <v>6502</v>
          </cell>
          <cell r="J38">
            <v>773</v>
          </cell>
          <cell r="K38">
            <v>2933</v>
          </cell>
          <cell r="L38">
            <v>6189</v>
          </cell>
        </row>
        <row r="39">
          <cell r="A39">
            <v>34</v>
          </cell>
          <cell r="D39">
            <v>952</v>
          </cell>
          <cell r="E39">
            <v>3074</v>
          </cell>
          <cell r="F39">
            <v>6273</v>
          </cell>
          <cell r="G39">
            <v>1067</v>
          </cell>
          <cell r="H39">
            <v>3190</v>
          </cell>
          <cell r="I39">
            <v>6389</v>
          </cell>
          <cell r="J39">
            <v>760</v>
          </cell>
          <cell r="K39">
            <v>2882</v>
          </cell>
          <cell r="L39">
            <v>6081</v>
          </cell>
        </row>
        <row r="40">
          <cell r="A40">
            <v>35</v>
          </cell>
          <cell r="D40">
            <v>974</v>
          </cell>
          <cell r="E40">
            <v>3144</v>
          </cell>
          <cell r="F40">
            <v>6416</v>
          </cell>
          <cell r="G40">
            <v>1092</v>
          </cell>
          <cell r="H40">
            <v>3262</v>
          </cell>
          <cell r="I40">
            <v>6534</v>
          </cell>
          <cell r="J40">
            <v>777</v>
          </cell>
          <cell r="K40">
            <v>2947</v>
          </cell>
          <cell r="L40">
            <v>6219</v>
          </cell>
        </row>
        <row r="41">
          <cell r="A41">
            <v>36</v>
          </cell>
          <cell r="D41">
            <v>992</v>
          </cell>
          <cell r="E41">
            <v>3203</v>
          </cell>
          <cell r="F41">
            <v>6535</v>
          </cell>
          <cell r="G41">
            <v>1112</v>
          </cell>
          <cell r="H41">
            <v>3323</v>
          </cell>
          <cell r="I41">
            <v>6656</v>
          </cell>
          <cell r="J41">
            <v>791</v>
          </cell>
          <cell r="K41">
            <v>3002</v>
          </cell>
          <cell r="L41">
            <v>6335</v>
          </cell>
        </row>
        <row r="42">
          <cell r="A42">
            <v>37</v>
          </cell>
          <cell r="D42">
            <v>986</v>
          </cell>
          <cell r="E42">
            <v>3184</v>
          </cell>
          <cell r="F42">
            <v>6498</v>
          </cell>
          <cell r="G42">
            <v>1106</v>
          </cell>
          <cell r="H42">
            <v>3304</v>
          </cell>
          <cell r="I42">
            <v>6618</v>
          </cell>
          <cell r="J42">
            <v>787</v>
          </cell>
          <cell r="K42">
            <v>2985</v>
          </cell>
          <cell r="L42">
            <v>6299</v>
          </cell>
        </row>
        <row r="43">
          <cell r="A43">
            <v>38</v>
          </cell>
          <cell r="D43">
            <v>946</v>
          </cell>
          <cell r="E43">
            <v>3054</v>
          </cell>
          <cell r="F43">
            <v>6231</v>
          </cell>
          <cell r="G43">
            <v>1060</v>
          </cell>
          <cell r="H43">
            <v>3168</v>
          </cell>
          <cell r="I43">
            <v>6346</v>
          </cell>
          <cell r="J43">
            <v>755</v>
          </cell>
          <cell r="K43">
            <v>2862</v>
          </cell>
          <cell r="L43">
            <v>6040</v>
          </cell>
        </row>
        <row r="44">
          <cell r="A44">
            <v>39</v>
          </cell>
          <cell r="D44">
            <v>942</v>
          </cell>
          <cell r="E44">
            <v>3042</v>
          </cell>
          <cell r="F44">
            <v>6208</v>
          </cell>
          <cell r="G44">
            <v>1056</v>
          </cell>
          <cell r="H44">
            <v>3156</v>
          </cell>
          <cell r="I44">
            <v>6322</v>
          </cell>
          <cell r="J44">
            <v>752</v>
          </cell>
          <cell r="K44">
            <v>2852</v>
          </cell>
          <cell r="L44">
            <v>6017</v>
          </cell>
        </row>
        <row r="45">
          <cell r="A45">
            <v>40</v>
          </cell>
          <cell r="D45">
            <v>950</v>
          </cell>
          <cell r="E45">
            <v>3068</v>
          </cell>
          <cell r="F45">
            <v>6261</v>
          </cell>
          <cell r="G45">
            <v>1065</v>
          </cell>
          <cell r="H45">
            <v>3183</v>
          </cell>
          <cell r="I45">
            <v>6376</v>
          </cell>
          <cell r="J45">
            <v>758</v>
          </cell>
          <cell r="K45">
            <v>2876</v>
          </cell>
          <cell r="L45">
            <v>6069</v>
          </cell>
        </row>
        <row r="46">
          <cell r="A46">
            <v>41</v>
          </cell>
          <cell r="D46">
            <v>1011</v>
          </cell>
          <cell r="E46">
            <v>3266</v>
          </cell>
          <cell r="F46">
            <v>6664</v>
          </cell>
          <cell r="G46">
            <v>1134</v>
          </cell>
          <cell r="H46">
            <v>3388</v>
          </cell>
          <cell r="I46">
            <v>6787</v>
          </cell>
          <cell r="J46">
            <v>807</v>
          </cell>
          <cell r="K46">
            <v>3062</v>
          </cell>
          <cell r="L46">
            <v>6460</v>
          </cell>
        </row>
        <row r="47">
          <cell r="A47">
            <v>42</v>
          </cell>
          <cell r="D47">
            <v>962</v>
          </cell>
          <cell r="E47">
            <v>3107</v>
          </cell>
          <cell r="F47">
            <v>6341</v>
          </cell>
          <cell r="G47">
            <v>1079</v>
          </cell>
          <cell r="H47">
            <v>3224</v>
          </cell>
          <cell r="I47">
            <v>6457</v>
          </cell>
          <cell r="J47">
            <v>768</v>
          </cell>
          <cell r="K47">
            <v>2913</v>
          </cell>
          <cell r="L47">
            <v>6146</v>
          </cell>
        </row>
        <row r="48">
          <cell r="A48">
            <v>43</v>
          </cell>
          <cell r="D48">
            <v>1008</v>
          </cell>
          <cell r="E48">
            <v>3255</v>
          </cell>
          <cell r="F48">
            <v>6643</v>
          </cell>
          <cell r="G48">
            <v>1130</v>
          </cell>
          <cell r="H48">
            <v>3378</v>
          </cell>
          <cell r="I48">
            <v>6765</v>
          </cell>
          <cell r="J48">
            <v>805</v>
          </cell>
          <cell r="K48">
            <v>3052</v>
          </cell>
          <cell r="L48">
            <v>6439</v>
          </cell>
        </row>
        <row r="49">
          <cell r="A49">
            <v>44</v>
          </cell>
          <cell r="D49">
            <v>1098</v>
          </cell>
          <cell r="E49">
            <v>3545</v>
          </cell>
          <cell r="F49">
            <v>7233</v>
          </cell>
          <cell r="G49">
            <v>1231</v>
          </cell>
          <cell r="H49">
            <v>3678</v>
          </cell>
          <cell r="I49">
            <v>7367</v>
          </cell>
          <cell r="J49">
            <v>876</v>
          </cell>
          <cell r="K49">
            <v>3323</v>
          </cell>
          <cell r="L49">
            <v>7012</v>
          </cell>
        </row>
        <row r="50">
          <cell r="A50">
            <v>45</v>
          </cell>
          <cell r="D50">
            <v>964</v>
          </cell>
          <cell r="E50">
            <v>3112</v>
          </cell>
          <cell r="F50">
            <v>6351</v>
          </cell>
          <cell r="G50">
            <v>1081</v>
          </cell>
          <cell r="H50">
            <v>3229</v>
          </cell>
          <cell r="I50">
            <v>6468</v>
          </cell>
          <cell r="J50">
            <v>769</v>
          </cell>
          <cell r="K50">
            <v>2917</v>
          </cell>
          <cell r="L50">
            <v>6156</v>
          </cell>
        </row>
        <row r="51">
          <cell r="A51">
            <v>46</v>
          </cell>
          <cell r="D51">
            <v>977</v>
          </cell>
          <cell r="E51">
            <v>3154</v>
          </cell>
          <cell r="F51">
            <v>6437</v>
          </cell>
          <cell r="G51">
            <v>1095</v>
          </cell>
          <cell r="H51">
            <v>3273</v>
          </cell>
          <cell r="I51">
            <v>6556</v>
          </cell>
          <cell r="J51">
            <v>780</v>
          </cell>
          <cell r="K51">
            <v>2957</v>
          </cell>
          <cell r="L51">
            <v>6240</v>
          </cell>
        </row>
        <row r="52">
          <cell r="A52">
            <v>47</v>
          </cell>
          <cell r="D52">
            <v>973</v>
          </cell>
          <cell r="E52">
            <v>3142</v>
          </cell>
          <cell r="F52">
            <v>6412</v>
          </cell>
          <cell r="G52">
            <v>1091</v>
          </cell>
          <cell r="H52">
            <v>3260</v>
          </cell>
          <cell r="I52">
            <v>6530</v>
          </cell>
          <cell r="J52">
            <v>777</v>
          </cell>
          <cell r="K52">
            <v>2946</v>
          </cell>
          <cell r="L52">
            <v>6216</v>
          </cell>
        </row>
        <row r="53">
          <cell r="A53">
            <v>48</v>
          </cell>
          <cell r="D53">
            <v>1015</v>
          </cell>
          <cell r="E53">
            <v>3278</v>
          </cell>
          <cell r="F53">
            <v>6689</v>
          </cell>
          <cell r="G53">
            <v>1138</v>
          </cell>
          <cell r="H53">
            <v>3401</v>
          </cell>
          <cell r="I53">
            <v>6812</v>
          </cell>
          <cell r="J53">
            <v>810</v>
          </cell>
          <cell r="K53">
            <v>3073</v>
          </cell>
          <cell r="L53">
            <v>6483</v>
          </cell>
        </row>
        <row r="54">
          <cell r="A54">
            <v>49</v>
          </cell>
          <cell r="D54">
            <v>982</v>
          </cell>
          <cell r="E54">
            <v>3170</v>
          </cell>
          <cell r="F54">
            <v>6470</v>
          </cell>
          <cell r="G54">
            <v>1101</v>
          </cell>
          <cell r="H54">
            <v>3290</v>
          </cell>
          <cell r="I54">
            <v>6589</v>
          </cell>
          <cell r="J54">
            <v>784</v>
          </cell>
          <cell r="K54">
            <v>2972</v>
          </cell>
          <cell r="L54">
            <v>6272</v>
          </cell>
        </row>
        <row r="55">
          <cell r="A55">
            <v>50</v>
          </cell>
          <cell r="D55">
            <v>1047</v>
          </cell>
          <cell r="E55">
            <v>3380</v>
          </cell>
          <cell r="F55">
            <v>6896</v>
          </cell>
          <cell r="G55">
            <v>1173</v>
          </cell>
          <cell r="H55">
            <v>3506</v>
          </cell>
          <cell r="I55">
            <v>7023</v>
          </cell>
          <cell r="J55">
            <v>835</v>
          </cell>
          <cell r="K55">
            <v>3168</v>
          </cell>
          <cell r="L55">
            <v>6685</v>
          </cell>
        </row>
        <row r="56">
          <cell r="A56">
            <v>51</v>
          </cell>
          <cell r="D56">
            <v>974</v>
          </cell>
          <cell r="E56">
            <v>3145</v>
          </cell>
          <cell r="F56">
            <v>6418</v>
          </cell>
          <cell r="G56">
            <v>1092</v>
          </cell>
          <cell r="H56">
            <v>3263</v>
          </cell>
          <cell r="I56">
            <v>6536</v>
          </cell>
          <cell r="J56">
            <v>777</v>
          </cell>
          <cell r="K56">
            <v>2948</v>
          </cell>
          <cell r="L56">
            <v>6221</v>
          </cell>
        </row>
        <row r="57">
          <cell r="A57">
            <v>52</v>
          </cell>
          <cell r="D57">
            <v>1039</v>
          </cell>
          <cell r="E57">
            <v>3355</v>
          </cell>
          <cell r="F57">
            <v>6847</v>
          </cell>
          <cell r="G57">
            <v>1165</v>
          </cell>
          <cell r="H57">
            <v>3481</v>
          </cell>
          <cell r="I57">
            <v>6973</v>
          </cell>
          <cell r="J57">
            <v>829</v>
          </cell>
          <cell r="K57">
            <v>3145</v>
          </cell>
          <cell r="L57">
            <v>6637</v>
          </cell>
        </row>
        <row r="58">
          <cell r="A58">
            <v>53</v>
          </cell>
          <cell r="D58">
            <v>978</v>
          </cell>
          <cell r="E58">
            <v>3159</v>
          </cell>
          <cell r="F58">
            <v>6446</v>
          </cell>
          <cell r="G58">
            <v>1097</v>
          </cell>
          <cell r="H58">
            <v>3278</v>
          </cell>
          <cell r="I58">
            <v>6565</v>
          </cell>
          <cell r="J58">
            <v>781</v>
          </cell>
          <cell r="K58">
            <v>2961</v>
          </cell>
          <cell r="L58">
            <v>6249</v>
          </cell>
        </row>
        <row r="59">
          <cell r="A59">
            <v>54</v>
          </cell>
          <cell r="D59">
            <v>954</v>
          </cell>
          <cell r="E59">
            <v>3079</v>
          </cell>
          <cell r="F59">
            <v>6283</v>
          </cell>
          <cell r="G59">
            <v>1069</v>
          </cell>
          <cell r="H59">
            <v>3195</v>
          </cell>
          <cell r="I59">
            <v>6399</v>
          </cell>
          <cell r="J59">
            <v>761</v>
          </cell>
          <cell r="K59">
            <v>2886</v>
          </cell>
          <cell r="L59">
            <v>6091</v>
          </cell>
        </row>
        <row r="60">
          <cell r="A60">
            <v>55</v>
          </cell>
          <cell r="D60">
            <v>994</v>
          </cell>
          <cell r="E60">
            <v>3208</v>
          </cell>
          <cell r="F60">
            <v>6547</v>
          </cell>
          <cell r="G60">
            <v>1114</v>
          </cell>
          <cell r="H60">
            <v>3329</v>
          </cell>
          <cell r="I60">
            <v>6668</v>
          </cell>
          <cell r="J60">
            <v>793</v>
          </cell>
          <cell r="K60">
            <v>3008</v>
          </cell>
          <cell r="L60">
            <v>6347</v>
          </cell>
        </row>
        <row r="61">
          <cell r="A61">
            <v>56</v>
          </cell>
          <cell r="D61">
            <v>978</v>
          </cell>
          <cell r="E61">
            <v>3158</v>
          </cell>
          <cell r="F61">
            <v>6444</v>
          </cell>
          <cell r="G61">
            <v>1097</v>
          </cell>
          <cell r="H61">
            <v>3277</v>
          </cell>
          <cell r="I61">
            <v>6563</v>
          </cell>
          <cell r="J61">
            <v>780</v>
          </cell>
          <cell r="K61">
            <v>2960</v>
          </cell>
          <cell r="L61">
            <v>6247</v>
          </cell>
        </row>
        <row r="62">
          <cell r="A62">
            <v>57</v>
          </cell>
          <cell r="D62">
            <v>952</v>
          </cell>
          <cell r="E62">
            <v>3074</v>
          </cell>
          <cell r="F62">
            <v>6273</v>
          </cell>
          <cell r="G62">
            <v>1067</v>
          </cell>
          <cell r="H62">
            <v>3190</v>
          </cell>
          <cell r="I62">
            <v>6389</v>
          </cell>
          <cell r="J62">
            <v>760</v>
          </cell>
          <cell r="K62">
            <v>2882</v>
          </cell>
          <cell r="L62">
            <v>6081</v>
          </cell>
        </row>
        <row r="63">
          <cell r="A63">
            <v>58</v>
          </cell>
          <cell r="D63">
            <v>1028</v>
          </cell>
          <cell r="E63">
            <v>3318</v>
          </cell>
          <cell r="F63">
            <v>6771</v>
          </cell>
          <cell r="G63">
            <v>1152</v>
          </cell>
          <cell r="H63">
            <v>3442</v>
          </cell>
          <cell r="I63">
            <v>6895</v>
          </cell>
          <cell r="J63">
            <v>820</v>
          </cell>
          <cell r="K63">
            <v>3110</v>
          </cell>
          <cell r="L63">
            <v>6563</v>
          </cell>
        </row>
        <row r="64">
          <cell r="A64">
            <v>59</v>
          </cell>
          <cell r="D64">
            <v>1009</v>
          </cell>
          <cell r="E64">
            <v>3258</v>
          </cell>
          <cell r="F64">
            <v>6648</v>
          </cell>
          <cell r="G64">
            <v>1131</v>
          </cell>
          <cell r="H64">
            <v>3380</v>
          </cell>
          <cell r="I64">
            <v>6771</v>
          </cell>
          <cell r="J64">
            <v>805</v>
          </cell>
          <cell r="K64">
            <v>3054</v>
          </cell>
          <cell r="L64">
            <v>6445</v>
          </cell>
        </row>
        <row r="65">
          <cell r="A65">
            <v>60</v>
          </cell>
          <cell r="D65">
            <v>936</v>
          </cell>
          <cell r="E65">
            <v>3021</v>
          </cell>
          <cell r="F65">
            <v>6164</v>
          </cell>
          <cell r="G65">
            <v>1049</v>
          </cell>
          <cell r="H65">
            <v>3134</v>
          </cell>
          <cell r="I65">
            <v>6278</v>
          </cell>
          <cell r="J65">
            <v>747</v>
          </cell>
          <cell r="K65">
            <v>2832</v>
          </cell>
          <cell r="L65">
            <v>5975</v>
          </cell>
        </row>
        <row r="66">
          <cell r="A66">
            <v>61</v>
          </cell>
          <cell r="D66">
            <v>943</v>
          </cell>
          <cell r="E66">
            <v>3045</v>
          </cell>
          <cell r="F66">
            <v>6214</v>
          </cell>
          <cell r="G66">
            <v>1057</v>
          </cell>
          <cell r="H66">
            <v>3159</v>
          </cell>
          <cell r="I66">
            <v>6328</v>
          </cell>
          <cell r="J66">
            <v>753</v>
          </cell>
          <cell r="K66">
            <v>2854</v>
          </cell>
          <cell r="L66">
            <v>6023</v>
          </cell>
        </row>
        <row r="67">
          <cell r="A67">
            <v>62</v>
          </cell>
          <cell r="D67">
            <v>964</v>
          </cell>
          <cell r="E67">
            <v>3112</v>
          </cell>
          <cell r="F67">
            <v>6352</v>
          </cell>
          <cell r="G67">
            <v>1081</v>
          </cell>
          <cell r="H67">
            <v>3229</v>
          </cell>
          <cell r="I67">
            <v>6468</v>
          </cell>
          <cell r="J67">
            <v>769</v>
          </cell>
          <cell r="K67">
            <v>2918</v>
          </cell>
          <cell r="L67">
            <v>6157</v>
          </cell>
        </row>
        <row r="68">
          <cell r="A68">
            <v>63</v>
          </cell>
          <cell r="D68">
            <v>945</v>
          </cell>
          <cell r="E68">
            <v>3052</v>
          </cell>
          <cell r="F68">
            <v>6228</v>
          </cell>
          <cell r="G68">
            <v>1060</v>
          </cell>
          <cell r="H68">
            <v>3166</v>
          </cell>
          <cell r="I68">
            <v>6342</v>
          </cell>
          <cell r="J68">
            <v>754</v>
          </cell>
          <cell r="K68">
            <v>2861</v>
          </cell>
          <cell r="L68">
            <v>6037</v>
          </cell>
        </row>
        <row r="69">
          <cell r="A69">
            <v>64</v>
          </cell>
          <cell r="D69">
            <v>979</v>
          </cell>
          <cell r="E69">
            <v>3161</v>
          </cell>
          <cell r="F69">
            <v>6451</v>
          </cell>
          <cell r="G69">
            <v>1098</v>
          </cell>
          <cell r="H69">
            <v>3280</v>
          </cell>
          <cell r="I69">
            <v>6569</v>
          </cell>
          <cell r="J69">
            <v>781</v>
          </cell>
          <cell r="K69">
            <v>2963</v>
          </cell>
          <cell r="L69">
            <v>6253</v>
          </cell>
        </row>
        <row r="70">
          <cell r="A70">
            <v>65</v>
          </cell>
          <cell r="D70">
            <v>957</v>
          </cell>
          <cell r="E70">
            <v>3090</v>
          </cell>
          <cell r="F70">
            <v>6305</v>
          </cell>
          <cell r="G70">
            <v>1073</v>
          </cell>
          <cell r="H70">
            <v>3206</v>
          </cell>
          <cell r="I70">
            <v>6421</v>
          </cell>
          <cell r="J70">
            <v>764</v>
          </cell>
          <cell r="K70">
            <v>2897</v>
          </cell>
          <cell r="L70">
            <v>6112</v>
          </cell>
        </row>
        <row r="71">
          <cell r="A71">
            <v>66</v>
          </cell>
          <cell r="D71">
            <v>951</v>
          </cell>
          <cell r="E71">
            <v>3071</v>
          </cell>
          <cell r="F71">
            <v>6267</v>
          </cell>
          <cell r="G71">
            <v>1066</v>
          </cell>
          <cell r="H71">
            <v>3186</v>
          </cell>
          <cell r="I71">
            <v>6382</v>
          </cell>
          <cell r="J71">
            <v>759</v>
          </cell>
          <cell r="K71">
            <v>2879</v>
          </cell>
          <cell r="L71">
            <v>6074</v>
          </cell>
        </row>
        <row r="72">
          <cell r="A72">
            <v>67</v>
          </cell>
          <cell r="D72">
            <v>923</v>
          </cell>
          <cell r="E72">
            <v>2981</v>
          </cell>
          <cell r="F72">
            <v>6083</v>
          </cell>
          <cell r="G72">
            <v>1035</v>
          </cell>
          <cell r="H72">
            <v>3093</v>
          </cell>
          <cell r="I72">
            <v>6195</v>
          </cell>
          <cell r="J72">
            <v>737</v>
          </cell>
          <cell r="K72">
            <v>2794</v>
          </cell>
          <cell r="L72">
            <v>5896</v>
          </cell>
        </row>
        <row r="73">
          <cell r="A73">
            <v>68</v>
          </cell>
          <cell r="D73">
            <v>923</v>
          </cell>
          <cell r="E73">
            <v>2981</v>
          </cell>
          <cell r="F73">
            <v>6083</v>
          </cell>
          <cell r="G73">
            <v>1035</v>
          </cell>
          <cell r="H73">
            <v>3093</v>
          </cell>
          <cell r="I73">
            <v>6195</v>
          </cell>
          <cell r="J73">
            <v>737</v>
          </cell>
          <cell r="K73">
            <v>2794</v>
          </cell>
          <cell r="L73">
            <v>5896</v>
          </cell>
        </row>
        <row r="74">
          <cell r="A74">
            <v>69</v>
          </cell>
          <cell r="D74">
            <v>986</v>
          </cell>
          <cell r="E74">
            <v>3184</v>
          </cell>
          <cell r="F74">
            <v>6498</v>
          </cell>
          <cell r="G74">
            <v>1106</v>
          </cell>
          <cell r="H74">
            <v>3304</v>
          </cell>
          <cell r="I74">
            <v>6618</v>
          </cell>
          <cell r="J74">
            <v>787</v>
          </cell>
          <cell r="K74">
            <v>2985</v>
          </cell>
          <cell r="L74">
            <v>6299</v>
          </cell>
        </row>
        <row r="75">
          <cell r="A75">
            <v>70</v>
          </cell>
          <cell r="D75">
            <v>1047</v>
          </cell>
          <cell r="E75">
            <v>3380</v>
          </cell>
          <cell r="F75">
            <v>6896</v>
          </cell>
          <cell r="G75">
            <v>1173</v>
          </cell>
          <cell r="H75">
            <v>3506</v>
          </cell>
          <cell r="I75">
            <v>7023</v>
          </cell>
          <cell r="J75">
            <v>835</v>
          </cell>
          <cell r="K75">
            <v>3168</v>
          </cell>
          <cell r="L75">
            <v>6685</v>
          </cell>
        </row>
        <row r="76">
          <cell r="A76">
            <v>71</v>
          </cell>
          <cell r="D76">
            <v>978</v>
          </cell>
          <cell r="E76">
            <v>3158</v>
          </cell>
          <cell r="F76">
            <v>6444</v>
          </cell>
          <cell r="G76">
            <v>1097</v>
          </cell>
          <cell r="H76">
            <v>3277</v>
          </cell>
          <cell r="I76">
            <v>6563</v>
          </cell>
          <cell r="J76">
            <v>780</v>
          </cell>
          <cell r="K76">
            <v>2960</v>
          </cell>
          <cell r="L76">
            <v>6247</v>
          </cell>
        </row>
        <row r="77">
          <cell r="A77">
            <v>72</v>
          </cell>
          <cell r="D77">
            <v>1058</v>
          </cell>
          <cell r="E77">
            <v>3418</v>
          </cell>
          <cell r="F77">
            <v>6974</v>
          </cell>
          <cell r="G77">
            <v>1187</v>
          </cell>
          <cell r="H77">
            <v>3546</v>
          </cell>
          <cell r="I77">
            <v>7102</v>
          </cell>
          <cell r="J77">
            <v>845</v>
          </cell>
          <cell r="K77">
            <v>3204</v>
          </cell>
          <cell r="L77">
            <v>6760</v>
          </cell>
        </row>
        <row r="78">
          <cell r="A78">
            <v>73</v>
          </cell>
          <cell r="D78">
            <v>986</v>
          </cell>
          <cell r="E78">
            <v>3184</v>
          </cell>
          <cell r="F78">
            <v>6498</v>
          </cell>
          <cell r="G78">
            <v>1106</v>
          </cell>
          <cell r="H78">
            <v>3304</v>
          </cell>
          <cell r="I78">
            <v>6618</v>
          </cell>
          <cell r="J78">
            <v>787</v>
          </cell>
          <cell r="K78">
            <v>2985</v>
          </cell>
          <cell r="L78">
            <v>6299</v>
          </cell>
        </row>
        <row r="79">
          <cell r="A79">
            <v>74</v>
          </cell>
          <cell r="D79">
            <v>975</v>
          </cell>
          <cell r="E79">
            <v>3147</v>
          </cell>
          <cell r="F79">
            <v>6422</v>
          </cell>
          <cell r="G79">
            <v>1093</v>
          </cell>
          <cell r="H79">
            <v>3265</v>
          </cell>
          <cell r="I79">
            <v>6540</v>
          </cell>
          <cell r="J79">
            <v>778</v>
          </cell>
          <cell r="K79">
            <v>2950</v>
          </cell>
          <cell r="L79">
            <v>6225</v>
          </cell>
        </row>
        <row r="80">
          <cell r="A80">
            <v>75</v>
          </cell>
          <cell r="D80">
            <v>1015</v>
          </cell>
          <cell r="E80">
            <v>3277</v>
          </cell>
          <cell r="F80">
            <v>6687</v>
          </cell>
          <cell r="G80">
            <v>1138</v>
          </cell>
          <cell r="H80">
            <v>3400</v>
          </cell>
          <cell r="I80">
            <v>6810</v>
          </cell>
          <cell r="J80">
            <v>810</v>
          </cell>
          <cell r="K80">
            <v>3072</v>
          </cell>
          <cell r="L80">
            <v>6482</v>
          </cell>
        </row>
      </sheetData>
      <sheetData sheetId="3">
        <row r="2">
          <cell r="B2" t="str">
            <v>2022-23 Transportation Calculation</v>
          </cell>
        </row>
        <row r="3">
          <cell r="B3" t="str">
            <v>Funding Per Student</v>
          </cell>
        </row>
        <row r="6">
          <cell r="J6" t="str">
            <v xml:space="preserve">Allocation </v>
          </cell>
        </row>
        <row r="7">
          <cell r="J7" t="str">
            <v>per ESE</v>
          </cell>
        </row>
        <row r="8">
          <cell r="J8" t="str">
            <v>Student</v>
          </cell>
        </row>
        <row r="9">
          <cell r="J9" t="str">
            <v>-6-</v>
          </cell>
        </row>
        <row r="10">
          <cell r="B10">
            <v>1</v>
          </cell>
          <cell r="F10">
            <v>550</v>
          </cell>
          <cell r="J10">
            <v>1684</v>
          </cell>
        </row>
        <row r="11">
          <cell r="B11">
            <v>2</v>
          </cell>
          <cell r="F11">
            <v>576</v>
          </cell>
          <cell r="J11">
            <v>1763</v>
          </cell>
        </row>
        <row r="12">
          <cell r="B12">
            <v>3</v>
          </cell>
          <cell r="F12">
            <v>531</v>
          </cell>
          <cell r="J12">
            <v>1627</v>
          </cell>
        </row>
        <row r="13">
          <cell r="B13">
            <v>4</v>
          </cell>
          <cell r="F13">
            <v>568</v>
          </cell>
          <cell r="J13">
            <v>1739</v>
          </cell>
        </row>
        <row r="14">
          <cell r="B14">
            <v>5</v>
          </cell>
          <cell r="F14">
            <v>549</v>
          </cell>
          <cell r="J14">
            <v>1680</v>
          </cell>
        </row>
        <row r="15">
          <cell r="B15">
            <v>6</v>
          </cell>
          <cell r="F15">
            <v>520</v>
          </cell>
          <cell r="J15">
            <v>1591</v>
          </cell>
        </row>
        <row r="16">
          <cell r="B16">
            <v>7</v>
          </cell>
          <cell r="F16">
            <v>545</v>
          </cell>
          <cell r="J16">
            <v>1669</v>
          </cell>
        </row>
        <row r="17">
          <cell r="B17">
            <v>8</v>
          </cell>
          <cell r="F17">
            <v>527</v>
          </cell>
          <cell r="J17">
            <v>1614</v>
          </cell>
        </row>
        <row r="18">
          <cell r="B18">
            <v>9</v>
          </cell>
          <cell r="F18">
            <v>553</v>
          </cell>
          <cell r="J18">
            <v>1693</v>
          </cell>
        </row>
        <row r="19">
          <cell r="B19">
            <v>10</v>
          </cell>
          <cell r="F19">
            <v>563</v>
          </cell>
          <cell r="J19">
            <v>1723</v>
          </cell>
        </row>
        <row r="20">
          <cell r="B20">
            <v>11</v>
          </cell>
          <cell r="F20">
            <v>534</v>
          </cell>
          <cell r="J20">
            <v>1636</v>
          </cell>
        </row>
        <row r="21">
          <cell r="B21">
            <v>12</v>
          </cell>
          <cell r="F21">
            <v>578</v>
          </cell>
          <cell r="J21">
            <v>1770</v>
          </cell>
        </row>
        <row r="22">
          <cell r="B22">
            <v>13</v>
          </cell>
          <cell r="F22">
            <v>489</v>
          </cell>
          <cell r="J22">
            <v>1498</v>
          </cell>
        </row>
        <row r="23">
          <cell r="B23">
            <v>14</v>
          </cell>
          <cell r="F23">
            <v>540</v>
          </cell>
          <cell r="J23">
            <v>1653</v>
          </cell>
        </row>
        <row r="24">
          <cell r="B24">
            <v>15</v>
          </cell>
          <cell r="F24">
            <v>559</v>
          </cell>
          <cell r="J24">
            <v>1711</v>
          </cell>
        </row>
        <row r="25">
          <cell r="B25">
            <v>16</v>
          </cell>
          <cell r="F25">
            <v>495</v>
          </cell>
          <cell r="J25">
            <v>1514</v>
          </cell>
        </row>
        <row r="26">
          <cell r="B26">
            <v>17</v>
          </cell>
          <cell r="F26">
            <v>545</v>
          </cell>
          <cell r="J26">
            <v>1668</v>
          </cell>
        </row>
        <row r="27">
          <cell r="B27">
            <v>18</v>
          </cell>
          <cell r="F27">
            <v>547</v>
          </cell>
          <cell r="J27">
            <v>1675</v>
          </cell>
        </row>
        <row r="28">
          <cell r="B28">
            <v>19</v>
          </cell>
          <cell r="F28">
            <v>574</v>
          </cell>
          <cell r="J28">
            <v>1754</v>
          </cell>
        </row>
        <row r="29">
          <cell r="B29">
            <v>20</v>
          </cell>
          <cell r="F29">
            <v>548</v>
          </cell>
          <cell r="J29">
            <v>1678</v>
          </cell>
        </row>
        <row r="30">
          <cell r="B30">
            <v>21</v>
          </cell>
          <cell r="F30">
            <v>569</v>
          </cell>
          <cell r="J30">
            <v>1741</v>
          </cell>
        </row>
        <row r="31">
          <cell r="B31">
            <v>22</v>
          </cell>
          <cell r="F31">
            <v>561</v>
          </cell>
          <cell r="J31">
            <v>1717</v>
          </cell>
        </row>
        <row r="32">
          <cell r="B32">
            <v>23</v>
          </cell>
          <cell r="F32">
            <v>558</v>
          </cell>
          <cell r="J32">
            <v>1708</v>
          </cell>
        </row>
        <row r="33">
          <cell r="B33">
            <v>24</v>
          </cell>
          <cell r="F33">
            <v>572</v>
          </cell>
          <cell r="J33">
            <v>1753</v>
          </cell>
        </row>
        <row r="34">
          <cell r="B34">
            <v>25</v>
          </cell>
          <cell r="F34">
            <v>594</v>
          </cell>
          <cell r="J34">
            <v>1820</v>
          </cell>
        </row>
        <row r="35">
          <cell r="B35">
            <v>26</v>
          </cell>
          <cell r="F35">
            <v>561</v>
          </cell>
          <cell r="J35">
            <v>1719</v>
          </cell>
        </row>
        <row r="36">
          <cell r="B36">
            <v>27</v>
          </cell>
          <cell r="F36">
            <v>576</v>
          </cell>
          <cell r="J36">
            <v>1763</v>
          </cell>
        </row>
        <row r="37">
          <cell r="B37">
            <v>28</v>
          </cell>
          <cell r="F37">
            <v>536</v>
          </cell>
          <cell r="J37">
            <v>1642</v>
          </cell>
        </row>
        <row r="38">
          <cell r="B38">
            <v>29</v>
          </cell>
          <cell r="F38">
            <v>558</v>
          </cell>
          <cell r="J38">
            <v>1709</v>
          </cell>
        </row>
        <row r="39">
          <cell r="B39">
            <v>30</v>
          </cell>
          <cell r="F39">
            <v>558</v>
          </cell>
          <cell r="J39">
            <v>1707</v>
          </cell>
        </row>
        <row r="40">
          <cell r="B40">
            <v>31</v>
          </cell>
          <cell r="F40">
            <v>522</v>
          </cell>
          <cell r="J40">
            <v>1600</v>
          </cell>
        </row>
        <row r="41">
          <cell r="B41">
            <v>32</v>
          </cell>
          <cell r="F41">
            <v>561</v>
          </cell>
          <cell r="J41">
            <v>1719</v>
          </cell>
        </row>
        <row r="42">
          <cell r="B42">
            <v>33</v>
          </cell>
          <cell r="F42">
            <v>582</v>
          </cell>
          <cell r="J42">
            <v>1783</v>
          </cell>
        </row>
        <row r="43">
          <cell r="B43">
            <v>34</v>
          </cell>
          <cell r="F43">
            <v>581</v>
          </cell>
          <cell r="J43">
            <v>0</v>
          </cell>
        </row>
        <row r="44">
          <cell r="B44">
            <v>35</v>
          </cell>
          <cell r="F44">
            <v>531</v>
          </cell>
          <cell r="J44">
            <v>1627</v>
          </cell>
        </row>
        <row r="45">
          <cell r="B45">
            <v>36</v>
          </cell>
          <cell r="F45">
            <v>523</v>
          </cell>
          <cell r="J45">
            <v>1602</v>
          </cell>
        </row>
        <row r="46">
          <cell r="B46">
            <v>37</v>
          </cell>
          <cell r="F46">
            <v>532</v>
          </cell>
          <cell r="J46">
            <v>1630</v>
          </cell>
        </row>
        <row r="47">
          <cell r="B47">
            <v>38</v>
          </cell>
          <cell r="F47">
            <v>591</v>
          </cell>
          <cell r="J47">
            <v>1808</v>
          </cell>
        </row>
        <row r="48">
          <cell r="B48">
            <v>39</v>
          </cell>
          <cell r="F48">
            <v>575</v>
          </cell>
          <cell r="J48">
            <v>1761</v>
          </cell>
        </row>
        <row r="49">
          <cell r="B49">
            <v>40</v>
          </cell>
          <cell r="F49">
            <v>563</v>
          </cell>
          <cell r="J49">
            <v>1725</v>
          </cell>
        </row>
        <row r="50">
          <cell r="B50">
            <v>41</v>
          </cell>
          <cell r="F50">
            <v>555</v>
          </cell>
          <cell r="J50">
            <v>1699</v>
          </cell>
        </row>
        <row r="51">
          <cell r="B51">
            <v>42</v>
          </cell>
          <cell r="F51">
            <v>560</v>
          </cell>
          <cell r="J51">
            <v>1714</v>
          </cell>
        </row>
        <row r="52">
          <cell r="B52">
            <v>43</v>
          </cell>
          <cell r="F52">
            <v>578</v>
          </cell>
          <cell r="J52">
            <v>1771</v>
          </cell>
        </row>
        <row r="53">
          <cell r="B53">
            <v>44</v>
          </cell>
          <cell r="F53">
            <v>529</v>
          </cell>
          <cell r="J53">
            <v>1619</v>
          </cell>
        </row>
        <row r="54">
          <cell r="B54">
            <v>45</v>
          </cell>
          <cell r="F54">
            <v>601</v>
          </cell>
          <cell r="J54">
            <v>1842</v>
          </cell>
        </row>
        <row r="55">
          <cell r="B55">
            <v>46</v>
          </cell>
          <cell r="F55">
            <v>534</v>
          </cell>
          <cell r="J55">
            <v>1636</v>
          </cell>
        </row>
        <row r="56">
          <cell r="B56">
            <v>47</v>
          </cell>
          <cell r="F56">
            <v>561</v>
          </cell>
          <cell r="J56">
            <v>1717</v>
          </cell>
        </row>
        <row r="57">
          <cell r="B57">
            <v>48</v>
          </cell>
          <cell r="F57">
            <v>567</v>
          </cell>
          <cell r="J57">
            <v>1735</v>
          </cell>
        </row>
        <row r="58">
          <cell r="B58">
            <v>49</v>
          </cell>
          <cell r="F58">
            <v>577</v>
          </cell>
          <cell r="J58">
            <v>1767</v>
          </cell>
        </row>
        <row r="59">
          <cell r="B59">
            <v>50</v>
          </cell>
          <cell r="F59">
            <v>558</v>
          </cell>
          <cell r="J59">
            <v>1707</v>
          </cell>
        </row>
        <row r="60">
          <cell r="B60">
            <v>51</v>
          </cell>
          <cell r="F60">
            <v>553</v>
          </cell>
          <cell r="J60">
            <v>1694</v>
          </cell>
        </row>
        <row r="61">
          <cell r="B61">
            <v>52</v>
          </cell>
          <cell r="F61">
            <v>521</v>
          </cell>
          <cell r="J61">
            <v>1596</v>
          </cell>
        </row>
        <row r="62">
          <cell r="B62">
            <v>53</v>
          </cell>
          <cell r="F62">
            <v>562</v>
          </cell>
          <cell r="J62">
            <v>1721</v>
          </cell>
        </row>
        <row r="63">
          <cell r="B63">
            <v>54</v>
          </cell>
          <cell r="F63">
            <v>591</v>
          </cell>
          <cell r="J63">
            <v>1809</v>
          </cell>
        </row>
        <row r="64">
          <cell r="B64">
            <v>55</v>
          </cell>
          <cell r="F64">
            <v>592</v>
          </cell>
          <cell r="J64">
            <v>1811</v>
          </cell>
        </row>
        <row r="65">
          <cell r="B65">
            <v>56</v>
          </cell>
          <cell r="F65">
            <v>521</v>
          </cell>
          <cell r="J65">
            <v>1595</v>
          </cell>
        </row>
        <row r="66">
          <cell r="B66">
            <v>57</v>
          </cell>
          <cell r="F66">
            <v>558</v>
          </cell>
          <cell r="J66">
            <v>1707</v>
          </cell>
        </row>
        <row r="67">
          <cell r="B67">
            <v>58</v>
          </cell>
          <cell r="F67">
            <v>530</v>
          </cell>
          <cell r="J67">
            <v>1623</v>
          </cell>
        </row>
        <row r="68">
          <cell r="B68">
            <v>59</v>
          </cell>
          <cell r="F68">
            <v>527</v>
          </cell>
          <cell r="J68">
            <v>1614</v>
          </cell>
        </row>
        <row r="69">
          <cell r="B69">
            <v>60</v>
          </cell>
          <cell r="F69">
            <v>541</v>
          </cell>
          <cell r="J69">
            <v>1657</v>
          </cell>
        </row>
        <row r="70">
          <cell r="B70">
            <v>61</v>
          </cell>
          <cell r="F70">
            <v>582</v>
          </cell>
          <cell r="J70">
            <v>1782</v>
          </cell>
        </row>
        <row r="71">
          <cell r="B71">
            <v>62</v>
          </cell>
          <cell r="F71">
            <v>556</v>
          </cell>
          <cell r="J71">
            <v>1702</v>
          </cell>
        </row>
        <row r="72">
          <cell r="B72">
            <v>63</v>
          </cell>
          <cell r="F72">
            <v>563</v>
          </cell>
          <cell r="J72">
            <v>1722</v>
          </cell>
        </row>
        <row r="73">
          <cell r="B73">
            <v>64</v>
          </cell>
          <cell r="F73">
            <v>597</v>
          </cell>
          <cell r="J73">
            <v>1828</v>
          </cell>
        </row>
        <row r="74">
          <cell r="B74">
            <v>65</v>
          </cell>
          <cell r="F74">
            <v>586</v>
          </cell>
          <cell r="J74">
            <v>1795</v>
          </cell>
        </row>
        <row r="75">
          <cell r="B75">
            <v>66</v>
          </cell>
          <cell r="F75">
            <v>603</v>
          </cell>
          <cell r="J75">
            <v>1847</v>
          </cell>
        </row>
        <row r="76">
          <cell r="B76">
            <v>67</v>
          </cell>
          <cell r="F76">
            <v>573</v>
          </cell>
          <cell r="J76">
            <v>1754</v>
          </cell>
        </row>
        <row r="78">
          <cell r="J78">
            <v>1652</v>
          </cell>
        </row>
      </sheetData>
      <sheetData sheetId="4">
        <row r="87">
          <cell r="H87">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sheetPr>
  <dimension ref="A1:L75"/>
  <sheetViews>
    <sheetView zoomScale="106" zoomScaleNormal="106" workbookViewId="0">
      <selection activeCell="B15" sqref="B15"/>
    </sheetView>
  </sheetViews>
  <sheetFormatPr defaultRowHeight="12.75" x14ac:dyDescent="0.2"/>
  <cols>
    <col min="1" max="1" width="51.7109375" customWidth="1"/>
    <col min="2" max="2" width="10.7109375" bestFit="1" customWidth="1"/>
    <col min="3" max="3" width="12.7109375" bestFit="1" customWidth="1"/>
    <col min="4" max="4" width="16.42578125" customWidth="1"/>
    <col min="5" max="5" width="32.28515625" customWidth="1"/>
    <col min="6" max="256" width="9.28515625"/>
    <col min="257" max="257" width="51.7109375" customWidth="1"/>
    <col min="258" max="258" width="10.7109375" bestFit="1" customWidth="1"/>
    <col min="259" max="259" width="12.7109375" bestFit="1" customWidth="1"/>
    <col min="260" max="260" width="16.42578125" customWidth="1"/>
    <col min="261" max="261" width="32.28515625" customWidth="1"/>
    <col min="262" max="512" width="9.28515625"/>
    <col min="513" max="513" width="51.7109375" customWidth="1"/>
    <col min="514" max="514" width="10.7109375" bestFit="1" customWidth="1"/>
    <col min="515" max="515" width="12.7109375" bestFit="1" customWidth="1"/>
    <col min="516" max="516" width="16.42578125" customWidth="1"/>
    <col min="517" max="517" width="32.28515625" customWidth="1"/>
    <col min="518" max="768" width="9.28515625"/>
    <col min="769" max="769" width="51.7109375" customWidth="1"/>
    <col min="770" max="770" width="10.7109375" bestFit="1" customWidth="1"/>
    <col min="771" max="771" width="12.7109375" bestFit="1" customWidth="1"/>
    <col min="772" max="772" width="16.42578125" customWidth="1"/>
    <col min="773" max="773" width="32.28515625" customWidth="1"/>
    <col min="774" max="1024" width="9.28515625"/>
    <col min="1025" max="1025" width="51.7109375" customWidth="1"/>
    <col min="1026" max="1026" width="10.7109375" bestFit="1" customWidth="1"/>
    <col min="1027" max="1027" width="12.7109375" bestFit="1" customWidth="1"/>
    <col min="1028" max="1028" width="16.42578125" customWidth="1"/>
    <col min="1029" max="1029" width="32.28515625" customWidth="1"/>
    <col min="1030" max="1280" width="9.28515625"/>
    <col min="1281" max="1281" width="51.7109375" customWidth="1"/>
    <col min="1282" max="1282" width="10.7109375" bestFit="1" customWidth="1"/>
    <col min="1283" max="1283" width="12.7109375" bestFit="1" customWidth="1"/>
    <col min="1284" max="1284" width="16.42578125" customWidth="1"/>
    <col min="1285" max="1285" width="32.28515625" customWidth="1"/>
    <col min="1286" max="1536" width="9.28515625"/>
    <col min="1537" max="1537" width="51.7109375" customWidth="1"/>
    <col min="1538" max="1538" width="10.7109375" bestFit="1" customWidth="1"/>
    <col min="1539" max="1539" width="12.7109375" bestFit="1" customWidth="1"/>
    <col min="1540" max="1540" width="16.42578125" customWidth="1"/>
    <col min="1541" max="1541" width="32.28515625" customWidth="1"/>
    <col min="1542" max="1792" width="9.28515625"/>
    <col min="1793" max="1793" width="51.7109375" customWidth="1"/>
    <col min="1794" max="1794" width="10.7109375" bestFit="1" customWidth="1"/>
    <col min="1795" max="1795" width="12.7109375" bestFit="1" customWidth="1"/>
    <col min="1796" max="1796" width="16.42578125" customWidth="1"/>
    <col min="1797" max="1797" width="32.28515625" customWidth="1"/>
    <col min="1798" max="2048" width="9.28515625"/>
    <col min="2049" max="2049" width="51.7109375" customWidth="1"/>
    <col min="2050" max="2050" width="10.7109375" bestFit="1" customWidth="1"/>
    <col min="2051" max="2051" width="12.7109375" bestFit="1" customWidth="1"/>
    <col min="2052" max="2052" width="16.42578125" customWidth="1"/>
    <col min="2053" max="2053" width="32.28515625" customWidth="1"/>
    <col min="2054" max="2304" width="9.28515625"/>
    <col min="2305" max="2305" width="51.7109375" customWidth="1"/>
    <col min="2306" max="2306" width="10.7109375" bestFit="1" customWidth="1"/>
    <col min="2307" max="2307" width="12.7109375" bestFit="1" customWidth="1"/>
    <col min="2308" max="2308" width="16.42578125" customWidth="1"/>
    <col min="2309" max="2309" width="32.28515625" customWidth="1"/>
    <col min="2310" max="2560" width="9.28515625"/>
    <col min="2561" max="2561" width="51.7109375" customWidth="1"/>
    <col min="2562" max="2562" width="10.7109375" bestFit="1" customWidth="1"/>
    <col min="2563" max="2563" width="12.7109375" bestFit="1" customWidth="1"/>
    <col min="2564" max="2564" width="16.42578125" customWidth="1"/>
    <col min="2565" max="2565" width="32.28515625" customWidth="1"/>
    <col min="2566" max="2816" width="9.28515625"/>
    <col min="2817" max="2817" width="51.7109375" customWidth="1"/>
    <col min="2818" max="2818" width="10.7109375" bestFit="1" customWidth="1"/>
    <col min="2819" max="2819" width="12.7109375" bestFit="1" customWidth="1"/>
    <col min="2820" max="2820" width="16.42578125" customWidth="1"/>
    <col min="2821" max="2821" width="32.28515625" customWidth="1"/>
    <col min="2822" max="3072" width="9.28515625"/>
    <col min="3073" max="3073" width="51.7109375" customWidth="1"/>
    <col min="3074" max="3074" width="10.7109375" bestFit="1" customWidth="1"/>
    <col min="3075" max="3075" width="12.7109375" bestFit="1" customWidth="1"/>
    <col min="3076" max="3076" width="16.42578125" customWidth="1"/>
    <col min="3077" max="3077" width="32.28515625" customWidth="1"/>
    <col min="3078" max="3328" width="9.28515625"/>
    <col min="3329" max="3329" width="51.7109375" customWidth="1"/>
    <col min="3330" max="3330" width="10.7109375" bestFit="1" customWidth="1"/>
    <col min="3331" max="3331" width="12.7109375" bestFit="1" customWidth="1"/>
    <col min="3332" max="3332" width="16.42578125" customWidth="1"/>
    <col min="3333" max="3333" width="32.28515625" customWidth="1"/>
    <col min="3334" max="3584" width="9.28515625"/>
    <col min="3585" max="3585" width="51.7109375" customWidth="1"/>
    <col min="3586" max="3586" width="10.7109375" bestFit="1" customWidth="1"/>
    <col min="3587" max="3587" width="12.7109375" bestFit="1" customWidth="1"/>
    <col min="3588" max="3588" width="16.42578125" customWidth="1"/>
    <col min="3589" max="3589" width="32.28515625" customWidth="1"/>
    <col min="3590" max="3840" width="9.28515625"/>
    <col min="3841" max="3841" width="51.7109375" customWidth="1"/>
    <col min="3842" max="3842" width="10.7109375" bestFit="1" customWidth="1"/>
    <col min="3843" max="3843" width="12.7109375" bestFit="1" customWidth="1"/>
    <col min="3844" max="3844" width="16.42578125" customWidth="1"/>
    <col min="3845" max="3845" width="32.28515625" customWidth="1"/>
    <col min="3846" max="4096" width="9.28515625"/>
    <col min="4097" max="4097" width="51.7109375" customWidth="1"/>
    <col min="4098" max="4098" width="10.7109375" bestFit="1" customWidth="1"/>
    <col min="4099" max="4099" width="12.7109375" bestFit="1" customWidth="1"/>
    <col min="4100" max="4100" width="16.42578125" customWidth="1"/>
    <col min="4101" max="4101" width="32.28515625" customWidth="1"/>
    <col min="4102" max="4352" width="9.28515625"/>
    <col min="4353" max="4353" width="51.7109375" customWidth="1"/>
    <col min="4354" max="4354" width="10.7109375" bestFit="1" customWidth="1"/>
    <col min="4355" max="4355" width="12.7109375" bestFit="1" customWidth="1"/>
    <col min="4356" max="4356" width="16.42578125" customWidth="1"/>
    <col min="4357" max="4357" width="32.28515625" customWidth="1"/>
    <col min="4358" max="4608" width="9.28515625"/>
    <col min="4609" max="4609" width="51.7109375" customWidth="1"/>
    <col min="4610" max="4610" width="10.7109375" bestFit="1" customWidth="1"/>
    <col min="4611" max="4611" width="12.7109375" bestFit="1" customWidth="1"/>
    <col min="4612" max="4612" width="16.42578125" customWidth="1"/>
    <col min="4613" max="4613" width="32.28515625" customWidth="1"/>
    <col min="4614" max="4864" width="9.28515625"/>
    <col min="4865" max="4865" width="51.7109375" customWidth="1"/>
    <col min="4866" max="4866" width="10.7109375" bestFit="1" customWidth="1"/>
    <col min="4867" max="4867" width="12.7109375" bestFit="1" customWidth="1"/>
    <col min="4868" max="4868" width="16.42578125" customWidth="1"/>
    <col min="4869" max="4869" width="32.28515625" customWidth="1"/>
    <col min="4870" max="5120" width="9.28515625"/>
    <col min="5121" max="5121" width="51.7109375" customWidth="1"/>
    <col min="5122" max="5122" width="10.7109375" bestFit="1" customWidth="1"/>
    <col min="5123" max="5123" width="12.7109375" bestFit="1" customWidth="1"/>
    <col min="5124" max="5124" width="16.42578125" customWidth="1"/>
    <col min="5125" max="5125" width="32.28515625" customWidth="1"/>
    <col min="5126" max="5376" width="9.28515625"/>
    <col min="5377" max="5377" width="51.7109375" customWidth="1"/>
    <col min="5378" max="5378" width="10.7109375" bestFit="1" customWidth="1"/>
    <col min="5379" max="5379" width="12.7109375" bestFit="1" customWidth="1"/>
    <col min="5380" max="5380" width="16.42578125" customWidth="1"/>
    <col min="5381" max="5381" width="32.28515625" customWidth="1"/>
    <col min="5382" max="5632" width="9.28515625"/>
    <col min="5633" max="5633" width="51.7109375" customWidth="1"/>
    <col min="5634" max="5634" width="10.7109375" bestFit="1" customWidth="1"/>
    <col min="5635" max="5635" width="12.7109375" bestFit="1" customWidth="1"/>
    <col min="5636" max="5636" width="16.42578125" customWidth="1"/>
    <col min="5637" max="5637" width="32.28515625" customWidth="1"/>
    <col min="5638" max="5888" width="9.28515625"/>
    <col min="5889" max="5889" width="51.7109375" customWidth="1"/>
    <col min="5890" max="5890" width="10.7109375" bestFit="1" customWidth="1"/>
    <col min="5891" max="5891" width="12.7109375" bestFit="1" customWidth="1"/>
    <col min="5892" max="5892" width="16.42578125" customWidth="1"/>
    <col min="5893" max="5893" width="32.28515625" customWidth="1"/>
    <col min="5894" max="6144" width="9.28515625"/>
    <col min="6145" max="6145" width="51.7109375" customWidth="1"/>
    <col min="6146" max="6146" width="10.7109375" bestFit="1" customWidth="1"/>
    <col min="6147" max="6147" width="12.7109375" bestFit="1" customWidth="1"/>
    <col min="6148" max="6148" width="16.42578125" customWidth="1"/>
    <col min="6149" max="6149" width="32.28515625" customWidth="1"/>
    <col min="6150" max="6400" width="9.28515625"/>
    <col min="6401" max="6401" width="51.7109375" customWidth="1"/>
    <col min="6402" max="6402" width="10.7109375" bestFit="1" customWidth="1"/>
    <col min="6403" max="6403" width="12.7109375" bestFit="1" customWidth="1"/>
    <col min="6404" max="6404" width="16.42578125" customWidth="1"/>
    <col min="6405" max="6405" width="32.28515625" customWidth="1"/>
    <col min="6406" max="6656" width="9.28515625"/>
    <col min="6657" max="6657" width="51.7109375" customWidth="1"/>
    <col min="6658" max="6658" width="10.7109375" bestFit="1" customWidth="1"/>
    <col min="6659" max="6659" width="12.7109375" bestFit="1" customWidth="1"/>
    <col min="6660" max="6660" width="16.42578125" customWidth="1"/>
    <col min="6661" max="6661" width="32.28515625" customWidth="1"/>
    <col min="6662" max="6912" width="9.28515625"/>
    <col min="6913" max="6913" width="51.7109375" customWidth="1"/>
    <col min="6914" max="6914" width="10.7109375" bestFit="1" customWidth="1"/>
    <col min="6915" max="6915" width="12.7109375" bestFit="1" customWidth="1"/>
    <col min="6916" max="6916" width="16.42578125" customWidth="1"/>
    <col min="6917" max="6917" width="32.28515625" customWidth="1"/>
    <col min="6918" max="7168" width="9.28515625"/>
    <col min="7169" max="7169" width="51.7109375" customWidth="1"/>
    <col min="7170" max="7170" width="10.7109375" bestFit="1" customWidth="1"/>
    <col min="7171" max="7171" width="12.7109375" bestFit="1" customWidth="1"/>
    <col min="7172" max="7172" width="16.42578125" customWidth="1"/>
    <col min="7173" max="7173" width="32.28515625" customWidth="1"/>
    <col min="7174" max="7424" width="9.28515625"/>
    <col min="7425" max="7425" width="51.7109375" customWidth="1"/>
    <col min="7426" max="7426" width="10.7109375" bestFit="1" customWidth="1"/>
    <col min="7427" max="7427" width="12.7109375" bestFit="1" customWidth="1"/>
    <col min="7428" max="7428" width="16.42578125" customWidth="1"/>
    <col min="7429" max="7429" width="32.28515625" customWidth="1"/>
    <col min="7430" max="7680" width="9.28515625"/>
    <col min="7681" max="7681" width="51.7109375" customWidth="1"/>
    <col min="7682" max="7682" width="10.7109375" bestFit="1" customWidth="1"/>
    <col min="7683" max="7683" width="12.7109375" bestFit="1" customWidth="1"/>
    <col min="7684" max="7684" width="16.42578125" customWidth="1"/>
    <col min="7685" max="7685" width="32.28515625" customWidth="1"/>
    <col min="7686" max="7936" width="9.28515625"/>
    <col min="7937" max="7937" width="51.7109375" customWidth="1"/>
    <col min="7938" max="7938" width="10.7109375" bestFit="1" customWidth="1"/>
    <col min="7939" max="7939" width="12.7109375" bestFit="1" customWidth="1"/>
    <col min="7940" max="7940" width="16.42578125" customWidth="1"/>
    <col min="7941" max="7941" width="32.28515625" customWidth="1"/>
    <col min="7942" max="8192" width="9.28515625"/>
    <col min="8193" max="8193" width="51.7109375" customWidth="1"/>
    <col min="8194" max="8194" width="10.7109375" bestFit="1" customWidth="1"/>
    <col min="8195" max="8195" width="12.7109375" bestFit="1" customWidth="1"/>
    <col min="8196" max="8196" width="16.42578125" customWidth="1"/>
    <col min="8197" max="8197" width="32.28515625" customWidth="1"/>
    <col min="8198" max="8448" width="9.28515625"/>
    <col min="8449" max="8449" width="51.7109375" customWidth="1"/>
    <col min="8450" max="8450" width="10.7109375" bestFit="1" customWidth="1"/>
    <col min="8451" max="8451" width="12.7109375" bestFit="1" customWidth="1"/>
    <col min="8452" max="8452" width="16.42578125" customWidth="1"/>
    <col min="8453" max="8453" width="32.28515625" customWidth="1"/>
    <col min="8454" max="8704" width="9.28515625"/>
    <col min="8705" max="8705" width="51.7109375" customWidth="1"/>
    <col min="8706" max="8706" width="10.7109375" bestFit="1" customWidth="1"/>
    <col min="8707" max="8707" width="12.7109375" bestFit="1" customWidth="1"/>
    <col min="8708" max="8708" width="16.42578125" customWidth="1"/>
    <col min="8709" max="8709" width="32.28515625" customWidth="1"/>
    <col min="8710" max="8960" width="9.28515625"/>
    <col min="8961" max="8961" width="51.7109375" customWidth="1"/>
    <col min="8962" max="8962" width="10.7109375" bestFit="1" customWidth="1"/>
    <col min="8963" max="8963" width="12.7109375" bestFit="1" customWidth="1"/>
    <col min="8964" max="8964" width="16.42578125" customWidth="1"/>
    <col min="8965" max="8965" width="32.28515625" customWidth="1"/>
    <col min="8966" max="9216" width="9.28515625"/>
    <col min="9217" max="9217" width="51.7109375" customWidth="1"/>
    <col min="9218" max="9218" width="10.7109375" bestFit="1" customWidth="1"/>
    <col min="9219" max="9219" width="12.7109375" bestFit="1" customWidth="1"/>
    <col min="9220" max="9220" width="16.42578125" customWidth="1"/>
    <col min="9221" max="9221" width="32.28515625" customWidth="1"/>
    <col min="9222" max="9472" width="9.28515625"/>
    <col min="9473" max="9473" width="51.7109375" customWidth="1"/>
    <col min="9474" max="9474" width="10.7109375" bestFit="1" customWidth="1"/>
    <col min="9475" max="9475" width="12.7109375" bestFit="1" customWidth="1"/>
    <col min="9476" max="9476" width="16.42578125" customWidth="1"/>
    <col min="9477" max="9477" width="32.28515625" customWidth="1"/>
    <col min="9478" max="9728" width="9.28515625"/>
    <col min="9729" max="9729" width="51.7109375" customWidth="1"/>
    <col min="9730" max="9730" width="10.7109375" bestFit="1" customWidth="1"/>
    <col min="9731" max="9731" width="12.7109375" bestFit="1" customWidth="1"/>
    <col min="9732" max="9732" width="16.42578125" customWidth="1"/>
    <col min="9733" max="9733" width="32.28515625" customWidth="1"/>
    <col min="9734" max="9984" width="9.28515625"/>
    <col min="9985" max="9985" width="51.7109375" customWidth="1"/>
    <col min="9986" max="9986" width="10.7109375" bestFit="1" customWidth="1"/>
    <col min="9987" max="9987" width="12.7109375" bestFit="1" customWidth="1"/>
    <col min="9988" max="9988" width="16.42578125" customWidth="1"/>
    <col min="9989" max="9989" width="32.28515625" customWidth="1"/>
    <col min="9990" max="10240" width="9.28515625"/>
    <col min="10241" max="10241" width="51.7109375" customWidth="1"/>
    <col min="10242" max="10242" width="10.7109375" bestFit="1" customWidth="1"/>
    <col min="10243" max="10243" width="12.7109375" bestFit="1" customWidth="1"/>
    <col min="10244" max="10244" width="16.42578125" customWidth="1"/>
    <col min="10245" max="10245" width="32.28515625" customWidth="1"/>
    <col min="10246" max="10496" width="9.28515625"/>
    <col min="10497" max="10497" width="51.7109375" customWidth="1"/>
    <col min="10498" max="10498" width="10.7109375" bestFit="1" customWidth="1"/>
    <col min="10499" max="10499" width="12.7109375" bestFit="1" customWidth="1"/>
    <col min="10500" max="10500" width="16.42578125" customWidth="1"/>
    <col min="10501" max="10501" width="32.28515625" customWidth="1"/>
    <col min="10502" max="10752" width="9.28515625"/>
    <col min="10753" max="10753" width="51.7109375" customWidth="1"/>
    <col min="10754" max="10754" width="10.7109375" bestFit="1" customWidth="1"/>
    <col min="10755" max="10755" width="12.7109375" bestFit="1" customWidth="1"/>
    <col min="10756" max="10756" width="16.42578125" customWidth="1"/>
    <col min="10757" max="10757" width="32.28515625" customWidth="1"/>
    <col min="10758" max="11008" width="9.28515625"/>
    <col min="11009" max="11009" width="51.7109375" customWidth="1"/>
    <col min="11010" max="11010" width="10.7109375" bestFit="1" customWidth="1"/>
    <col min="11011" max="11011" width="12.7109375" bestFit="1" customWidth="1"/>
    <col min="11012" max="11012" width="16.42578125" customWidth="1"/>
    <col min="11013" max="11013" width="32.28515625" customWidth="1"/>
    <col min="11014" max="11264" width="9.28515625"/>
    <col min="11265" max="11265" width="51.7109375" customWidth="1"/>
    <col min="11266" max="11266" width="10.7109375" bestFit="1" customWidth="1"/>
    <col min="11267" max="11267" width="12.7109375" bestFit="1" customWidth="1"/>
    <col min="11268" max="11268" width="16.42578125" customWidth="1"/>
    <col min="11269" max="11269" width="32.28515625" customWidth="1"/>
    <col min="11270" max="11520" width="9.28515625"/>
    <col min="11521" max="11521" width="51.7109375" customWidth="1"/>
    <col min="11522" max="11522" width="10.7109375" bestFit="1" customWidth="1"/>
    <col min="11523" max="11523" width="12.7109375" bestFit="1" customWidth="1"/>
    <col min="11524" max="11524" width="16.42578125" customWidth="1"/>
    <col min="11525" max="11525" width="32.28515625" customWidth="1"/>
    <col min="11526" max="11776" width="9.28515625"/>
    <col min="11777" max="11777" width="51.7109375" customWidth="1"/>
    <col min="11778" max="11778" width="10.7109375" bestFit="1" customWidth="1"/>
    <col min="11779" max="11779" width="12.7109375" bestFit="1" customWidth="1"/>
    <col min="11780" max="11780" width="16.42578125" customWidth="1"/>
    <col min="11781" max="11781" width="32.28515625" customWidth="1"/>
    <col min="11782" max="12032" width="9.28515625"/>
    <col min="12033" max="12033" width="51.7109375" customWidth="1"/>
    <col min="12034" max="12034" width="10.7109375" bestFit="1" customWidth="1"/>
    <col min="12035" max="12035" width="12.7109375" bestFit="1" customWidth="1"/>
    <col min="12036" max="12036" width="16.42578125" customWidth="1"/>
    <col min="12037" max="12037" width="32.28515625" customWidth="1"/>
    <col min="12038" max="12288" width="9.28515625"/>
    <col min="12289" max="12289" width="51.7109375" customWidth="1"/>
    <col min="12290" max="12290" width="10.7109375" bestFit="1" customWidth="1"/>
    <col min="12291" max="12291" width="12.7109375" bestFit="1" customWidth="1"/>
    <col min="12292" max="12292" width="16.42578125" customWidth="1"/>
    <col min="12293" max="12293" width="32.28515625" customWidth="1"/>
    <col min="12294" max="12544" width="9.28515625"/>
    <col min="12545" max="12545" width="51.7109375" customWidth="1"/>
    <col min="12546" max="12546" width="10.7109375" bestFit="1" customWidth="1"/>
    <col min="12547" max="12547" width="12.7109375" bestFit="1" customWidth="1"/>
    <col min="12548" max="12548" width="16.42578125" customWidth="1"/>
    <col min="12549" max="12549" width="32.28515625" customWidth="1"/>
    <col min="12550" max="12800" width="9.28515625"/>
    <col min="12801" max="12801" width="51.7109375" customWidth="1"/>
    <col min="12802" max="12802" width="10.7109375" bestFit="1" customWidth="1"/>
    <col min="12803" max="12803" width="12.7109375" bestFit="1" customWidth="1"/>
    <col min="12804" max="12804" width="16.42578125" customWidth="1"/>
    <col min="12805" max="12805" width="32.28515625" customWidth="1"/>
    <col min="12806" max="13056" width="9.28515625"/>
    <col min="13057" max="13057" width="51.7109375" customWidth="1"/>
    <col min="13058" max="13058" width="10.7109375" bestFit="1" customWidth="1"/>
    <col min="13059" max="13059" width="12.7109375" bestFit="1" customWidth="1"/>
    <col min="13060" max="13060" width="16.42578125" customWidth="1"/>
    <col min="13061" max="13061" width="32.28515625" customWidth="1"/>
    <col min="13062" max="13312" width="9.28515625"/>
    <col min="13313" max="13313" width="51.7109375" customWidth="1"/>
    <col min="13314" max="13314" width="10.7109375" bestFit="1" customWidth="1"/>
    <col min="13315" max="13315" width="12.7109375" bestFit="1" customWidth="1"/>
    <col min="13316" max="13316" width="16.42578125" customWidth="1"/>
    <col min="13317" max="13317" width="32.28515625" customWidth="1"/>
    <col min="13318" max="13568" width="9.28515625"/>
    <col min="13569" max="13569" width="51.7109375" customWidth="1"/>
    <col min="13570" max="13570" width="10.7109375" bestFit="1" customWidth="1"/>
    <col min="13571" max="13571" width="12.7109375" bestFit="1" customWidth="1"/>
    <col min="13572" max="13572" width="16.42578125" customWidth="1"/>
    <col min="13573" max="13573" width="32.28515625" customWidth="1"/>
    <col min="13574" max="13824" width="9.28515625"/>
    <col min="13825" max="13825" width="51.7109375" customWidth="1"/>
    <col min="13826" max="13826" width="10.7109375" bestFit="1" customWidth="1"/>
    <col min="13827" max="13827" width="12.7109375" bestFit="1" customWidth="1"/>
    <col min="13828" max="13828" width="16.42578125" customWidth="1"/>
    <col min="13829" max="13829" width="32.28515625" customWidth="1"/>
    <col min="13830" max="14080" width="9.28515625"/>
    <col min="14081" max="14081" width="51.7109375" customWidth="1"/>
    <col min="14082" max="14082" width="10.7109375" bestFit="1" customWidth="1"/>
    <col min="14083" max="14083" width="12.7109375" bestFit="1" customWidth="1"/>
    <col min="14084" max="14084" width="16.42578125" customWidth="1"/>
    <col min="14085" max="14085" width="32.28515625" customWidth="1"/>
    <col min="14086" max="14336" width="9.28515625"/>
    <col min="14337" max="14337" width="51.7109375" customWidth="1"/>
    <col min="14338" max="14338" width="10.7109375" bestFit="1" customWidth="1"/>
    <col min="14339" max="14339" width="12.7109375" bestFit="1" customWidth="1"/>
    <col min="14340" max="14340" width="16.42578125" customWidth="1"/>
    <col min="14341" max="14341" width="32.28515625" customWidth="1"/>
    <col min="14342" max="14592" width="9.28515625"/>
    <col min="14593" max="14593" width="51.7109375" customWidth="1"/>
    <col min="14594" max="14594" width="10.7109375" bestFit="1" customWidth="1"/>
    <col min="14595" max="14595" width="12.7109375" bestFit="1" customWidth="1"/>
    <col min="14596" max="14596" width="16.42578125" customWidth="1"/>
    <col min="14597" max="14597" width="32.28515625" customWidth="1"/>
    <col min="14598" max="14848" width="9.28515625"/>
    <col min="14849" max="14849" width="51.7109375" customWidth="1"/>
    <col min="14850" max="14850" width="10.7109375" bestFit="1" customWidth="1"/>
    <col min="14851" max="14851" width="12.7109375" bestFit="1" customWidth="1"/>
    <col min="14852" max="14852" width="16.42578125" customWidth="1"/>
    <col min="14853" max="14853" width="32.28515625" customWidth="1"/>
    <col min="14854" max="15104" width="9.28515625"/>
    <col min="15105" max="15105" width="51.7109375" customWidth="1"/>
    <col min="15106" max="15106" width="10.7109375" bestFit="1" customWidth="1"/>
    <col min="15107" max="15107" width="12.7109375" bestFit="1" customWidth="1"/>
    <col min="15108" max="15108" width="16.42578125" customWidth="1"/>
    <col min="15109" max="15109" width="32.28515625" customWidth="1"/>
    <col min="15110" max="15360" width="9.28515625"/>
    <col min="15361" max="15361" width="51.7109375" customWidth="1"/>
    <col min="15362" max="15362" width="10.7109375" bestFit="1" customWidth="1"/>
    <col min="15363" max="15363" width="12.7109375" bestFit="1" customWidth="1"/>
    <col min="15364" max="15364" width="16.42578125" customWidth="1"/>
    <col min="15365" max="15365" width="32.28515625" customWidth="1"/>
    <col min="15366" max="15616" width="9.28515625"/>
    <col min="15617" max="15617" width="51.7109375" customWidth="1"/>
    <col min="15618" max="15618" width="10.7109375" bestFit="1" customWidth="1"/>
    <col min="15619" max="15619" width="12.7109375" bestFit="1" customWidth="1"/>
    <col min="15620" max="15620" width="16.42578125" customWidth="1"/>
    <col min="15621" max="15621" width="32.28515625" customWidth="1"/>
    <col min="15622" max="15872" width="9.28515625"/>
    <col min="15873" max="15873" width="51.7109375" customWidth="1"/>
    <col min="15874" max="15874" width="10.7109375" bestFit="1" customWidth="1"/>
    <col min="15875" max="15875" width="12.7109375" bestFit="1" customWidth="1"/>
    <col min="15876" max="15876" width="16.42578125" customWidth="1"/>
    <col min="15877" max="15877" width="32.28515625" customWidth="1"/>
    <col min="15878" max="16128" width="9.28515625"/>
    <col min="16129" max="16129" width="51.7109375" customWidth="1"/>
    <col min="16130" max="16130" width="10.7109375" bestFit="1" customWidth="1"/>
    <col min="16131" max="16131" width="12.7109375" bestFit="1" customWidth="1"/>
    <col min="16132" max="16132" width="16.42578125" customWidth="1"/>
    <col min="16133" max="16133" width="32.28515625" customWidth="1"/>
    <col min="16134" max="16384" width="9.28515625"/>
  </cols>
  <sheetData>
    <row r="1" spans="1:10" ht="15.75" x14ac:dyDescent="0.25">
      <c r="A1" s="209" t="s">
        <v>243</v>
      </c>
      <c r="B1" s="210"/>
      <c r="C1" s="210"/>
      <c r="D1" s="210"/>
      <c r="E1" s="210"/>
      <c r="F1" s="210"/>
      <c r="G1" s="210"/>
      <c r="H1" s="210"/>
      <c r="I1" s="210"/>
      <c r="J1" s="210"/>
    </row>
    <row r="2" spans="1:10" x14ac:dyDescent="0.2">
      <c r="A2" s="211" t="s">
        <v>244</v>
      </c>
      <c r="B2" s="212">
        <v>0</v>
      </c>
      <c r="C2" s="213"/>
      <c r="D2" s="210"/>
      <c r="E2" s="210"/>
      <c r="F2" s="210"/>
      <c r="G2" s="210"/>
      <c r="H2" s="210"/>
      <c r="I2" s="210"/>
      <c r="J2" s="210"/>
    </row>
    <row r="3" spans="1:10" x14ac:dyDescent="0.2">
      <c r="A3" s="211" t="s">
        <v>245</v>
      </c>
      <c r="B3" s="212">
        <v>0</v>
      </c>
      <c r="C3" s="214"/>
      <c r="D3" s="210"/>
      <c r="E3" s="210"/>
      <c r="F3" s="210"/>
      <c r="G3" s="210"/>
      <c r="H3" s="210"/>
      <c r="I3" s="210"/>
      <c r="J3" s="210"/>
    </row>
    <row r="4" spans="1:10" x14ac:dyDescent="0.2">
      <c r="A4" s="215"/>
      <c r="B4" s="210"/>
      <c r="C4" s="210"/>
      <c r="D4" s="210"/>
      <c r="E4" s="210"/>
      <c r="F4" s="210"/>
      <c r="G4" s="210"/>
      <c r="H4" s="210"/>
      <c r="I4" s="210"/>
      <c r="J4" s="210"/>
    </row>
    <row r="5" spans="1:10" ht="15.75" x14ac:dyDescent="0.25">
      <c r="A5" s="216" t="s">
        <v>246</v>
      </c>
      <c r="B5" s="217" t="s">
        <v>247</v>
      </c>
      <c r="C5" s="218" t="s">
        <v>248</v>
      </c>
      <c r="E5" s="210"/>
      <c r="F5" s="210"/>
      <c r="G5" s="210"/>
      <c r="H5" s="210"/>
      <c r="I5" s="210"/>
      <c r="J5" s="210"/>
    </row>
    <row r="6" spans="1:10" x14ac:dyDescent="0.2">
      <c r="A6" s="219" t="s">
        <v>249</v>
      </c>
      <c r="B6" s="220">
        <v>551.5</v>
      </c>
      <c r="C6" s="796">
        <f>+B37+B38+B39</f>
        <v>442</v>
      </c>
      <c r="E6" s="210"/>
      <c r="F6" s="210"/>
      <c r="G6" s="210"/>
      <c r="H6" s="210"/>
      <c r="I6" s="210"/>
    </row>
    <row r="7" spans="1:10" x14ac:dyDescent="0.2">
      <c r="A7" s="219" t="s">
        <v>250</v>
      </c>
      <c r="B7" s="220">
        <v>453.5</v>
      </c>
      <c r="C7" s="797">
        <f>+B40+B41+B42</f>
        <v>448</v>
      </c>
      <c r="D7" s="223" t="s">
        <v>251</v>
      </c>
      <c r="E7" s="210"/>
      <c r="F7" s="210"/>
      <c r="G7" s="210"/>
      <c r="H7" s="210"/>
      <c r="I7" s="210"/>
    </row>
    <row r="8" spans="1:10" x14ac:dyDescent="0.2">
      <c r="A8" s="219" t="s">
        <v>252</v>
      </c>
      <c r="B8" s="220">
        <v>0</v>
      </c>
      <c r="C8" s="222">
        <f>SUM(B46:B49)</f>
        <v>0</v>
      </c>
      <c r="D8" s="223"/>
      <c r="E8" s="210"/>
      <c r="F8" s="210"/>
      <c r="G8" s="210"/>
      <c r="H8" s="210"/>
      <c r="I8" s="210"/>
    </row>
    <row r="9" spans="1:10" x14ac:dyDescent="0.2">
      <c r="A9" s="219" t="s">
        <v>253</v>
      </c>
      <c r="B9" s="1033">
        <f>+((B6*C6)+(B7*C7)+(B8*C8))/C9</f>
        <v>502.16966292134833</v>
      </c>
      <c r="C9" s="221">
        <f>SUM(C6:C8)</f>
        <v>890</v>
      </c>
      <c r="D9" s="224"/>
      <c r="E9" s="210"/>
      <c r="F9" s="210"/>
      <c r="G9" s="210"/>
      <c r="H9" s="210"/>
      <c r="I9" s="210"/>
    </row>
    <row r="10" spans="1:10" s="835" customFormat="1" x14ac:dyDescent="0.2">
      <c r="A10" s="833" t="s">
        <v>254</v>
      </c>
      <c r="B10" s="836">
        <v>-0.05</v>
      </c>
      <c r="C10" s="837">
        <f>B10*C11</f>
        <v>-22346.550000000003</v>
      </c>
      <c r="E10" s="834"/>
      <c r="F10" s="834"/>
      <c r="G10" s="834"/>
      <c r="H10" s="834"/>
      <c r="I10" s="834"/>
    </row>
    <row r="11" spans="1:10" x14ac:dyDescent="0.2">
      <c r="A11" s="225" t="s">
        <v>242</v>
      </c>
      <c r="B11" s="226">
        <f>C11-C10</f>
        <v>469277.55</v>
      </c>
      <c r="C11" s="226">
        <f>(B6*C6)+(B7*C7)+(B8*C8)</f>
        <v>446931</v>
      </c>
      <c r="D11" s="224"/>
      <c r="E11" s="210"/>
      <c r="F11" s="210"/>
      <c r="G11" s="210"/>
      <c r="H11" s="210"/>
      <c r="I11" s="210"/>
    </row>
    <row r="12" spans="1:10" x14ac:dyDescent="0.2">
      <c r="A12" s="227"/>
      <c r="B12" s="228"/>
      <c r="C12" s="229"/>
      <c r="D12" s="224"/>
      <c r="E12" s="210"/>
      <c r="F12" s="210"/>
      <c r="G12" s="210"/>
      <c r="H12" s="210"/>
      <c r="I12" s="210"/>
    </row>
    <row r="13" spans="1:10" ht="15.75" x14ac:dyDescent="0.25">
      <c r="A13" s="230" t="s">
        <v>255</v>
      </c>
      <c r="B13" s="231">
        <v>0.12</v>
      </c>
      <c r="C13" s="229" t="s">
        <v>1373</v>
      </c>
      <c r="D13" s="224"/>
      <c r="E13" s="210"/>
      <c r="F13" s="210"/>
      <c r="G13" s="210"/>
      <c r="H13" s="210"/>
      <c r="I13" s="210"/>
    </row>
    <row r="14" spans="1:10" x14ac:dyDescent="0.2">
      <c r="A14" s="232" t="s">
        <v>256</v>
      </c>
      <c r="B14" s="233">
        <f>+'Monthly Budget'!Q7+'Monthly Budget'!Q10</f>
        <v>7232029.3859101124</v>
      </c>
      <c r="C14" s="229">
        <v>157265</v>
      </c>
      <c r="D14" s="224">
        <v>735</v>
      </c>
      <c r="E14" s="210"/>
      <c r="F14" s="210"/>
      <c r="G14" s="210"/>
      <c r="H14" s="210"/>
      <c r="I14" s="210"/>
    </row>
    <row r="15" spans="1:10" x14ac:dyDescent="0.2">
      <c r="A15" s="234" t="s">
        <v>257</v>
      </c>
      <c r="B15" s="235">
        <f>(B14-C14+D14)*B13</f>
        <v>849059.92630921351</v>
      </c>
      <c r="C15" s="229"/>
      <c r="D15" s="224"/>
      <c r="E15" s="210"/>
      <c r="F15" s="210"/>
      <c r="G15" s="210"/>
      <c r="H15" s="210"/>
      <c r="I15" s="210"/>
    </row>
    <row r="16" spans="1:10" x14ac:dyDescent="0.2">
      <c r="A16" s="234" t="s">
        <v>258</v>
      </c>
      <c r="B16" s="235">
        <f>+'Monthly Budget'!Q123</f>
        <v>849059.92630921351</v>
      </c>
      <c r="C16" s="229"/>
      <c r="D16" s="224"/>
      <c r="E16" s="210"/>
      <c r="F16" s="210"/>
      <c r="G16" s="210"/>
      <c r="H16" s="210"/>
      <c r="I16" s="210"/>
    </row>
    <row r="17" spans="1:12" x14ac:dyDescent="0.2">
      <c r="A17" s="234" t="s">
        <v>259</v>
      </c>
      <c r="B17" s="236">
        <f>+B15-B16</f>
        <v>0</v>
      </c>
      <c r="C17" s="210"/>
      <c r="D17" s="210"/>
      <c r="E17" s="210"/>
      <c r="F17" s="210"/>
      <c r="G17" s="210"/>
      <c r="H17" s="210"/>
      <c r="I17" s="210"/>
    </row>
    <row r="18" spans="1:12" x14ac:dyDescent="0.2">
      <c r="A18" s="237"/>
      <c r="B18" s="238"/>
      <c r="C18" s="210"/>
      <c r="D18" s="210"/>
      <c r="E18" s="210"/>
      <c r="F18" s="210"/>
      <c r="G18" s="210"/>
      <c r="H18" s="210"/>
      <c r="I18" s="210"/>
    </row>
    <row r="19" spans="1:12" ht="15.75" x14ac:dyDescent="0.25">
      <c r="A19" s="239" t="s">
        <v>260</v>
      </c>
      <c r="B19" s="238"/>
      <c r="C19" s="210"/>
      <c r="D19" s="210"/>
      <c r="E19" s="210"/>
      <c r="F19" s="210"/>
      <c r="G19" s="210"/>
      <c r="H19" s="210"/>
      <c r="I19" s="210"/>
    </row>
    <row r="20" spans="1:12" x14ac:dyDescent="0.2">
      <c r="A20" s="223"/>
      <c r="B20" s="238"/>
      <c r="C20" s="210"/>
      <c r="D20" s="210"/>
      <c r="E20" s="210"/>
      <c r="F20" s="210"/>
      <c r="G20" s="210"/>
      <c r="H20" s="210"/>
      <c r="I20" s="210"/>
    </row>
    <row r="21" spans="1:12" x14ac:dyDescent="0.2">
      <c r="A21" s="240" t="s">
        <v>261</v>
      </c>
      <c r="D21" s="210"/>
      <c r="E21" s="210"/>
      <c r="F21" s="210"/>
      <c r="G21" s="210"/>
      <c r="H21" s="210"/>
      <c r="I21" s="210"/>
    </row>
    <row r="22" spans="1:12" x14ac:dyDescent="0.2">
      <c r="A22" s="211" t="s">
        <v>262</v>
      </c>
      <c r="B22" s="241">
        <v>435</v>
      </c>
      <c r="D22" s="210"/>
      <c r="E22" s="210"/>
      <c r="F22" s="210"/>
      <c r="G22" s="210"/>
      <c r="H22" s="210"/>
      <c r="I22" s="210"/>
    </row>
    <row r="23" spans="1:12" x14ac:dyDescent="0.2">
      <c r="A23" s="211" t="s">
        <v>263</v>
      </c>
      <c r="B23" s="887">
        <v>90</v>
      </c>
      <c r="D23" s="210"/>
      <c r="E23" s="210"/>
      <c r="F23" s="210"/>
      <c r="G23" s="210"/>
      <c r="H23" s="210"/>
      <c r="I23" s="210"/>
    </row>
    <row r="24" spans="1:12" x14ac:dyDescent="0.2">
      <c r="A24" s="225" t="s">
        <v>16</v>
      </c>
      <c r="B24" s="242">
        <f>B22*B23</f>
        <v>39150</v>
      </c>
      <c r="D24" s="210"/>
      <c r="E24" s="210"/>
      <c r="F24" s="210"/>
      <c r="G24" s="210"/>
      <c r="H24" s="210"/>
      <c r="I24" s="210"/>
    </row>
    <row r="25" spans="1:12" x14ac:dyDescent="0.2">
      <c r="B25" s="210"/>
      <c r="C25" s="210"/>
      <c r="D25" s="210"/>
      <c r="E25" s="210"/>
      <c r="F25" s="210"/>
      <c r="G25" s="210"/>
      <c r="H25" s="210"/>
      <c r="I25" s="210"/>
    </row>
    <row r="26" spans="1:12" x14ac:dyDescent="0.2">
      <c r="A26" s="243" t="s">
        <v>264</v>
      </c>
      <c r="B26" s="244"/>
      <c r="C26" s="210"/>
      <c r="D26" s="210"/>
      <c r="E26" s="210"/>
      <c r="F26" s="210"/>
      <c r="G26" s="210"/>
      <c r="H26" s="210"/>
      <c r="I26" s="210"/>
      <c r="J26" s="210"/>
    </row>
    <row r="27" spans="1:12" x14ac:dyDescent="0.2">
      <c r="A27" s="211" t="s">
        <v>265</v>
      </c>
      <c r="B27" s="245">
        <v>7.6499999999999999E-2</v>
      </c>
      <c r="C27" s="246"/>
      <c r="D27" s="210"/>
      <c r="E27" s="210"/>
      <c r="F27" s="210"/>
      <c r="G27" s="247"/>
      <c r="H27" s="210"/>
      <c r="I27" s="210"/>
      <c r="J27" s="210"/>
    </row>
    <row r="28" spans="1:12" x14ac:dyDescent="0.2">
      <c r="A28" s="211" t="s">
        <v>266</v>
      </c>
      <c r="B28" s="245">
        <v>0</v>
      </c>
      <c r="C28" s="246"/>
      <c r="D28" s="210"/>
      <c r="E28" s="210"/>
      <c r="F28" s="210"/>
      <c r="G28" s="247"/>
      <c r="H28" s="210"/>
      <c r="I28" s="210"/>
      <c r="J28" s="210"/>
    </row>
    <row r="29" spans="1:12" x14ac:dyDescent="0.2">
      <c r="A29" s="211" t="s">
        <v>267</v>
      </c>
      <c r="B29" s="245">
        <v>0</v>
      </c>
      <c r="C29" s="210"/>
      <c r="D29" s="210"/>
      <c r="E29" s="210"/>
      <c r="F29" s="210"/>
      <c r="G29" s="210"/>
      <c r="H29" s="210"/>
      <c r="I29" s="210"/>
      <c r="J29" s="210"/>
    </row>
    <row r="30" spans="1:12" x14ac:dyDescent="0.2">
      <c r="A30" s="211" t="s">
        <v>268</v>
      </c>
      <c r="B30" s="245">
        <v>0</v>
      </c>
      <c r="D30" s="210"/>
      <c r="E30" s="210"/>
      <c r="F30" s="210"/>
      <c r="G30" s="247"/>
      <c r="H30" s="210"/>
      <c r="I30" s="210"/>
      <c r="J30" s="210"/>
    </row>
    <row r="31" spans="1:12" ht="13.5" thickBot="1" x14ac:dyDescent="0.25">
      <c r="A31" s="211" t="s">
        <v>269</v>
      </c>
      <c r="B31" s="248">
        <v>0</v>
      </c>
      <c r="C31" s="210"/>
      <c r="D31" s="210"/>
      <c r="E31" s="210"/>
      <c r="F31" s="210"/>
      <c r="G31" s="210"/>
      <c r="H31" s="210"/>
      <c r="I31" s="210"/>
      <c r="J31" s="210"/>
      <c r="L31" s="249"/>
    </row>
    <row r="32" spans="1:12" x14ac:dyDescent="0.2">
      <c r="A32" s="225" t="s">
        <v>16</v>
      </c>
      <c r="B32" s="250">
        <f>SUM(B27:B31)</f>
        <v>7.6499999999999999E-2</v>
      </c>
      <c r="C32" s="210"/>
      <c r="D32" s="210"/>
      <c r="E32" s="210"/>
      <c r="F32" s="210"/>
      <c r="G32" s="210"/>
      <c r="H32" s="210"/>
      <c r="I32" s="210"/>
    </row>
    <row r="33" spans="1:9" x14ac:dyDescent="0.2">
      <c r="B33" s="251"/>
    </row>
    <row r="34" spans="1:9" ht="15.75" x14ac:dyDescent="0.25">
      <c r="A34" s="252" t="s">
        <v>270</v>
      </c>
    </row>
    <row r="35" spans="1:9" x14ac:dyDescent="0.2">
      <c r="A35" s="253" t="s">
        <v>271</v>
      </c>
      <c r="B35" s="222">
        <v>925</v>
      </c>
      <c r="C35" s="224"/>
      <c r="F35" s="936" t="s">
        <v>933</v>
      </c>
      <c r="G35" s="937"/>
    </row>
    <row r="36" spans="1:9" x14ac:dyDescent="0.2">
      <c r="A36" s="253" t="s">
        <v>272</v>
      </c>
      <c r="B36" s="934">
        <f>+B50</f>
        <v>890</v>
      </c>
      <c r="C36" s="254">
        <f>B36/B35</f>
        <v>0.96216216216216222</v>
      </c>
      <c r="D36" s="224" t="s">
        <v>273</v>
      </c>
      <c r="E36" s="210"/>
      <c r="F36" s="935">
        <v>860</v>
      </c>
      <c r="G36" s="210"/>
      <c r="H36" s="210"/>
      <c r="I36" s="210"/>
    </row>
    <row r="37" spans="1:9" x14ac:dyDescent="0.2">
      <c r="A37" s="214" t="s">
        <v>274</v>
      </c>
      <c r="B37" s="931">
        <f>+'All charter school calculator'!C11</f>
        <v>404</v>
      </c>
      <c r="C37" s="256"/>
      <c r="D37" s="210"/>
      <c r="E37" s="210"/>
      <c r="F37" s="935">
        <v>120</v>
      </c>
      <c r="G37" s="210"/>
      <c r="H37" s="210"/>
      <c r="I37" s="210"/>
    </row>
    <row r="38" spans="1:9" x14ac:dyDescent="0.2">
      <c r="A38" s="214" t="s">
        <v>275</v>
      </c>
      <c r="B38" s="931">
        <f>+'All charter school calculator'!C12</f>
        <v>30</v>
      </c>
      <c r="C38" s="256"/>
      <c r="D38" s="210"/>
      <c r="E38" s="210"/>
      <c r="F38" s="935">
        <v>116</v>
      </c>
      <c r="G38" s="210"/>
      <c r="H38" s="210"/>
      <c r="I38" s="210"/>
    </row>
    <row r="39" spans="1:9" x14ac:dyDescent="0.2">
      <c r="A39" s="214" t="s">
        <v>276</v>
      </c>
      <c r="B39" s="931">
        <f>+'All charter school calculator'!C23</f>
        <v>8</v>
      </c>
      <c r="C39" s="256"/>
      <c r="D39" s="210"/>
      <c r="E39" s="210"/>
      <c r="F39" s="935">
        <v>80</v>
      </c>
      <c r="G39" s="210"/>
      <c r="H39" s="210"/>
      <c r="I39" s="210"/>
    </row>
    <row r="40" spans="1:9" x14ac:dyDescent="0.2">
      <c r="A40" s="214" t="s">
        <v>277</v>
      </c>
      <c r="B40" s="931">
        <f>+'All charter school calculator'!C13</f>
        <v>420</v>
      </c>
      <c r="C40" s="256"/>
      <c r="D40" s="210"/>
      <c r="E40" s="210"/>
      <c r="F40" s="935">
        <v>82</v>
      </c>
      <c r="G40" s="210"/>
      <c r="H40" s="210"/>
      <c r="I40" s="210"/>
    </row>
    <row r="41" spans="1:9" x14ac:dyDescent="0.2">
      <c r="A41" s="214" t="s">
        <v>278</v>
      </c>
      <c r="B41" s="931">
        <f>+'All charter school calculator'!C14</f>
        <v>27</v>
      </c>
      <c r="C41" s="256"/>
      <c r="D41" s="210"/>
      <c r="E41" s="210"/>
      <c r="F41" s="935">
        <v>92</v>
      </c>
      <c r="G41" s="210"/>
      <c r="H41" s="210"/>
      <c r="I41" s="210"/>
    </row>
    <row r="42" spans="1:9" x14ac:dyDescent="0.2">
      <c r="A42" s="214" t="s">
        <v>279</v>
      </c>
      <c r="B42" s="931">
        <f>+'All charter school calculator'!C24</f>
        <v>1</v>
      </c>
      <c r="C42" s="256"/>
      <c r="D42" s="210"/>
      <c r="E42" s="210"/>
      <c r="F42" s="935">
        <v>98</v>
      </c>
      <c r="G42" s="210"/>
      <c r="H42" s="210"/>
      <c r="I42" s="210"/>
    </row>
    <row r="43" spans="1:9" x14ac:dyDescent="0.2">
      <c r="A43" s="214" t="s">
        <v>280</v>
      </c>
      <c r="B43" s="931">
        <v>0</v>
      </c>
      <c r="C43" s="256"/>
      <c r="D43" s="210"/>
      <c r="E43" s="210"/>
      <c r="F43" s="935">
        <v>94</v>
      </c>
      <c r="G43" s="210"/>
      <c r="H43" s="210"/>
      <c r="I43" s="210"/>
    </row>
    <row r="44" spans="1:9" x14ac:dyDescent="0.2">
      <c r="A44" s="214" t="s">
        <v>281</v>
      </c>
      <c r="B44" s="795">
        <v>0</v>
      </c>
      <c r="C44" s="257"/>
      <c r="D44" s="224"/>
      <c r="E44" s="210"/>
      <c r="F44" s="935">
        <v>90</v>
      </c>
      <c r="G44" s="210"/>
      <c r="H44" s="210"/>
      <c r="I44" s="210"/>
    </row>
    <row r="45" spans="1:9" x14ac:dyDescent="0.2">
      <c r="A45" s="214" t="s">
        <v>282</v>
      </c>
      <c r="B45" s="795">
        <v>0</v>
      </c>
      <c r="C45" s="257"/>
      <c r="D45" s="224"/>
      <c r="E45" s="210"/>
      <c r="F45" s="935">
        <v>88</v>
      </c>
      <c r="G45" s="210"/>
      <c r="H45" s="210"/>
      <c r="I45" s="210"/>
    </row>
    <row r="46" spans="1:9" x14ac:dyDescent="0.2">
      <c r="A46" s="214" t="s">
        <v>283</v>
      </c>
      <c r="B46" s="255">
        <v>0</v>
      </c>
      <c r="C46" s="257"/>
      <c r="D46" s="224"/>
      <c r="E46" s="210"/>
      <c r="F46" s="210"/>
      <c r="G46" s="210"/>
      <c r="H46" s="210"/>
      <c r="I46" s="210"/>
    </row>
    <row r="47" spans="1:9" x14ac:dyDescent="0.2">
      <c r="A47" s="214" t="s">
        <v>284</v>
      </c>
      <c r="B47" s="255">
        <v>0</v>
      </c>
      <c r="C47" s="257"/>
      <c r="D47" s="224"/>
      <c r="E47" s="210"/>
      <c r="F47" s="210"/>
      <c r="G47" s="210"/>
      <c r="H47" s="210"/>
      <c r="I47" s="210"/>
    </row>
    <row r="48" spans="1:9" x14ac:dyDescent="0.2">
      <c r="A48" s="214" t="s">
        <v>285</v>
      </c>
      <c r="B48" s="255">
        <v>0</v>
      </c>
      <c r="C48" s="257"/>
      <c r="D48" s="224"/>
      <c r="E48" s="210"/>
      <c r="F48" s="210"/>
      <c r="G48" s="210"/>
      <c r="H48" s="210"/>
      <c r="I48" s="210"/>
    </row>
    <row r="49" spans="1:9" x14ac:dyDescent="0.2">
      <c r="A49" s="214" t="s">
        <v>286</v>
      </c>
      <c r="B49" s="255">
        <v>0</v>
      </c>
      <c r="C49" s="258"/>
      <c r="D49" s="1258"/>
      <c r="E49" s="1258"/>
      <c r="F49" s="1258"/>
      <c r="G49" s="1258"/>
      <c r="H49" s="1258"/>
      <c r="I49" s="1258"/>
    </row>
    <row r="50" spans="1:9" s="835" customFormat="1" x14ac:dyDescent="0.2">
      <c r="A50" s="838" t="s">
        <v>16</v>
      </c>
      <c r="B50" s="932">
        <f>SUM(B37:B49)</f>
        <v>890</v>
      </c>
      <c r="C50" s="839"/>
    </row>
    <row r="51" spans="1:9" x14ac:dyDescent="0.2">
      <c r="A51" s="214"/>
      <c r="B51" s="257"/>
      <c r="C51" s="257"/>
    </row>
    <row r="52" spans="1:9" x14ac:dyDescent="0.2">
      <c r="E52" s="259"/>
    </row>
    <row r="53" spans="1:9" x14ac:dyDescent="0.2">
      <c r="A53" s="73" t="s">
        <v>287</v>
      </c>
      <c r="B53" s="260">
        <v>0</v>
      </c>
      <c r="C53" s="260">
        <f>+B50*B53</f>
        <v>0</v>
      </c>
      <c r="D53" s="261"/>
      <c r="F53" s="783"/>
    </row>
    <row r="54" spans="1:9" x14ac:dyDescent="0.2">
      <c r="A54" s="73" t="s">
        <v>288</v>
      </c>
      <c r="B54" s="260">
        <v>0</v>
      </c>
      <c r="C54" s="260">
        <f>+B50*B54</f>
        <v>0</v>
      </c>
      <c r="D54" s="261"/>
      <c r="F54" s="783"/>
    </row>
    <row r="55" spans="1:9" x14ac:dyDescent="0.2">
      <c r="C55" s="260">
        <f>SUM(C53:C54)</f>
        <v>0</v>
      </c>
      <c r="D55" s="261"/>
      <c r="F55" s="783"/>
    </row>
    <row r="56" spans="1:9" x14ac:dyDescent="0.2">
      <c r="D56" s="261"/>
      <c r="F56" s="783"/>
    </row>
    <row r="57" spans="1:9" x14ac:dyDescent="0.2">
      <c r="D57" s="261"/>
      <c r="F57" s="783"/>
    </row>
    <row r="58" spans="1:9" x14ac:dyDescent="0.2">
      <c r="D58" s="261"/>
      <c r="F58" s="783"/>
    </row>
    <row r="59" spans="1:9" ht="13.5" thickBot="1" x14ac:dyDescent="0.25">
      <c r="D59" s="261"/>
      <c r="F59" s="783"/>
    </row>
    <row r="60" spans="1:9" ht="13.5" thickBot="1" x14ac:dyDescent="0.25">
      <c r="A60" s="1259" t="s">
        <v>289</v>
      </c>
      <c r="B60" s="1260"/>
      <c r="C60" s="1260"/>
      <c r="D60" s="1260"/>
      <c r="E60" s="1261"/>
    </row>
    <row r="61" spans="1:9" ht="13.5" thickBot="1" x14ac:dyDescent="0.25">
      <c r="A61" s="262" t="s">
        <v>290</v>
      </c>
      <c r="B61" s="262" t="s">
        <v>291</v>
      </c>
      <c r="C61" s="263" t="s">
        <v>292</v>
      </c>
      <c r="D61" s="264" t="s">
        <v>293</v>
      </c>
      <c r="E61" s="264" t="s">
        <v>294</v>
      </c>
    </row>
    <row r="62" spans="1:9" x14ac:dyDescent="0.2">
      <c r="A62" s="265" t="s">
        <v>1440</v>
      </c>
      <c r="B62" s="266"/>
      <c r="C62" s="266"/>
      <c r="D62" s="267"/>
      <c r="E62" s="268" t="s">
        <v>1441</v>
      </c>
      <c r="F62">
        <v>15265</v>
      </c>
      <c r="G62">
        <v>65000</v>
      </c>
    </row>
    <row r="63" spans="1:9" x14ac:dyDescent="0.2">
      <c r="A63" s="269" t="s">
        <v>1442</v>
      </c>
      <c r="B63" s="270"/>
      <c r="C63" s="270"/>
      <c r="D63" s="271">
        <v>2600</v>
      </c>
      <c r="E63" s="272" t="s">
        <v>1444</v>
      </c>
      <c r="G63" s="1140">
        <f>+D63</f>
        <v>2600</v>
      </c>
    </row>
    <row r="64" spans="1:9" x14ac:dyDescent="0.2">
      <c r="A64" s="269" t="s">
        <v>1443</v>
      </c>
      <c r="B64" s="270"/>
      <c r="C64" s="270"/>
      <c r="D64" s="271">
        <v>660</v>
      </c>
      <c r="E64" s="272" t="s">
        <v>1445</v>
      </c>
      <c r="G64" s="1140">
        <f>+D64</f>
        <v>660</v>
      </c>
    </row>
    <row r="65" spans="1:7" x14ac:dyDescent="0.2">
      <c r="A65" s="269" t="s">
        <v>1442</v>
      </c>
      <c r="B65" s="270"/>
      <c r="C65" s="270"/>
      <c r="D65" s="271">
        <v>1205</v>
      </c>
      <c r="E65" s="272" t="s">
        <v>1446</v>
      </c>
      <c r="G65" s="1140">
        <f>+D65</f>
        <v>1205</v>
      </c>
    </row>
    <row r="66" spans="1:7" x14ac:dyDescent="0.2">
      <c r="A66" s="269" t="s">
        <v>1443</v>
      </c>
      <c r="B66" s="270"/>
      <c r="C66" s="270"/>
      <c r="D66" s="271">
        <v>2700</v>
      </c>
      <c r="E66" s="272" t="s">
        <v>1447</v>
      </c>
      <c r="G66">
        <f>+D66*4</f>
        <v>10800</v>
      </c>
    </row>
    <row r="67" spans="1:7" x14ac:dyDescent="0.2">
      <c r="A67" s="269" t="s">
        <v>1448</v>
      </c>
      <c r="B67" s="270"/>
      <c r="C67" s="270"/>
      <c r="D67" s="271">
        <v>1200</v>
      </c>
      <c r="E67" s="272" t="s">
        <v>1449</v>
      </c>
      <c r="G67">
        <f>SUM(G62:G66)</f>
        <v>80265</v>
      </c>
    </row>
    <row r="68" spans="1:7" x14ac:dyDescent="0.2">
      <c r="A68" s="269" t="s">
        <v>1451</v>
      </c>
      <c r="B68" s="270"/>
      <c r="C68" s="270"/>
      <c r="D68" s="271">
        <v>1200</v>
      </c>
      <c r="E68" s="272" t="s">
        <v>1450</v>
      </c>
    </row>
    <row r="69" spans="1:7" x14ac:dyDescent="0.2">
      <c r="A69" s="269" t="s">
        <v>1452</v>
      </c>
      <c r="B69" s="270"/>
      <c r="C69" s="270"/>
      <c r="D69" s="271">
        <v>6400</v>
      </c>
      <c r="E69" s="272" t="s">
        <v>1453</v>
      </c>
    </row>
    <row r="70" spans="1:7" ht="13.5" thickBot="1" x14ac:dyDescent="0.25">
      <c r="A70" s="269" t="s">
        <v>1452</v>
      </c>
      <c r="B70" s="273"/>
      <c r="C70" s="273"/>
      <c r="D70" s="274">
        <v>3000</v>
      </c>
      <c r="E70" s="275" t="s">
        <v>1454</v>
      </c>
    </row>
    <row r="71" spans="1:7" x14ac:dyDescent="0.2">
      <c r="B71" s="276"/>
      <c r="C71" s="276"/>
      <c r="D71" s="277"/>
    </row>
    <row r="72" spans="1:7" x14ac:dyDescent="0.2">
      <c r="D72" s="277"/>
    </row>
    <row r="73" spans="1:7" x14ac:dyDescent="0.2">
      <c r="D73" s="278"/>
    </row>
    <row r="74" spans="1:7" x14ac:dyDescent="0.2">
      <c r="C74" s="279"/>
      <c r="D74" s="279"/>
      <c r="E74" s="280"/>
    </row>
    <row r="75" spans="1:7" x14ac:dyDescent="0.2">
      <c r="A75" s="281"/>
      <c r="D75" s="282"/>
    </row>
  </sheetData>
  <mergeCells count="2">
    <mergeCell ref="D49:I49"/>
    <mergeCell ref="A60:E60"/>
  </mergeCells>
  <phoneticPr fontId="40" type="noConversion"/>
  <pageMargins left="0.75" right="0.75" top="0.5" bottom="0.5" header="0.5" footer="0.5"/>
  <pageSetup scale="52" orientation="landscape" r:id="rId1"/>
  <headerFooter alignWithMargins="0">
    <oddFooter>&amp;LPage &amp;P&amp;C&amp;F, &amp;F&amp;R&amp;D</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87"/>
  <sheetViews>
    <sheetView zoomScaleNormal="100" workbookViewId="0">
      <selection sqref="A1:XFD1048576"/>
    </sheetView>
  </sheetViews>
  <sheetFormatPr defaultRowHeight="12" x14ac:dyDescent="0.2"/>
  <cols>
    <col min="1" max="1" width="3.85546875" style="50" customWidth="1"/>
    <col min="2" max="2" width="19.140625" style="50" customWidth="1"/>
    <col min="3" max="3" width="11.28515625" style="51" customWidth="1"/>
    <col min="4" max="4" width="11.28515625" style="52" customWidth="1"/>
    <col min="5" max="5" width="11" style="52" customWidth="1"/>
    <col min="6" max="7" width="11" style="53" customWidth="1"/>
    <col min="8" max="9" width="17.28515625" style="110" customWidth="1"/>
    <col min="10" max="10" width="12.42578125" style="53" customWidth="1"/>
    <col min="11" max="11" width="11.7109375" style="53" customWidth="1"/>
    <col min="12" max="12" width="12.140625" style="53" customWidth="1"/>
    <col min="13" max="13" width="17.42578125" style="59" customWidth="1"/>
    <col min="14" max="14" width="12.85546875" style="54" bestFit="1" customWidth="1"/>
    <col min="15" max="15" width="13.140625" style="141" bestFit="1" customWidth="1"/>
    <col min="16" max="16" width="12.85546875" style="616" bestFit="1" customWidth="1"/>
    <col min="17" max="17" width="12.85546875" style="110" customWidth="1"/>
    <col min="18" max="18" width="15.5703125" style="53" customWidth="1"/>
    <col min="19" max="20" width="12.5703125" style="53" customWidth="1"/>
    <col min="21" max="21" width="17.28515625" style="94" bestFit="1" customWidth="1"/>
    <col min="22" max="24" width="17.28515625" style="110" customWidth="1"/>
    <col min="25" max="25" width="17.28515625" style="94" customWidth="1"/>
    <col min="26" max="28" width="17.28515625" style="110" customWidth="1"/>
    <col min="29" max="29" width="10.7109375" style="50" customWidth="1"/>
    <col min="30" max="30" width="17.28515625" style="50" customWidth="1"/>
    <col min="31" max="39" width="9.140625" style="50"/>
    <col min="40" max="40" width="10" style="50" customWidth="1"/>
    <col min="41" max="41" width="12.140625" style="50" customWidth="1"/>
    <col min="42" max="42" width="10.140625" style="50" customWidth="1"/>
    <col min="43" max="256" width="9.140625" style="50"/>
    <col min="257" max="257" width="3.85546875" style="50" customWidth="1"/>
    <col min="258" max="258" width="19.140625" style="50" customWidth="1"/>
    <col min="259" max="260" width="11.28515625" style="50" customWidth="1"/>
    <col min="261" max="263" width="11" style="50" customWidth="1"/>
    <col min="264" max="265" width="17.28515625" style="50" customWidth="1"/>
    <col min="266" max="266" width="12.42578125" style="50" customWidth="1"/>
    <col min="267" max="267" width="11.7109375" style="50" customWidth="1"/>
    <col min="268" max="268" width="12.140625" style="50" customWidth="1"/>
    <col min="269" max="269" width="17.42578125" style="50" customWidth="1"/>
    <col min="270" max="270" width="12.85546875" style="50" bestFit="1" customWidth="1"/>
    <col min="271" max="271" width="13.140625" style="50" bestFit="1" customWidth="1"/>
    <col min="272" max="272" width="12.85546875" style="50" bestFit="1" customWidth="1"/>
    <col min="273" max="273" width="12.85546875" style="50" customWidth="1"/>
    <col min="274" max="274" width="15.5703125" style="50" customWidth="1"/>
    <col min="275" max="276" width="12.5703125" style="50" customWidth="1"/>
    <col min="277" max="277" width="17.28515625" style="50" bestFit="1" customWidth="1"/>
    <col min="278" max="284" width="17.28515625" style="50" customWidth="1"/>
    <col min="285" max="285" width="10.7109375" style="50" customWidth="1"/>
    <col min="286" max="286" width="17.28515625" style="50" customWidth="1"/>
    <col min="287" max="295" width="9.140625" style="50"/>
    <col min="296" max="296" width="10" style="50" customWidth="1"/>
    <col min="297" max="297" width="12.140625" style="50" customWidth="1"/>
    <col min="298" max="298" width="10.140625" style="50" customWidth="1"/>
    <col min="299" max="512" width="9.140625" style="50"/>
    <col min="513" max="513" width="3.85546875" style="50" customWidth="1"/>
    <col min="514" max="514" width="19.140625" style="50" customWidth="1"/>
    <col min="515" max="516" width="11.28515625" style="50" customWidth="1"/>
    <col min="517" max="519" width="11" style="50" customWidth="1"/>
    <col min="520" max="521" width="17.28515625" style="50" customWidth="1"/>
    <col min="522" max="522" width="12.42578125" style="50" customWidth="1"/>
    <col min="523" max="523" width="11.7109375" style="50" customWidth="1"/>
    <col min="524" max="524" width="12.140625" style="50" customWidth="1"/>
    <col min="525" max="525" width="17.42578125" style="50" customWidth="1"/>
    <col min="526" max="526" width="12.85546875" style="50" bestFit="1" customWidth="1"/>
    <col min="527" max="527" width="13.140625" style="50" bestFit="1" customWidth="1"/>
    <col min="528" max="528" width="12.85546875" style="50" bestFit="1" customWidth="1"/>
    <col min="529" max="529" width="12.85546875" style="50" customWidth="1"/>
    <col min="530" max="530" width="15.5703125" style="50" customWidth="1"/>
    <col min="531" max="532" width="12.5703125" style="50" customWidth="1"/>
    <col min="533" max="533" width="17.28515625" style="50" bestFit="1" customWidth="1"/>
    <col min="534" max="540" width="17.28515625" style="50" customWidth="1"/>
    <col min="541" max="541" width="10.7109375" style="50" customWidth="1"/>
    <col min="542" max="542" width="17.28515625" style="50" customWidth="1"/>
    <col min="543" max="551" width="9.140625" style="50"/>
    <col min="552" max="552" width="10" style="50" customWidth="1"/>
    <col min="553" max="553" width="12.140625" style="50" customWidth="1"/>
    <col min="554" max="554" width="10.140625" style="50" customWidth="1"/>
    <col min="555" max="768" width="9.140625" style="50"/>
    <col min="769" max="769" width="3.85546875" style="50" customWidth="1"/>
    <col min="770" max="770" width="19.140625" style="50" customWidth="1"/>
    <col min="771" max="772" width="11.28515625" style="50" customWidth="1"/>
    <col min="773" max="775" width="11" style="50" customWidth="1"/>
    <col min="776" max="777" width="17.28515625" style="50" customWidth="1"/>
    <col min="778" max="778" width="12.42578125" style="50" customWidth="1"/>
    <col min="779" max="779" width="11.7109375" style="50" customWidth="1"/>
    <col min="780" max="780" width="12.140625" style="50" customWidth="1"/>
    <col min="781" max="781" width="17.42578125" style="50" customWidth="1"/>
    <col min="782" max="782" width="12.85546875" style="50" bestFit="1" customWidth="1"/>
    <col min="783" max="783" width="13.140625" style="50" bestFit="1" customWidth="1"/>
    <col min="784" max="784" width="12.85546875" style="50" bestFit="1" customWidth="1"/>
    <col min="785" max="785" width="12.85546875" style="50" customWidth="1"/>
    <col min="786" max="786" width="15.5703125" style="50" customWidth="1"/>
    <col min="787" max="788" width="12.5703125" style="50" customWidth="1"/>
    <col min="789" max="789" width="17.28515625" style="50" bestFit="1" customWidth="1"/>
    <col min="790" max="796" width="17.28515625" style="50" customWidth="1"/>
    <col min="797" max="797" width="10.7109375" style="50" customWidth="1"/>
    <col min="798" max="798" width="17.28515625" style="50" customWidth="1"/>
    <col min="799" max="807" width="9.140625" style="50"/>
    <col min="808" max="808" width="10" style="50" customWidth="1"/>
    <col min="809" max="809" width="12.140625" style="50" customWidth="1"/>
    <col min="810" max="810" width="10.140625" style="50" customWidth="1"/>
    <col min="811" max="1024" width="9.140625" style="50"/>
    <col min="1025" max="1025" width="3.85546875" style="50" customWidth="1"/>
    <col min="1026" max="1026" width="19.140625" style="50" customWidth="1"/>
    <col min="1027" max="1028" width="11.28515625" style="50" customWidth="1"/>
    <col min="1029" max="1031" width="11" style="50" customWidth="1"/>
    <col min="1032" max="1033" width="17.28515625" style="50" customWidth="1"/>
    <col min="1034" max="1034" width="12.42578125" style="50" customWidth="1"/>
    <col min="1035" max="1035" width="11.7109375" style="50" customWidth="1"/>
    <col min="1036" max="1036" width="12.140625" style="50" customWidth="1"/>
    <col min="1037" max="1037" width="17.42578125" style="50" customWidth="1"/>
    <col min="1038" max="1038" width="12.85546875" style="50" bestFit="1" customWidth="1"/>
    <col min="1039" max="1039" width="13.140625" style="50" bestFit="1" customWidth="1"/>
    <col min="1040" max="1040" width="12.85546875" style="50" bestFit="1" customWidth="1"/>
    <col min="1041" max="1041" width="12.85546875" style="50" customWidth="1"/>
    <col min="1042" max="1042" width="15.5703125" style="50" customWidth="1"/>
    <col min="1043" max="1044" width="12.5703125" style="50" customWidth="1"/>
    <col min="1045" max="1045" width="17.28515625" style="50" bestFit="1" customWidth="1"/>
    <col min="1046" max="1052" width="17.28515625" style="50" customWidth="1"/>
    <col min="1053" max="1053" width="10.7109375" style="50" customWidth="1"/>
    <col min="1054" max="1054" width="17.28515625" style="50" customWidth="1"/>
    <col min="1055" max="1063" width="9.140625" style="50"/>
    <col min="1064" max="1064" width="10" style="50" customWidth="1"/>
    <col min="1065" max="1065" width="12.140625" style="50" customWidth="1"/>
    <col min="1066" max="1066" width="10.140625" style="50" customWidth="1"/>
    <col min="1067" max="1280" width="9.140625" style="50"/>
    <col min="1281" max="1281" width="3.85546875" style="50" customWidth="1"/>
    <col min="1282" max="1282" width="19.140625" style="50" customWidth="1"/>
    <col min="1283" max="1284" width="11.28515625" style="50" customWidth="1"/>
    <col min="1285" max="1287" width="11" style="50" customWidth="1"/>
    <col min="1288" max="1289" width="17.28515625" style="50" customWidth="1"/>
    <col min="1290" max="1290" width="12.42578125" style="50" customWidth="1"/>
    <col min="1291" max="1291" width="11.7109375" style="50" customWidth="1"/>
    <col min="1292" max="1292" width="12.140625" style="50" customWidth="1"/>
    <col min="1293" max="1293" width="17.42578125" style="50" customWidth="1"/>
    <col min="1294" max="1294" width="12.85546875" style="50" bestFit="1" customWidth="1"/>
    <col min="1295" max="1295" width="13.140625" style="50" bestFit="1" customWidth="1"/>
    <col min="1296" max="1296" width="12.85546875" style="50" bestFit="1" customWidth="1"/>
    <col min="1297" max="1297" width="12.85546875" style="50" customWidth="1"/>
    <col min="1298" max="1298" width="15.5703125" style="50" customWidth="1"/>
    <col min="1299" max="1300" width="12.5703125" style="50" customWidth="1"/>
    <col min="1301" max="1301" width="17.28515625" style="50" bestFit="1" customWidth="1"/>
    <col min="1302" max="1308" width="17.28515625" style="50" customWidth="1"/>
    <col min="1309" max="1309" width="10.7109375" style="50" customWidth="1"/>
    <col min="1310" max="1310" width="17.28515625" style="50" customWidth="1"/>
    <col min="1311" max="1319" width="9.140625" style="50"/>
    <col min="1320" max="1320" width="10" style="50" customWidth="1"/>
    <col min="1321" max="1321" width="12.140625" style="50" customWidth="1"/>
    <col min="1322" max="1322" width="10.140625" style="50" customWidth="1"/>
    <col min="1323" max="1536" width="9.140625" style="50"/>
    <col min="1537" max="1537" width="3.85546875" style="50" customWidth="1"/>
    <col min="1538" max="1538" width="19.140625" style="50" customWidth="1"/>
    <col min="1539" max="1540" width="11.28515625" style="50" customWidth="1"/>
    <col min="1541" max="1543" width="11" style="50" customWidth="1"/>
    <col min="1544" max="1545" width="17.28515625" style="50" customWidth="1"/>
    <col min="1546" max="1546" width="12.42578125" style="50" customWidth="1"/>
    <col min="1547" max="1547" width="11.7109375" style="50" customWidth="1"/>
    <col min="1548" max="1548" width="12.140625" style="50" customWidth="1"/>
    <col min="1549" max="1549" width="17.42578125" style="50" customWidth="1"/>
    <col min="1550" max="1550" width="12.85546875" style="50" bestFit="1" customWidth="1"/>
    <col min="1551" max="1551" width="13.140625" style="50" bestFit="1" customWidth="1"/>
    <col min="1552" max="1552" width="12.85546875" style="50" bestFit="1" customWidth="1"/>
    <col min="1553" max="1553" width="12.85546875" style="50" customWidth="1"/>
    <col min="1554" max="1554" width="15.5703125" style="50" customWidth="1"/>
    <col min="1555" max="1556" width="12.5703125" style="50" customWidth="1"/>
    <col min="1557" max="1557" width="17.28515625" style="50" bestFit="1" customWidth="1"/>
    <col min="1558" max="1564" width="17.28515625" style="50" customWidth="1"/>
    <col min="1565" max="1565" width="10.7109375" style="50" customWidth="1"/>
    <col min="1566" max="1566" width="17.28515625" style="50" customWidth="1"/>
    <col min="1567" max="1575" width="9.140625" style="50"/>
    <col min="1576" max="1576" width="10" style="50" customWidth="1"/>
    <col min="1577" max="1577" width="12.140625" style="50" customWidth="1"/>
    <col min="1578" max="1578" width="10.140625" style="50" customWidth="1"/>
    <col min="1579" max="1792" width="9.140625" style="50"/>
    <col min="1793" max="1793" width="3.85546875" style="50" customWidth="1"/>
    <col min="1794" max="1794" width="19.140625" style="50" customWidth="1"/>
    <col min="1795" max="1796" width="11.28515625" style="50" customWidth="1"/>
    <col min="1797" max="1799" width="11" style="50" customWidth="1"/>
    <col min="1800" max="1801" width="17.28515625" style="50" customWidth="1"/>
    <col min="1802" max="1802" width="12.42578125" style="50" customWidth="1"/>
    <col min="1803" max="1803" width="11.7109375" style="50" customWidth="1"/>
    <col min="1804" max="1804" width="12.140625" style="50" customWidth="1"/>
    <col min="1805" max="1805" width="17.42578125" style="50" customWidth="1"/>
    <col min="1806" max="1806" width="12.85546875" style="50" bestFit="1" customWidth="1"/>
    <col min="1807" max="1807" width="13.140625" style="50" bestFit="1" customWidth="1"/>
    <col min="1808" max="1808" width="12.85546875" style="50" bestFit="1" customWidth="1"/>
    <col min="1809" max="1809" width="12.85546875" style="50" customWidth="1"/>
    <col min="1810" max="1810" width="15.5703125" style="50" customWidth="1"/>
    <col min="1811" max="1812" width="12.5703125" style="50" customWidth="1"/>
    <col min="1813" max="1813" width="17.28515625" style="50" bestFit="1" customWidth="1"/>
    <col min="1814" max="1820" width="17.28515625" style="50" customWidth="1"/>
    <col min="1821" max="1821" width="10.7109375" style="50" customWidth="1"/>
    <col min="1822" max="1822" width="17.28515625" style="50" customWidth="1"/>
    <col min="1823" max="1831" width="9.140625" style="50"/>
    <col min="1832" max="1832" width="10" style="50" customWidth="1"/>
    <col min="1833" max="1833" width="12.140625" style="50" customWidth="1"/>
    <col min="1834" max="1834" width="10.140625" style="50" customWidth="1"/>
    <col min="1835" max="2048" width="9.140625" style="50"/>
    <col min="2049" max="2049" width="3.85546875" style="50" customWidth="1"/>
    <col min="2050" max="2050" width="19.140625" style="50" customWidth="1"/>
    <col min="2051" max="2052" width="11.28515625" style="50" customWidth="1"/>
    <col min="2053" max="2055" width="11" style="50" customWidth="1"/>
    <col min="2056" max="2057" width="17.28515625" style="50" customWidth="1"/>
    <col min="2058" max="2058" width="12.42578125" style="50" customWidth="1"/>
    <col min="2059" max="2059" width="11.7109375" style="50" customWidth="1"/>
    <col min="2060" max="2060" width="12.140625" style="50" customWidth="1"/>
    <col min="2061" max="2061" width="17.42578125" style="50" customWidth="1"/>
    <col min="2062" max="2062" width="12.85546875" style="50" bestFit="1" customWidth="1"/>
    <col min="2063" max="2063" width="13.140625" style="50" bestFit="1" customWidth="1"/>
    <col min="2064" max="2064" width="12.85546875" style="50" bestFit="1" customWidth="1"/>
    <col min="2065" max="2065" width="12.85546875" style="50" customWidth="1"/>
    <col min="2066" max="2066" width="15.5703125" style="50" customWidth="1"/>
    <col min="2067" max="2068" width="12.5703125" style="50" customWidth="1"/>
    <col min="2069" max="2069" width="17.28515625" style="50" bestFit="1" customWidth="1"/>
    <col min="2070" max="2076" width="17.28515625" style="50" customWidth="1"/>
    <col min="2077" max="2077" width="10.7109375" style="50" customWidth="1"/>
    <col min="2078" max="2078" width="17.28515625" style="50" customWidth="1"/>
    <col min="2079" max="2087" width="9.140625" style="50"/>
    <col min="2088" max="2088" width="10" style="50" customWidth="1"/>
    <col min="2089" max="2089" width="12.140625" style="50" customWidth="1"/>
    <col min="2090" max="2090" width="10.140625" style="50" customWidth="1"/>
    <col min="2091" max="2304" width="9.140625" style="50"/>
    <col min="2305" max="2305" width="3.85546875" style="50" customWidth="1"/>
    <col min="2306" max="2306" width="19.140625" style="50" customWidth="1"/>
    <col min="2307" max="2308" width="11.28515625" style="50" customWidth="1"/>
    <col min="2309" max="2311" width="11" style="50" customWidth="1"/>
    <col min="2312" max="2313" width="17.28515625" style="50" customWidth="1"/>
    <col min="2314" max="2314" width="12.42578125" style="50" customWidth="1"/>
    <col min="2315" max="2315" width="11.7109375" style="50" customWidth="1"/>
    <col min="2316" max="2316" width="12.140625" style="50" customWidth="1"/>
    <col min="2317" max="2317" width="17.42578125" style="50" customWidth="1"/>
    <col min="2318" max="2318" width="12.85546875" style="50" bestFit="1" customWidth="1"/>
    <col min="2319" max="2319" width="13.140625" style="50" bestFit="1" customWidth="1"/>
    <col min="2320" max="2320" width="12.85546875" style="50" bestFit="1" customWidth="1"/>
    <col min="2321" max="2321" width="12.85546875" style="50" customWidth="1"/>
    <col min="2322" max="2322" width="15.5703125" style="50" customWidth="1"/>
    <col min="2323" max="2324" width="12.5703125" style="50" customWidth="1"/>
    <col min="2325" max="2325" width="17.28515625" style="50" bestFit="1" customWidth="1"/>
    <col min="2326" max="2332" width="17.28515625" style="50" customWidth="1"/>
    <col min="2333" max="2333" width="10.7109375" style="50" customWidth="1"/>
    <col min="2334" max="2334" width="17.28515625" style="50" customWidth="1"/>
    <col min="2335" max="2343" width="9.140625" style="50"/>
    <col min="2344" max="2344" width="10" style="50" customWidth="1"/>
    <col min="2345" max="2345" width="12.140625" style="50" customWidth="1"/>
    <col min="2346" max="2346" width="10.140625" style="50" customWidth="1"/>
    <col min="2347" max="2560" width="9.140625" style="50"/>
    <col min="2561" max="2561" width="3.85546875" style="50" customWidth="1"/>
    <col min="2562" max="2562" width="19.140625" style="50" customWidth="1"/>
    <col min="2563" max="2564" width="11.28515625" style="50" customWidth="1"/>
    <col min="2565" max="2567" width="11" style="50" customWidth="1"/>
    <col min="2568" max="2569" width="17.28515625" style="50" customWidth="1"/>
    <col min="2570" max="2570" width="12.42578125" style="50" customWidth="1"/>
    <col min="2571" max="2571" width="11.7109375" style="50" customWidth="1"/>
    <col min="2572" max="2572" width="12.140625" style="50" customWidth="1"/>
    <col min="2573" max="2573" width="17.42578125" style="50" customWidth="1"/>
    <col min="2574" max="2574" width="12.85546875" style="50" bestFit="1" customWidth="1"/>
    <col min="2575" max="2575" width="13.140625" style="50" bestFit="1" customWidth="1"/>
    <col min="2576" max="2576" width="12.85546875" style="50" bestFit="1" customWidth="1"/>
    <col min="2577" max="2577" width="12.85546875" style="50" customWidth="1"/>
    <col min="2578" max="2578" width="15.5703125" style="50" customWidth="1"/>
    <col min="2579" max="2580" width="12.5703125" style="50" customWidth="1"/>
    <col min="2581" max="2581" width="17.28515625" style="50" bestFit="1" customWidth="1"/>
    <col min="2582" max="2588" width="17.28515625" style="50" customWidth="1"/>
    <col min="2589" max="2589" width="10.7109375" style="50" customWidth="1"/>
    <col min="2590" max="2590" width="17.28515625" style="50" customWidth="1"/>
    <col min="2591" max="2599" width="9.140625" style="50"/>
    <col min="2600" max="2600" width="10" style="50" customWidth="1"/>
    <col min="2601" max="2601" width="12.140625" style="50" customWidth="1"/>
    <col min="2602" max="2602" width="10.140625" style="50" customWidth="1"/>
    <col min="2603" max="2816" width="9.140625" style="50"/>
    <col min="2817" max="2817" width="3.85546875" style="50" customWidth="1"/>
    <col min="2818" max="2818" width="19.140625" style="50" customWidth="1"/>
    <col min="2819" max="2820" width="11.28515625" style="50" customWidth="1"/>
    <col min="2821" max="2823" width="11" style="50" customWidth="1"/>
    <col min="2824" max="2825" width="17.28515625" style="50" customWidth="1"/>
    <col min="2826" max="2826" width="12.42578125" style="50" customWidth="1"/>
    <col min="2827" max="2827" width="11.7109375" style="50" customWidth="1"/>
    <col min="2828" max="2828" width="12.140625" style="50" customWidth="1"/>
    <col min="2829" max="2829" width="17.42578125" style="50" customWidth="1"/>
    <col min="2830" max="2830" width="12.85546875" style="50" bestFit="1" customWidth="1"/>
    <col min="2831" max="2831" width="13.140625" style="50" bestFit="1" customWidth="1"/>
    <col min="2832" max="2832" width="12.85546875" style="50" bestFit="1" customWidth="1"/>
    <col min="2833" max="2833" width="12.85546875" style="50" customWidth="1"/>
    <col min="2834" max="2834" width="15.5703125" style="50" customWidth="1"/>
    <col min="2835" max="2836" width="12.5703125" style="50" customWidth="1"/>
    <col min="2837" max="2837" width="17.28515625" style="50" bestFit="1" customWidth="1"/>
    <col min="2838" max="2844" width="17.28515625" style="50" customWidth="1"/>
    <col min="2845" max="2845" width="10.7109375" style="50" customWidth="1"/>
    <col min="2846" max="2846" width="17.28515625" style="50" customWidth="1"/>
    <col min="2847" max="2855" width="9.140625" style="50"/>
    <col min="2856" max="2856" width="10" style="50" customWidth="1"/>
    <col min="2857" max="2857" width="12.140625" style="50" customWidth="1"/>
    <col min="2858" max="2858" width="10.140625" style="50" customWidth="1"/>
    <col min="2859" max="3072" width="9.140625" style="50"/>
    <col min="3073" max="3073" width="3.85546875" style="50" customWidth="1"/>
    <col min="3074" max="3074" width="19.140625" style="50" customWidth="1"/>
    <col min="3075" max="3076" width="11.28515625" style="50" customWidth="1"/>
    <col min="3077" max="3079" width="11" style="50" customWidth="1"/>
    <col min="3080" max="3081" width="17.28515625" style="50" customWidth="1"/>
    <col min="3082" max="3082" width="12.42578125" style="50" customWidth="1"/>
    <col min="3083" max="3083" width="11.7109375" style="50" customWidth="1"/>
    <col min="3084" max="3084" width="12.140625" style="50" customWidth="1"/>
    <col min="3085" max="3085" width="17.42578125" style="50" customWidth="1"/>
    <col min="3086" max="3086" width="12.85546875" style="50" bestFit="1" customWidth="1"/>
    <col min="3087" max="3087" width="13.140625" style="50" bestFit="1" customWidth="1"/>
    <col min="3088" max="3088" width="12.85546875" style="50" bestFit="1" customWidth="1"/>
    <col min="3089" max="3089" width="12.85546875" style="50" customWidth="1"/>
    <col min="3090" max="3090" width="15.5703125" style="50" customWidth="1"/>
    <col min="3091" max="3092" width="12.5703125" style="50" customWidth="1"/>
    <col min="3093" max="3093" width="17.28515625" style="50" bestFit="1" customWidth="1"/>
    <col min="3094" max="3100" width="17.28515625" style="50" customWidth="1"/>
    <col min="3101" max="3101" width="10.7109375" style="50" customWidth="1"/>
    <col min="3102" max="3102" width="17.28515625" style="50" customWidth="1"/>
    <col min="3103" max="3111" width="9.140625" style="50"/>
    <col min="3112" max="3112" width="10" style="50" customWidth="1"/>
    <col min="3113" max="3113" width="12.140625" style="50" customWidth="1"/>
    <col min="3114" max="3114" width="10.140625" style="50" customWidth="1"/>
    <col min="3115" max="3328" width="9.140625" style="50"/>
    <col min="3329" max="3329" width="3.85546875" style="50" customWidth="1"/>
    <col min="3330" max="3330" width="19.140625" style="50" customWidth="1"/>
    <col min="3331" max="3332" width="11.28515625" style="50" customWidth="1"/>
    <col min="3333" max="3335" width="11" style="50" customWidth="1"/>
    <col min="3336" max="3337" width="17.28515625" style="50" customWidth="1"/>
    <col min="3338" max="3338" width="12.42578125" style="50" customWidth="1"/>
    <col min="3339" max="3339" width="11.7109375" style="50" customWidth="1"/>
    <col min="3340" max="3340" width="12.140625" style="50" customWidth="1"/>
    <col min="3341" max="3341" width="17.42578125" style="50" customWidth="1"/>
    <col min="3342" max="3342" width="12.85546875" style="50" bestFit="1" customWidth="1"/>
    <col min="3343" max="3343" width="13.140625" style="50" bestFit="1" customWidth="1"/>
    <col min="3344" max="3344" width="12.85546875" style="50" bestFit="1" customWidth="1"/>
    <col min="3345" max="3345" width="12.85546875" style="50" customWidth="1"/>
    <col min="3346" max="3346" width="15.5703125" style="50" customWidth="1"/>
    <col min="3347" max="3348" width="12.5703125" style="50" customWidth="1"/>
    <col min="3349" max="3349" width="17.28515625" style="50" bestFit="1" customWidth="1"/>
    <col min="3350" max="3356" width="17.28515625" style="50" customWidth="1"/>
    <col min="3357" max="3357" width="10.7109375" style="50" customWidth="1"/>
    <col min="3358" max="3358" width="17.28515625" style="50" customWidth="1"/>
    <col min="3359" max="3367" width="9.140625" style="50"/>
    <col min="3368" max="3368" width="10" style="50" customWidth="1"/>
    <col min="3369" max="3369" width="12.140625" style="50" customWidth="1"/>
    <col min="3370" max="3370" width="10.140625" style="50" customWidth="1"/>
    <col min="3371" max="3584" width="9.140625" style="50"/>
    <col min="3585" max="3585" width="3.85546875" style="50" customWidth="1"/>
    <col min="3586" max="3586" width="19.140625" style="50" customWidth="1"/>
    <col min="3587" max="3588" width="11.28515625" style="50" customWidth="1"/>
    <col min="3589" max="3591" width="11" style="50" customWidth="1"/>
    <col min="3592" max="3593" width="17.28515625" style="50" customWidth="1"/>
    <col min="3594" max="3594" width="12.42578125" style="50" customWidth="1"/>
    <col min="3595" max="3595" width="11.7109375" style="50" customWidth="1"/>
    <col min="3596" max="3596" width="12.140625" style="50" customWidth="1"/>
    <col min="3597" max="3597" width="17.42578125" style="50" customWidth="1"/>
    <col min="3598" max="3598" width="12.85546875" style="50" bestFit="1" customWidth="1"/>
    <col min="3599" max="3599" width="13.140625" style="50" bestFit="1" customWidth="1"/>
    <col min="3600" max="3600" width="12.85546875" style="50" bestFit="1" customWidth="1"/>
    <col min="3601" max="3601" width="12.85546875" style="50" customWidth="1"/>
    <col min="3602" max="3602" width="15.5703125" style="50" customWidth="1"/>
    <col min="3603" max="3604" width="12.5703125" style="50" customWidth="1"/>
    <col min="3605" max="3605" width="17.28515625" style="50" bestFit="1" customWidth="1"/>
    <col min="3606" max="3612" width="17.28515625" style="50" customWidth="1"/>
    <col min="3613" max="3613" width="10.7109375" style="50" customWidth="1"/>
    <col min="3614" max="3614" width="17.28515625" style="50" customWidth="1"/>
    <col min="3615" max="3623" width="9.140625" style="50"/>
    <col min="3624" max="3624" width="10" style="50" customWidth="1"/>
    <col min="3625" max="3625" width="12.140625" style="50" customWidth="1"/>
    <col min="3626" max="3626" width="10.140625" style="50" customWidth="1"/>
    <col min="3627" max="3840" width="9.140625" style="50"/>
    <col min="3841" max="3841" width="3.85546875" style="50" customWidth="1"/>
    <col min="3842" max="3842" width="19.140625" style="50" customWidth="1"/>
    <col min="3843" max="3844" width="11.28515625" style="50" customWidth="1"/>
    <col min="3845" max="3847" width="11" style="50" customWidth="1"/>
    <col min="3848" max="3849" width="17.28515625" style="50" customWidth="1"/>
    <col min="3850" max="3850" width="12.42578125" style="50" customWidth="1"/>
    <col min="3851" max="3851" width="11.7109375" style="50" customWidth="1"/>
    <col min="3852" max="3852" width="12.140625" style="50" customWidth="1"/>
    <col min="3853" max="3853" width="17.42578125" style="50" customWidth="1"/>
    <col min="3854" max="3854" width="12.85546875" style="50" bestFit="1" customWidth="1"/>
    <col min="3855" max="3855" width="13.140625" style="50" bestFit="1" customWidth="1"/>
    <col min="3856" max="3856" width="12.85546875" style="50" bestFit="1" customWidth="1"/>
    <col min="3857" max="3857" width="12.85546875" style="50" customWidth="1"/>
    <col min="3858" max="3858" width="15.5703125" style="50" customWidth="1"/>
    <col min="3859" max="3860" width="12.5703125" style="50" customWidth="1"/>
    <col min="3861" max="3861" width="17.28515625" style="50" bestFit="1" customWidth="1"/>
    <col min="3862" max="3868" width="17.28515625" style="50" customWidth="1"/>
    <col min="3869" max="3869" width="10.7109375" style="50" customWidth="1"/>
    <col min="3870" max="3870" width="17.28515625" style="50" customWidth="1"/>
    <col min="3871" max="3879" width="9.140625" style="50"/>
    <col min="3880" max="3880" width="10" style="50" customWidth="1"/>
    <col min="3881" max="3881" width="12.140625" style="50" customWidth="1"/>
    <col min="3882" max="3882" width="10.140625" style="50" customWidth="1"/>
    <col min="3883" max="4096" width="9.140625" style="50"/>
    <col min="4097" max="4097" width="3.85546875" style="50" customWidth="1"/>
    <col min="4098" max="4098" width="19.140625" style="50" customWidth="1"/>
    <col min="4099" max="4100" width="11.28515625" style="50" customWidth="1"/>
    <col min="4101" max="4103" width="11" style="50" customWidth="1"/>
    <col min="4104" max="4105" width="17.28515625" style="50" customWidth="1"/>
    <col min="4106" max="4106" width="12.42578125" style="50" customWidth="1"/>
    <col min="4107" max="4107" width="11.7109375" style="50" customWidth="1"/>
    <col min="4108" max="4108" width="12.140625" style="50" customWidth="1"/>
    <col min="4109" max="4109" width="17.42578125" style="50" customWidth="1"/>
    <col min="4110" max="4110" width="12.85546875" style="50" bestFit="1" customWidth="1"/>
    <col min="4111" max="4111" width="13.140625" style="50" bestFit="1" customWidth="1"/>
    <col min="4112" max="4112" width="12.85546875" style="50" bestFit="1" customWidth="1"/>
    <col min="4113" max="4113" width="12.85546875" style="50" customWidth="1"/>
    <col min="4114" max="4114" width="15.5703125" style="50" customWidth="1"/>
    <col min="4115" max="4116" width="12.5703125" style="50" customWidth="1"/>
    <col min="4117" max="4117" width="17.28515625" style="50" bestFit="1" customWidth="1"/>
    <col min="4118" max="4124" width="17.28515625" style="50" customWidth="1"/>
    <col min="4125" max="4125" width="10.7109375" style="50" customWidth="1"/>
    <col min="4126" max="4126" width="17.28515625" style="50" customWidth="1"/>
    <col min="4127" max="4135" width="9.140625" style="50"/>
    <col min="4136" max="4136" width="10" style="50" customWidth="1"/>
    <col min="4137" max="4137" width="12.140625" style="50" customWidth="1"/>
    <col min="4138" max="4138" width="10.140625" style="50" customWidth="1"/>
    <col min="4139" max="4352" width="9.140625" style="50"/>
    <col min="4353" max="4353" width="3.85546875" style="50" customWidth="1"/>
    <col min="4354" max="4354" width="19.140625" style="50" customWidth="1"/>
    <col min="4355" max="4356" width="11.28515625" style="50" customWidth="1"/>
    <col min="4357" max="4359" width="11" style="50" customWidth="1"/>
    <col min="4360" max="4361" width="17.28515625" style="50" customWidth="1"/>
    <col min="4362" max="4362" width="12.42578125" style="50" customWidth="1"/>
    <col min="4363" max="4363" width="11.7109375" style="50" customWidth="1"/>
    <col min="4364" max="4364" width="12.140625" style="50" customWidth="1"/>
    <col min="4365" max="4365" width="17.42578125" style="50" customWidth="1"/>
    <col min="4366" max="4366" width="12.85546875" style="50" bestFit="1" customWidth="1"/>
    <col min="4367" max="4367" width="13.140625" style="50" bestFit="1" customWidth="1"/>
    <col min="4368" max="4368" width="12.85546875" style="50" bestFit="1" customWidth="1"/>
    <col min="4369" max="4369" width="12.85546875" style="50" customWidth="1"/>
    <col min="4370" max="4370" width="15.5703125" style="50" customWidth="1"/>
    <col min="4371" max="4372" width="12.5703125" style="50" customWidth="1"/>
    <col min="4373" max="4373" width="17.28515625" style="50" bestFit="1" customWidth="1"/>
    <col min="4374" max="4380" width="17.28515625" style="50" customWidth="1"/>
    <col min="4381" max="4381" width="10.7109375" style="50" customWidth="1"/>
    <col min="4382" max="4382" width="17.28515625" style="50" customWidth="1"/>
    <col min="4383" max="4391" width="9.140625" style="50"/>
    <col min="4392" max="4392" width="10" style="50" customWidth="1"/>
    <col min="4393" max="4393" width="12.140625" style="50" customWidth="1"/>
    <col min="4394" max="4394" width="10.140625" style="50" customWidth="1"/>
    <col min="4395" max="4608" width="9.140625" style="50"/>
    <col min="4609" max="4609" width="3.85546875" style="50" customWidth="1"/>
    <col min="4610" max="4610" width="19.140625" style="50" customWidth="1"/>
    <col min="4611" max="4612" width="11.28515625" style="50" customWidth="1"/>
    <col min="4613" max="4615" width="11" style="50" customWidth="1"/>
    <col min="4616" max="4617" width="17.28515625" style="50" customWidth="1"/>
    <col min="4618" max="4618" width="12.42578125" style="50" customWidth="1"/>
    <col min="4619" max="4619" width="11.7109375" style="50" customWidth="1"/>
    <col min="4620" max="4620" width="12.140625" style="50" customWidth="1"/>
    <col min="4621" max="4621" width="17.42578125" style="50" customWidth="1"/>
    <col min="4622" max="4622" width="12.85546875" style="50" bestFit="1" customWidth="1"/>
    <col min="4623" max="4623" width="13.140625" style="50" bestFit="1" customWidth="1"/>
    <col min="4624" max="4624" width="12.85546875" style="50" bestFit="1" customWidth="1"/>
    <col min="4625" max="4625" width="12.85546875" style="50" customWidth="1"/>
    <col min="4626" max="4626" width="15.5703125" style="50" customWidth="1"/>
    <col min="4627" max="4628" width="12.5703125" style="50" customWidth="1"/>
    <col min="4629" max="4629" width="17.28515625" style="50" bestFit="1" customWidth="1"/>
    <col min="4630" max="4636" width="17.28515625" style="50" customWidth="1"/>
    <col min="4637" max="4637" width="10.7109375" style="50" customWidth="1"/>
    <col min="4638" max="4638" width="17.28515625" style="50" customWidth="1"/>
    <col min="4639" max="4647" width="9.140625" style="50"/>
    <col min="4648" max="4648" width="10" style="50" customWidth="1"/>
    <col min="4649" max="4649" width="12.140625" style="50" customWidth="1"/>
    <col min="4650" max="4650" width="10.140625" style="50" customWidth="1"/>
    <col min="4651" max="4864" width="9.140625" style="50"/>
    <col min="4865" max="4865" width="3.85546875" style="50" customWidth="1"/>
    <col min="4866" max="4866" width="19.140625" style="50" customWidth="1"/>
    <col min="4867" max="4868" width="11.28515625" style="50" customWidth="1"/>
    <col min="4869" max="4871" width="11" style="50" customWidth="1"/>
    <col min="4872" max="4873" width="17.28515625" style="50" customWidth="1"/>
    <col min="4874" max="4874" width="12.42578125" style="50" customWidth="1"/>
    <col min="4875" max="4875" width="11.7109375" style="50" customWidth="1"/>
    <col min="4876" max="4876" width="12.140625" style="50" customWidth="1"/>
    <col min="4877" max="4877" width="17.42578125" style="50" customWidth="1"/>
    <col min="4878" max="4878" width="12.85546875" style="50" bestFit="1" customWidth="1"/>
    <col min="4879" max="4879" width="13.140625" style="50" bestFit="1" customWidth="1"/>
    <col min="4880" max="4880" width="12.85546875" style="50" bestFit="1" customWidth="1"/>
    <col min="4881" max="4881" width="12.85546875" style="50" customWidth="1"/>
    <col min="4882" max="4882" width="15.5703125" style="50" customWidth="1"/>
    <col min="4883" max="4884" width="12.5703125" style="50" customWidth="1"/>
    <col min="4885" max="4885" width="17.28515625" style="50" bestFit="1" customWidth="1"/>
    <col min="4886" max="4892" width="17.28515625" style="50" customWidth="1"/>
    <col min="4893" max="4893" width="10.7109375" style="50" customWidth="1"/>
    <col min="4894" max="4894" width="17.28515625" style="50" customWidth="1"/>
    <col min="4895" max="4903" width="9.140625" style="50"/>
    <col min="4904" max="4904" width="10" style="50" customWidth="1"/>
    <col min="4905" max="4905" width="12.140625" style="50" customWidth="1"/>
    <col min="4906" max="4906" width="10.140625" style="50" customWidth="1"/>
    <col min="4907" max="5120" width="9.140625" style="50"/>
    <col min="5121" max="5121" width="3.85546875" style="50" customWidth="1"/>
    <col min="5122" max="5122" width="19.140625" style="50" customWidth="1"/>
    <col min="5123" max="5124" width="11.28515625" style="50" customWidth="1"/>
    <col min="5125" max="5127" width="11" style="50" customWidth="1"/>
    <col min="5128" max="5129" width="17.28515625" style="50" customWidth="1"/>
    <col min="5130" max="5130" width="12.42578125" style="50" customWidth="1"/>
    <col min="5131" max="5131" width="11.7109375" style="50" customWidth="1"/>
    <col min="5132" max="5132" width="12.140625" style="50" customWidth="1"/>
    <col min="5133" max="5133" width="17.42578125" style="50" customWidth="1"/>
    <col min="5134" max="5134" width="12.85546875" style="50" bestFit="1" customWidth="1"/>
    <col min="5135" max="5135" width="13.140625" style="50" bestFit="1" customWidth="1"/>
    <col min="5136" max="5136" width="12.85546875" style="50" bestFit="1" customWidth="1"/>
    <col min="5137" max="5137" width="12.85546875" style="50" customWidth="1"/>
    <col min="5138" max="5138" width="15.5703125" style="50" customWidth="1"/>
    <col min="5139" max="5140" width="12.5703125" style="50" customWidth="1"/>
    <col min="5141" max="5141" width="17.28515625" style="50" bestFit="1" customWidth="1"/>
    <col min="5142" max="5148" width="17.28515625" style="50" customWidth="1"/>
    <col min="5149" max="5149" width="10.7109375" style="50" customWidth="1"/>
    <col min="5150" max="5150" width="17.28515625" style="50" customWidth="1"/>
    <col min="5151" max="5159" width="9.140625" style="50"/>
    <col min="5160" max="5160" width="10" style="50" customWidth="1"/>
    <col min="5161" max="5161" width="12.140625" style="50" customWidth="1"/>
    <col min="5162" max="5162" width="10.140625" style="50" customWidth="1"/>
    <col min="5163" max="5376" width="9.140625" style="50"/>
    <col min="5377" max="5377" width="3.85546875" style="50" customWidth="1"/>
    <col min="5378" max="5378" width="19.140625" style="50" customWidth="1"/>
    <col min="5379" max="5380" width="11.28515625" style="50" customWidth="1"/>
    <col min="5381" max="5383" width="11" style="50" customWidth="1"/>
    <col min="5384" max="5385" width="17.28515625" style="50" customWidth="1"/>
    <col min="5386" max="5386" width="12.42578125" style="50" customWidth="1"/>
    <col min="5387" max="5387" width="11.7109375" style="50" customWidth="1"/>
    <col min="5388" max="5388" width="12.140625" style="50" customWidth="1"/>
    <col min="5389" max="5389" width="17.42578125" style="50" customWidth="1"/>
    <col min="5390" max="5390" width="12.85546875" style="50" bestFit="1" customWidth="1"/>
    <col min="5391" max="5391" width="13.140625" style="50" bestFit="1" customWidth="1"/>
    <col min="5392" max="5392" width="12.85546875" style="50" bestFit="1" customWidth="1"/>
    <col min="5393" max="5393" width="12.85546875" style="50" customWidth="1"/>
    <col min="5394" max="5394" width="15.5703125" style="50" customWidth="1"/>
    <col min="5395" max="5396" width="12.5703125" style="50" customWidth="1"/>
    <col min="5397" max="5397" width="17.28515625" style="50" bestFit="1" customWidth="1"/>
    <col min="5398" max="5404" width="17.28515625" style="50" customWidth="1"/>
    <col min="5405" max="5405" width="10.7109375" style="50" customWidth="1"/>
    <col min="5406" max="5406" width="17.28515625" style="50" customWidth="1"/>
    <col min="5407" max="5415" width="9.140625" style="50"/>
    <col min="5416" max="5416" width="10" style="50" customWidth="1"/>
    <col min="5417" max="5417" width="12.140625" style="50" customWidth="1"/>
    <col min="5418" max="5418" width="10.140625" style="50" customWidth="1"/>
    <col min="5419" max="5632" width="9.140625" style="50"/>
    <col min="5633" max="5633" width="3.85546875" style="50" customWidth="1"/>
    <col min="5634" max="5634" width="19.140625" style="50" customWidth="1"/>
    <col min="5635" max="5636" width="11.28515625" style="50" customWidth="1"/>
    <col min="5637" max="5639" width="11" style="50" customWidth="1"/>
    <col min="5640" max="5641" width="17.28515625" style="50" customWidth="1"/>
    <col min="5642" max="5642" width="12.42578125" style="50" customWidth="1"/>
    <col min="5643" max="5643" width="11.7109375" style="50" customWidth="1"/>
    <col min="5644" max="5644" width="12.140625" style="50" customWidth="1"/>
    <col min="5645" max="5645" width="17.42578125" style="50" customWidth="1"/>
    <col min="5646" max="5646" width="12.85546875" style="50" bestFit="1" customWidth="1"/>
    <col min="5647" max="5647" width="13.140625" style="50" bestFit="1" customWidth="1"/>
    <col min="5648" max="5648" width="12.85546875" style="50" bestFit="1" customWidth="1"/>
    <col min="5649" max="5649" width="12.85546875" style="50" customWidth="1"/>
    <col min="5650" max="5650" width="15.5703125" style="50" customWidth="1"/>
    <col min="5651" max="5652" width="12.5703125" style="50" customWidth="1"/>
    <col min="5653" max="5653" width="17.28515625" style="50" bestFit="1" customWidth="1"/>
    <col min="5654" max="5660" width="17.28515625" style="50" customWidth="1"/>
    <col min="5661" max="5661" width="10.7109375" style="50" customWidth="1"/>
    <col min="5662" max="5662" width="17.28515625" style="50" customWidth="1"/>
    <col min="5663" max="5671" width="9.140625" style="50"/>
    <col min="5672" max="5672" width="10" style="50" customWidth="1"/>
    <col min="5673" max="5673" width="12.140625" style="50" customWidth="1"/>
    <col min="5674" max="5674" width="10.140625" style="50" customWidth="1"/>
    <col min="5675" max="5888" width="9.140625" style="50"/>
    <col min="5889" max="5889" width="3.85546875" style="50" customWidth="1"/>
    <col min="5890" max="5890" width="19.140625" style="50" customWidth="1"/>
    <col min="5891" max="5892" width="11.28515625" style="50" customWidth="1"/>
    <col min="5893" max="5895" width="11" style="50" customWidth="1"/>
    <col min="5896" max="5897" width="17.28515625" style="50" customWidth="1"/>
    <col min="5898" max="5898" width="12.42578125" style="50" customWidth="1"/>
    <col min="5899" max="5899" width="11.7109375" style="50" customWidth="1"/>
    <col min="5900" max="5900" width="12.140625" style="50" customWidth="1"/>
    <col min="5901" max="5901" width="17.42578125" style="50" customWidth="1"/>
    <col min="5902" max="5902" width="12.85546875" style="50" bestFit="1" customWidth="1"/>
    <col min="5903" max="5903" width="13.140625" style="50" bestFit="1" customWidth="1"/>
    <col min="5904" max="5904" width="12.85546875" style="50" bestFit="1" customWidth="1"/>
    <col min="5905" max="5905" width="12.85546875" style="50" customWidth="1"/>
    <col min="5906" max="5906" width="15.5703125" style="50" customWidth="1"/>
    <col min="5907" max="5908" width="12.5703125" style="50" customWidth="1"/>
    <col min="5909" max="5909" width="17.28515625" style="50" bestFit="1" customWidth="1"/>
    <col min="5910" max="5916" width="17.28515625" style="50" customWidth="1"/>
    <col min="5917" max="5917" width="10.7109375" style="50" customWidth="1"/>
    <col min="5918" max="5918" width="17.28515625" style="50" customWidth="1"/>
    <col min="5919" max="5927" width="9.140625" style="50"/>
    <col min="5928" max="5928" width="10" style="50" customWidth="1"/>
    <col min="5929" max="5929" width="12.140625" style="50" customWidth="1"/>
    <col min="5930" max="5930" width="10.140625" style="50" customWidth="1"/>
    <col min="5931" max="6144" width="9.140625" style="50"/>
    <col min="6145" max="6145" width="3.85546875" style="50" customWidth="1"/>
    <col min="6146" max="6146" width="19.140625" style="50" customWidth="1"/>
    <col min="6147" max="6148" width="11.28515625" style="50" customWidth="1"/>
    <col min="6149" max="6151" width="11" style="50" customWidth="1"/>
    <col min="6152" max="6153" width="17.28515625" style="50" customWidth="1"/>
    <col min="6154" max="6154" width="12.42578125" style="50" customWidth="1"/>
    <col min="6155" max="6155" width="11.7109375" style="50" customWidth="1"/>
    <col min="6156" max="6156" width="12.140625" style="50" customWidth="1"/>
    <col min="6157" max="6157" width="17.42578125" style="50" customWidth="1"/>
    <col min="6158" max="6158" width="12.85546875" style="50" bestFit="1" customWidth="1"/>
    <col min="6159" max="6159" width="13.140625" style="50" bestFit="1" customWidth="1"/>
    <col min="6160" max="6160" width="12.85546875" style="50" bestFit="1" customWidth="1"/>
    <col min="6161" max="6161" width="12.85546875" style="50" customWidth="1"/>
    <col min="6162" max="6162" width="15.5703125" style="50" customWidth="1"/>
    <col min="6163" max="6164" width="12.5703125" style="50" customWidth="1"/>
    <col min="6165" max="6165" width="17.28515625" style="50" bestFit="1" customWidth="1"/>
    <col min="6166" max="6172" width="17.28515625" style="50" customWidth="1"/>
    <col min="6173" max="6173" width="10.7109375" style="50" customWidth="1"/>
    <col min="6174" max="6174" width="17.28515625" style="50" customWidth="1"/>
    <col min="6175" max="6183" width="9.140625" style="50"/>
    <col min="6184" max="6184" width="10" style="50" customWidth="1"/>
    <col min="6185" max="6185" width="12.140625" style="50" customWidth="1"/>
    <col min="6186" max="6186" width="10.140625" style="50" customWidth="1"/>
    <col min="6187" max="6400" width="9.140625" style="50"/>
    <col min="6401" max="6401" width="3.85546875" style="50" customWidth="1"/>
    <col min="6402" max="6402" width="19.140625" style="50" customWidth="1"/>
    <col min="6403" max="6404" width="11.28515625" style="50" customWidth="1"/>
    <col min="6405" max="6407" width="11" style="50" customWidth="1"/>
    <col min="6408" max="6409" width="17.28515625" style="50" customWidth="1"/>
    <col min="6410" max="6410" width="12.42578125" style="50" customWidth="1"/>
    <col min="6411" max="6411" width="11.7109375" style="50" customWidth="1"/>
    <col min="6412" max="6412" width="12.140625" style="50" customWidth="1"/>
    <col min="6413" max="6413" width="17.42578125" style="50" customWidth="1"/>
    <col min="6414" max="6414" width="12.85546875" style="50" bestFit="1" customWidth="1"/>
    <col min="6415" max="6415" width="13.140625" style="50" bestFit="1" customWidth="1"/>
    <col min="6416" max="6416" width="12.85546875" style="50" bestFit="1" customWidth="1"/>
    <col min="6417" max="6417" width="12.85546875" style="50" customWidth="1"/>
    <col min="6418" max="6418" width="15.5703125" style="50" customWidth="1"/>
    <col min="6419" max="6420" width="12.5703125" style="50" customWidth="1"/>
    <col min="6421" max="6421" width="17.28515625" style="50" bestFit="1" customWidth="1"/>
    <col min="6422" max="6428" width="17.28515625" style="50" customWidth="1"/>
    <col min="6429" max="6429" width="10.7109375" style="50" customWidth="1"/>
    <col min="6430" max="6430" width="17.28515625" style="50" customWidth="1"/>
    <col min="6431" max="6439" width="9.140625" style="50"/>
    <col min="6440" max="6440" width="10" style="50" customWidth="1"/>
    <col min="6441" max="6441" width="12.140625" style="50" customWidth="1"/>
    <col min="6442" max="6442" width="10.140625" style="50" customWidth="1"/>
    <col min="6443" max="6656" width="9.140625" style="50"/>
    <col min="6657" max="6657" width="3.85546875" style="50" customWidth="1"/>
    <col min="6658" max="6658" width="19.140625" style="50" customWidth="1"/>
    <col min="6659" max="6660" width="11.28515625" style="50" customWidth="1"/>
    <col min="6661" max="6663" width="11" style="50" customWidth="1"/>
    <col min="6664" max="6665" width="17.28515625" style="50" customWidth="1"/>
    <col min="6666" max="6666" width="12.42578125" style="50" customWidth="1"/>
    <col min="6667" max="6667" width="11.7109375" style="50" customWidth="1"/>
    <col min="6668" max="6668" width="12.140625" style="50" customWidth="1"/>
    <col min="6669" max="6669" width="17.42578125" style="50" customWidth="1"/>
    <col min="6670" max="6670" width="12.85546875" style="50" bestFit="1" customWidth="1"/>
    <col min="6671" max="6671" width="13.140625" style="50" bestFit="1" customWidth="1"/>
    <col min="6672" max="6672" width="12.85546875" style="50" bestFit="1" customWidth="1"/>
    <col min="6673" max="6673" width="12.85546875" style="50" customWidth="1"/>
    <col min="6674" max="6674" width="15.5703125" style="50" customWidth="1"/>
    <col min="6675" max="6676" width="12.5703125" style="50" customWidth="1"/>
    <col min="6677" max="6677" width="17.28515625" style="50" bestFit="1" customWidth="1"/>
    <col min="6678" max="6684" width="17.28515625" style="50" customWidth="1"/>
    <col min="6685" max="6685" width="10.7109375" style="50" customWidth="1"/>
    <col min="6686" max="6686" width="17.28515625" style="50" customWidth="1"/>
    <col min="6687" max="6695" width="9.140625" style="50"/>
    <col min="6696" max="6696" width="10" style="50" customWidth="1"/>
    <col min="6697" max="6697" width="12.140625" style="50" customWidth="1"/>
    <col min="6698" max="6698" width="10.140625" style="50" customWidth="1"/>
    <col min="6699" max="6912" width="9.140625" style="50"/>
    <col min="6913" max="6913" width="3.85546875" style="50" customWidth="1"/>
    <col min="6914" max="6914" width="19.140625" style="50" customWidth="1"/>
    <col min="6915" max="6916" width="11.28515625" style="50" customWidth="1"/>
    <col min="6917" max="6919" width="11" style="50" customWidth="1"/>
    <col min="6920" max="6921" width="17.28515625" style="50" customWidth="1"/>
    <col min="6922" max="6922" width="12.42578125" style="50" customWidth="1"/>
    <col min="6923" max="6923" width="11.7109375" style="50" customWidth="1"/>
    <col min="6924" max="6924" width="12.140625" style="50" customWidth="1"/>
    <col min="6925" max="6925" width="17.42578125" style="50" customWidth="1"/>
    <col min="6926" max="6926" width="12.85546875" style="50" bestFit="1" customWidth="1"/>
    <col min="6927" max="6927" width="13.140625" style="50" bestFit="1" customWidth="1"/>
    <col min="6928" max="6928" width="12.85546875" style="50" bestFit="1" customWidth="1"/>
    <col min="6929" max="6929" width="12.85546875" style="50" customWidth="1"/>
    <col min="6930" max="6930" width="15.5703125" style="50" customWidth="1"/>
    <col min="6931" max="6932" width="12.5703125" style="50" customWidth="1"/>
    <col min="6933" max="6933" width="17.28515625" style="50" bestFit="1" customWidth="1"/>
    <col min="6934" max="6940" width="17.28515625" style="50" customWidth="1"/>
    <col min="6941" max="6941" width="10.7109375" style="50" customWidth="1"/>
    <col min="6942" max="6942" width="17.28515625" style="50" customWidth="1"/>
    <col min="6943" max="6951" width="9.140625" style="50"/>
    <col min="6952" max="6952" width="10" style="50" customWidth="1"/>
    <col min="6953" max="6953" width="12.140625" style="50" customWidth="1"/>
    <col min="6954" max="6954" width="10.140625" style="50" customWidth="1"/>
    <col min="6955" max="7168" width="9.140625" style="50"/>
    <col min="7169" max="7169" width="3.85546875" style="50" customWidth="1"/>
    <col min="7170" max="7170" width="19.140625" style="50" customWidth="1"/>
    <col min="7171" max="7172" width="11.28515625" style="50" customWidth="1"/>
    <col min="7173" max="7175" width="11" style="50" customWidth="1"/>
    <col min="7176" max="7177" width="17.28515625" style="50" customWidth="1"/>
    <col min="7178" max="7178" width="12.42578125" style="50" customWidth="1"/>
    <col min="7179" max="7179" width="11.7109375" style="50" customWidth="1"/>
    <col min="7180" max="7180" width="12.140625" style="50" customWidth="1"/>
    <col min="7181" max="7181" width="17.42578125" style="50" customWidth="1"/>
    <col min="7182" max="7182" width="12.85546875" style="50" bestFit="1" customWidth="1"/>
    <col min="7183" max="7183" width="13.140625" style="50" bestFit="1" customWidth="1"/>
    <col min="7184" max="7184" width="12.85546875" style="50" bestFit="1" customWidth="1"/>
    <col min="7185" max="7185" width="12.85546875" style="50" customWidth="1"/>
    <col min="7186" max="7186" width="15.5703125" style="50" customWidth="1"/>
    <col min="7187" max="7188" width="12.5703125" style="50" customWidth="1"/>
    <col min="7189" max="7189" width="17.28515625" style="50" bestFit="1" customWidth="1"/>
    <col min="7190" max="7196" width="17.28515625" style="50" customWidth="1"/>
    <col min="7197" max="7197" width="10.7109375" style="50" customWidth="1"/>
    <col min="7198" max="7198" width="17.28515625" style="50" customWidth="1"/>
    <col min="7199" max="7207" width="9.140625" style="50"/>
    <col min="7208" max="7208" width="10" style="50" customWidth="1"/>
    <col min="7209" max="7209" width="12.140625" style="50" customWidth="1"/>
    <col min="7210" max="7210" width="10.140625" style="50" customWidth="1"/>
    <col min="7211" max="7424" width="9.140625" style="50"/>
    <col min="7425" max="7425" width="3.85546875" style="50" customWidth="1"/>
    <col min="7426" max="7426" width="19.140625" style="50" customWidth="1"/>
    <col min="7427" max="7428" width="11.28515625" style="50" customWidth="1"/>
    <col min="7429" max="7431" width="11" style="50" customWidth="1"/>
    <col min="7432" max="7433" width="17.28515625" style="50" customWidth="1"/>
    <col min="7434" max="7434" width="12.42578125" style="50" customWidth="1"/>
    <col min="7435" max="7435" width="11.7109375" style="50" customWidth="1"/>
    <col min="7436" max="7436" width="12.140625" style="50" customWidth="1"/>
    <col min="7437" max="7437" width="17.42578125" style="50" customWidth="1"/>
    <col min="7438" max="7438" width="12.85546875" style="50" bestFit="1" customWidth="1"/>
    <col min="7439" max="7439" width="13.140625" style="50" bestFit="1" customWidth="1"/>
    <col min="7440" max="7440" width="12.85546875" style="50" bestFit="1" customWidth="1"/>
    <col min="7441" max="7441" width="12.85546875" style="50" customWidth="1"/>
    <col min="7442" max="7442" width="15.5703125" style="50" customWidth="1"/>
    <col min="7443" max="7444" width="12.5703125" style="50" customWidth="1"/>
    <col min="7445" max="7445" width="17.28515625" style="50" bestFit="1" customWidth="1"/>
    <col min="7446" max="7452" width="17.28515625" style="50" customWidth="1"/>
    <col min="7453" max="7453" width="10.7109375" style="50" customWidth="1"/>
    <col min="7454" max="7454" width="17.28515625" style="50" customWidth="1"/>
    <col min="7455" max="7463" width="9.140625" style="50"/>
    <col min="7464" max="7464" width="10" style="50" customWidth="1"/>
    <col min="7465" max="7465" width="12.140625" style="50" customWidth="1"/>
    <col min="7466" max="7466" width="10.140625" style="50" customWidth="1"/>
    <col min="7467" max="7680" width="9.140625" style="50"/>
    <col min="7681" max="7681" width="3.85546875" style="50" customWidth="1"/>
    <col min="7682" max="7682" width="19.140625" style="50" customWidth="1"/>
    <col min="7683" max="7684" width="11.28515625" style="50" customWidth="1"/>
    <col min="7685" max="7687" width="11" style="50" customWidth="1"/>
    <col min="7688" max="7689" width="17.28515625" style="50" customWidth="1"/>
    <col min="7690" max="7690" width="12.42578125" style="50" customWidth="1"/>
    <col min="7691" max="7691" width="11.7109375" style="50" customWidth="1"/>
    <col min="7692" max="7692" width="12.140625" style="50" customWidth="1"/>
    <col min="7693" max="7693" width="17.42578125" style="50" customWidth="1"/>
    <col min="7694" max="7694" width="12.85546875" style="50" bestFit="1" customWidth="1"/>
    <col min="7695" max="7695" width="13.140625" style="50" bestFit="1" customWidth="1"/>
    <col min="7696" max="7696" width="12.85546875" style="50" bestFit="1" customWidth="1"/>
    <col min="7697" max="7697" width="12.85546875" style="50" customWidth="1"/>
    <col min="7698" max="7698" width="15.5703125" style="50" customWidth="1"/>
    <col min="7699" max="7700" width="12.5703125" style="50" customWidth="1"/>
    <col min="7701" max="7701" width="17.28515625" style="50" bestFit="1" customWidth="1"/>
    <col min="7702" max="7708" width="17.28515625" style="50" customWidth="1"/>
    <col min="7709" max="7709" width="10.7109375" style="50" customWidth="1"/>
    <col min="7710" max="7710" width="17.28515625" style="50" customWidth="1"/>
    <col min="7711" max="7719" width="9.140625" style="50"/>
    <col min="7720" max="7720" width="10" style="50" customWidth="1"/>
    <col min="7721" max="7721" width="12.140625" style="50" customWidth="1"/>
    <col min="7722" max="7722" width="10.140625" style="50" customWidth="1"/>
    <col min="7723" max="7936" width="9.140625" style="50"/>
    <col min="7937" max="7937" width="3.85546875" style="50" customWidth="1"/>
    <col min="7938" max="7938" width="19.140625" style="50" customWidth="1"/>
    <col min="7939" max="7940" width="11.28515625" style="50" customWidth="1"/>
    <col min="7941" max="7943" width="11" style="50" customWidth="1"/>
    <col min="7944" max="7945" width="17.28515625" style="50" customWidth="1"/>
    <col min="7946" max="7946" width="12.42578125" style="50" customWidth="1"/>
    <col min="7947" max="7947" width="11.7109375" style="50" customWidth="1"/>
    <col min="7948" max="7948" width="12.140625" style="50" customWidth="1"/>
    <col min="7949" max="7949" width="17.42578125" style="50" customWidth="1"/>
    <col min="7950" max="7950" width="12.85546875" style="50" bestFit="1" customWidth="1"/>
    <col min="7951" max="7951" width="13.140625" style="50" bestFit="1" customWidth="1"/>
    <col min="7952" max="7952" width="12.85546875" style="50" bestFit="1" customWidth="1"/>
    <col min="7953" max="7953" width="12.85546875" style="50" customWidth="1"/>
    <col min="7954" max="7954" width="15.5703125" style="50" customWidth="1"/>
    <col min="7955" max="7956" width="12.5703125" style="50" customWidth="1"/>
    <col min="7957" max="7957" width="17.28515625" style="50" bestFit="1" customWidth="1"/>
    <col min="7958" max="7964" width="17.28515625" style="50" customWidth="1"/>
    <col min="7965" max="7965" width="10.7109375" style="50" customWidth="1"/>
    <col min="7966" max="7966" width="17.28515625" style="50" customWidth="1"/>
    <col min="7967" max="7975" width="9.140625" style="50"/>
    <col min="7976" max="7976" width="10" style="50" customWidth="1"/>
    <col min="7977" max="7977" width="12.140625" style="50" customWidth="1"/>
    <col min="7978" max="7978" width="10.140625" style="50" customWidth="1"/>
    <col min="7979" max="8192" width="9.140625" style="50"/>
    <col min="8193" max="8193" width="3.85546875" style="50" customWidth="1"/>
    <col min="8194" max="8194" width="19.140625" style="50" customWidth="1"/>
    <col min="8195" max="8196" width="11.28515625" style="50" customWidth="1"/>
    <col min="8197" max="8199" width="11" style="50" customWidth="1"/>
    <col min="8200" max="8201" width="17.28515625" style="50" customWidth="1"/>
    <col min="8202" max="8202" width="12.42578125" style="50" customWidth="1"/>
    <col min="8203" max="8203" width="11.7109375" style="50" customWidth="1"/>
    <col min="8204" max="8204" width="12.140625" style="50" customWidth="1"/>
    <col min="8205" max="8205" width="17.42578125" style="50" customWidth="1"/>
    <col min="8206" max="8206" width="12.85546875" style="50" bestFit="1" customWidth="1"/>
    <col min="8207" max="8207" width="13.140625" style="50" bestFit="1" customWidth="1"/>
    <col min="8208" max="8208" width="12.85546875" style="50" bestFit="1" customWidth="1"/>
    <col min="8209" max="8209" width="12.85546875" style="50" customWidth="1"/>
    <col min="8210" max="8210" width="15.5703125" style="50" customWidth="1"/>
    <col min="8211" max="8212" width="12.5703125" style="50" customWidth="1"/>
    <col min="8213" max="8213" width="17.28515625" style="50" bestFit="1" customWidth="1"/>
    <col min="8214" max="8220" width="17.28515625" style="50" customWidth="1"/>
    <col min="8221" max="8221" width="10.7109375" style="50" customWidth="1"/>
    <col min="8222" max="8222" width="17.28515625" style="50" customWidth="1"/>
    <col min="8223" max="8231" width="9.140625" style="50"/>
    <col min="8232" max="8232" width="10" style="50" customWidth="1"/>
    <col min="8233" max="8233" width="12.140625" style="50" customWidth="1"/>
    <col min="8234" max="8234" width="10.140625" style="50" customWidth="1"/>
    <col min="8235" max="8448" width="9.140625" style="50"/>
    <col min="8449" max="8449" width="3.85546875" style="50" customWidth="1"/>
    <col min="8450" max="8450" width="19.140625" style="50" customWidth="1"/>
    <col min="8451" max="8452" width="11.28515625" style="50" customWidth="1"/>
    <col min="8453" max="8455" width="11" style="50" customWidth="1"/>
    <col min="8456" max="8457" width="17.28515625" style="50" customWidth="1"/>
    <col min="8458" max="8458" width="12.42578125" style="50" customWidth="1"/>
    <col min="8459" max="8459" width="11.7109375" style="50" customWidth="1"/>
    <col min="8460" max="8460" width="12.140625" style="50" customWidth="1"/>
    <col min="8461" max="8461" width="17.42578125" style="50" customWidth="1"/>
    <col min="8462" max="8462" width="12.85546875" style="50" bestFit="1" customWidth="1"/>
    <col min="8463" max="8463" width="13.140625" style="50" bestFit="1" customWidth="1"/>
    <col min="8464" max="8464" width="12.85546875" style="50" bestFit="1" customWidth="1"/>
    <col min="8465" max="8465" width="12.85546875" style="50" customWidth="1"/>
    <col min="8466" max="8466" width="15.5703125" style="50" customWidth="1"/>
    <col min="8467" max="8468" width="12.5703125" style="50" customWidth="1"/>
    <col min="8469" max="8469" width="17.28515625" style="50" bestFit="1" customWidth="1"/>
    <col min="8470" max="8476" width="17.28515625" style="50" customWidth="1"/>
    <col min="8477" max="8477" width="10.7109375" style="50" customWidth="1"/>
    <col min="8478" max="8478" width="17.28515625" style="50" customWidth="1"/>
    <col min="8479" max="8487" width="9.140625" style="50"/>
    <col min="8488" max="8488" width="10" style="50" customWidth="1"/>
    <col min="8489" max="8489" width="12.140625" style="50" customWidth="1"/>
    <col min="8490" max="8490" width="10.140625" style="50" customWidth="1"/>
    <col min="8491" max="8704" width="9.140625" style="50"/>
    <col min="8705" max="8705" width="3.85546875" style="50" customWidth="1"/>
    <col min="8706" max="8706" width="19.140625" style="50" customWidth="1"/>
    <col min="8707" max="8708" width="11.28515625" style="50" customWidth="1"/>
    <col min="8709" max="8711" width="11" style="50" customWidth="1"/>
    <col min="8712" max="8713" width="17.28515625" style="50" customWidth="1"/>
    <col min="8714" max="8714" width="12.42578125" style="50" customWidth="1"/>
    <col min="8715" max="8715" width="11.7109375" style="50" customWidth="1"/>
    <col min="8716" max="8716" width="12.140625" style="50" customWidth="1"/>
    <col min="8717" max="8717" width="17.42578125" style="50" customWidth="1"/>
    <col min="8718" max="8718" width="12.85546875" style="50" bestFit="1" customWidth="1"/>
    <col min="8719" max="8719" width="13.140625" style="50" bestFit="1" customWidth="1"/>
    <col min="8720" max="8720" width="12.85546875" style="50" bestFit="1" customWidth="1"/>
    <col min="8721" max="8721" width="12.85546875" style="50" customWidth="1"/>
    <col min="8722" max="8722" width="15.5703125" style="50" customWidth="1"/>
    <col min="8723" max="8724" width="12.5703125" style="50" customWidth="1"/>
    <col min="8725" max="8725" width="17.28515625" style="50" bestFit="1" customWidth="1"/>
    <col min="8726" max="8732" width="17.28515625" style="50" customWidth="1"/>
    <col min="8733" max="8733" width="10.7109375" style="50" customWidth="1"/>
    <col min="8734" max="8734" width="17.28515625" style="50" customWidth="1"/>
    <col min="8735" max="8743" width="9.140625" style="50"/>
    <col min="8744" max="8744" width="10" style="50" customWidth="1"/>
    <col min="8745" max="8745" width="12.140625" style="50" customWidth="1"/>
    <col min="8746" max="8746" width="10.140625" style="50" customWidth="1"/>
    <col min="8747" max="8960" width="9.140625" style="50"/>
    <col min="8961" max="8961" width="3.85546875" style="50" customWidth="1"/>
    <col min="8962" max="8962" width="19.140625" style="50" customWidth="1"/>
    <col min="8963" max="8964" width="11.28515625" style="50" customWidth="1"/>
    <col min="8965" max="8967" width="11" style="50" customWidth="1"/>
    <col min="8968" max="8969" width="17.28515625" style="50" customWidth="1"/>
    <col min="8970" max="8970" width="12.42578125" style="50" customWidth="1"/>
    <col min="8971" max="8971" width="11.7109375" style="50" customWidth="1"/>
    <col min="8972" max="8972" width="12.140625" style="50" customWidth="1"/>
    <col min="8973" max="8973" width="17.42578125" style="50" customWidth="1"/>
    <col min="8974" max="8974" width="12.85546875" style="50" bestFit="1" customWidth="1"/>
    <col min="8975" max="8975" width="13.140625" style="50" bestFit="1" customWidth="1"/>
    <col min="8976" max="8976" width="12.85546875" style="50" bestFit="1" customWidth="1"/>
    <col min="8977" max="8977" width="12.85546875" style="50" customWidth="1"/>
    <col min="8978" max="8978" width="15.5703125" style="50" customWidth="1"/>
    <col min="8979" max="8980" width="12.5703125" style="50" customWidth="1"/>
    <col min="8981" max="8981" width="17.28515625" style="50" bestFit="1" customWidth="1"/>
    <col min="8982" max="8988" width="17.28515625" style="50" customWidth="1"/>
    <col min="8989" max="8989" width="10.7109375" style="50" customWidth="1"/>
    <col min="8990" max="8990" width="17.28515625" style="50" customWidth="1"/>
    <col min="8991" max="8999" width="9.140625" style="50"/>
    <col min="9000" max="9000" width="10" style="50" customWidth="1"/>
    <col min="9001" max="9001" width="12.140625" style="50" customWidth="1"/>
    <col min="9002" max="9002" width="10.140625" style="50" customWidth="1"/>
    <col min="9003" max="9216" width="9.140625" style="50"/>
    <col min="9217" max="9217" width="3.85546875" style="50" customWidth="1"/>
    <col min="9218" max="9218" width="19.140625" style="50" customWidth="1"/>
    <col min="9219" max="9220" width="11.28515625" style="50" customWidth="1"/>
    <col min="9221" max="9223" width="11" style="50" customWidth="1"/>
    <col min="9224" max="9225" width="17.28515625" style="50" customWidth="1"/>
    <col min="9226" max="9226" width="12.42578125" style="50" customWidth="1"/>
    <col min="9227" max="9227" width="11.7109375" style="50" customWidth="1"/>
    <col min="9228" max="9228" width="12.140625" style="50" customWidth="1"/>
    <col min="9229" max="9229" width="17.42578125" style="50" customWidth="1"/>
    <col min="9230" max="9230" width="12.85546875" style="50" bestFit="1" customWidth="1"/>
    <col min="9231" max="9231" width="13.140625" style="50" bestFit="1" customWidth="1"/>
    <col min="9232" max="9232" width="12.85546875" style="50" bestFit="1" customWidth="1"/>
    <col min="9233" max="9233" width="12.85546875" style="50" customWidth="1"/>
    <col min="9234" max="9234" width="15.5703125" style="50" customWidth="1"/>
    <col min="9235" max="9236" width="12.5703125" style="50" customWidth="1"/>
    <col min="9237" max="9237" width="17.28515625" style="50" bestFit="1" customWidth="1"/>
    <col min="9238" max="9244" width="17.28515625" style="50" customWidth="1"/>
    <col min="9245" max="9245" width="10.7109375" style="50" customWidth="1"/>
    <col min="9246" max="9246" width="17.28515625" style="50" customWidth="1"/>
    <col min="9247" max="9255" width="9.140625" style="50"/>
    <col min="9256" max="9256" width="10" style="50" customWidth="1"/>
    <col min="9257" max="9257" width="12.140625" style="50" customWidth="1"/>
    <col min="9258" max="9258" width="10.140625" style="50" customWidth="1"/>
    <col min="9259" max="9472" width="9.140625" style="50"/>
    <col min="9473" max="9473" width="3.85546875" style="50" customWidth="1"/>
    <col min="9474" max="9474" width="19.140625" style="50" customWidth="1"/>
    <col min="9475" max="9476" width="11.28515625" style="50" customWidth="1"/>
    <col min="9477" max="9479" width="11" style="50" customWidth="1"/>
    <col min="9480" max="9481" width="17.28515625" style="50" customWidth="1"/>
    <col min="9482" max="9482" width="12.42578125" style="50" customWidth="1"/>
    <col min="9483" max="9483" width="11.7109375" style="50" customWidth="1"/>
    <col min="9484" max="9484" width="12.140625" style="50" customWidth="1"/>
    <col min="9485" max="9485" width="17.42578125" style="50" customWidth="1"/>
    <col min="9486" max="9486" width="12.85546875" style="50" bestFit="1" customWidth="1"/>
    <col min="9487" max="9487" width="13.140625" style="50" bestFit="1" customWidth="1"/>
    <col min="9488" max="9488" width="12.85546875" style="50" bestFit="1" customWidth="1"/>
    <col min="9489" max="9489" width="12.85546875" style="50" customWidth="1"/>
    <col min="9490" max="9490" width="15.5703125" style="50" customWidth="1"/>
    <col min="9491" max="9492" width="12.5703125" style="50" customWidth="1"/>
    <col min="9493" max="9493" width="17.28515625" style="50" bestFit="1" customWidth="1"/>
    <col min="9494" max="9500" width="17.28515625" style="50" customWidth="1"/>
    <col min="9501" max="9501" width="10.7109375" style="50" customWidth="1"/>
    <col min="9502" max="9502" width="17.28515625" style="50" customWidth="1"/>
    <col min="9503" max="9511" width="9.140625" style="50"/>
    <col min="9512" max="9512" width="10" style="50" customWidth="1"/>
    <col min="9513" max="9513" width="12.140625" style="50" customWidth="1"/>
    <col min="9514" max="9514" width="10.140625" style="50" customWidth="1"/>
    <col min="9515" max="9728" width="9.140625" style="50"/>
    <col min="9729" max="9729" width="3.85546875" style="50" customWidth="1"/>
    <col min="9730" max="9730" width="19.140625" style="50" customWidth="1"/>
    <col min="9731" max="9732" width="11.28515625" style="50" customWidth="1"/>
    <col min="9733" max="9735" width="11" style="50" customWidth="1"/>
    <col min="9736" max="9737" width="17.28515625" style="50" customWidth="1"/>
    <col min="9738" max="9738" width="12.42578125" style="50" customWidth="1"/>
    <col min="9739" max="9739" width="11.7109375" style="50" customWidth="1"/>
    <col min="9740" max="9740" width="12.140625" style="50" customWidth="1"/>
    <col min="9741" max="9741" width="17.42578125" style="50" customWidth="1"/>
    <col min="9742" max="9742" width="12.85546875" style="50" bestFit="1" customWidth="1"/>
    <col min="9743" max="9743" width="13.140625" style="50" bestFit="1" customWidth="1"/>
    <col min="9744" max="9744" width="12.85546875" style="50" bestFit="1" customWidth="1"/>
    <col min="9745" max="9745" width="12.85546875" style="50" customWidth="1"/>
    <col min="9746" max="9746" width="15.5703125" style="50" customWidth="1"/>
    <col min="9747" max="9748" width="12.5703125" style="50" customWidth="1"/>
    <col min="9749" max="9749" width="17.28515625" style="50" bestFit="1" customWidth="1"/>
    <col min="9750" max="9756" width="17.28515625" style="50" customWidth="1"/>
    <col min="9757" max="9757" width="10.7109375" style="50" customWidth="1"/>
    <col min="9758" max="9758" width="17.28515625" style="50" customWidth="1"/>
    <col min="9759" max="9767" width="9.140625" style="50"/>
    <col min="9768" max="9768" width="10" style="50" customWidth="1"/>
    <col min="9769" max="9769" width="12.140625" style="50" customWidth="1"/>
    <col min="9770" max="9770" width="10.140625" style="50" customWidth="1"/>
    <col min="9771" max="9984" width="9.140625" style="50"/>
    <col min="9985" max="9985" width="3.85546875" style="50" customWidth="1"/>
    <col min="9986" max="9986" width="19.140625" style="50" customWidth="1"/>
    <col min="9987" max="9988" width="11.28515625" style="50" customWidth="1"/>
    <col min="9989" max="9991" width="11" style="50" customWidth="1"/>
    <col min="9992" max="9993" width="17.28515625" style="50" customWidth="1"/>
    <col min="9994" max="9994" width="12.42578125" style="50" customWidth="1"/>
    <col min="9995" max="9995" width="11.7109375" style="50" customWidth="1"/>
    <col min="9996" max="9996" width="12.140625" style="50" customWidth="1"/>
    <col min="9997" max="9997" width="17.42578125" style="50" customWidth="1"/>
    <col min="9998" max="9998" width="12.85546875" style="50" bestFit="1" customWidth="1"/>
    <col min="9999" max="9999" width="13.140625" style="50" bestFit="1" customWidth="1"/>
    <col min="10000" max="10000" width="12.85546875" style="50" bestFit="1" customWidth="1"/>
    <col min="10001" max="10001" width="12.85546875" style="50" customWidth="1"/>
    <col min="10002" max="10002" width="15.5703125" style="50" customWidth="1"/>
    <col min="10003" max="10004" width="12.5703125" style="50" customWidth="1"/>
    <col min="10005" max="10005" width="17.28515625" style="50" bestFit="1" customWidth="1"/>
    <col min="10006" max="10012" width="17.28515625" style="50" customWidth="1"/>
    <col min="10013" max="10013" width="10.7109375" style="50" customWidth="1"/>
    <col min="10014" max="10014" width="17.28515625" style="50" customWidth="1"/>
    <col min="10015" max="10023" width="9.140625" style="50"/>
    <col min="10024" max="10024" width="10" style="50" customWidth="1"/>
    <col min="10025" max="10025" width="12.140625" style="50" customWidth="1"/>
    <col min="10026" max="10026" width="10.140625" style="50" customWidth="1"/>
    <col min="10027" max="10240" width="9.140625" style="50"/>
    <col min="10241" max="10241" width="3.85546875" style="50" customWidth="1"/>
    <col min="10242" max="10242" width="19.140625" style="50" customWidth="1"/>
    <col min="10243" max="10244" width="11.28515625" style="50" customWidth="1"/>
    <col min="10245" max="10247" width="11" style="50" customWidth="1"/>
    <col min="10248" max="10249" width="17.28515625" style="50" customWidth="1"/>
    <col min="10250" max="10250" width="12.42578125" style="50" customWidth="1"/>
    <col min="10251" max="10251" width="11.7109375" style="50" customWidth="1"/>
    <col min="10252" max="10252" width="12.140625" style="50" customWidth="1"/>
    <col min="10253" max="10253" width="17.42578125" style="50" customWidth="1"/>
    <col min="10254" max="10254" width="12.85546875" style="50" bestFit="1" customWidth="1"/>
    <col min="10255" max="10255" width="13.140625" style="50" bestFit="1" customWidth="1"/>
    <col min="10256" max="10256" width="12.85546875" style="50" bestFit="1" customWidth="1"/>
    <col min="10257" max="10257" width="12.85546875" style="50" customWidth="1"/>
    <col min="10258" max="10258" width="15.5703125" style="50" customWidth="1"/>
    <col min="10259" max="10260" width="12.5703125" style="50" customWidth="1"/>
    <col min="10261" max="10261" width="17.28515625" style="50" bestFit="1" customWidth="1"/>
    <col min="10262" max="10268" width="17.28515625" style="50" customWidth="1"/>
    <col min="10269" max="10269" width="10.7109375" style="50" customWidth="1"/>
    <col min="10270" max="10270" width="17.28515625" style="50" customWidth="1"/>
    <col min="10271" max="10279" width="9.140625" style="50"/>
    <col min="10280" max="10280" width="10" style="50" customWidth="1"/>
    <col min="10281" max="10281" width="12.140625" style="50" customWidth="1"/>
    <col min="10282" max="10282" width="10.140625" style="50" customWidth="1"/>
    <col min="10283" max="10496" width="9.140625" style="50"/>
    <col min="10497" max="10497" width="3.85546875" style="50" customWidth="1"/>
    <col min="10498" max="10498" width="19.140625" style="50" customWidth="1"/>
    <col min="10499" max="10500" width="11.28515625" style="50" customWidth="1"/>
    <col min="10501" max="10503" width="11" style="50" customWidth="1"/>
    <col min="10504" max="10505" width="17.28515625" style="50" customWidth="1"/>
    <col min="10506" max="10506" width="12.42578125" style="50" customWidth="1"/>
    <col min="10507" max="10507" width="11.7109375" style="50" customWidth="1"/>
    <col min="10508" max="10508" width="12.140625" style="50" customWidth="1"/>
    <col min="10509" max="10509" width="17.42578125" style="50" customWidth="1"/>
    <col min="10510" max="10510" width="12.85546875" style="50" bestFit="1" customWidth="1"/>
    <col min="10511" max="10511" width="13.140625" style="50" bestFit="1" customWidth="1"/>
    <col min="10512" max="10512" width="12.85546875" style="50" bestFit="1" customWidth="1"/>
    <col min="10513" max="10513" width="12.85546875" style="50" customWidth="1"/>
    <col min="10514" max="10514" width="15.5703125" style="50" customWidth="1"/>
    <col min="10515" max="10516" width="12.5703125" style="50" customWidth="1"/>
    <col min="10517" max="10517" width="17.28515625" style="50" bestFit="1" customWidth="1"/>
    <col min="10518" max="10524" width="17.28515625" style="50" customWidth="1"/>
    <col min="10525" max="10525" width="10.7109375" style="50" customWidth="1"/>
    <col min="10526" max="10526" width="17.28515625" style="50" customWidth="1"/>
    <col min="10527" max="10535" width="9.140625" style="50"/>
    <col min="10536" max="10536" width="10" style="50" customWidth="1"/>
    <col min="10537" max="10537" width="12.140625" style="50" customWidth="1"/>
    <col min="10538" max="10538" width="10.140625" style="50" customWidth="1"/>
    <col min="10539" max="10752" width="9.140625" style="50"/>
    <col min="10753" max="10753" width="3.85546875" style="50" customWidth="1"/>
    <col min="10754" max="10754" width="19.140625" style="50" customWidth="1"/>
    <col min="10755" max="10756" width="11.28515625" style="50" customWidth="1"/>
    <col min="10757" max="10759" width="11" style="50" customWidth="1"/>
    <col min="10760" max="10761" width="17.28515625" style="50" customWidth="1"/>
    <col min="10762" max="10762" width="12.42578125" style="50" customWidth="1"/>
    <col min="10763" max="10763" width="11.7109375" style="50" customWidth="1"/>
    <col min="10764" max="10764" width="12.140625" style="50" customWidth="1"/>
    <col min="10765" max="10765" width="17.42578125" style="50" customWidth="1"/>
    <col min="10766" max="10766" width="12.85546875" style="50" bestFit="1" customWidth="1"/>
    <col min="10767" max="10767" width="13.140625" style="50" bestFit="1" customWidth="1"/>
    <col min="10768" max="10768" width="12.85546875" style="50" bestFit="1" customWidth="1"/>
    <col min="10769" max="10769" width="12.85546875" style="50" customWidth="1"/>
    <col min="10770" max="10770" width="15.5703125" style="50" customWidth="1"/>
    <col min="10771" max="10772" width="12.5703125" style="50" customWidth="1"/>
    <col min="10773" max="10773" width="17.28515625" style="50" bestFit="1" customWidth="1"/>
    <col min="10774" max="10780" width="17.28515625" style="50" customWidth="1"/>
    <col min="10781" max="10781" width="10.7109375" style="50" customWidth="1"/>
    <col min="10782" max="10782" width="17.28515625" style="50" customWidth="1"/>
    <col min="10783" max="10791" width="9.140625" style="50"/>
    <col min="10792" max="10792" width="10" style="50" customWidth="1"/>
    <col min="10793" max="10793" width="12.140625" style="50" customWidth="1"/>
    <col min="10794" max="10794" width="10.140625" style="50" customWidth="1"/>
    <col min="10795" max="11008" width="9.140625" style="50"/>
    <col min="11009" max="11009" width="3.85546875" style="50" customWidth="1"/>
    <col min="11010" max="11010" width="19.140625" style="50" customWidth="1"/>
    <col min="11011" max="11012" width="11.28515625" style="50" customWidth="1"/>
    <col min="11013" max="11015" width="11" style="50" customWidth="1"/>
    <col min="11016" max="11017" width="17.28515625" style="50" customWidth="1"/>
    <col min="11018" max="11018" width="12.42578125" style="50" customWidth="1"/>
    <col min="11019" max="11019" width="11.7109375" style="50" customWidth="1"/>
    <col min="11020" max="11020" width="12.140625" style="50" customWidth="1"/>
    <col min="11021" max="11021" width="17.42578125" style="50" customWidth="1"/>
    <col min="11022" max="11022" width="12.85546875" style="50" bestFit="1" customWidth="1"/>
    <col min="11023" max="11023" width="13.140625" style="50" bestFit="1" customWidth="1"/>
    <col min="11024" max="11024" width="12.85546875" style="50" bestFit="1" customWidth="1"/>
    <col min="11025" max="11025" width="12.85546875" style="50" customWidth="1"/>
    <col min="11026" max="11026" width="15.5703125" style="50" customWidth="1"/>
    <col min="11027" max="11028" width="12.5703125" style="50" customWidth="1"/>
    <col min="11029" max="11029" width="17.28515625" style="50" bestFit="1" customWidth="1"/>
    <col min="11030" max="11036" width="17.28515625" style="50" customWidth="1"/>
    <col min="11037" max="11037" width="10.7109375" style="50" customWidth="1"/>
    <col min="11038" max="11038" width="17.28515625" style="50" customWidth="1"/>
    <col min="11039" max="11047" width="9.140625" style="50"/>
    <col min="11048" max="11048" width="10" style="50" customWidth="1"/>
    <col min="11049" max="11049" width="12.140625" style="50" customWidth="1"/>
    <col min="11050" max="11050" width="10.140625" style="50" customWidth="1"/>
    <col min="11051" max="11264" width="9.140625" style="50"/>
    <col min="11265" max="11265" width="3.85546875" style="50" customWidth="1"/>
    <col min="11266" max="11266" width="19.140625" style="50" customWidth="1"/>
    <col min="11267" max="11268" width="11.28515625" style="50" customWidth="1"/>
    <col min="11269" max="11271" width="11" style="50" customWidth="1"/>
    <col min="11272" max="11273" width="17.28515625" style="50" customWidth="1"/>
    <col min="11274" max="11274" width="12.42578125" style="50" customWidth="1"/>
    <col min="11275" max="11275" width="11.7109375" style="50" customWidth="1"/>
    <col min="11276" max="11276" width="12.140625" style="50" customWidth="1"/>
    <col min="11277" max="11277" width="17.42578125" style="50" customWidth="1"/>
    <col min="11278" max="11278" width="12.85546875" style="50" bestFit="1" customWidth="1"/>
    <col min="11279" max="11279" width="13.140625" style="50" bestFit="1" customWidth="1"/>
    <col min="11280" max="11280" width="12.85546875" style="50" bestFit="1" customWidth="1"/>
    <col min="11281" max="11281" width="12.85546875" style="50" customWidth="1"/>
    <col min="11282" max="11282" width="15.5703125" style="50" customWidth="1"/>
    <col min="11283" max="11284" width="12.5703125" style="50" customWidth="1"/>
    <col min="11285" max="11285" width="17.28515625" style="50" bestFit="1" customWidth="1"/>
    <col min="11286" max="11292" width="17.28515625" style="50" customWidth="1"/>
    <col min="11293" max="11293" width="10.7109375" style="50" customWidth="1"/>
    <col min="11294" max="11294" width="17.28515625" style="50" customWidth="1"/>
    <col min="11295" max="11303" width="9.140625" style="50"/>
    <col min="11304" max="11304" width="10" style="50" customWidth="1"/>
    <col min="11305" max="11305" width="12.140625" style="50" customWidth="1"/>
    <col min="11306" max="11306" width="10.140625" style="50" customWidth="1"/>
    <col min="11307" max="11520" width="9.140625" style="50"/>
    <col min="11521" max="11521" width="3.85546875" style="50" customWidth="1"/>
    <col min="11522" max="11522" width="19.140625" style="50" customWidth="1"/>
    <col min="11523" max="11524" width="11.28515625" style="50" customWidth="1"/>
    <col min="11525" max="11527" width="11" style="50" customWidth="1"/>
    <col min="11528" max="11529" width="17.28515625" style="50" customWidth="1"/>
    <col min="11530" max="11530" width="12.42578125" style="50" customWidth="1"/>
    <col min="11531" max="11531" width="11.7109375" style="50" customWidth="1"/>
    <col min="11532" max="11532" width="12.140625" style="50" customWidth="1"/>
    <col min="11533" max="11533" width="17.42578125" style="50" customWidth="1"/>
    <col min="11534" max="11534" width="12.85546875" style="50" bestFit="1" customWidth="1"/>
    <col min="11535" max="11535" width="13.140625" style="50" bestFit="1" customWidth="1"/>
    <col min="11536" max="11536" width="12.85546875" style="50" bestFit="1" customWidth="1"/>
    <col min="11537" max="11537" width="12.85546875" style="50" customWidth="1"/>
    <col min="11538" max="11538" width="15.5703125" style="50" customWidth="1"/>
    <col min="11539" max="11540" width="12.5703125" style="50" customWidth="1"/>
    <col min="11541" max="11541" width="17.28515625" style="50" bestFit="1" customWidth="1"/>
    <col min="11542" max="11548" width="17.28515625" style="50" customWidth="1"/>
    <col min="11549" max="11549" width="10.7109375" style="50" customWidth="1"/>
    <col min="11550" max="11550" width="17.28515625" style="50" customWidth="1"/>
    <col min="11551" max="11559" width="9.140625" style="50"/>
    <col min="11560" max="11560" width="10" style="50" customWidth="1"/>
    <col min="11561" max="11561" width="12.140625" style="50" customWidth="1"/>
    <col min="11562" max="11562" width="10.140625" style="50" customWidth="1"/>
    <col min="11563" max="11776" width="9.140625" style="50"/>
    <col min="11777" max="11777" width="3.85546875" style="50" customWidth="1"/>
    <col min="11778" max="11778" width="19.140625" style="50" customWidth="1"/>
    <col min="11779" max="11780" width="11.28515625" style="50" customWidth="1"/>
    <col min="11781" max="11783" width="11" style="50" customWidth="1"/>
    <col min="11784" max="11785" width="17.28515625" style="50" customWidth="1"/>
    <col min="11786" max="11786" width="12.42578125" style="50" customWidth="1"/>
    <col min="11787" max="11787" width="11.7109375" style="50" customWidth="1"/>
    <col min="11788" max="11788" width="12.140625" style="50" customWidth="1"/>
    <col min="11789" max="11789" width="17.42578125" style="50" customWidth="1"/>
    <col min="11790" max="11790" width="12.85546875" style="50" bestFit="1" customWidth="1"/>
    <col min="11791" max="11791" width="13.140625" style="50" bestFit="1" customWidth="1"/>
    <col min="11792" max="11792" width="12.85546875" style="50" bestFit="1" customWidth="1"/>
    <col min="11793" max="11793" width="12.85546875" style="50" customWidth="1"/>
    <col min="11794" max="11794" width="15.5703125" style="50" customWidth="1"/>
    <col min="11795" max="11796" width="12.5703125" style="50" customWidth="1"/>
    <col min="11797" max="11797" width="17.28515625" style="50" bestFit="1" customWidth="1"/>
    <col min="11798" max="11804" width="17.28515625" style="50" customWidth="1"/>
    <col min="11805" max="11805" width="10.7109375" style="50" customWidth="1"/>
    <col min="11806" max="11806" width="17.28515625" style="50" customWidth="1"/>
    <col min="11807" max="11815" width="9.140625" style="50"/>
    <col min="11816" max="11816" width="10" style="50" customWidth="1"/>
    <col min="11817" max="11817" width="12.140625" style="50" customWidth="1"/>
    <col min="11818" max="11818" width="10.140625" style="50" customWidth="1"/>
    <col min="11819" max="12032" width="9.140625" style="50"/>
    <col min="12033" max="12033" width="3.85546875" style="50" customWidth="1"/>
    <col min="12034" max="12034" width="19.140625" style="50" customWidth="1"/>
    <col min="12035" max="12036" width="11.28515625" style="50" customWidth="1"/>
    <col min="12037" max="12039" width="11" style="50" customWidth="1"/>
    <col min="12040" max="12041" width="17.28515625" style="50" customWidth="1"/>
    <col min="12042" max="12042" width="12.42578125" style="50" customWidth="1"/>
    <col min="12043" max="12043" width="11.7109375" style="50" customWidth="1"/>
    <col min="12044" max="12044" width="12.140625" style="50" customWidth="1"/>
    <col min="12045" max="12045" width="17.42578125" style="50" customWidth="1"/>
    <col min="12046" max="12046" width="12.85546875" style="50" bestFit="1" customWidth="1"/>
    <col min="12047" max="12047" width="13.140625" style="50" bestFit="1" customWidth="1"/>
    <col min="12048" max="12048" width="12.85546875" style="50" bestFit="1" customWidth="1"/>
    <col min="12049" max="12049" width="12.85546875" style="50" customWidth="1"/>
    <col min="12050" max="12050" width="15.5703125" style="50" customWidth="1"/>
    <col min="12051" max="12052" width="12.5703125" style="50" customWidth="1"/>
    <col min="12053" max="12053" width="17.28515625" style="50" bestFit="1" customWidth="1"/>
    <col min="12054" max="12060" width="17.28515625" style="50" customWidth="1"/>
    <col min="12061" max="12061" width="10.7109375" style="50" customWidth="1"/>
    <col min="12062" max="12062" width="17.28515625" style="50" customWidth="1"/>
    <col min="12063" max="12071" width="9.140625" style="50"/>
    <col min="12072" max="12072" width="10" style="50" customWidth="1"/>
    <col min="12073" max="12073" width="12.140625" style="50" customWidth="1"/>
    <col min="12074" max="12074" width="10.140625" style="50" customWidth="1"/>
    <col min="12075" max="12288" width="9.140625" style="50"/>
    <col min="12289" max="12289" width="3.85546875" style="50" customWidth="1"/>
    <col min="12290" max="12290" width="19.140625" style="50" customWidth="1"/>
    <col min="12291" max="12292" width="11.28515625" style="50" customWidth="1"/>
    <col min="12293" max="12295" width="11" style="50" customWidth="1"/>
    <col min="12296" max="12297" width="17.28515625" style="50" customWidth="1"/>
    <col min="12298" max="12298" width="12.42578125" style="50" customWidth="1"/>
    <col min="12299" max="12299" width="11.7109375" style="50" customWidth="1"/>
    <col min="12300" max="12300" width="12.140625" style="50" customWidth="1"/>
    <col min="12301" max="12301" width="17.42578125" style="50" customWidth="1"/>
    <col min="12302" max="12302" width="12.85546875" style="50" bestFit="1" customWidth="1"/>
    <col min="12303" max="12303" width="13.140625" style="50" bestFit="1" customWidth="1"/>
    <col min="12304" max="12304" width="12.85546875" style="50" bestFit="1" customWidth="1"/>
    <col min="12305" max="12305" width="12.85546875" style="50" customWidth="1"/>
    <col min="12306" max="12306" width="15.5703125" style="50" customWidth="1"/>
    <col min="12307" max="12308" width="12.5703125" style="50" customWidth="1"/>
    <col min="12309" max="12309" width="17.28515625" style="50" bestFit="1" customWidth="1"/>
    <col min="12310" max="12316" width="17.28515625" style="50" customWidth="1"/>
    <col min="12317" max="12317" width="10.7109375" style="50" customWidth="1"/>
    <col min="12318" max="12318" width="17.28515625" style="50" customWidth="1"/>
    <col min="12319" max="12327" width="9.140625" style="50"/>
    <col min="12328" max="12328" width="10" style="50" customWidth="1"/>
    <col min="12329" max="12329" width="12.140625" style="50" customWidth="1"/>
    <col min="12330" max="12330" width="10.140625" style="50" customWidth="1"/>
    <col min="12331" max="12544" width="9.140625" style="50"/>
    <col min="12545" max="12545" width="3.85546875" style="50" customWidth="1"/>
    <col min="12546" max="12546" width="19.140625" style="50" customWidth="1"/>
    <col min="12547" max="12548" width="11.28515625" style="50" customWidth="1"/>
    <col min="12549" max="12551" width="11" style="50" customWidth="1"/>
    <col min="12552" max="12553" width="17.28515625" style="50" customWidth="1"/>
    <col min="12554" max="12554" width="12.42578125" style="50" customWidth="1"/>
    <col min="12555" max="12555" width="11.7109375" style="50" customWidth="1"/>
    <col min="12556" max="12556" width="12.140625" style="50" customWidth="1"/>
    <col min="12557" max="12557" width="17.42578125" style="50" customWidth="1"/>
    <col min="12558" max="12558" width="12.85546875" style="50" bestFit="1" customWidth="1"/>
    <col min="12559" max="12559" width="13.140625" style="50" bestFit="1" customWidth="1"/>
    <col min="12560" max="12560" width="12.85546875" style="50" bestFit="1" customWidth="1"/>
    <col min="12561" max="12561" width="12.85546875" style="50" customWidth="1"/>
    <col min="12562" max="12562" width="15.5703125" style="50" customWidth="1"/>
    <col min="12563" max="12564" width="12.5703125" style="50" customWidth="1"/>
    <col min="12565" max="12565" width="17.28515625" style="50" bestFit="1" customWidth="1"/>
    <col min="12566" max="12572" width="17.28515625" style="50" customWidth="1"/>
    <col min="12573" max="12573" width="10.7109375" style="50" customWidth="1"/>
    <col min="12574" max="12574" width="17.28515625" style="50" customWidth="1"/>
    <col min="12575" max="12583" width="9.140625" style="50"/>
    <col min="12584" max="12584" width="10" style="50" customWidth="1"/>
    <col min="12585" max="12585" width="12.140625" style="50" customWidth="1"/>
    <col min="12586" max="12586" width="10.140625" style="50" customWidth="1"/>
    <col min="12587" max="12800" width="9.140625" style="50"/>
    <col min="12801" max="12801" width="3.85546875" style="50" customWidth="1"/>
    <col min="12802" max="12802" width="19.140625" style="50" customWidth="1"/>
    <col min="12803" max="12804" width="11.28515625" style="50" customWidth="1"/>
    <col min="12805" max="12807" width="11" style="50" customWidth="1"/>
    <col min="12808" max="12809" width="17.28515625" style="50" customWidth="1"/>
    <col min="12810" max="12810" width="12.42578125" style="50" customWidth="1"/>
    <col min="12811" max="12811" width="11.7109375" style="50" customWidth="1"/>
    <col min="12812" max="12812" width="12.140625" style="50" customWidth="1"/>
    <col min="12813" max="12813" width="17.42578125" style="50" customWidth="1"/>
    <col min="12814" max="12814" width="12.85546875" style="50" bestFit="1" customWidth="1"/>
    <col min="12815" max="12815" width="13.140625" style="50" bestFit="1" customWidth="1"/>
    <col min="12816" max="12816" width="12.85546875" style="50" bestFit="1" customWidth="1"/>
    <col min="12817" max="12817" width="12.85546875" style="50" customWidth="1"/>
    <col min="12818" max="12818" width="15.5703125" style="50" customWidth="1"/>
    <col min="12819" max="12820" width="12.5703125" style="50" customWidth="1"/>
    <col min="12821" max="12821" width="17.28515625" style="50" bestFit="1" customWidth="1"/>
    <col min="12822" max="12828" width="17.28515625" style="50" customWidth="1"/>
    <col min="12829" max="12829" width="10.7109375" style="50" customWidth="1"/>
    <col min="12830" max="12830" width="17.28515625" style="50" customWidth="1"/>
    <col min="12831" max="12839" width="9.140625" style="50"/>
    <col min="12840" max="12840" width="10" style="50" customWidth="1"/>
    <col min="12841" max="12841" width="12.140625" style="50" customWidth="1"/>
    <col min="12842" max="12842" width="10.140625" style="50" customWidth="1"/>
    <col min="12843" max="13056" width="9.140625" style="50"/>
    <col min="13057" max="13057" width="3.85546875" style="50" customWidth="1"/>
    <col min="13058" max="13058" width="19.140625" style="50" customWidth="1"/>
    <col min="13059" max="13060" width="11.28515625" style="50" customWidth="1"/>
    <col min="13061" max="13063" width="11" style="50" customWidth="1"/>
    <col min="13064" max="13065" width="17.28515625" style="50" customWidth="1"/>
    <col min="13066" max="13066" width="12.42578125" style="50" customWidth="1"/>
    <col min="13067" max="13067" width="11.7109375" style="50" customWidth="1"/>
    <col min="13068" max="13068" width="12.140625" style="50" customWidth="1"/>
    <col min="13069" max="13069" width="17.42578125" style="50" customWidth="1"/>
    <col min="13070" max="13070" width="12.85546875" style="50" bestFit="1" customWidth="1"/>
    <col min="13071" max="13071" width="13.140625" style="50" bestFit="1" customWidth="1"/>
    <col min="13072" max="13072" width="12.85546875" style="50" bestFit="1" customWidth="1"/>
    <col min="13073" max="13073" width="12.85546875" style="50" customWidth="1"/>
    <col min="13074" max="13074" width="15.5703125" style="50" customWidth="1"/>
    <col min="13075" max="13076" width="12.5703125" style="50" customWidth="1"/>
    <col min="13077" max="13077" width="17.28515625" style="50" bestFit="1" customWidth="1"/>
    <col min="13078" max="13084" width="17.28515625" style="50" customWidth="1"/>
    <col min="13085" max="13085" width="10.7109375" style="50" customWidth="1"/>
    <col min="13086" max="13086" width="17.28515625" style="50" customWidth="1"/>
    <col min="13087" max="13095" width="9.140625" style="50"/>
    <col min="13096" max="13096" width="10" style="50" customWidth="1"/>
    <col min="13097" max="13097" width="12.140625" style="50" customWidth="1"/>
    <col min="13098" max="13098" width="10.140625" style="50" customWidth="1"/>
    <col min="13099" max="13312" width="9.140625" style="50"/>
    <col min="13313" max="13313" width="3.85546875" style="50" customWidth="1"/>
    <col min="13314" max="13314" width="19.140625" style="50" customWidth="1"/>
    <col min="13315" max="13316" width="11.28515625" style="50" customWidth="1"/>
    <col min="13317" max="13319" width="11" style="50" customWidth="1"/>
    <col min="13320" max="13321" width="17.28515625" style="50" customWidth="1"/>
    <col min="13322" max="13322" width="12.42578125" style="50" customWidth="1"/>
    <col min="13323" max="13323" width="11.7109375" style="50" customWidth="1"/>
    <col min="13324" max="13324" width="12.140625" style="50" customWidth="1"/>
    <col min="13325" max="13325" width="17.42578125" style="50" customWidth="1"/>
    <col min="13326" max="13326" width="12.85546875" style="50" bestFit="1" customWidth="1"/>
    <col min="13327" max="13327" width="13.140625" style="50" bestFit="1" customWidth="1"/>
    <col min="13328" max="13328" width="12.85546875" style="50" bestFit="1" customWidth="1"/>
    <col min="13329" max="13329" width="12.85546875" style="50" customWidth="1"/>
    <col min="13330" max="13330" width="15.5703125" style="50" customWidth="1"/>
    <col min="13331" max="13332" width="12.5703125" style="50" customWidth="1"/>
    <col min="13333" max="13333" width="17.28515625" style="50" bestFit="1" customWidth="1"/>
    <col min="13334" max="13340" width="17.28515625" style="50" customWidth="1"/>
    <col min="13341" max="13341" width="10.7109375" style="50" customWidth="1"/>
    <col min="13342" max="13342" width="17.28515625" style="50" customWidth="1"/>
    <col min="13343" max="13351" width="9.140625" style="50"/>
    <col min="13352" max="13352" width="10" style="50" customWidth="1"/>
    <col min="13353" max="13353" width="12.140625" style="50" customWidth="1"/>
    <col min="13354" max="13354" width="10.140625" style="50" customWidth="1"/>
    <col min="13355" max="13568" width="9.140625" style="50"/>
    <col min="13569" max="13569" width="3.85546875" style="50" customWidth="1"/>
    <col min="13570" max="13570" width="19.140625" style="50" customWidth="1"/>
    <col min="13571" max="13572" width="11.28515625" style="50" customWidth="1"/>
    <col min="13573" max="13575" width="11" style="50" customWidth="1"/>
    <col min="13576" max="13577" width="17.28515625" style="50" customWidth="1"/>
    <col min="13578" max="13578" width="12.42578125" style="50" customWidth="1"/>
    <col min="13579" max="13579" width="11.7109375" style="50" customWidth="1"/>
    <col min="13580" max="13580" width="12.140625" style="50" customWidth="1"/>
    <col min="13581" max="13581" width="17.42578125" style="50" customWidth="1"/>
    <col min="13582" max="13582" width="12.85546875" style="50" bestFit="1" customWidth="1"/>
    <col min="13583" max="13583" width="13.140625" style="50" bestFit="1" customWidth="1"/>
    <col min="13584" max="13584" width="12.85546875" style="50" bestFit="1" customWidth="1"/>
    <col min="13585" max="13585" width="12.85546875" style="50" customWidth="1"/>
    <col min="13586" max="13586" width="15.5703125" style="50" customWidth="1"/>
    <col min="13587" max="13588" width="12.5703125" style="50" customWidth="1"/>
    <col min="13589" max="13589" width="17.28515625" style="50" bestFit="1" customWidth="1"/>
    <col min="13590" max="13596" width="17.28515625" style="50" customWidth="1"/>
    <col min="13597" max="13597" width="10.7109375" style="50" customWidth="1"/>
    <col min="13598" max="13598" width="17.28515625" style="50" customWidth="1"/>
    <col min="13599" max="13607" width="9.140625" style="50"/>
    <col min="13608" max="13608" width="10" style="50" customWidth="1"/>
    <col min="13609" max="13609" width="12.140625" style="50" customWidth="1"/>
    <col min="13610" max="13610" width="10.140625" style="50" customWidth="1"/>
    <col min="13611" max="13824" width="9.140625" style="50"/>
    <col min="13825" max="13825" width="3.85546875" style="50" customWidth="1"/>
    <col min="13826" max="13826" width="19.140625" style="50" customWidth="1"/>
    <col min="13827" max="13828" width="11.28515625" style="50" customWidth="1"/>
    <col min="13829" max="13831" width="11" style="50" customWidth="1"/>
    <col min="13832" max="13833" width="17.28515625" style="50" customWidth="1"/>
    <col min="13834" max="13834" width="12.42578125" style="50" customWidth="1"/>
    <col min="13835" max="13835" width="11.7109375" style="50" customWidth="1"/>
    <col min="13836" max="13836" width="12.140625" style="50" customWidth="1"/>
    <col min="13837" max="13837" width="17.42578125" style="50" customWidth="1"/>
    <col min="13838" max="13838" width="12.85546875" style="50" bestFit="1" customWidth="1"/>
    <col min="13839" max="13839" width="13.140625" style="50" bestFit="1" customWidth="1"/>
    <col min="13840" max="13840" width="12.85546875" style="50" bestFit="1" customWidth="1"/>
    <col min="13841" max="13841" width="12.85546875" style="50" customWidth="1"/>
    <col min="13842" max="13842" width="15.5703125" style="50" customWidth="1"/>
    <col min="13843" max="13844" width="12.5703125" style="50" customWidth="1"/>
    <col min="13845" max="13845" width="17.28515625" style="50" bestFit="1" customWidth="1"/>
    <col min="13846" max="13852" width="17.28515625" style="50" customWidth="1"/>
    <col min="13853" max="13853" width="10.7109375" style="50" customWidth="1"/>
    <col min="13854" max="13854" width="17.28515625" style="50" customWidth="1"/>
    <col min="13855" max="13863" width="9.140625" style="50"/>
    <col min="13864" max="13864" width="10" style="50" customWidth="1"/>
    <col min="13865" max="13865" width="12.140625" style="50" customWidth="1"/>
    <col min="13866" max="13866" width="10.140625" style="50" customWidth="1"/>
    <col min="13867" max="14080" width="9.140625" style="50"/>
    <col min="14081" max="14081" width="3.85546875" style="50" customWidth="1"/>
    <col min="14082" max="14082" width="19.140625" style="50" customWidth="1"/>
    <col min="14083" max="14084" width="11.28515625" style="50" customWidth="1"/>
    <col min="14085" max="14087" width="11" style="50" customWidth="1"/>
    <col min="14088" max="14089" width="17.28515625" style="50" customWidth="1"/>
    <col min="14090" max="14090" width="12.42578125" style="50" customWidth="1"/>
    <col min="14091" max="14091" width="11.7109375" style="50" customWidth="1"/>
    <col min="14092" max="14092" width="12.140625" style="50" customWidth="1"/>
    <col min="14093" max="14093" width="17.42578125" style="50" customWidth="1"/>
    <col min="14094" max="14094" width="12.85546875" style="50" bestFit="1" customWidth="1"/>
    <col min="14095" max="14095" width="13.140625" style="50" bestFit="1" customWidth="1"/>
    <col min="14096" max="14096" width="12.85546875" style="50" bestFit="1" customWidth="1"/>
    <col min="14097" max="14097" width="12.85546875" style="50" customWidth="1"/>
    <col min="14098" max="14098" width="15.5703125" style="50" customWidth="1"/>
    <col min="14099" max="14100" width="12.5703125" style="50" customWidth="1"/>
    <col min="14101" max="14101" width="17.28515625" style="50" bestFit="1" customWidth="1"/>
    <col min="14102" max="14108" width="17.28515625" style="50" customWidth="1"/>
    <col min="14109" max="14109" width="10.7109375" style="50" customWidth="1"/>
    <col min="14110" max="14110" width="17.28515625" style="50" customWidth="1"/>
    <col min="14111" max="14119" width="9.140625" style="50"/>
    <col min="14120" max="14120" width="10" style="50" customWidth="1"/>
    <col min="14121" max="14121" width="12.140625" style="50" customWidth="1"/>
    <col min="14122" max="14122" width="10.140625" style="50" customWidth="1"/>
    <col min="14123" max="14336" width="9.140625" style="50"/>
    <col min="14337" max="14337" width="3.85546875" style="50" customWidth="1"/>
    <col min="14338" max="14338" width="19.140625" style="50" customWidth="1"/>
    <col min="14339" max="14340" width="11.28515625" style="50" customWidth="1"/>
    <col min="14341" max="14343" width="11" style="50" customWidth="1"/>
    <col min="14344" max="14345" width="17.28515625" style="50" customWidth="1"/>
    <col min="14346" max="14346" width="12.42578125" style="50" customWidth="1"/>
    <col min="14347" max="14347" width="11.7109375" style="50" customWidth="1"/>
    <col min="14348" max="14348" width="12.140625" style="50" customWidth="1"/>
    <col min="14349" max="14349" width="17.42578125" style="50" customWidth="1"/>
    <col min="14350" max="14350" width="12.85546875" style="50" bestFit="1" customWidth="1"/>
    <col min="14351" max="14351" width="13.140625" style="50" bestFit="1" customWidth="1"/>
    <col min="14352" max="14352" width="12.85546875" style="50" bestFit="1" customWidth="1"/>
    <col min="14353" max="14353" width="12.85546875" style="50" customWidth="1"/>
    <col min="14354" max="14354" width="15.5703125" style="50" customWidth="1"/>
    <col min="14355" max="14356" width="12.5703125" style="50" customWidth="1"/>
    <col min="14357" max="14357" width="17.28515625" style="50" bestFit="1" customWidth="1"/>
    <col min="14358" max="14364" width="17.28515625" style="50" customWidth="1"/>
    <col min="14365" max="14365" width="10.7109375" style="50" customWidth="1"/>
    <col min="14366" max="14366" width="17.28515625" style="50" customWidth="1"/>
    <col min="14367" max="14375" width="9.140625" style="50"/>
    <col min="14376" max="14376" width="10" style="50" customWidth="1"/>
    <col min="14377" max="14377" width="12.140625" style="50" customWidth="1"/>
    <col min="14378" max="14378" width="10.140625" style="50" customWidth="1"/>
    <col min="14379" max="14592" width="9.140625" style="50"/>
    <col min="14593" max="14593" width="3.85546875" style="50" customWidth="1"/>
    <col min="14594" max="14594" width="19.140625" style="50" customWidth="1"/>
    <col min="14595" max="14596" width="11.28515625" style="50" customWidth="1"/>
    <col min="14597" max="14599" width="11" style="50" customWidth="1"/>
    <col min="14600" max="14601" width="17.28515625" style="50" customWidth="1"/>
    <col min="14602" max="14602" width="12.42578125" style="50" customWidth="1"/>
    <col min="14603" max="14603" width="11.7109375" style="50" customWidth="1"/>
    <col min="14604" max="14604" width="12.140625" style="50" customWidth="1"/>
    <col min="14605" max="14605" width="17.42578125" style="50" customWidth="1"/>
    <col min="14606" max="14606" width="12.85546875" style="50" bestFit="1" customWidth="1"/>
    <col min="14607" max="14607" width="13.140625" style="50" bestFit="1" customWidth="1"/>
    <col min="14608" max="14608" width="12.85546875" style="50" bestFit="1" customWidth="1"/>
    <col min="14609" max="14609" width="12.85546875" style="50" customWidth="1"/>
    <col min="14610" max="14610" width="15.5703125" style="50" customWidth="1"/>
    <col min="14611" max="14612" width="12.5703125" style="50" customWidth="1"/>
    <col min="14613" max="14613" width="17.28515625" style="50" bestFit="1" customWidth="1"/>
    <col min="14614" max="14620" width="17.28515625" style="50" customWidth="1"/>
    <col min="14621" max="14621" width="10.7109375" style="50" customWidth="1"/>
    <col min="14622" max="14622" width="17.28515625" style="50" customWidth="1"/>
    <col min="14623" max="14631" width="9.140625" style="50"/>
    <col min="14632" max="14632" width="10" style="50" customWidth="1"/>
    <col min="14633" max="14633" width="12.140625" style="50" customWidth="1"/>
    <col min="14634" max="14634" width="10.140625" style="50" customWidth="1"/>
    <col min="14635" max="14848" width="9.140625" style="50"/>
    <col min="14849" max="14849" width="3.85546875" style="50" customWidth="1"/>
    <col min="14850" max="14850" width="19.140625" style="50" customWidth="1"/>
    <col min="14851" max="14852" width="11.28515625" style="50" customWidth="1"/>
    <col min="14853" max="14855" width="11" style="50" customWidth="1"/>
    <col min="14856" max="14857" width="17.28515625" style="50" customWidth="1"/>
    <col min="14858" max="14858" width="12.42578125" style="50" customWidth="1"/>
    <col min="14859" max="14859" width="11.7109375" style="50" customWidth="1"/>
    <col min="14860" max="14860" width="12.140625" style="50" customWidth="1"/>
    <col min="14861" max="14861" width="17.42578125" style="50" customWidth="1"/>
    <col min="14862" max="14862" width="12.85546875" style="50" bestFit="1" customWidth="1"/>
    <col min="14863" max="14863" width="13.140625" style="50" bestFit="1" customWidth="1"/>
    <col min="14864" max="14864" width="12.85546875" style="50" bestFit="1" customWidth="1"/>
    <col min="14865" max="14865" width="12.85546875" style="50" customWidth="1"/>
    <col min="14866" max="14866" width="15.5703125" style="50" customWidth="1"/>
    <col min="14867" max="14868" width="12.5703125" style="50" customWidth="1"/>
    <col min="14869" max="14869" width="17.28515625" style="50" bestFit="1" customWidth="1"/>
    <col min="14870" max="14876" width="17.28515625" style="50" customWidth="1"/>
    <col min="14877" max="14877" width="10.7109375" style="50" customWidth="1"/>
    <col min="14878" max="14878" width="17.28515625" style="50" customWidth="1"/>
    <col min="14879" max="14887" width="9.140625" style="50"/>
    <col min="14888" max="14888" width="10" style="50" customWidth="1"/>
    <col min="14889" max="14889" width="12.140625" style="50" customWidth="1"/>
    <col min="14890" max="14890" width="10.140625" style="50" customWidth="1"/>
    <col min="14891" max="15104" width="9.140625" style="50"/>
    <col min="15105" max="15105" width="3.85546875" style="50" customWidth="1"/>
    <col min="15106" max="15106" width="19.140625" style="50" customWidth="1"/>
    <col min="15107" max="15108" width="11.28515625" style="50" customWidth="1"/>
    <col min="15109" max="15111" width="11" style="50" customWidth="1"/>
    <col min="15112" max="15113" width="17.28515625" style="50" customWidth="1"/>
    <col min="15114" max="15114" width="12.42578125" style="50" customWidth="1"/>
    <col min="15115" max="15115" width="11.7109375" style="50" customWidth="1"/>
    <col min="15116" max="15116" width="12.140625" style="50" customWidth="1"/>
    <col min="15117" max="15117" width="17.42578125" style="50" customWidth="1"/>
    <col min="15118" max="15118" width="12.85546875" style="50" bestFit="1" customWidth="1"/>
    <col min="15119" max="15119" width="13.140625" style="50" bestFit="1" customWidth="1"/>
    <col min="15120" max="15120" width="12.85546875" style="50" bestFit="1" customWidth="1"/>
    <col min="15121" max="15121" width="12.85546875" style="50" customWidth="1"/>
    <col min="15122" max="15122" width="15.5703125" style="50" customWidth="1"/>
    <col min="15123" max="15124" width="12.5703125" style="50" customWidth="1"/>
    <col min="15125" max="15125" width="17.28515625" style="50" bestFit="1" customWidth="1"/>
    <col min="15126" max="15132" width="17.28515625" style="50" customWidth="1"/>
    <col min="15133" max="15133" width="10.7109375" style="50" customWidth="1"/>
    <col min="15134" max="15134" width="17.28515625" style="50" customWidth="1"/>
    <col min="15135" max="15143" width="9.140625" style="50"/>
    <col min="15144" max="15144" width="10" style="50" customWidth="1"/>
    <col min="15145" max="15145" width="12.140625" style="50" customWidth="1"/>
    <col min="15146" max="15146" width="10.140625" style="50" customWidth="1"/>
    <col min="15147" max="15360" width="9.140625" style="50"/>
    <col min="15361" max="15361" width="3.85546875" style="50" customWidth="1"/>
    <col min="15362" max="15362" width="19.140625" style="50" customWidth="1"/>
    <col min="15363" max="15364" width="11.28515625" style="50" customWidth="1"/>
    <col min="15365" max="15367" width="11" style="50" customWidth="1"/>
    <col min="15368" max="15369" width="17.28515625" style="50" customWidth="1"/>
    <col min="15370" max="15370" width="12.42578125" style="50" customWidth="1"/>
    <col min="15371" max="15371" width="11.7109375" style="50" customWidth="1"/>
    <col min="15372" max="15372" width="12.140625" style="50" customWidth="1"/>
    <col min="15373" max="15373" width="17.42578125" style="50" customWidth="1"/>
    <col min="15374" max="15374" width="12.85546875" style="50" bestFit="1" customWidth="1"/>
    <col min="15375" max="15375" width="13.140625" style="50" bestFit="1" customWidth="1"/>
    <col min="15376" max="15376" width="12.85546875" style="50" bestFit="1" customWidth="1"/>
    <col min="15377" max="15377" width="12.85546875" style="50" customWidth="1"/>
    <col min="15378" max="15378" width="15.5703125" style="50" customWidth="1"/>
    <col min="15379" max="15380" width="12.5703125" style="50" customWidth="1"/>
    <col min="15381" max="15381" width="17.28515625" style="50" bestFit="1" customWidth="1"/>
    <col min="15382" max="15388" width="17.28515625" style="50" customWidth="1"/>
    <col min="15389" max="15389" width="10.7109375" style="50" customWidth="1"/>
    <col min="15390" max="15390" width="17.28515625" style="50" customWidth="1"/>
    <col min="15391" max="15399" width="9.140625" style="50"/>
    <col min="15400" max="15400" width="10" style="50" customWidth="1"/>
    <col min="15401" max="15401" width="12.140625" style="50" customWidth="1"/>
    <col min="15402" max="15402" width="10.140625" style="50" customWidth="1"/>
    <col min="15403" max="15616" width="9.140625" style="50"/>
    <col min="15617" max="15617" width="3.85546875" style="50" customWidth="1"/>
    <col min="15618" max="15618" width="19.140625" style="50" customWidth="1"/>
    <col min="15619" max="15620" width="11.28515625" style="50" customWidth="1"/>
    <col min="15621" max="15623" width="11" style="50" customWidth="1"/>
    <col min="15624" max="15625" width="17.28515625" style="50" customWidth="1"/>
    <col min="15626" max="15626" width="12.42578125" style="50" customWidth="1"/>
    <col min="15627" max="15627" width="11.7109375" style="50" customWidth="1"/>
    <col min="15628" max="15628" width="12.140625" style="50" customWidth="1"/>
    <col min="15629" max="15629" width="17.42578125" style="50" customWidth="1"/>
    <col min="15630" max="15630" width="12.85546875" style="50" bestFit="1" customWidth="1"/>
    <col min="15631" max="15631" width="13.140625" style="50" bestFit="1" customWidth="1"/>
    <col min="15632" max="15632" width="12.85546875" style="50" bestFit="1" customWidth="1"/>
    <col min="15633" max="15633" width="12.85546875" style="50" customWidth="1"/>
    <col min="15634" max="15634" width="15.5703125" style="50" customWidth="1"/>
    <col min="15635" max="15636" width="12.5703125" style="50" customWidth="1"/>
    <col min="15637" max="15637" width="17.28515625" style="50" bestFit="1" customWidth="1"/>
    <col min="15638" max="15644" width="17.28515625" style="50" customWidth="1"/>
    <col min="15645" max="15645" width="10.7109375" style="50" customWidth="1"/>
    <col min="15646" max="15646" width="17.28515625" style="50" customWidth="1"/>
    <col min="15647" max="15655" width="9.140625" style="50"/>
    <col min="15656" max="15656" width="10" style="50" customWidth="1"/>
    <col min="15657" max="15657" width="12.140625" style="50" customWidth="1"/>
    <col min="15658" max="15658" width="10.140625" style="50" customWidth="1"/>
    <col min="15659" max="15872" width="9.140625" style="50"/>
    <col min="15873" max="15873" width="3.85546875" style="50" customWidth="1"/>
    <col min="15874" max="15874" width="19.140625" style="50" customWidth="1"/>
    <col min="15875" max="15876" width="11.28515625" style="50" customWidth="1"/>
    <col min="15877" max="15879" width="11" style="50" customWidth="1"/>
    <col min="15880" max="15881" width="17.28515625" style="50" customWidth="1"/>
    <col min="15882" max="15882" width="12.42578125" style="50" customWidth="1"/>
    <col min="15883" max="15883" width="11.7109375" style="50" customWidth="1"/>
    <col min="15884" max="15884" width="12.140625" style="50" customWidth="1"/>
    <col min="15885" max="15885" width="17.42578125" style="50" customWidth="1"/>
    <col min="15886" max="15886" width="12.85546875" style="50" bestFit="1" customWidth="1"/>
    <col min="15887" max="15887" width="13.140625" style="50" bestFit="1" customWidth="1"/>
    <col min="15888" max="15888" width="12.85546875" style="50" bestFit="1" customWidth="1"/>
    <col min="15889" max="15889" width="12.85546875" style="50" customWidth="1"/>
    <col min="15890" max="15890" width="15.5703125" style="50" customWidth="1"/>
    <col min="15891" max="15892" width="12.5703125" style="50" customWidth="1"/>
    <col min="15893" max="15893" width="17.28515625" style="50" bestFit="1" customWidth="1"/>
    <col min="15894" max="15900" width="17.28515625" style="50" customWidth="1"/>
    <col min="15901" max="15901" width="10.7109375" style="50" customWidth="1"/>
    <col min="15902" max="15902" width="17.28515625" style="50" customWidth="1"/>
    <col min="15903" max="15911" width="9.140625" style="50"/>
    <col min="15912" max="15912" width="10" style="50" customWidth="1"/>
    <col min="15913" max="15913" width="12.140625" style="50" customWidth="1"/>
    <col min="15914" max="15914" width="10.140625" style="50" customWidth="1"/>
    <col min="15915" max="16128" width="9.140625" style="50"/>
    <col min="16129" max="16129" width="3.85546875" style="50" customWidth="1"/>
    <col min="16130" max="16130" width="19.140625" style="50" customWidth="1"/>
    <col min="16131" max="16132" width="11.28515625" style="50" customWidth="1"/>
    <col min="16133" max="16135" width="11" style="50" customWidth="1"/>
    <col min="16136" max="16137" width="17.28515625" style="50" customWidth="1"/>
    <col min="16138" max="16138" width="12.42578125" style="50" customWidth="1"/>
    <col min="16139" max="16139" width="11.7109375" style="50" customWidth="1"/>
    <col min="16140" max="16140" width="12.140625" style="50" customWidth="1"/>
    <col min="16141" max="16141" width="17.42578125" style="50" customWidth="1"/>
    <col min="16142" max="16142" width="12.85546875" style="50" bestFit="1" customWidth="1"/>
    <col min="16143" max="16143" width="13.140625" style="50" bestFit="1" customWidth="1"/>
    <col min="16144" max="16144" width="12.85546875" style="50" bestFit="1" customWidth="1"/>
    <col min="16145" max="16145" width="12.85546875" style="50" customWidth="1"/>
    <col min="16146" max="16146" width="15.5703125" style="50" customWidth="1"/>
    <col min="16147" max="16148" width="12.5703125" style="50" customWidth="1"/>
    <col min="16149" max="16149" width="17.28515625" style="50" bestFit="1" customWidth="1"/>
    <col min="16150" max="16156" width="17.28515625" style="50" customWidth="1"/>
    <col min="16157" max="16157" width="10.7109375" style="50" customWidth="1"/>
    <col min="16158" max="16158" width="17.28515625" style="50" customWidth="1"/>
    <col min="16159" max="16167" width="9.140625" style="50"/>
    <col min="16168" max="16168" width="10" style="50" customWidth="1"/>
    <col min="16169" max="16169" width="12.140625" style="50" customWidth="1"/>
    <col min="16170" max="16170" width="10.140625" style="50" customWidth="1"/>
    <col min="16171" max="16384" width="9.140625" style="50"/>
  </cols>
  <sheetData>
    <row r="1" spans="1:59" x14ac:dyDescent="0.2">
      <c r="A1" s="1367" t="s">
        <v>15</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row>
    <row r="2" spans="1:59" ht="62.25" customHeight="1" x14ac:dyDescent="0.2">
      <c r="A2" s="55"/>
      <c r="B2" s="55" t="s">
        <v>17</v>
      </c>
      <c r="C2" s="132" t="s">
        <v>176</v>
      </c>
      <c r="D2" s="133" t="s">
        <v>230</v>
      </c>
      <c r="E2" s="133" t="s">
        <v>177</v>
      </c>
      <c r="F2" s="134" t="s">
        <v>94</v>
      </c>
      <c r="G2" s="134" t="s">
        <v>852</v>
      </c>
      <c r="H2" s="134" t="s">
        <v>1517</v>
      </c>
      <c r="I2" s="134" t="s">
        <v>1518</v>
      </c>
      <c r="J2" s="134" t="s">
        <v>223</v>
      </c>
      <c r="K2" s="134" t="s">
        <v>179</v>
      </c>
      <c r="L2" s="134" t="s">
        <v>180</v>
      </c>
      <c r="M2" s="135" t="s">
        <v>181</v>
      </c>
      <c r="N2" s="134" t="s">
        <v>183</v>
      </c>
      <c r="O2" s="134" t="s">
        <v>225</v>
      </c>
      <c r="P2" s="610" t="s">
        <v>224</v>
      </c>
      <c r="Q2" s="134" t="s">
        <v>186</v>
      </c>
      <c r="R2" s="134" t="s">
        <v>188</v>
      </c>
      <c r="S2" s="134" t="s">
        <v>189</v>
      </c>
      <c r="T2" s="134" t="s">
        <v>231</v>
      </c>
      <c r="U2" s="136" t="s">
        <v>232</v>
      </c>
      <c r="V2" s="646" t="s">
        <v>931</v>
      </c>
      <c r="W2" s="646" t="s">
        <v>1519</v>
      </c>
      <c r="X2" s="646" t="s">
        <v>957</v>
      </c>
      <c r="Y2" s="205" t="s">
        <v>640</v>
      </c>
      <c r="Z2" s="646" t="s">
        <v>641</v>
      </c>
      <c r="AA2" s="646" t="s">
        <v>642</v>
      </c>
      <c r="AB2" s="1238" t="s">
        <v>643</v>
      </c>
      <c r="AC2" s="56"/>
      <c r="AD2" s="56"/>
      <c r="AE2" s="611" t="s">
        <v>127</v>
      </c>
      <c r="AF2" s="612" t="s">
        <v>101</v>
      </c>
      <c r="AG2" s="612" t="s">
        <v>102</v>
      </c>
      <c r="AI2" s="56"/>
      <c r="AJ2" s="611" t="s">
        <v>127</v>
      </c>
      <c r="AK2" s="612" t="s">
        <v>101</v>
      </c>
      <c r="AL2" s="612" t="s">
        <v>102</v>
      </c>
      <c r="AO2" s="647" t="s">
        <v>958</v>
      </c>
      <c r="AP2" s="647" t="s">
        <v>644</v>
      </c>
    </row>
    <row r="3" spans="1:59" ht="12.75" customHeight="1" x14ac:dyDescent="0.2">
      <c r="A3" s="56">
        <v>1</v>
      </c>
      <c r="B3" s="56" t="s">
        <v>18</v>
      </c>
      <c r="C3" s="86">
        <v>0.97960000000000003</v>
      </c>
      <c r="D3" s="89">
        <v>29916.47</v>
      </c>
      <c r="E3" s="89">
        <v>32571.769999999997</v>
      </c>
      <c r="F3" s="99">
        <v>0</v>
      </c>
      <c r="G3" s="99">
        <v>1688727</v>
      </c>
      <c r="H3" s="99">
        <v>5374328</v>
      </c>
      <c r="I3" s="99">
        <v>2442877</v>
      </c>
      <c r="J3" s="99">
        <v>0</v>
      </c>
      <c r="K3" s="99">
        <v>5299104</v>
      </c>
      <c r="L3" s="87">
        <v>2748437</v>
      </c>
      <c r="M3" s="93">
        <v>8181592</v>
      </c>
      <c r="N3" s="93">
        <v>11404300</v>
      </c>
      <c r="O3" s="34">
        <v>16275457</v>
      </c>
      <c r="P3" s="613">
        <f>O3</f>
        <v>16275457</v>
      </c>
      <c r="Q3" s="111">
        <v>0</v>
      </c>
      <c r="R3" s="93">
        <v>2445419</v>
      </c>
      <c r="S3" s="93">
        <v>108874</v>
      </c>
      <c r="T3" s="206">
        <v>33236</v>
      </c>
      <c r="U3" s="137">
        <f>R3-S3-T3</f>
        <v>2303309</v>
      </c>
      <c r="V3" s="648">
        <v>1433825</v>
      </c>
      <c r="W3" s="648">
        <v>2026772</v>
      </c>
      <c r="X3" s="648">
        <v>0</v>
      </c>
      <c r="Y3" s="649">
        <f t="shared" ref="Y3:Y66" si="0">IF(Z3=0,0,ROUND(X3/(Z3+AA3*0.5),2))</f>
        <v>0</v>
      </c>
      <c r="Z3" s="648">
        <v>0</v>
      </c>
      <c r="AA3" s="648">
        <v>0</v>
      </c>
      <c r="AB3" s="1239">
        <v>0</v>
      </c>
      <c r="AD3" s="1368" t="s">
        <v>221</v>
      </c>
      <c r="AE3" s="140">
        <f>ROUND(AJ3*(1-$AE7),2)</f>
        <v>957.94</v>
      </c>
      <c r="AF3" s="140">
        <f>ROUND(AK3*(1-$AE7),2)</f>
        <v>914.63</v>
      </c>
      <c r="AG3" s="140">
        <f>ROUND(AL3*(1-$AE7),2)</f>
        <v>916.84</v>
      </c>
      <c r="AI3" s="1368" t="s">
        <v>175</v>
      </c>
      <c r="AJ3" s="140">
        <v>964.6</v>
      </c>
      <c r="AK3" s="140">
        <v>920.98</v>
      </c>
      <c r="AL3" s="140">
        <v>923.21</v>
      </c>
      <c r="AN3" s="1368" t="s">
        <v>645</v>
      </c>
      <c r="AO3" s="650">
        <v>138</v>
      </c>
      <c r="AP3" s="650">
        <v>482</v>
      </c>
    </row>
    <row r="4" spans="1:59" ht="12.75" x14ac:dyDescent="0.2">
      <c r="A4" s="56">
        <v>2</v>
      </c>
      <c r="B4" s="56" t="s">
        <v>19</v>
      </c>
      <c r="C4" s="86">
        <v>0.96060000000000001</v>
      </c>
      <c r="D4" s="90">
        <v>4898.46</v>
      </c>
      <c r="E4" s="90">
        <v>5267.88</v>
      </c>
      <c r="F4" s="34">
        <v>844716</v>
      </c>
      <c r="G4" s="34">
        <v>364585</v>
      </c>
      <c r="H4" s="34">
        <v>840208</v>
      </c>
      <c r="I4" s="34">
        <v>381913</v>
      </c>
      <c r="J4" s="34">
        <v>0</v>
      </c>
      <c r="K4" s="34">
        <v>2482735</v>
      </c>
      <c r="L4" s="33">
        <v>522674</v>
      </c>
      <c r="M4" s="31">
        <v>1744546</v>
      </c>
      <c r="N4" s="31">
        <v>1401606</v>
      </c>
      <c r="O4" s="34">
        <v>1049859</v>
      </c>
      <c r="P4" s="614">
        <f t="shared" ref="P4:P67" si="1">O4</f>
        <v>1049859</v>
      </c>
      <c r="Q4" s="112">
        <v>0</v>
      </c>
      <c r="R4" s="31">
        <v>384630</v>
      </c>
      <c r="S4" s="31">
        <v>14919</v>
      </c>
      <c r="T4" s="103">
        <v>5248</v>
      </c>
      <c r="U4" s="138">
        <f t="shared" ref="U4:U67" si="2">R4-S4-T4</f>
        <v>364463</v>
      </c>
      <c r="V4" s="651">
        <v>318398</v>
      </c>
      <c r="W4" s="651">
        <v>280324</v>
      </c>
      <c r="X4" s="651">
        <v>0</v>
      </c>
      <c r="Y4" s="652">
        <f t="shared" si="0"/>
        <v>0</v>
      </c>
      <c r="Z4" s="651">
        <v>0</v>
      </c>
      <c r="AA4" s="651">
        <v>0</v>
      </c>
      <c r="AB4" s="1240">
        <v>0</v>
      </c>
      <c r="AC4" s="56"/>
      <c r="AD4" s="1368"/>
      <c r="AI4" s="1368"/>
      <c r="AN4" s="1368"/>
    </row>
    <row r="5" spans="1:59" ht="12.75" x14ac:dyDescent="0.2">
      <c r="A5" s="56">
        <v>3</v>
      </c>
      <c r="B5" s="56" t="s">
        <v>20</v>
      </c>
      <c r="C5" s="86">
        <v>0.96870000000000001</v>
      </c>
      <c r="D5" s="90">
        <v>27059.86</v>
      </c>
      <c r="E5" s="90">
        <v>30989.189999999995</v>
      </c>
      <c r="F5" s="34">
        <v>2688796</v>
      </c>
      <c r="G5" s="34">
        <v>1595603</v>
      </c>
      <c r="H5" s="34">
        <v>4911252</v>
      </c>
      <c r="I5" s="34">
        <v>2232387</v>
      </c>
      <c r="J5" s="34">
        <v>0</v>
      </c>
      <c r="K5" s="34">
        <v>1215529</v>
      </c>
      <c r="L5" s="33">
        <v>2185592</v>
      </c>
      <c r="M5" s="31">
        <v>7423161</v>
      </c>
      <c r="N5" s="31">
        <v>9398329</v>
      </c>
      <c r="O5" s="34">
        <v>18298932</v>
      </c>
      <c r="P5" s="614">
        <f t="shared" si="1"/>
        <v>18298932</v>
      </c>
      <c r="Q5" s="112">
        <v>0</v>
      </c>
      <c r="R5" s="31">
        <v>2404551</v>
      </c>
      <c r="S5" s="31">
        <v>116534</v>
      </c>
      <c r="T5" s="103">
        <v>38732</v>
      </c>
      <c r="U5" s="138">
        <f t="shared" si="2"/>
        <v>2249285</v>
      </c>
      <c r="V5" s="651">
        <v>1306463</v>
      </c>
      <c r="W5" s="651">
        <v>14216</v>
      </c>
      <c r="X5" s="651">
        <v>764665</v>
      </c>
      <c r="Y5" s="652">
        <f t="shared" si="0"/>
        <v>485.04</v>
      </c>
      <c r="Z5" s="651">
        <v>1167</v>
      </c>
      <c r="AA5" s="651">
        <v>819</v>
      </c>
      <c r="AB5" s="1240">
        <v>165</v>
      </c>
      <c r="AC5" s="56"/>
      <c r="AD5" s="1368"/>
      <c r="AI5" s="1368"/>
      <c r="AN5" s="1368"/>
    </row>
    <row r="6" spans="1:59" ht="12.75" x14ac:dyDescent="0.2">
      <c r="A6" s="56">
        <v>4</v>
      </c>
      <c r="B6" s="56" t="s">
        <v>21</v>
      </c>
      <c r="C6" s="86">
        <v>0.95130000000000003</v>
      </c>
      <c r="D6" s="90">
        <v>3052.9199999999996</v>
      </c>
      <c r="E6" s="90">
        <v>3253.61</v>
      </c>
      <c r="F6" s="34">
        <v>1218536</v>
      </c>
      <c r="G6" s="34">
        <v>267659</v>
      </c>
      <c r="H6" s="34">
        <v>506353</v>
      </c>
      <c r="I6" s="34">
        <v>230160</v>
      </c>
      <c r="J6" s="34">
        <v>0</v>
      </c>
      <c r="K6" s="34">
        <v>1250995</v>
      </c>
      <c r="L6" s="33">
        <v>434790</v>
      </c>
      <c r="M6" s="31">
        <v>910414</v>
      </c>
      <c r="N6" s="31">
        <v>1368461</v>
      </c>
      <c r="O6" s="34">
        <v>950659</v>
      </c>
      <c r="P6" s="614">
        <f t="shared" si="1"/>
        <v>950659</v>
      </c>
      <c r="Q6" s="112">
        <v>0</v>
      </c>
      <c r="R6" s="31">
        <v>269124</v>
      </c>
      <c r="S6" s="31">
        <v>5470</v>
      </c>
      <c r="T6" s="103">
        <v>5220</v>
      </c>
      <c r="U6" s="138">
        <f t="shared" si="2"/>
        <v>258434</v>
      </c>
      <c r="V6" s="651">
        <v>236114</v>
      </c>
      <c r="W6" s="651">
        <v>237317</v>
      </c>
      <c r="X6" s="651">
        <v>0</v>
      </c>
      <c r="Y6" s="652">
        <f t="shared" si="0"/>
        <v>0</v>
      </c>
      <c r="Z6" s="651">
        <v>0</v>
      </c>
      <c r="AA6" s="651">
        <v>0</v>
      </c>
      <c r="AB6" s="1240">
        <v>0</v>
      </c>
      <c r="AC6" s="56"/>
      <c r="AD6" s="56"/>
      <c r="AN6" s="1368"/>
    </row>
    <row r="7" spans="1:59" s="58" customFormat="1" ht="12.75" x14ac:dyDescent="0.2">
      <c r="A7" s="55">
        <v>5</v>
      </c>
      <c r="B7" s="55" t="s">
        <v>22</v>
      </c>
      <c r="C7" s="86">
        <v>0.99039999999999995</v>
      </c>
      <c r="D7" s="90">
        <v>76658.39</v>
      </c>
      <c r="E7" s="90">
        <v>84516.73000000001</v>
      </c>
      <c r="F7" s="34">
        <v>0</v>
      </c>
      <c r="G7" s="34">
        <v>4243502</v>
      </c>
      <c r="H7" s="34">
        <v>13784694</v>
      </c>
      <c r="I7" s="34">
        <v>6265770</v>
      </c>
      <c r="J7" s="34">
        <v>0</v>
      </c>
      <c r="K7" s="34">
        <v>10327418</v>
      </c>
      <c r="L7" s="33">
        <v>5390881</v>
      </c>
      <c r="M7" s="31">
        <v>20347182</v>
      </c>
      <c r="N7" s="31">
        <v>29670831</v>
      </c>
      <c r="O7" s="98">
        <v>44955268</v>
      </c>
      <c r="P7" s="615">
        <f t="shared" si="1"/>
        <v>44955268</v>
      </c>
      <c r="Q7" s="113">
        <v>0</v>
      </c>
      <c r="R7" s="32">
        <v>6786983</v>
      </c>
      <c r="S7" s="32">
        <v>441584</v>
      </c>
      <c r="T7" s="105">
        <v>108032</v>
      </c>
      <c r="U7" s="139">
        <f t="shared" si="2"/>
        <v>6237367</v>
      </c>
      <c r="V7" s="653">
        <v>3517812</v>
      </c>
      <c r="W7" s="653">
        <v>2009055</v>
      </c>
      <c r="X7" s="653">
        <v>2578237</v>
      </c>
      <c r="Y7" s="654">
        <f t="shared" si="0"/>
        <v>820.7</v>
      </c>
      <c r="Z7" s="653">
        <v>1421</v>
      </c>
      <c r="AA7" s="653">
        <v>3441</v>
      </c>
      <c r="AB7" s="1241">
        <v>199</v>
      </c>
      <c r="AC7" s="56"/>
      <c r="AD7" s="56" t="s">
        <v>222</v>
      </c>
      <c r="AE7" s="203">
        <f>ROUND((2916292897-2896071526)/2916292897,4)</f>
        <v>6.8999999999999999E-3</v>
      </c>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row>
    <row r="8" spans="1:59" ht="12.75" x14ac:dyDescent="0.2">
      <c r="A8" s="56">
        <v>6</v>
      </c>
      <c r="B8" s="56" t="s">
        <v>23</v>
      </c>
      <c r="C8" s="92">
        <v>1.0196000000000001</v>
      </c>
      <c r="D8" s="89">
        <v>263987.07</v>
      </c>
      <c r="E8" s="89">
        <v>292372.56999999995</v>
      </c>
      <c r="F8" s="99">
        <v>0</v>
      </c>
      <c r="G8" s="99">
        <v>14817990</v>
      </c>
      <c r="H8" s="99">
        <v>49808889</v>
      </c>
      <c r="I8" s="99">
        <v>22640404</v>
      </c>
      <c r="J8" s="99">
        <v>0</v>
      </c>
      <c r="K8" s="99">
        <v>0</v>
      </c>
      <c r="L8" s="87">
        <v>18351305</v>
      </c>
      <c r="M8" s="93">
        <v>57208643</v>
      </c>
      <c r="N8" s="93">
        <v>100902462</v>
      </c>
      <c r="O8" s="34">
        <v>192119329</v>
      </c>
      <c r="P8" s="614">
        <f t="shared" si="1"/>
        <v>192119329</v>
      </c>
      <c r="Q8" s="112">
        <v>0</v>
      </c>
      <c r="R8" s="31">
        <v>20819964</v>
      </c>
      <c r="S8" s="31">
        <v>971490</v>
      </c>
      <c r="T8" s="103">
        <v>297753</v>
      </c>
      <c r="U8" s="138">
        <f t="shared" si="2"/>
        <v>19550721</v>
      </c>
      <c r="V8" s="651">
        <v>11869855</v>
      </c>
      <c r="W8" s="651">
        <v>908471</v>
      </c>
      <c r="X8" s="651">
        <v>0</v>
      </c>
      <c r="Y8" s="652">
        <f t="shared" si="0"/>
        <v>0</v>
      </c>
      <c r="Z8" s="651">
        <v>0</v>
      </c>
      <c r="AA8" s="651">
        <v>0</v>
      </c>
      <c r="AB8" s="1240">
        <v>0</v>
      </c>
      <c r="AC8" s="56"/>
      <c r="AD8" s="56"/>
    </row>
    <row r="9" spans="1:59" ht="12.75" x14ac:dyDescent="0.2">
      <c r="A9" s="56">
        <v>7</v>
      </c>
      <c r="B9" s="56" t="s">
        <v>24</v>
      </c>
      <c r="C9" s="86">
        <v>0.92220000000000002</v>
      </c>
      <c r="D9" s="90">
        <v>2085.7199999999998</v>
      </c>
      <c r="E9" s="90">
        <v>2297.5</v>
      </c>
      <c r="F9" s="34">
        <v>1911065</v>
      </c>
      <c r="G9" s="34">
        <v>219501</v>
      </c>
      <c r="H9" s="34">
        <v>354461</v>
      </c>
      <c r="I9" s="34">
        <v>161119</v>
      </c>
      <c r="J9" s="34">
        <v>0</v>
      </c>
      <c r="K9" s="34">
        <v>1118071</v>
      </c>
      <c r="L9" s="33">
        <v>361155</v>
      </c>
      <c r="M9" s="31">
        <v>446990</v>
      </c>
      <c r="N9" s="31">
        <v>774379</v>
      </c>
      <c r="O9" s="34">
        <v>386060</v>
      </c>
      <c r="P9" s="614">
        <f t="shared" si="1"/>
        <v>386060</v>
      </c>
      <c r="Q9" s="112">
        <v>0</v>
      </c>
      <c r="R9" s="31">
        <v>167622</v>
      </c>
      <c r="S9" s="31">
        <v>9495</v>
      </c>
      <c r="T9" s="103">
        <v>3297</v>
      </c>
      <c r="U9" s="138">
        <f t="shared" si="2"/>
        <v>154830</v>
      </c>
      <c r="V9" s="651">
        <v>192992</v>
      </c>
      <c r="W9" s="651">
        <v>119097</v>
      </c>
      <c r="X9" s="651">
        <v>0</v>
      </c>
      <c r="Y9" s="652">
        <f t="shared" si="0"/>
        <v>0</v>
      </c>
      <c r="Z9" s="651">
        <v>0</v>
      </c>
      <c r="AA9" s="651">
        <v>0</v>
      </c>
      <c r="AB9" s="1240">
        <v>0</v>
      </c>
      <c r="AC9" s="56"/>
      <c r="AD9" s="56"/>
    </row>
    <row r="10" spans="1:59" ht="12.75" x14ac:dyDescent="0.2">
      <c r="A10" s="56">
        <v>8</v>
      </c>
      <c r="B10" s="56" t="s">
        <v>25</v>
      </c>
      <c r="C10" s="86">
        <v>0.98450000000000004</v>
      </c>
      <c r="D10" s="90">
        <v>16945.3</v>
      </c>
      <c r="E10" s="90">
        <v>18815.18</v>
      </c>
      <c r="F10" s="34">
        <v>0</v>
      </c>
      <c r="G10" s="34">
        <v>1028615</v>
      </c>
      <c r="H10" s="34">
        <v>3061288</v>
      </c>
      <c r="I10" s="34">
        <v>1391495</v>
      </c>
      <c r="J10" s="34">
        <v>0</v>
      </c>
      <c r="K10" s="34">
        <v>0</v>
      </c>
      <c r="L10" s="33">
        <v>1259891</v>
      </c>
      <c r="M10" s="31">
        <v>3715021</v>
      </c>
      <c r="N10" s="31">
        <v>6471129</v>
      </c>
      <c r="O10" s="34">
        <v>20436638</v>
      </c>
      <c r="P10" s="614">
        <f t="shared" si="1"/>
        <v>20436638</v>
      </c>
      <c r="Q10" s="112">
        <v>0</v>
      </c>
      <c r="R10" s="31">
        <v>1502153</v>
      </c>
      <c r="S10" s="31">
        <v>126517</v>
      </c>
      <c r="T10" s="103">
        <v>24316</v>
      </c>
      <c r="U10" s="138">
        <f t="shared" si="2"/>
        <v>1351320</v>
      </c>
      <c r="V10" s="651">
        <v>855506</v>
      </c>
      <c r="W10" s="651">
        <v>397039</v>
      </c>
      <c r="X10" s="651">
        <v>0</v>
      </c>
      <c r="Y10" s="652">
        <f t="shared" si="0"/>
        <v>0</v>
      </c>
      <c r="Z10" s="651">
        <v>0</v>
      </c>
      <c r="AA10" s="651">
        <v>0</v>
      </c>
      <c r="AB10" s="1240">
        <v>0</v>
      </c>
      <c r="AC10" s="56"/>
      <c r="AD10" s="56"/>
    </row>
    <row r="11" spans="1:59" ht="12.75" x14ac:dyDescent="0.2">
      <c r="A11" s="56">
        <v>9</v>
      </c>
      <c r="B11" s="56" t="s">
        <v>26</v>
      </c>
      <c r="C11" s="86">
        <v>0.94299999999999995</v>
      </c>
      <c r="D11" s="90">
        <v>15963.910000000002</v>
      </c>
      <c r="E11" s="90">
        <v>17216.07</v>
      </c>
      <c r="F11" s="34">
        <v>2214101</v>
      </c>
      <c r="G11" s="34">
        <v>915728</v>
      </c>
      <c r="H11" s="34">
        <v>2713161</v>
      </c>
      <c r="I11" s="34">
        <v>1233255</v>
      </c>
      <c r="J11" s="34">
        <v>0</v>
      </c>
      <c r="K11" s="34">
        <v>1491827</v>
      </c>
      <c r="L11" s="33">
        <v>1268289</v>
      </c>
      <c r="M11" s="31">
        <v>3408367</v>
      </c>
      <c r="N11" s="31">
        <v>7603616</v>
      </c>
      <c r="O11" s="34">
        <v>10020761</v>
      </c>
      <c r="P11" s="614">
        <f t="shared" si="1"/>
        <v>10020761</v>
      </c>
      <c r="Q11" s="112">
        <v>0</v>
      </c>
      <c r="R11" s="31">
        <v>1333228</v>
      </c>
      <c r="S11" s="31">
        <v>43473</v>
      </c>
      <c r="T11" s="103">
        <v>16895</v>
      </c>
      <c r="U11" s="138">
        <f t="shared" si="2"/>
        <v>1272860</v>
      </c>
      <c r="V11" s="651">
        <v>811750</v>
      </c>
      <c r="W11" s="651">
        <v>438719</v>
      </c>
      <c r="X11" s="651">
        <v>0</v>
      </c>
      <c r="Y11" s="652">
        <f t="shared" si="0"/>
        <v>0</v>
      </c>
      <c r="Z11" s="651">
        <v>0</v>
      </c>
      <c r="AA11" s="651">
        <v>0</v>
      </c>
      <c r="AB11" s="1240">
        <v>0</v>
      </c>
      <c r="AC11" s="56"/>
      <c r="AD11" s="56"/>
    </row>
    <row r="12" spans="1:59" s="58" customFormat="1" ht="12.75" customHeight="1" x14ac:dyDescent="0.2">
      <c r="A12" s="55">
        <v>10</v>
      </c>
      <c r="B12" s="55" t="s">
        <v>27</v>
      </c>
      <c r="C12" s="85">
        <v>0.9798</v>
      </c>
      <c r="D12" s="91">
        <v>39394.07</v>
      </c>
      <c r="E12" s="91">
        <v>42706.210000000006</v>
      </c>
      <c r="F12" s="98">
        <v>0</v>
      </c>
      <c r="G12" s="98">
        <v>2178800</v>
      </c>
      <c r="H12" s="98">
        <v>7085879</v>
      </c>
      <c r="I12" s="98">
        <v>3220854</v>
      </c>
      <c r="J12" s="98">
        <v>0</v>
      </c>
      <c r="K12" s="98">
        <v>16521085</v>
      </c>
      <c r="L12" s="88">
        <v>2426856</v>
      </c>
      <c r="M12" s="32">
        <v>9930557</v>
      </c>
      <c r="N12" s="32">
        <v>13793808</v>
      </c>
      <c r="O12" s="98">
        <v>11888149</v>
      </c>
      <c r="P12" s="615">
        <f t="shared" si="1"/>
        <v>11888149</v>
      </c>
      <c r="Q12" s="113">
        <v>0</v>
      </c>
      <c r="R12" s="32">
        <v>3244130</v>
      </c>
      <c r="S12" s="32">
        <v>155181</v>
      </c>
      <c r="T12" s="105">
        <v>57648</v>
      </c>
      <c r="U12" s="139">
        <f t="shared" si="2"/>
        <v>3031301</v>
      </c>
      <c r="V12" s="653">
        <v>1856383</v>
      </c>
      <c r="W12" s="653">
        <v>1656126</v>
      </c>
      <c r="X12" s="653">
        <v>0</v>
      </c>
      <c r="Y12" s="654">
        <f t="shared" si="0"/>
        <v>0</v>
      </c>
      <c r="Z12" s="653">
        <v>1796</v>
      </c>
      <c r="AA12" s="653">
        <v>1139</v>
      </c>
      <c r="AB12" s="1241">
        <v>293</v>
      </c>
      <c r="AC12" s="56"/>
      <c r="AD12" s="56"/>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row>
    <row r="13" spans="1:59" ht="12.75" x14ac:dyDescent="0.2">
      <c r="A13" s="56">
        <v>11</v>
      </c>
      <c r="B13" s="56" t="s">
        <v>28</v>
      </c>
      <c r="C13" s="86">
        <v>1.0523</v>
      </c>
      <c r="D13" s="90">
        <v>48043.83</v>
      </c>
      <c r="E13" s="90">
        <v>53919.55</v>
      </c>
      <c r="F13" s="34">
        <v>0</v>
      </c>
      <c r="G13" s="34">
        <v>2913498</v>
      </c>
      <c r="H13" s="34">
        <v>9628388</v>
      </c>
      <c r="I13" s="34">
        <v>4376540</v>
      </c>
      <c r="J13" s="34">
        <v>0</v>
      </c>
      <c r="K13" s="34">
        <v>0</v>
      </c>
      <c r="L13" s="33">
        <v>3015644</v>
      </c>
      <c r="M13" s="31">
        <v>10809792</v>
      </c>
      <c r="N13" s="31">
        <v>24096424</v>
      </c>
      <c r="O13" s="34">
        <v>101967669</v>
      </c>
      <c r="P13" s="614">
        <f t="shared" si="1"/>
        <v>101967669</v>
      </c>
      <c r="Q13" s="112">
        <v>0</v>
      </c>
      <c r="R13" s="31">
        <v>3989298</v>
      </c>
      <c r="S13" s="31">
        <v>281481</v>
      </c>
      <c r="T13" s="103">
        <v>56811</v>
      </c>
      <c r="U13" s="138">
        <f t="shared" si="2"/>
        <v>3651006</v>
      </c>
      <c r="V13" s="651">
        <v>2242033</v>
      </c>
      <c r="W13" s="651">
        <v>0</v>
      </c>
      <c r="X13" s="651">
        <v>0</v>
      </c>
      <c r="Y13" s="652">
        <f t="shared" si="0"/>
        <v>0</v>
      </c>
      <c r="Z13" s="651">
        <v>0</v>
      </c>
      <c r="AA13" s="651">
        <v>0</v>
      </c>
      <c r="AB13" s="1240">
        <v>0</v>
      </c>
      <c r="AC13" s="56"/>
      <c r="AD13" s="56"/>
    </row>
    <row r="14" spans="1:59" ht="12.75" x14ac:dyDescent="0.2">
      <c r="A14" s="56">
        <v>12</v>
      </c>
      <c r="B14" s="56" t="s">
        <v>29</v>
      </c>
      <c r="C14" s="86">
        <v>0.94069999999999998</v>
      </c>
      <c r="D14" s="90">
        <v>10213.099999999997</v>
      </c>
      <c r="E14" s="90">
        <v>10890.34</v>
      </c>
      <c r="F14" s="34">
        <v>1564214</v>
      </c>
      <c r="G14" s="34">
        <v>620280</v>
      </c>
      <c r="H14" s="34">
        <v>1747168</v>
      </c>
      <c r="I14" s="34">
        <v>794167</v>
      </c>
      <c r="J14" s="34">
        <v>0</v>
      </c>
      <c r="K14" s="34">
        <v>4516846</v>
      </c>
      <c r="L14" s="33">
        <v>953311</v>
      </c>
      <c r="M14" s="31">
        <v>3758408</v>
      </c>
      <c r="N14" s="31">
        <v>4164791</v>
      </c>
      <c r="O14" s="34">
        <v>2848443</v>
      </c>
      <c r="P14" s="614">
        <f t="shared" si="1"/>
        <v>2848443</v>
      </c>
      <c r="Q14" s="112">
        <v>0</v>
      </c>
      <c r="R14" s="31">
        <v>812793</v>
      </c>
      <c r="S14" s="31">
        <v>36674</v>
      </c>
      <c r="T14" s="103">
        <v>12909</v>
      </c>
      <c r="U14" s="138">
        <f t="shared" si="2"/>
        <v>763210</v>
      </c>
      <c r="V14" s="651">
        <v>555351</v>
      </c>
      <c r="W14" s="651">
        <v>432795</v>
      </c>
      <c r="X14" s="651">
        <v>0</v>
      </c>
      <c r="Y14" s="652">
        <f t="shared" si="0"/>
        <v>0</v>
      </c>
      <c r="Z14" s="651">
        <v>0</v>
      </c>
      <c r="AA14" s="651">
        <v>0</v>
      </c>
      <c r="AB14" s="1240">
        <v>0</v>
      </c>
      <c r="AC14" s="56"/>
      <c r="AD14" s="56"/>
    </row>
    <row r="15" spans="1:59" ht="12.75" x14ac:dyDescent="0.2">
      <c r="A15" s="56">
        <v>13</v>
      </c>
      <c r="B15" s="56" t="s">
        <v>103</v>
      </c>
      <c r="C15" s="86">
        <v>1.0165999999999999</v>
      </c>
      <c r="D15" s="90">
        <v>351326.88</v>
      </c>
      <c r="E15" s="90">
        <v>385357.94</v>
      </c>
      <c r="F15" s="34">
        <v>0</v>
      </c>
      <c r="G15" s="34">
        <v>19437069</v>
      </c>
      <c r="H15" s="34">
        <v>65582603</v>
      </c>
      <c r="I15" s="34">
        <v>29810274</v>
      </c>
      <c r="J15" s="34">
        <v>0</v>
      </c>
      <c r="K15" s="34">
        <v>0</v>
      </c>
      <c r="L15" s="33">
        <v>26654999</v>
      </c>
      <c r="M15" s="31">
        <v>113860855</v>
      </c>
      <c r="N15" s="31">
        <v>134840178</v>
      </c>
      <c r="O15" s="34">
        <v>307939276</v>
      </c>
      <c r="P15" s="614">
        <f t="shared" si="1"/>
        <v>307939276</v>
      </c>
      <c r="Q15" s="112">
        <v>0</v>
      </c>
      <c r="R15" s="31">
        <v>29493773</v>
      </c>
      <c r="S15" s="31">
        <v>1040075</v>
      </c>
      <c r="T15" s="103">
        <v>342273</v>
      </c>
      <c r="U15" s="138">
        <f t="shared" si="2"/>
        <v>28111425</v>
      </c>
      <c r="V15" s="651">
        <v>15763898</v>
      </c>
      <c r="W15" s="651">
        <v>0</v>
      </c>
      <c r="X15" s="651">
        <v>0</v>
      </c>
      <c r="Y15" s="652">
        <f t="shared" si="0"/>
        <v>0</v>
      </c>
      <c r="Z15" s="651">
        <v>526</v>
      </c>
      <c r="AA15" s="651">
        <v>0</v>
      </c>
      <c r="AB15" s="1240">
        <v>67</v>
      </c>
      <c r="AC15" s="56"/>
      <c r="AD15" s="56"/>
    </row>
    <row r="16" spans="1:59" ht="12.75" x14ac:dyDescent="0.2">
      <c r="A16" s="56">
        <v>14</v>
      </c>
      <c r="B16" s="56" t="s">
        <v>30</v>
      </c>
      <c r="C16" s="86">
        <v>0.96450000000000002</v>
      </c>
      <c r="D16" s="90">
        <v>4683.8100000000004</v>
      </c>
      <c r="E16" s="90">
        <v>4977.5600000000004</v>
      </c>
      <c r="F16" s="34">
        <v>903617</v>
      </c>
      <c r="G16" s="34">
        <v>351787</v>
      </c>
      <c r="H16" s="34">
        <v>787559</v>
      </c>
      <c r="I16" s="34">
        <v>357981</v>
      </c>
      <c r="J16" s="34">
        <v>0</v>
      </c>
      <c r="K16" s="34">
        <v>1545891</v>
      </c>
      <c r="L16" s="33">
        <v>556571</v>
      </c>
      <c r="M16" s="31">
        <v>1776922</v>
      </c>
      <c r="N16" s="31">
        <v>1987306</v>
      </c>
      <c r="O16" s="34">
        <v>1831863</v>
      </c>
      <c r="P16" s="614">
        <f t="shared" si="1"/>
        <v>1831863</v>
      </c>
      <c r="Q16" s="112">
        <v>0</v>
      </c>
      <c r="R16" s="31">
        <v>393915</v>
      </c>
      <c r="S16" s="31">
        <v>38028</v>
      </c>
      <c r="T16" s="103">
        <v>5073</v>
      </c>
      <c r="U16" s="138">
        <f t="shared" si="2"/>
        <v>350814</v>
      </c>
      <c r="V16" s="651">
        <v>308827</v>
      </c>
      <c r="W16" s="651">
        <v>317393</v>
      </c>
      <c r="X16" s="651">
        <v>0</v>
      </c>
      <c r="Y16" s="652">
        <f t="shared" si="0"/>
        <v>0</v>
      </c>
      <c r="Z16" s="651">
        <v>0</v>
      </c>
      <c r="AA16" s="651">
        <v>0</v>
      </c>
      <c r="AB16" s="1240">
        <v>0</v>
      </c>
      <c r="AC16" s="56"/>
      <c r="AD16" s="56"/>
    </row>
    <row r="17" spans="1:59" s="58" customFormat="1" ht="12.75" x14ac:dyDescent="0.2">
      <c r="A17" s="55">
        <v>15</v>
      </c>
      <c r="B17" s="55" t="s">
        <v>31</v>
      </c>
      <c r="C17" s="86">
        <v>0.92579999999999996</v>
      </c>
      <c r="D17" s="90">
        <v>2073.64</v>
      </c>
      <c r="E17" s="90">
        <v>2251.9300000000003</v>
      </c>
      <c r="F17" s="34">
        <v>1246894</v>
      </c>
      <c r="G17" s="34">
        <v>217828</v>
      </c>
      <c r="H17" s="34">
        <v>365358</v>
      </c>
      <c r="I17" s="34">
        <v>166072</v>
      </c>
      <c r="J17" s="34">
        <v>0</v>
      </c>
      <c r="K17" s="34">
        <v>969924</v>
      </c>
      <c r="L17" s="33">
        <v>377397</v>
      </c>
      <c r="M17" s="31">
        <v>449767</v>
      </c>
      <c r="N17" s="31">
        <v>707833</v>
      </c>
      <c r="O17" s="98">
        <v>525507</v>
      </c>
      <c r="P17" s="615">
        <f t="shared" si="1"/>
        <v>525507</v>
      </c>
      <c r="Q17" s="113">
        <v>0</v>
      </c>
      <c r="R17" s="32">
        <v>160774</v>
      </c>
      <c r="S17" s="32">
        <v>2879</v>
      </c>
      <c r="T17" s="105">
        <v>3435</v>
      </c>
      <c r="U17" s="139">
        <f t="shared" si="2"/>
        <v>154460</v>
      </c>
      <c r="V17" s="653">
        <v>192453</v>
      </c>
      <c r="W17" s="653">
        <v>142561</v>
      </c>
      <c r="X17" s="653">
        <v>0</v>
      </c>
      <c r="Y17" s="654">
        <f t="shared" si="0"/>
        <v>0</v>
      </c>
      <c r="Z17" s="653">
        <v>0</v>
      </c>
      <c r="AA17" s="653">
        <v>0</v>
      </c>
      <c r="AB17" s="1241">
        <v>0</v>
      </c>
      <c r="AC17" s="56"/>
      <c r="AD17" s="56"/>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row>
    <row r="18" spans="1:59" ht="12.75" x14ac:dyDescent="0.2">
      <c r="A18" s="56">
        <v>16</v>
      </c>
      <c r="B18" s="56" t="s">
        <v>32</v>
      </c>
      <c r="C18" s="92">
        <v>1.0058</v>
      </c>
      <c r="D18" s="89">
        <v>135717.16</v>
      </c>
      <c r="E18" s="89">
        <v>148271.90000000002</v>
      </c>
      <c r="F18" s="99">
        <v>0</v>
      </c>
      <c r="G18" s="99">
        <v>7470457</v>
      </c>
      <c r="H18" s="99">
        <v>24780452</v>
      </c>
      <c r="I18" s="99">
        <v>11263842</v>
      </c>
      <c r="J18" s="99">
        <v>0</v>
      </c>
      <c r="K18" s="99">
        <v>26270771</v>
      </c>
      <c r="L18" s="87">
        <v>10867525</v>
      </c>
      <c r="M18" s="93">
        <v>32884358</v>
      </c>
      <c r="N18" s="93">
        <v>51012105</v>
      </c>
      <c r="O18" s="34">
        <v>71602566</v>
      </c>
      <c r="P18" s="614">
        <f t="shared" si="1"/>
        <v>71602566</v>
      </c>
      <c r="Q18" s="112">
        <v>0</v>
      </c>
      <c r="R18" s="31">
        <v>11236555</v>
      </c>
      <c r="S18" s="31">
        <v>338979</v>
      </c>
      <c r="T18" s="103">
        <v>169760</v>
      </c>
      <c r="U18" s="138">
        <f t="shared" si="2"/>
        <v>10727816</v>
      </c>
      <c r="V18" s="651">
        <v>6150945</v>
      </c>
      <c r="W18" s="651">
        <v>2421162</v>
      </c>
      <c r="X18" s="651">
        <v>406907</v>
      </c>
      <c r="Y18" s="652">
        <f t="shared" si="0"/>
        <v>166.32</v>
      </c>
      <c r="Z18" s="651">
        <v>2185</v>
      </c>
      <c r="AA18" s="651">
        <v>523</v>
      </c>
      <c r="AB18" s="1240">
        <v>351</v>
      </c>
      <c r="AC18" s="56"/>
      <c r="AD18" s="56"/>
    </row>
    <row r="19" spans="1:59" ht="12.75" x14ac:dyDescent="0.2">
      <c r="A19" s="56">
        <v>17</v>
      </c>
      <c r="B19" s="56" t="s">
        <v>33</v>
      </c>
      <c r="C19" s="86">
        <v>0.97460000000000002</v>
      </c>
      <c r="D19" s="90">
        <v>39003.86</v>
      </c>
      <c r="E19" s="90">
        <v>42472.68</v>
      </c>
      <c r="F19" s="34">
        <v>0</v>
      </c>
      <c r="G19" s="34">
        <v>2156622</v>
      </c>
      <c r="H19" s="34">
        <v>6959214</v>
      </c>
      <c r="I19" s="34">
        <v>3163279</v>
      </c>
      <c r="J19" s="34">
        <v>0</v>
      </c>
      <c r="K19" s="34">
        <v>8364768</v>
      </c>
      <c r="L19" s="33">
        <v>3371963</v>
      </c>
      <c r="M19" s="31">
        <v>10139050</v>
      </c>
      <c r="N19" s="31">
        <v>13856797</v>
      </c>
      <c r="O19" s="34">
        <v>19763383</v>
      </c>
      <c r="P19" s="614">
        <f t="shared" si="1"/>
        <v>19763383</v>
      </c>
      <c r="Q19" s="112">
        <v>0</v>
      </c>
      <c r="R19" s="31">
        <v>2997649</v>
      </c>
      <c r="S19" s="31">
        <v>103709</v>
      </c>
      <c r="T19" s="103">
        <v>46134</v>
      </c>
      <c r="U19" s="138">
        <f t="shared" si="2"/>
        <v>2847806</v>
      </c>
      <c r="V19" s="651">
        <v>1838986</v>
      </c>
      <c r="W19" s="651">
        <v>1687152</v>
      </c>
      <c r="X19" s="651">
        <v>1201671</v>
      </c>
      <c r="Y19" s="652">
        <f t="shared" si="0"/>
        <v>607.52</v>
      </c>
      <c r="Z19" s="651">
        <v>1438</v>
      </c>
      <c r="AA19" s="651">
        <v>1080</v>
      </c>
      <c r="AB19" s="1240">
        <v>164</v>
      </c>
      <c r="AC19" s="56"/>
      <c r="AD19" s="56"/>
    </row>
    <row r="20" spans="1:59" ht="12.75" x14ac:dyDescent="0.2">
      <c r="A20" s="56">
        <v>18</v>
      </c>
      <c r="B20" s="56" t="s">
        <v>34</v>
      </c>
      <c r="C20" s="86">
        <v>0.95599999999999996</v>
      </c>
      <c r="D20" s="90">
        <v>13882.53</v>
      </c>
      <c r="E20" s="90">
        <v>15028.54</v>
      </c>
      <c r="F20" s="34">
        <v>1365122</v>
      </c>
      <c r="G20" s="34">
        <v>823621</v>
      </c>
      <c r="H20" s="34">
        <v>2367454</v>
      </c>
      <c r="I20" s="34">
        <v>1076115</v>
      </c>
      <c r="J20" s="34">
        <v>0</v>
      </c>
      <c r="K20" s="34">
        <v>0</v>
      </c>
      <c r="L20" s="33">
        <v>1011397</v>
      </c>
      <c r="M20" s="31">
        <v>2927236</v>
      </c>
      <c r="N20" s="31">
        <v>6899657</v>
      </c>
      <c r="O20" s="34">
        <v>10842399</v>
      </c>
      <c r="P20" s="614">
        <f t="shared" si="1"/>
        <v>10842399</v>
      </c>
      <c r="Q20" s="112">
        <v>0</v>
      </c>
      <c r="R20" s="31">
        <v>1216179</v>
      </c>
      <c r="S20" s="31">
        <v>76608</v>
      </c>
      <c r="T20" s="103">
        <v>17387</v>
      </c>
      <c r="U20" s="138">
        <f t="shared" si="2"/>
        <v>1122184</v>
      </c>
      <c r="V20" s="651">
        <v>718952</v>
      </c>
      <c r="W20" s="651">
        <v>536593</v>
      </c>
      <c r="X20" s="651">
        <v>0</v>
      </c>
      <c r="Y20" s="652">
        <f t="shared" si="0"/>
        <v>0</v>
      </c>
      <c r="Z20" s="651">
        <v>0</v>
      </c>
      <c r="AA20" s="651">
        <v>0</v>
      </c>
      <c r="AB20" s="1240">
        <v>0</v>
      </c>
      <c r="AC20" s="56"/>
      <c r="AD20" s="56"/>
    </row>
    <row r="21" spans="1:59" ht="12.75" x14ac:dyDescent="0.2">
      <c r="A21" s="56">
        <v>19</v>
      </c>
      <c r="B21" s="56" t="s">
        <v>35</v>
      </c>
      <c r="C21" s="86">
        <v>0.92749999999999999</v>
      </c>
      <c r="D21" s="90">
        <v>1128.77</v>
      </c>
      <c r="E21" s="90">
        <v>1210.06</v>
      </c>
      <c r="F21" s="34">
        <v>0</v>
      </c>
      <c r="G21" s="34">
        <v>170355</v>
      </c>
      <c r="H21" s="34">
        <v>199016</v>
      </c>
      <c r="I21" s="34">
        <v>90462</v>
      </c>
      <c r="J21" s="34">
        <v>0</v>
      </c>
      <c r="K21" s="34">
        <v>0</v>
      </c>
      <c r="L21" s="33">
        <v>331903</v>
      </c>
      <c r="M21" s="31">
        <v>237978</v>
      </c>
      <c r="N21" s="31">
        <v>486395</v>
      </c>
      <c r="O21" s="34">
        <v>2257348</v>
      </c>
      <c r="P21" s="614">
        <f t="shared" si="1"/>
        <v>2257348</v>
      </c>
      <c r="Q21" s="112">
        <v>0</v>
      </c>
      <c r="R21" s="31">
        <v>90842</v>
      </c>
      <c r="S21" s="31">
        <v>4609</v>
      </c>
      <c r="T21" s="103">
        <v>1728</v>
      </c>
      <c r="U21" s="138">
        <f t="shared" si="2"/>
        <v>84505</v>
      </c>
      <c r="V21" s="651">
        <v>150326</v>
      </c>
      <c r="W21" s="651">
        <v>5551</v>
      </c>
      <c r="X21" s="651">
        <v>0</v>
      </c>
      <c r="Y21" s="652">
        <f t="shared" si="0"/>
        <v>0</v>
      </c>
      <c r="Z21" s="651">
        <v>0</v>
      </c>
      <c r="AA21" s="651">
        <v>0</v>
      </c>
      <c r="AB21" s="1240">
        <v>0</v>
      </c>
      <c r="AC21" s="56"/>
      <c r="AD21" s="56"/>
    </row>
    <row r="22" spans="1:59" s="58" customFormat="1" ht="12.75" x14ac:dyDescent="0.2">
      <c r="A22" s="55">
        <v>20</v>
      </c>
      <c r="B22" s="55" t="s">
        <v>36</v>
      </c>
      <c r="C22" s="85">
        <v>0.94350000000000001</v>
      </c>
      <c r="D22" s="91">
        <v>4681.3500000000004</v>
      </c>
      <c r="E22" s="91">
        <v>5098.18</v>
      </c>
      <c r="F22" s="98">
        <v>924482</v>
      </c>
      <c r="G22" s="98">
        <v>352245</v>
      </c>
      <c r="H22" s="98">
        <v>801226</v>
      </c>
      <c r="I22" s="98">
        <v>364194</v>
      </c>
      <c r="J22" s="98">
        <v>0</v>
      </c>
      <c r="K22" s="98">
        <v>1877877</v>
      </c>
      <c r="L22" s="88">
        <v>524525</v>
      </c>
      <c r="M22" s="32">
        <v>1312951</v>
      </c>
      <c r="N22" s="32">
        <v>1702348</v>
      </c>
      <c r="O22" s="98">
        <v>1498148</v>
      </c>
      <c r="P22" s="615">
        <f t="shared" si="1"/>
        <v>1498148</v>
      </c>
      <c r="Q22" s="113">
        <v>0</v>
      </c>
      <c r="R22" s="32">
        <v>362797</v>
      </c>
      <c r="S22" s="32">
        <v>13640</v>
      </c>
      <c r="T22" s="105">
        <v>5903</v>
      </c>
      <c r="U22" s="139">
        <f t="shared" si="2"/>
        <v>343254</v>
      </c>
      <c r="V22" s="653">
        <v>308718</v>
      </c>
      <c r="W22" s="653">
        <v>187099</v>
      </c>
      <c r="X22" s="653">
        <v>0</v>
      </c>
      <c r="Y22" s="654">
        <f t="shared" si="0"/>
        <v>0</v>
      </c>
      <c r="Z22" s="653">
        <v>0</v>
      </c>
      <c r="AA22" s="653">
        <v>0</v>
      </c>
      <c r="AB22" s="1241">
        <v>0</v>
      </c>
      <c r="AC22" s="56"/>
      <c r="AD22" s="56"/>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row>
    <row r="23" spans="1:59" ht="12.75" x14ac:dyDescent="0.2">
      <c r="A23" s="56">
        <v>21</v>
      </c>
      <c r="B23" s="56" t="s">
        <v>37</v>
      </c>
      <c r="C23" s="86">
        <v>0.94240000000000002</v>
      </c>
      <c r="D23" s="90">
        <v>2825.12</v>
      </c>
      <c r="E23" s="90">
        <v>3182.3399999999997</v>
      </c>
      <c r="F23" s="34">
        <v>2291906</v>
      </c>
      <c r="G23" s="34">
        <v>262918</v>
      </c>
      <c r="H23" s="34">
        <v>508426</v>
      </c>
      <c r="I23" s="34">
        <v>231103</v>
      </c>
      <c r="J23" s="34">
        <v>0</v>
      </c>
      <c r="K23" s="34">
        <v>1196184</v>
      </c>
      <c r="L23" s="33">
        <v>389903</v>
      </c>
      <c r="M23" s="31">
        <v>610026</v>
      </c>
      <c r="N23" s="31">
        <v>1069819</v>
      </c>
      <c r="O23" s="34">
        <v>841176</v>
      </c>
      <c r="P23" s="614">
        <f t="shared" si="1"/>
        <v>841176</v>
      </c>
      <c r="Q23" s="112">
        <v>0</v>
      </c>
      <c r="R23" s="31">
        <v>233494</v>
      </c>
      <c r="S23" s="31">
        <v>11705</v>
      </c>
      <c r="T23" s="103">
        <v>4260</v>
      </c>
      <c r="U23" s="138">
        <f t="shared" si="2"/>
        <v>217529</v>
      </c>
      <c r="V23" s="651">
        <v>225958</v>
      </c>
      <c r="W23" s="651">
        <v>170804</v>
      </c>
      <c r="X23" s="651">
        <v>0</v>
      </c>
      <c r="Y23" s="652">
        <f t="shared" si="0"/>
        <v>0</v>
      </c>
      <c r="Z23" s="651">
        <v>0</v>
      </c>
      <c r="AA23" s="651">
        <v>0</v>
      </c>
      <c r="AB23" s="1240">
        <v>0</v>
      </c>
      <c r="AC23" s="56"/>
      <c r="AD23" s="56"/>
    </row>
    <row r="24" spans="1:59" ht="12.75" x14ac:dyDescent="0.2">
      <c r="A24" s="56">
        <v>22</v>
      </c>
      <c r="B24" s="56" t="s">
        <v>38</v>
      </c>
      <c r="C24" s="86">
        <v>0.97340000000000004</v>
      </c>
      <c r="D24" s="90">
        <v>1792.0799999999997</v>
      </c>
      <c r="E24" s="90">
        <v>1939.67</v>
      </c>
      <c r="F24" s="34">
        <v>1201736</v>
      </c>
      <c r="G24" s="34">
        <v>208123</v>
      </c>
      <c r="H24" s="34">
        <v>295936</v>
      </c>
      <c r="I24" s="34">
        <v>134517</v>
      </c>
      <c r="J24" s="34">
        <v>0</v>
      </c>
      <c r="K24" s="34">
        <v>540169</v>
      </c>
      <c r="L24" s="33">
        <v>346628</v>
      </c>
      <c r="M24" s="31">
        <v>431270</v>
      </c>
      <c r="N24" s="31">
        <v>554758</v>
      </c>
      <c r="O24" s="34">
        <v>752216</v>
      </c>
      <c r="P24" s="614">
        <f t="shared" si="1"/>
        <v>752216</v>
      </c>
      <c r="Q24" s="112">
        <v>0</v>
      </c>
      <c r="R24" s="31">
        <v>169296</v>
      </c>
      <c r="S24" s="31">
        <v>15516</v>
      </c>
      <c r="T24" s="103">
        <v>2472</v>
      </c>
      <c r="U24" s="138">
        <f t="shared" si="2"/>
        <v>151308</v>
      </c>
      <c r="V24" s="651">
        <v>179900</v>
      </c>
      <c r="W24" s="651">
        <v>145928</v>
      </c>
      <c r="X24" s="651">
        <v>269842</v>
      </c>
      <c r="Y24" s="652">
        <f t="shared" si="0"/>
        <v>914.72</v>
      </c>
      <c r="Z24" s="651">
        <v>295</v>
      </c>
      <c r="AA24" s="651">
        <v>0</v>
      </c>
      <c r="AB24" s="1240">
        <v>100</v>
      </c>
      <c r="AC24" s="56"/>
      <c r="AD24" s="56"/>
    </row>
    <row r="25" spans="1:59" ht="12.75" x14ac:dyDescent="0.2">
      <c r="A25" s="56">
        <v>23</v>
      </c>
      <c r="B25" s="56" t="s">
        <v>39</v>
      </c>
      <c r="C25" s="86">
        <v>0.93889999999999996</v>
      </c>
      <c r="D25" s="90">
        <v>1901.0500000000002</v>
      </c>
      <c r="E25" s="90">
        <v>2100.52</v>
      </c>
      <c r="F25" s="34">
        <v>894087</v>
      </c>
      <c r="G25" s="34">
        <v>212271</v>
      </c>
      <c r="H25" s="34">
        <v>326693</v>
      </c>
      <c r="I25" s="34">
        <v>148497</v>
      </c>
      <c r="J25" s="34">
        <v>0</v>
      </c>
      <c r="K25" s="34">
        <v>0</v>
      </c>
      <c r="L25" s="33">
        <v>367745</v>
      </c>
      <c r="M25" s="31">
        <v>378748</v>
      </c>
      <c r="N25" s="31">
        <v>429735</v>
      </c>
      <c r="O25" s="34">
        <v>2276870</v>
      </c>
      <c r="P25" s="614">
        <f t="shared" si="1"/>
        <v>2276870</v>
      </c>
      <c r="Q25" s="112">
        <v>0</v>
      </c>
      <c r="R25" s="31">
        <v>152070</v>
      </c>
      <c r="S25" s="31">
        <v>9348</v>
      </c>
      <c r="T25" s="103">
        <v>2890</v>
      </c>
      <c r="U25" s="138">
        <f t="shared" si="2"/>
        <v>139832</v>
      </c>
      <c r="V25" s="651">
        <v>184758</v>
      </c>
      <c r="W25" s="651">
        <v>25053</v>
      </c>
      <c r="X25" s="651">
        <v>0</v>
      </c>
      <c r="Y25" s="652">
        <f t="shared" si="0"/>
        <v>0</v>
      </c>
      <c r="Z25" s="651">
        <v>0</v>
      </c>
      <c r="AA25" s="651">
        <v>0</v>
      </c>
      <c r="AB25" s="1240">
        <v>0</v>
      </c>
      <c r="AC25" s="56"/>
      <c r="AD25" s="56"/>
    </row>
    <row r="26" spans="1:59" ht="12.75" x14ac:dyDescent="0.2">
      <c r="A26" s="56">
        <v>24</v>
      </c>
      <c r="B26" s="56" t="s">
        <v>40</v>
      </c>
      <c r="C26" s="86">
        <v>0.91679999999999995</v>
      </c>
      <c r="D26" s="90">
        <v>1666.86</v>
      </c>
      <c r="E26" s="90">
        <v>1789.1400000000003</v>
      </c>
      <c r="F26" s="34">
        <v>1164156</v>
      </c>
      <c r="G26" s="34">
        <v>195902</v>
      </c>
      <c r="H26" s="34">
        <v>271408</v>
      </c>
      <c r="I26" s="34">
        <v>123367</v>
      </c>
      <c r="J26" s="34">
        <v>0</v>
      </c>
      <c r="K26" s="34">
        <v>357975</v>
      </c>
      <c r="L26" s="33">
        <v>367382</v>
      </c>
      <c r="M26" s="31">
        <v>352952</v>
      </c>
      <c r="N26" s="31">
        <v>532302</v>
      </c>
      <c r="O26" s="34">
        <v>844095</v>
      </c>
      <c r="P26" s="614">
        <f t="shared" si="1"/>
        <v>844095</v>
      </c>
      <c r="Q26" s="112">
        <v>0</v>
      </c>
      <c r="R26" s="31">
        <v>133881</v>
      </c>
      <c r="S26" s="31">
        <v>6197</v>
      </c>
      <c r="T26" s="103">
        <v>1440</v>
      </c>
      <c r="U26" s="138">
        <f t="shared" si="2"/>
        <v>126244</v>
      </c>
      <c r="V26" s="651">
        <v>174317</v>
      </c>
      <c r="W26" s="651">
        <v>45141</v>
      </c>
      <c r="X26" s="651">
        <v>0</v>
      </c>
      <c r="Y26" s="652">
        <f t="shared" si="0"/>
        <v>0</v>
      </c>
      <c r="Z26" s="651">
        <v>0</v>
      </c>
      <c r="AA26" s="651">
        <v>0</v>
      </c>
      <c r="AB26" s="1240">
        <v>0</v>
      </c>
      <c r="AC26" s="56"/>
      <c r="AD26" s="56"/>
    </row>
    <row r="27" spans="1:59" s="58" customFormat="1" ht="12.75" x14ac:dyDescent="0.2">
      <c r="A27" s="55">
        <v>25</v>
      </c>
      <c r="B27" s="55" t="s">
        <v>41</v>
      </c>
      <c r="C27" s="86">
        <v>0.95569999999999999</v>
      </c>
      <c r="D27" s="90">
        <v>4923.34</v>
      </c>
      <c r="E27" s="90">
        <v>5266.3</v>
      </c>
      <c r="F27" s="34">
        <v>844692</v>
      </c>
      <c r="G27" s="34">
        <v>363237</v>
      </c>
      <c r="H27" s="34">
        <v>845668</v>
      </c>
      <c r="I27" s="34">
        <v>384394</v>
      </c>
      <c r="J27" s="34">
        <v>0</v>
      </c>
      <c r="K27" s="34">
        <v>1949938</v>
      </c>
      <c r="L27" s="33">
        <v>544926</v>
      </c>
      <c r="M27" s="31">
        <v>1054851</v>
      </c>
      <c r="N27" s="31">
        <v>1773859</v>
      </c>
      <c r="O27" s="98">
        <v>1600583</v>
      </c>
      <c r="P27" s="615">
        <f t="shared" si="1"/>
        <v>1600583</v>
      </c>
      <c r="Q27" s="113">
        <v>0</v>
      </c>
      <c r="R27" s="32">
        <v>386677</v>
      </c>
      <c r="S27" s="32">
        <v>23653</v>
      </c>
      <c r="T27" s="105">
        <v>4892</v>
      </c>
      <c r="U27" s="139">
        <f t="shared" si="2"/>
        <v>358132</v>
      </c>
      <c r="V27" s="653">
        <v>319507</v>
      </c>
      <c r="W27" s="653">
        <v>253666</v>
      </c>
      <c r="X27" s="653">
        <v>0</v>
      </c>
      <c r="Y27" s="654">
        <f t="shared" si="0"/>
        <v>0</v>
      </c>
      <c r="Z27" s="653">
        <v>0</v>
      </c>
      <c r="AA27" s="653">
        <v>0</v>
      </c>
      <c r="AB27" s="1241">
        <v>0</v>
      </c>
      <c r="AC27" s="56"/>
      <c r="AD27" s="56"/>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row>
    <row r="28" spans="1:59" ht="12.75" x14ac:dyDescent="0.2">
      <c r="A28" s="56">
        <v>26</v>
      </c>
      <c r="B28" s="56" t="s">
        <v>42</v>
      </c>
      <c r="C28" s="92">
        <v>0.98229999999999995</v>
      </c>
      <c r="D28" s="89">
        <v>13190.859999999999</v>
      </c>
      <c r="E28" s="89">
        <v>14070.800000000001</v>
      </c>
      <c r="F28" s="99">
        <v>2353143</v>
      </c>
      <c r="G28" s="99">
        <v>796714</v>
      </c>
      <c r="H28" s="99">
        <v>2410643</v>
      </c>
      <c r="I28" s="99">
        <v>1095747</v>
      </c>
      <c r="J28" s="99">
        <v>0</v>
      </c>
      <c r="K28" s="99">
        <v>6832206</v>
      </c>
      <c r="L28" s="87">
        <v>687061</v>
      </c>
      <c r="M28" s="93">
        <v>1804240</v>
      </c>
      <c r="N28" s="93">
        <v>3508724</v>
      </c>
      <c r="O28" s="34">
        <v>2680492</v>
      </c>
      <c r="P28" s="614">
        <f t="shared" si="1"/>
        <v>2680492</v>
      </c>
      <c r="Q28" s="112">
        <v>0</v>
      </c>
      <c r="R28" s="31">
        <v>1054060</v>
      </c>
      <c r="S28" s="31">
        <v>65384</v>
      </c>
      <c r="T28" s="103">
        <v>11418</v>
      </c>
      <c r="U28" s="138">
        <f t="shared" si="2"/>
        <v>977258</v>
      </c>
      <c r="V28" s="651">
        <v>688114</v>
      </c>
      <c r="W28" s="651">
        <v>1344254</v>
      </c>
      <c r="X28" s="651">
        <v>0</v>
      </c>
      <c r="Y28" s="652">
        <f t="shared" si="0"/>
        <v>0</v>
      </c>
      <c r="Z28" s="651">
        <v>0</v>
      </c>
      <c r="AA28" s="651">
        <v>0</v>
      </c>
      <c r="AB28" s="1240">
        <v>0</v>
      </c>
      <c r="AC28" s="56"/>
      <c r="AD28" s="56"/>
    </row>
    <row r="29" spans="1:59" ht="12.75" x14ac:dyDescent="0.2">
      <c r="A29" s="56">
        <v>27</v>
      </c>
      <c r="B29" s="56" t="s">
        <v>43</v>
      </c>
      <c r="C29" s="86">
        <v>0.9587</v>
      </c>
      <c r="D29" s="90">
        <v>25380.670000000002</v>
      </c>
      <c r="E29" s="90">
        <v>27739.490000000005</v>
      </c>
      <c r="F29" s="34">
        <v>2499471</v>
      </c>
      <c r="G29" s="34">
        <v>1426657</v>
      </c>
      <c r="H29" s="34">
        <v>4515214</v>
      </c>
      <c r="I29" s="34">
        <v>2052370</v>
      </c>
      <c r="J29" s="34">
        <v>0</v>
      </c>
      <c r="K29" s="34">
        <v>7187552</v>
      </c>
      <c r="L29" s="33">
        <v>1739334</v>
      </c>
      <c r="M29" s="31">
        <v>5881898</v>
      </c>
      <c r="N29" s="31">
        <v>11544713</v>
      </c>
      <c r="O29" s="34">
        <v>11115941</v>
      </c>
      <c r="P29" s="614">
        <f t="shared" si="1"/>
        <v>11115941</v>
      </c>
      <c r="Q29" s="112">
        <v>0</v>
      </c>
      <c r="R29" s="31">
        <v>2192491</v>
      </c>
      <c r="S29" s="31">
        <v>81473</v>
      </c>
      <c r="T29" s="103">
        <v>31184</v>
      </c>
      <c r="U29" s="138">
        <f t="shared" si="2"/>
        <v>2079834</v>
      </c>
      <c r="V29" s="651">
        <v>1231596</v>
      </c>
      <c r="W29" s="651">
        <v>1119819</v>
      </c>
      <c r="X29" s="651">
        <v>0</v>
      </c>
      <c r="Y29" s="652">
        <f t="shared" si="0"/>
        <v>0</v>
      </c>
      <c r="Z29" s="651">
        <v>0</v>
      </c>
      <c r="AA29" s="651">
        <v>0</v>
      </c>
      <c r="AB29" s="1240">
        <v>0</v>
      </c>
      <c r="AC29" s="56"/>
      <c r="AD29" s="56"/>
    </row>
    <row r="30" spans="1:59" ht="12.75" x14ac:dyDescent="0.2">
      <c r="A30" s="56">
        <v>28</v>
      </c>
      <c r="B30" s="56" t="s">
        <v>44</v>
      </c>
      <c r="C30" s="86">
        <v>0.94889999999999997</v>
      </c>
      <c r="D30" s="90">
        <v>12433.45</v>
      </c>
      <c r="E30" s="90">
        <v>13309.779999999999</v>
      </c>
      <c r="F30" s="34">
        <v>3145067</v>
      </c>
      <c r="G30" s="34">
        <v>737917</v>
      </c>
      <c r="H30" s="34">
        <v>2171395</v>
      </c>
      <c r="I30" s="34">
        <v>986998</v>
      </c>
      <c r="J30" s="34">
        <v>0</v>
      </c>
      <c r="K30" s="34">
        <v>3622859</v>
      </c>
      <c r="L30" s="33">
        <v>1092750</v>
      </c>
      <c r="M30" s="31">
        <v>2446537</v>
      </c>
      <c r="N30" s="31">
        <v>4637686</v>
      </c>
      <c r="O30" s="34">
        <v>5343587</v>
      </c>
      <c r="P30" s="614">
        <f t="shared" si="1"/>
        <v>5343587</v>
      </c>
      <c r="Q30" s="112">
        <v>0</v>
      </c>
      <c r="R30" s="31">
        <v>1005520</v>
      </c>
      <c r="S30" s="31">
        <v>81652</v>
      </c>
      <c r="T30" s="103">
        <v>15403</v>
      </c>
      <c r="U30" s="138">
        <f t="shared" si="2"/>
        <v>908465</v>
      </c>
      <c r="V30" s="651">
        <v>654345</v>
      </c>
      <c r="W30" s="651">
        <v>656896</v>
      </c>
      <c r="X30" s="651">
        <v>0</v>
      </c>
      <c r="Y30" s="652">
        <f t="shared" si="0"/>
        <v>0</v>
      </c>
      <c r="Z30" s="651">
        <v>0</v>
      </c>
      <c r="AA30" s="651">
        <v>0</v>
      </c>
      <c r="AB30" s="1240">
        <v>0</v>
      </c>
      <c r="AC30" s="56"/>
      <c r="AD30" s="56"/>
    </row>
    <row r="31" spans="1:59" ht="12.75" x14ac:dyDescent="0.2">
      <c r="A31" s="56">
        <v>29</v>
      </c>
      <c r="B31" s="56" t="s">
        <v>45</v>
      </c>
      <c r="C31" s="86">
        <v>1.0072000000000001</v>
      </c>
      <c r="D31" s="90">
        <v>227517.25</v>
      </c>
      <c r="E31" s="90">
        <v>251014.48</v>
      </c>
      <c r="F31" s="34">
        <v>0</v>
      </c>
      <c r="G31" s="34">
        <v>12584634</v>
      </c>
      <c r="H31" s="34">
        <v>42651692</v>
      </c>
      <c r="I31" s="34">
        <v>19387133</v>
      </c>
      <c r="J31" s="34">
        <v>0</v>
      </c>
      <c r="K31" s="34">
        <v>50492903</v>
      </c>
      <c r="L31" s="33">
        <v>12906866</v>
      </c>
      <c r="M31" s="31">
        <v>50876843</v>
      </c>
      <c r="N31" s="31">
        <v>84084225</v>
      </c>
      <c r="O31" s="34">
        <v>113584339</v>
      </c>
      <c r="P31" s="614">
        <f t="shared" si="1"/>
        <v>113584339</v>
      </c>
      <c r="Q31" s="112">
        <v>0</v>
      </c>
      <c r="R31" s="31">
        <v>18371655</v>
      </c>
      <c r="S31" s="31">
        <v>587166</v>
      </c>
      <c r="T31" s="103">
        <v>253776</v>
      </c>
      <c r="U31" s="138">
        <f t="shared" si="2"/>
        <v>17530713</v>
      </c>
      <c r="V31" s="651">
        <v>10243849</v>
      </c>
      <c r="W31" s="651">
        <v>5936377</v>
      </c>
      <c r="X31" s="651">
        <v>371134</v>
      </c>
      <c r="Y31" s="652">
        <f t="shared" si="0"/>
        <v>64.78</v>
      </c>
      <c r="Z31" s="651">
        <v>4219</v>
      </c>
      <c r="AA31" s="651">
        <v>3020</v>
      </c>
      <c r="AB31" s="1240">
        <v>569</v>
      </c>
      <c r="AC31" s="56"/>
      <c r="AD31" s="56"/>
    </row>
    <row r="32" spans="1:59" s="58" customFormat="1" ht="12.75" x14ac:dyDescent="0.2">
      <c r="A32" s="55">
        <v>30</v>
      </c>
      <c r="B32" s="55" t="s">
        <v>46</v>
      </c>
      <c r="C32" s="85">
        <v>0.92589999999999995</v>
      </c>
      <c r="D32" s="91">
        <v>3178.5800000000004</v>
      </c>
      <c r="E32" s="91">
        <v>3341.48</v>
      </c>
      <c r="F32" s="98">
        <v>2761889</v>
      </c>
      <c r="G32" s="98">
        <v>267596</v>
      </c>
      <c r="H32" s="98">
        <v>517618</v>
      </c>
      <c r="I32" s="98">
        <v>235281</v>
      </c>
      <c r="J32" s="98">
        <v>0</v>
      </c>
      <c r="K32" s="98">
        <v>1849012</v>
      </c>
      <c r="L32" s="88">
        <v>420713</v>
      </c>
      <c r="M32" s="32">
        <v>665169</v>
      </c>
      <c r="N32" s="32">
        <v>1058087</v>
      </c>
      <c r="O32" s="98">
        <v>443246</v>
      </c>
      <c r="P32" s="615">
        <f t="shared" si="1"/>
        <v>443246</v>
      </c>
      <c r="Q32" s="113">
        <v>0</v>
      </c>
      <c r="R32" s="32">
        <v>266641</v>
      </c>
      <c r="S32" s="32">
        <v>14488</v>
      </c>
      <c r="T32" s="105">
        <v>3305</v>
      </c>
      <c r="U32" s="139">
        <f t="shared" si="2"/>
        <v>248848</v>
      </c>
      <c r="V32" s="653">
        <v>241717</v>
      </c>
      <c r="W32" s="653">
        <v>206938</v>
      </c>
      <c r="X32" s="653">
        <v>0</v>
      </c>
      <c r="Y32" s="654">
        <f t="shared" si="0"/>
        <v>0</v>
      </c>
      <c r="Z32" s="653">
        <v>0</v>
      </c>
      <c r="AA32" s="653">
        <v>0</v>
      </c>
      <c r="AB32" s="1241">
        <v>0</v>
      </c>
      <c r="AC32" s="56"/>
      <c r="AD32" s="56"/>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row>
    <row r="33" spans="1:59" ht="12.75" x14ac:dyDescent="0.2">
      <c r="A33" s="56">
        <v>31</v>
      </c>
      <c r="B33" s="56" t="s">
        <v>47</v>
      </c>
      <c r="C33" s="86">
        <v>0.999</v>
      </c>
      <c r="D33" s="90">
        <v>17308.89</v>
      </c>
      <c r="E33" s="90">
        <v>18891.499999999996</v>
      </c>
      <c r="F33" s="34">
        <v>0</v>
      </c>
      <c r="G33" s="34">
        <v>1045832</v>
      </c>
      <c r="H33" s="34">
        <v>3157412</v>
      </c>
      <c r="I33" s="34">
        <v>1435187</v>
      </c>
      <c r="J33" s="34">
        <v>0</v>
      </c>
      <c r="K33" s="34">
        <v>0</v>
      </c>
      <c r="L33" s="33">
        <v>1302179</v>
      </c>
      <c r="M33" s="31">
        <v>3739765</v>
      </c>
      <c r="N33" s="31">
        <v>6083373</v>
      </c>
      <c r="O33" s="34">
        <v>18531795</v>
      </c>
      <c r="P33" s="614">
        <f t="shared" si="1"/>
        <v>18531795</v>
      </c>
      <c r="Q33" s="112">
        <v>0</v>
      </c>
      <c r="R33" s="31">
        <v>1384949</v>
      </c>
      <c r="S33" s="31">
        <v>89952</v>
      </c>
      <c r="T33" s="103">
        <v>19682</v>
      </c>
      <c r="U33" s="138">
        <f t="shared" si="2"/>
        <v>1275315</v>
      </c>
      <c r="V33" s="651">
        <v>871716</v>
      </c>
      <c r="W33" s="651">
        <v>77997</v>
      </c>
      <c r="X33" s="651">
        <v>0</v>
      </c>
      <c r="Y33" s="652">
        <f t="shared" si="0"/>
        <v>0</v>
      </c>
      <c r="Z33" s="651">
        <v>0</v>
      </c>
      <c r="AA33" s="651">
        <v>0</v>
      </c>
      <c r="AB33" s="1240">
        <v>0</v>
      </c>
      <c r="AC33" s="56"/>
      <c r="AD33" s="56"/>
    </row>
    <row r="34" spans="1:59" ht="12.75" x14ac:dyDescent="0.2">
      <c r="A34" s="56">
        <v>32</v>
      </c>
      <c r="B34" s="56" t="s">
        <v>48</v>
      </c>
      <c r="C34" s="86">
        <v>0.92190000000000005</v>
      </c>
      <c r="D34" s="90">
        <v>5878.5200000000013</v>
      </c>
      <c r="E34" s="90">
        <v>6509.0999999999995</v>
      </c>
      <c r="F34" s="34">
        <v>3767489</v>
      </c>
      <c r="G34" s="34">
        <v>410967</v>
      </c>
      <c r="H34" s="34">
        <v>978554</v>
      </c>
      <c r="I34" s="34">
        <v>444797</v>
      </c>
      <c r="J34" s="34">
        <v>0</v>
      </c>
      <c r="K34" s="34">
        <v>2707058</v>
      </c>
      <c r="L34" s="33">
        <v>558975</v>
      </c>
      <c r="M34" s="31">
        <v>1144660</v>
      </c>
      <c r="N34" s="31">
        <v>2325966</v>
      </c>
      <c r="O34" s="34">
        <v>1532308</v>
      </c>
      <c r="P34" s="614">
        <f t="shared" si="1"/>
        <v>1532308</v>
      </c>
      <c r="Q34" s="112">
        <v>0</v>
      </c>
      <c r="R34" s="31">
        <v>483962</v>
      </c>
      <c r="S34" s="31">
        <v>34673</v>
      </c>
      <c r="T34" s="103">
        <v>7740</v>
      </c>
      <c r="U34" s="138">
        <f t="shared" si="2"/>
        <v>441549</v>
      </c>
      <c r="V34" s="651">
        <v>362094</v>
      </c>
      <c r="W34" s="651">
        <v>152285</v>
      </c>
      <c r="X34" s="651">
        <v>0</v>
      </c>
      <c r="Y34" s="652">
        <f t="shared" si="0"/>
        <v>0</v>
      </c>
      <c r="Z34" s="651">
        <v>0</v>
      </c>
      <c r="AA34" s="651">
        <v>0</v>
      </c>
      <c r="AB34" s="1240">
        <v>0</v>
      </c>
      <c r="AC34" s="56"/>
      <c r="AD34" s="56"/>
    </row>
    <row r="35" spans="1:59" ht="12.75" x14ac:dyDescent="0.2">
      <c r="A35" s="56">
        <v>33</v>
      </c>
      <c r="B35" s="56" t="s">
        <v>49</v>
      </c>
      <c r="C35" s="86">
        <v>0.93959999999999999</v>
      </c>
      <c r="D35" s="90">
        <v>799.21</v>
      </c>
      <c r="E35" s="90">
        <v>852.81</v>
      </c>
      <c r="F35" s="34">
        <v>666856</v>
      </c>
      <c r="G35" s="34">
        <v>154522</v>
      </c>
      <c r="H35" s="34">
        <v>135869</v>
      </c>
      <c r="I35" s="34">
        <v>61759</v>
      </c>
      <c r="J35" s="34">
        <v>0</v>
      </c>
      <c r="K35" s="34">
        <v>0</v>
      </c>
      <c r="L35" s="33">
        <v>332263</v>
      </c>
      <c r="M35" s="31">
        <v>309523</v>
      </c>
      <c r="N35" s="31">
        <v>391162</v>
      </c>
      <c r="O35" s="34">
        <v>637319</v>
      </c>
      <c r="P35" s="614">
        <f t="shared" si="1"/>
        <v>637319</v>
      </c>
      <c r="Q35" s="112">
        <v>0</v>
      </c>
      <c r="R35" s="31">
        <v>71871</v>
      </c>
      <c r="S35" s="31">
        <v>0</v>
      </c>
      <c r="T35" s="103">
        <v>1030</v>
      </c>
      <c r="U35" s="138">
        <f t="shared" si="2"/>
        <v>70841</v>
      </c>
      <c r="V35" s="651">
        <v>135633</v>
      </c>
      <c r="W35" s="651">
        <v>37557</v>
      </c>
      <c r="X35" s="651">
        <v>0</v>
      </c>
      <c r="Y35" s="652">
        <f t="shared" si="0"/>
        <v>0</v>
      </c>
      <c r="Z35" s="651">
        <v>0</v>
      </c>
      <c r="AA35" s="651">
        <v>0</v>
      </c>
      <c r="AB35" s="1240">
        <v>0</v>
      </c>
      <c r="AC35" s="56"/>
      <c r="AD35" s="56"/>
    </row>
    <row r="36" spans="1:59" ht="12.75" x14ac:dyDescent="0.2">
      <c r="A36" s="56">
        <v>34</v>
      </c>
      <c r="B36" s="56" t="s">
        <v>50</v>
      </c>
      <c r="C36" s="86">
        <v>0.91869999999999996</v>
      </c>
      <c r="D36" s="90">
        <v>1148.6199999999999</v>
      </c>
      <c r="E36" s="90">
        <v>1278.1600000000001</v>
      </c>
      <c r="F36" s="34">
        <v>1032896</v>
      </c>
      <c r="G36" s="34">
        <v>172916</v>
      </c>
      <c r="H36" s="34">
        <v>198059</v>
      </c>
      <c r="I36" s="34">
        <v>90027</v>
      </c>
      <c r="J36" s="34">
        <v>0</v>
      </c>
      <c r="K36" s="34">
        <v>574230</v>
      </c>
      <c r="L36" s="33">
        <v>307385</v>
      </c>
      <c r="M36" s="31">
        <v>196757</v>
      </c>
      <c r="N36" s="31">
        <v>379963</v>
      </c>
      <c r="O36" s="34">
        <v>254111</v>
      </c>
      <c r="P36" s="614">
        <f t="shared" si="1"/>
        <v>254111</v>
      </c>
      <c r="Q36" s="112">
        <v>0</v>
      </c>
      <c r="R36" s="31">
        <v>108123</v>
      </c>
      <c r="S36" s="31">
        <v>22027</v>
      </c>
      <c r="T36" s="103">
        <v>1760</v>
      </c>
      <c r="U36" s="138">
        <f t="shared" si="2"/>
        <v>84336</v>
      </c>
      <c r="V36" s="651">
        <v>151211</v>
      </c>
      <c r="W36" s="651">
        <v>38699</v>
      </c>
      <c r="X36" s="651">
        <v>0</v>
      </c>
      <c r="Y36" s="652">
        <f t="shared" si="0"/>
        <v>0</v>
      </c>
      <c r="Z36" s="651">
        <v>0</v>
      </c>
      <c r="AA36" s="651">
        <v>0</v>
      </c>
      <c r="AB36" s="1240">
        <v>0</v>
      </c>
      <c r="AC36" s="56"/>
      <c r="AD36" s="56"/>
    </row>
    <row r="37" spans="1:59" s="58" customFormat="1" ht="12.75" x14ac:dyDescent="0.2">
      <c r="A37" s="55">
        <v>35</v>
      </c>
      <c r="B37" s="55" t="s">
        <v>51</v>
      </c>
      <c r="C37" s="86">
        <v>0.97460000000000002</v>
      </c>
      <c r="D37" s="90">
        <v>48588.160000000003</v>
      </c>
      <c r="E37" s="90">
        <v>52652.359999999993</v>
      </c>
      <c r="F37" s="34">
        <v>0</v>
      </c>
      <c r="G37" s="34">
        <v>2645949</v>
      </c>
      <c r="H37" s="34">
        <v>8610769</v>
      </c>
      <c r="I37" s="34">
        <v>3913986</v>
      </c>
      <c r="J37" s="34">
        <v>0</v>
      </c>
      <c r="K37" s="34">
        <v>10264249</v>
      </c>
      <c r="L37" s="33">
        <v>3253352</v>
      </c>
      <c r="M37" s="31">
        <v>11066330</v>
      </c>
      <c r="N37" s="31">
        <v>18824866</v>
      </c>
      <c r="O37" s="98">
        <v>24775709</v>
      </c>
      <c r="P37" s="615">
        <f t="shared" si="1"/>
        <v>24775709</v>
      </c>
      <c r="Q37" s="113">
        <v>0</v>
      </c>
      <c r="R37" s="32">
        <v>4260502</v>
      </c>
      <c r="S37" s="32">
        <v>199168</v>
      </c>
      <c r="T37" s="105">
        <v>62831</v>
      </c>
      <c r="U37" s="139">
        <f t="shared" si="2"/>
        <v>3998503</v>
      </c>
      <c r="V37" s="653">
        <v>2266302</v>
      </c>
      <c r="W37" s="653">
        <v>2656744</v>
      </c>
      <c r="X37" s="653">
        <v>0</v>
      </c>
      <c r="Y37" s="654">
        <f t="shared" si="0"/>
        <v>0</v>
      </c>
      <c r="Z37" s="653">
        <v>0</v>
      </c>
      <c r="AA37" s="653">
        <v>0</v>
      </c>
      <c r="AB37" s="1241">
        <v>0</v>
      </c>
      <c r="AC37" s="56"/>
      <c r="AD37" s="56"/>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row>
    <row r="38" spans="1:59" ht="12.75" x14ac:dyDescent="0.2">
      <c r="A38" s="56">
        <v>36</v>
      </c>
      <c r="B38" s="56" t="s">
        <v>52</v>
      </c>
      <c r="C38" s="92">
        <v>1.0173000000000001</v>
      </c>
      <c r="D38" s="89">
        <v>100091.64</v>
      </c>
      <c r="E38" s="89">
        <v>110163.35999999999</v>
      </c>
      <c r="F38" s="99">
        <v>0</v>
      </c>
      <c r="G38" s="99">
        <v>5642458</v>
      </c>
      <c r="H38" s="99">
        <v>18787294</v>
      </c>
      <c r="I38" s="99">
        <v>8539679</v>
      </c>
      <c r="J38" s="99">
        <v>0</v>
      </c>
      <c r="K38" s="99">
        <v>0</v>
      </c>
      <c r="L38" s="87">
        <v>6062297</v>
      </c>
      <c r="M38" s="93">
        <v>23400744</v>
      </c>
      <c r="N38" s="93">
        <v>34820761</v>
      </c>
      <c r="O38" s="34">
        <v>96164182</v>
      </c>
      <c r="P38" s="614">
        <f t="shared" si="1"/>
        <v>96164182</v>
      </c>
      <c r="Q38" s="112">
        <v>0</v>
      </c>
      <c r="R38" s="31">
        <v>8495087</v>
      </c>
      <c r="S38" s="31">
        <v>422787</v>
      </c>
      <c r="T38" s="103">
        <v>86011</v>
      </c>
      <c r="U38" s="138">
        <f t="shared" si="2"/>
        <v>7986289</v>
      </c>
      <c r="V38" s="651">
        <v>4562583</v>
      </c>
      <c r="W38" s="651">
        <v>2223599</v>
      </c>
      <c r="X38" s="651">
        <v>0</v>
      </c>
      <c r="Y38" s="652">
        <f t="shared" si="0"/>
        <v>0</v>
      </c>
      <c r="Z38" s="651">
        <v>623</v>
      </c>
      <c r="AA38" s="651">
        <v>0</v>
      </c>
      <c r="AB38" s="1240">
        <v>79</v>
      </c>
      <c r="AC38" s="56"/>
      <c r="AD38" s="56"/>
    </row>
    <row r="39" spans="1:59" ht="12.75" x14ac:dyDescent="0.2">
      <c r="A39" s="56">
        <v>37</v>
      </c>
      <c r="B39" s="56" t="s">
        <v>53</v>
      </c>
      <c r="C39" s="86">
        <v>0.9718</v>
      </c>
      <c r="D39" s="90">
        <v>33491.14</v>
      </c>
      <c r="E39" s="90">
        <v>36384.11</v>
      </c>
      <c r="F39" s="34">
        <v>0</v>
      </c>
      <c r="G39" s="34">
        <v>1858925</v>
      </c>
      <c r="H39" s="34">
        <v>5981873</v>
      </c>
      <c r="I39" s="34">
        <v>2719033</v>
      </c>
      <c r="J39" s="34">
        <v>0</v>
      </c>
      <c r="K39" s="34">
        <v>7588088</v>
      </c>
      <c r="L39" s="33">
        <v>2980120</v>
      </c>
      <c r="M39" s="31">
        <v>9413282</v>
      </c>
      <c r="N39" s="31">
        <v>17502220</v>
      </c>
      <c r="O39" s="34">
        <v>16564521</v>
      </c>
      <c r="P39" s="614">
        <f t="shared" si="1"/>
        <v>16564521</v>
      </c>
      <c r="Q39" s="112">
        <v>0</v>
      </c>
      <c r="R39" s="31">
        <v>2656436</v>
      </c>
      <c r="S39" s="31">
        <v>90227</v>
      </c>
      <c r="T39" s="103">
        <v>42809</v>
      </c>
      <c r="U39" s="138">
        <f t="shared" si="2"/>
        <v>2523400</v>
      </c>
      <c r="V39" s="651">
        <v>1593201</v>
      </c>
      <c r="W39" s="651">
        <v>885167</v>
      </c>
      <c r="X39" s="651">
        <v>0</v>
      </c>
      <c r="Y39" s="652">
        <f t="shared" si="0"/>
        <v>0</v>
      </c>
      <c r="Z39" s="651">
        <v>0</v>
      </c>
      <c r="AA39" s="651">
        <v>0</v>
      </c>
      <c r="AB39" s="1240">
        <v>0</v>
      </c>
      <c r="AC39" s="56"/>
      <c r="AD39" s="56"/>
    </row>
    <row r="40" spans="1:59" ht="12.75" x14ac:dyDescent="0.2">
      <c r="A40" s="56">
        <v>38</v>
      </c>
      <c r="B40" s="56" t="s">
        <v>54</v>
      </c>
      <c r="C40" s="86">
        <v>0.94310000000000005</v>
      </c>
      <c r="D40" s="90">
        <v>5728.76</v>
      </c>
      <c r="E40" s="90">
        <v>6275.5999999999995</v>
      </c>
      <c r="F40" s="34">
        <v>3708685</v>
      </c>
      <c r="G40" s="34">
        <v>406912</v>
      </c>
      <c r="H40" s="34">
        <v>987682</v>
      </c>
      <c r="I40" s="34">
        <v>448946</v>
      </c>
      <c r="J40" s="34">
        <v>0</v>
      </c>
      <c r="K40" s="34">
        <v>2006326</v>
      </c>
      <c r="L40" s="33">
        <v>651960</v>
      </c>
      <c r="M40" s="31">
        <v>1297604</v>
      </c>
      <c r="N40" s="31">
        <v>1998164</v>
      </c>
      <c r="O40" s="34">
        <v>2125036</v>
      </c>
      <c r="P40" s="614">
        <f t="shared" si="1"/>
        <v>2125036</v>
      </c>
      <c r="Q40" s="112">
        <v>0</v>
      </c>
      <c r="R40" s="31">
        <v>484239</v>
      </c>
      <c r="S40" s="31">
        <v>27619</v>
      </c>
      <c r="T40" s="103">
        <v>7835</v>
      </c>
      <c r="U40" s="138">
        <f t="shared" si="2"/>
        <v>448785</v>
      </c>
      <c r="V40" s="651">
        <v>355417</v>
      </c>
      <c r="W40" s="651">
        <v>302281</v>
      </c>
      <c r="X40" s="651">
        <v>0</v>
      </c>
      <c r="Y40" s="652">
        <f t="shared" si="0"/>
        <v>0</v>
      </c>
      <c r="Z40" s="651">
        <v>0</v>
      </c>
      <c r="AA40" s="651">
        <v>0</v>
      </c>
      <c r="AB40" s="1240">
        <v>0</v>
      </c>
      <c r="AC40" s="56"/>
      <c r="AD40" s="56"/>
    </row>
    <row r="41" spans="1:59" ht="12.75" x14ac:dyDescent="0.2">
      <c r="A41" s="56">
        <v>39</v>
      </c>
      <c r="B41" s="56" t="s">
        <v>55</v>
      </c>
      <c r="C41" s="86">
        <v>0.92449999999999999</v>
      </c>
      <c r="D41" s="90">
        <v>1313.0800000000002</v>
      </c>
      <c r="E41" s="90">
        <v>1468.9799999999998</v>
      </c>
      <c r="F41" s="34">
        <v>1106705</v>
      </c>
      <c r="G41" s="34">
        <v>181983</v>
      </c>
      <c r="H41" s="34">
        <v>227217</v>
      </c>
      <c r="I41" s="34">
        <v>103280</v>
      </c>
      <c r="J41" s="34">
        <v>0</v>
      </c>
      <c r="K41" s="34">
        <v>690181</v>
      </c>
      <c r="L41" s="33">
        <v>316227</v>
      </c>
      <c r="M41" s="31">
        <v>270603</v>
      </c>
      <c r="N41" s="31">
        <v>511918</v>
      </c>
      <c r="O41" s="34">
        <v>256762</v>
      </c>
      <c r="P41" s="614">
        <f t="shared" si="1"/>
        <v>256762</v>
      </c>
      <c r="Q41" s="112">
        <v>0</v>
      </c>
      <c r="R41" s="31">
        <v>111956</v>
      </c>
      <c r="S41" s="31">
        <v>6753</v>
      </c>
      <c r="T41" s="103">
        <v>2067</v>
      </c>
      <c r="U41" s="138">
        <f t="shared" si="2"/>
        <v>103136</v>
      </c>
      <c r="V41" s="651">
        <v>158544</v>
      </c>
      <c r="W41" s="651">
        <v>68062</v>
      </c>
      <c r="X41" s="651">
        <v>0</v>
      </c>
      <c r="Y41" s="652">
        <f t="shared" si="0"/>
        <v>0</v>
      </c>
      <c r="Z41" s="651">
        <v>0</v>
      </c>
      <c r="AA41" s="651">
        <v>0</v>
      </c>
      <c r="AB41" s="1240">
        <v>0</v>
      </c>
      <c r="AC41" s="56"/>
      <c r="AD41" s="56"/>
    </row>
    <row r="42" spans="1:59" s="58" customFormat="1" ht="12.75" x14ac:dyDescent="0.2">
      <c r="A42" s="55">
        <v>40</v>
      </c>
      <c r="B42" s="55" t="s">
        <v>56</v>
      </c>
      <c r="C42" s="85">
        <v>0.91890000000000005</v>
      </c>
      <c r="D42" s="91">
        <v>2395.5800000000004</v>
      </c>
      <c r="E42" s="91">
        <v>2546.2299999999996</v>
      </c>
      <c r="F42" s="98">
        <v>1239614</v>
      </c>
      <c r="G42" s="98">
        <v>230400</v>
      </c>
      <c r="H42" s="98">
        <v>397517</v>
      </c>
      <c r="I42" s="98">
        <v>180689</v>
      </c>
      <c r="J42" s="98">
        <v>0</v>
      </c>
      <c r="K42" s="98">
        <v>987770</v>
      </c>
      <c r="L42" s="88">
        <v>395674</v>
      </c>
      <c r="M42" s="32">
        <v>630096</v>
      </c>
      <c r="N42" s="32">
        <v>1030229</v>
      </c>
      <c r="O42" s="98">
        <v>739835</v>
      </c>
      <c r="P42" s="615">
        <f t="shared" si="1"/>
        <v>739835</v>
      </c>
      <c r="Q42" s="113">
        <v>0</v>
      </c>
      <c r="R42" s="32">
        <v>193194</v>
      </c>
      <c r="S42" s="32">
        <v>12349</v>
      </c>
      <c r="T42" s="105">
        <v>3070</v>
      </c>
      <c r="U42" s="139">
        <f t="shared" si="2"/>
        <v>177775</v>
      </c>
      <c r="V42" s="653">
        <v>206807</v>
      </c>
      <c r="W42" s="653">
        <v>72420</v>
      </c>
      <c r="X42" s="653">
        <v>0</v>
      </c>
      <c r="Y42" s="654">
        <f t="shared" si="0"/>
        <v>0</v>
      </c>
      <c r="Z42" s="653">
        <v>0</v>
      </c>
      <c r="AA42" s="653">
        <v>0</v>
      </c>
      <c r="AB42" s="1241">
        <v>0</v>
      </c>
      <c r="AC42" s="56"/>
      <c r="AD42" s="56"/>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row>
    <row r="43" spans="1:59" ht="12.75" x14ac:dyDescent="0.2">
      <c r="A43" s="56">
        <v>41</v>
      </c>
      <c r="B43" s="56" t="s">
        <v>57</v>
      </c>
      <c r="C43" s="86">
        <v>0.99370000000000003</v>
      </c>
      <c r="D43" s="90">
        <v>51991.869999999995</v>
      </c>
      <c r="E43" s="90">
        <v>56425.280000000006</v>
      </c>
      <c r="F43" s="34">
        <v>0</v>
      </c>
      <c r="G43" s="34">
        <v>2880465</v>
      </c>
      <c r="H43" s="34">
        <v>9355089</v>
      </c>
      <c r="I43" s="34">
        <v>4252313</v>
      </c>
      <c r="J43" s="34">
        <v>0</v>
      </c>
      <c r="K43" s="34">
        <v>0</v>
      </c>
      <c r="L43" s="33">
        <v>3655485</v>
      </c>
      <c r="M43" s="31">
        <v>12830983</v>
      </c>
      <c r="N43" s="31">
        <v>20684849</v>
      </c>
      <c r="O43" s="34">
        <v>43061809</v>
      </c>
      <c r="P43" s="614">
        <f t="shared" si="1"/>
        <v>43061809</v>
      </c>
      <c r="Q43" s="112">
        <v>0</v>
      </c>
      <c r="R43" s="31">
        <v>4321540</v>
      </c>
      <c r="S43" s="31">
        <v>147767</v>
      </c>
      <c r="T43" s="103">
        <v>62868</v>
      </c>
      <c r="U43" s="138">
        <f t="shared" si="2"/>
        <v>4110905</v>
      </c>
      <c r="V43" s="651">
        <v>2418056</v>
      </c>
      <c r="W43" s="651">
        <v>1458559</v>
      </c>
      <c r="X43" s="651">
        <v>0</v>
      </c>
      <c r="Y43" s="652">
        <f t="shared" si="0"/>
        <v>0</v>
      </c>
      <c r="Z43" s="651">
        <v>0</v>
      </c>
      <c r="AA43" s="651">
        <v>0</v>
      </c>
      <c r="AB43" s="1240">
        <v>0</v>
      </c>
      <c r="AC43" s="56"/>
      <c r="AD43" s="56"/>
    </row>
    <row r="44" spans="1:59" ht="12.75" x14ac:dyDescent="0.2">
      <c r="A44" s="56">
        <v>42</v>
      </c>
      <c r="B44" s="56" t="s">
        <v>58</v>
      </c>
      <c r="C44" s="86">
        <v>0.94720000000000004</v>
      </c>
      <c r="D44" s="90">
        <v>46414.25</v>
      </c>
      <c r="E44" s="90">
        <v>51663.799999999996</v>
      </c>
      <c r="F44" s="34">
        <v>0</v>
      </c>
      <c r="G44" s="34">
        <v>2528611</v>
      </c>
      <c r="H44" s="34">
        <v>8028487</v>
      </c>
      <c r="I44" s="34">
        <v>3649312</v>
      </c>
      <c r="J44" s="34">
        <v>0</v>
      </c>
      <c r="K44" s="34">
        <v>12120617</v>
      </c>
      <c r="L44" s="33">
        <v>3307303</v>
      </c>
      <c r="M44" s="31">
        <v>13382156</v>
      </c>
      <c r="N44" s="31">
        <v>16374274</v>
      </c>
      <c r="O44" s="34">
        <v>21351361</v>
      </c>
      <c r="P44" s="614">
        <f t="shared" si="1"/>
        <v>21351361</v>
      </c>
      <c r="Q44" s="112">
        <v>0</v>
      </c>
      <c r="R44" s="31">
        <v>4056767</v>
      </c>
      <c r="S44" s="31">
        <v>109242</v>
      </c>
      <c r="T44" s="103">
        <v>54751</v>
      </c>
      <c r="U44" s="138">
        <f t="shared" si="2"/>
        <v>3892774</v>
      </c>
      <c r="V44" s="651">
        <v>2169378</v>
      </c>
      <c r="W44" s="651">
        <v>2353274</v>
      </c>
      <c r="X44" s="651">
        <v>0</v>
      </c>
      <c r="Y44" s="652">
        <f t="shared" si="0"/>
        <v>0</v>
      </c>
      <c r="Z44" s="651">
        <v>0</v>
      </c>
      <c r="AA44" s="651">
        <v>0</v>
      </c>
      <c r="AB44" s="1240">
        <v>0</v>
      </c>
      <c r="AC44" s="56"/>
      <c r="AD44" s="56"/>
    </row>
    <row r="45" spans="1:59" ht="12.75" x14ac:dyDescent="0.2">
      <c r="A45" s="56">
        <v>43</v>
      </c>
      <c r="B45" s="56" t="s">
        <v>59</v>
      </c>
      <c r="C45" s="86">
        <v>1.0164</v>
      </c>
      <c r="D45" s="90">
        <v>18716.78</v>
      </c>
      <c r="E45" s="90">
        <v>21182.790000000005</v>
      </c>
      <c r="F45" s="34">
        <v>0</v>
      </c>
      <c r="G45" s="34">
        <v>1176908</v>
      </c>
      <c r="H45" s="34">
        <v>3626033</v>
      </c>
      <c r="I45" s="34">
        <v>1648197</v>
      </c>
      <c r="J45" s="34">
        <v>0</v>
      </c>
      <c r="K45" s="34">
        <v>0</v>
      </c>
      <c r="L45" s="33">
        <v>1370701</v>
      </c>
      <c r="M45" s="31">
        <v>4033164</v>
      </c>
      <c r="N45" s="31">
        <v>7124370</v>
      </c>
      <c r="O45" s="34">
        <v>22247326</v>
      </c>
      <c r="P45" s="614">
        <f t="shared" si="1"/>
        <v>22247326</v>
      </c>
      <c r="Q45" s="112">
        <v>0</v>
      </c>
      <c r="R45" s="31">
        <v>1588673</v>
      </c>
      <c r="S45" s="31">
        <v>172231</v>
      </c>
      <c r="T45" s="103">
        <v>22298</v>
      </c>
      <c r="U45" s="138">
        <f t="shared" si="2"/>
        <v>1394144</v>
      </c>
      <c r="V45" s="651">
        <v>934487</v>
      </c>
      <c r="W45" s="651">
        <v>87457</v>
      </c>
      <c r="X45" s="651">
        <v>0</v>
      </c>
      <c r="Y45" s="652">
        <f t="shared" si="0"/>
        <v>0</v>
      </c>
      <c r="Z45" s="651">
        <v>0</v>
      </c>
      <c r="AA45" s="651">
        <v>0</v>
      </c>
      <c r="AB45" s="1240">
        <v>0</v>
      </c>
      <c r="AC45" s="56"/>
      <c r="AD45" s="56"/>
    </row>
    <row r="46" spans="1:59" ht="12.75" x14ac:dyDescent="0.2">
      <c r="A46" s="56">
        <v>44</v>
      </c>
      <c r="B46" s="56" t="s">
        <v>60</v>
      </c>
      <c r="C46" s="86">
        <v>1.0516000000000001</v>
      </c>
      <c r="D46" s="90">
        <v>8661.5399999999991</v>
      </c>
      <c r="E46" s="90">
        <v>9487.91</v>
      </c>
      <c r="F46" s="34">
        <v>0</v>
      </c>
      <c r="G46" s="34">
        <v>607108</v>
      </c>
      <c r="H46" s="34">
        <v>1697294</v>
      </c>
      <c r="I46" s="34">
        <v>771497</v>
      </c>
      <c r="J46" s="34">
        <v>0</v>
      </c>
      <c r="K46" s="34">
        <v>0</v>
      </c>
      <c r="L46" s="33">
        <v>807647</v>
      </c>
      <c r="M46" s="31">
        <v>1873228</v>
      </c>
      <c r="N46" s="31">
        <v>3450986</v>
      </c>
      <c r="O46" s="34">
        <v>32006358</v>
      </c>
      <c r="P46" s="614">
        <f t="shared" si="1"/>
        <v>32006358</v>
      </c>
      <c r="Q46" s="112">
        <v>0</v>
      </c>
      <c r="R46" s="31">
        <v>685439</v>
      </c>
      <c r="S46" s="31">
        <v>27464</v>
      </c>
      <c r="T46" s="103">
        <v>12074</v>
      </c>
      <c r="U46" s="138">
        <f t="shared" si="2"/>
        <v>645901</v>
      </c>
      <c r="V46" s="651">
        <v>486174</v>
      </c>
      <c r="W46" s="651">
        <v>0</v>
      </c>
      <c r="X46" s="651">
        <v>732151</v>
      </c>
      <c r="Y46" s="652">
        <f t="shared" si="0"/>
        <v>1567.78</v>
      </c>
      <c r="Z46" s="651">
        <v>363</v>
      </c>
      <c r="AA46" s="651">
        <v>208</v>
      </c>
      <c r="AB46" s="1240">
        <v>36</v>
      </c>
      <c r="AC46" s="56"/>
      <c r="AD46" s="56"/>
    </row>
    <row r="47" spans="1:59" s="58" customFormat="1" ht="12.75" x14ac:dyDescent="0.2">
      <c r="A47" s="55">
        <v>45</v>
      </c>
      <c r="B47" s="55" t="s">
        <v>61</v>
      </c>
      <c r="C47" s="86">
        <v>0.98699999999999999</v>
      </c>
      <c r="D47" s="90">
        <v>13169.77</v>
      </c>
      <c r="E47" s="90">
        <v>14241.689999999999</v>
      </c>
      <c r="F47" s="34">
        <v>2982552</v>
      </c>
      <c r="G47" s="34">
        <v>808295</v>
      </c>
      <c r="H47" s="34">
        <v>2339151</v>
      </c>
      <c r="I47" s="34">
        <v>1063250</v>
      </c>
      <c r="J47" s="34">
        <v>0</v>
      </c>
      <c r="K47" s="34">
        <v>0</v>
      </c>
      <c r="L47" s="33">
        <v>993424</v>
      </c>
      <c r="M47" s="31">
        <v>2868066</v>
      </c>
      <c r="N47" s="31">
        <v>3864094</v>
      </c>
      <c r="O47" s="98">
        <v>10265424</v>
      </c>
      <c r="P47" s="615">
        <f t="shared" si="1"/>
        <v>10265424</v>
      </c>
      <c r="Q47" s="113">
        <v>0</v>
      </c>
      <c r="R47" s="32">
        <v>1149303</v>
      </c>
      <c r="S47" s="32">
        <v>53921</v>
      </c>
      <c r="T47" s="105">
        <v>15235</v>
      </c>
      <c r="U47" s="139">
        <f t="shared" si="2"/>
        <v>1080147</v>
      </c>
      <c r="V47" s="653">
        <v>687174</v>
      </c>
      <c r="W47" s="653">
        <v>182931</v>
      </c>
      <c r="X47" s="653">
        <v>0</v>
      </c>
      <c r="Y47" s="654">
        <f t="shared" si="0"/>
        <v>0</v>
      </c>
      <c r="Z47" s="653">
        <v>0</v>
      </c>
      <c r="AA47" s="653">
        <v>0</v>
      </c>
      <c r="AB47" s="1241">
        <v>0</v>
      </c>
      <c r="AC47" s="56"/>
      <c r="AD47" s="56"/>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row>
    <row r="48" spans="1:59" ht="12.75" x14ac:dyDescent="0.2">
      <c r="A48" s="56">
        <v>46</v>
      </c>
      <c r="B48" s="56" t="s">
        <v>62</v>
      </c>
      <c r="C48" s="92">
        <v>0.99</v>
      </c>
      <c r="D48" s="89">
        <v>33121.99</v>
      </c>
      <c r="E48" s="89">
        <v>36325.719999999994</v>
      </c>
      <c r="F48" s="99">
        <v>0</v>
      </c>
      <c r="G48" s="99">
        <v>1888735</v>
      </c>
      <c r="H48" s="99">
        <v>6052366</v>
      </c>
      <c r="I48" s="99">
        <v>2751075</v>
      </c>
      <c r="J48" s="99">
        <v>0</v>
      </c>
      <c r="K48" s="99">
        <v>4515190</v>
      </c>
      <c r="L48" s="87">
        <v>2200337</v>
      </c>
      <c r="M48" s="93">
        <v>8832457</v>
      </c>
      <c r="N48" s="93">
        <v>13834447</v>
      </c>
      <c r="O48" s="34">
        <v>19370904</v>
      </c>
      <c r="P48" s="614">
        <f t="shared" si="1"/>
        <v>19370904</v>
      </c>
      <c r="Q48" s="112">
        <v>0</v>
      </c>
      <c r="R48" s="31">
        <v>2694536</v>
      </c>
      <c r="S48" s="31">
        <v>110938</v>
      </c>
      <c r="T48" s="103">
        <v>41434</v>
      </c>
      <c r="U48" s="138">
        <f t="shared" si="2"/>
        <v>2542164</v>
      </c>
      <c r="V48" s="651">
        <v>1576743</v>
      </c>
      <c r="W48" s="651">
        <v>216633</v>
      </c>
      <c r="X48" s="651">
        <v>1514078</v>
      </c>
      <c r="Y48" s="652">
        <f t="shared" si="0"/>
        <v>195.13</v>
      </c>
      <c r="Z48" s="651">
        <v>5745</v>
      </c>
      <c r="AA48" s="651">
        <v>4029</v>
      </c>
      <c r="AB48" s="1240">
        <v>792</v>
      </c>
      <c r="AC48" s="56"/>
      <c r="AD48" s="56"/>
    </row>
    <row r="49" spans="1:59" ht="12.75" x14ac:dyDescent="0.2">
      <c r="A49" s="56">
        <v>47</v>
      </c>
      <c r="B49" s="56" t="s">
        <v>63</v>
      </c>
      <c r="C49" s="86">
        <v>0.96379999999999999</v>
      </c>
      <c r="D49" s="90">
        <v>6300.52</v>
      </c>
      <c r="E49" s="90">
        <v>6752.7400000000007</v>
      </c>
      <c r="F49" s="34">
        <v>624995</v>
      </c>
      <c r="G49" s="34">
        <v>436001</v>
      </c>
      <c r="H49" s="34">
        <v>1130259</v>
      </c>
      <c r="I49" s="34">
        <v>513754</v>
      </c>
      <c r="J49" s="34">
        <v>0</v>
      </c>
      <c r="K49" s="34">
        <v>1647397</v>
      </c>
      <c r="L49" s="33">
        <v>697069</v>
      </c>
      <c r="M49" s="31">
        <v>1940323</v>
      </c>
      <c r="N49" s="31">
        <v>2768342</v>
      </c>
      <c r="O49" s="34">
        <v>2896301</v>
      </c>
      <c r="P49" s="614">
        <f t="shared" si="1"/>
        <v>2896301</v>
      </c>
      <c r="Q49" s="112">
        <v>0</v>
      </c>
      <c r="R49" s="31">
        <v>500913</v>
      </c>
      <c r="S49" s="31">
        <v>25115</v>
      </c>
      <c r="T49" s="103">
        <v>9737</v>
      </c>
      <c r="U49" s="138">
        <f t="shared" si="2"/>
        <v>466061</v>
      </c>
      <c r="V49" s="651">
        <v>380908</v>
      </c>
      <c r="W49" s="651">
        <v>498738</v>
      </c>
      <c r="X49" s="651">
        <v>0</v>
      </c>
      <c r="Y49" s="652">
        <f t="shared" si="0"/>
        <v>0</v>
      </c>
      <c r="Z49" s="651">
        <v>0</v>
      </c>
      <c r="AA49" s="651">
        <v>0</v>
      </c>
      <c r="AB49" s="1240">
        <v>0</v>
      </c>
      <c r="AC49" s="56"/>
      <c r="AD49" s="56"/>
    </row>
    <row r="50" spans="1:59" ht="12.75" x14ac:dyDescent="0.2">
      <c r="A50" s="56">
        <v>48</v>
      </c>
      <c r="B50" s="56" t="s">
        <v>64</v>
      </c>
      <c r="C50" s="86">
        <v>1.0091000000000001</v>
      </c>
      <c r="D50" s="90">
        <v>213295.89000000004</v>
      </c>
      <c r="E50" s="90">
        <v>241205.85999999996</v>
      </c>
      <c r="F50" s="34">
        <v>0</v>
      </c>
      <c r="G50" s="34">
        <v>12119975</v>
      </c>
      <c r="H50" s="34">
        <v>40931292</v>
      </c>
      <c r="I50" s="34">
        <v>18605133</v>
      </c>
      <c r="J50" s="34">
        <v>0</v>
      </c>
      <c r="K50" s="34">
        <v>8373997</v>
      </c>
      <c r="L50" s="33">
        <v>15019830</v>
      </c>
      <c r="M50" s="31">
        <v>48790864</v>
      </c>
      <c r="N50" s="31">
        <v>58919027</v>
      </c>
      <c r="O50" s="34">
        <v>145446883</v>
      </c>
      <c r="P50" s="614">
        <f t="shared" si="1"/>
        <v>145446883</v>
      </c>
      <c r="Q50" s="112">
        <v>0</v>
      </c>
      <c r="R50" s="31">
        <v>17536042</v>
      </c>
      <c r="S50" s="31">
        <v>923637</v>
      </c>
      <c r="T50" s="103">
        <v>189066</v>
      </c>
      <c r="U50" s="138">
        <f t="shared" si="2"/>
        <v>16423339</v>
      </c>
      <c r="V50" s="651">
        <v>9609791</v>
      </c>
      <c r="W50" s="651">
        <v>1985501</v>
      </c>
      <c r="X50" s="651">
        <v>0</v>
      </c>
      <c r="Y50" s="652">
        <f t="shared" si="0"/>
        <v>0</v>
      </c>
      <c r="Z50" s="651">
        <v>0</v>
      </c>
      <c r="AA50" s="651">
        <v>0</v>
      </c>
      <c r="AB50" s="1240">
        <v>0</v>
      </c>
      <c r="AC50" s="56"/>
      <c r="AD50" s="56"/>
    </row>
    <row r="51" spans="1:59" ht="12.75" x14ac:dyDescent="0.2">
      <c r="A51" s="56">
        <v>49</v>
      </c>
      <c r="B51" s="56" t="s">
        <v>65</v>
      </c>
      <c r="C51" s="86">
        <v>0.98699999999999999</v>
      </c>
      <c r="D51" s="90">
        <v>76354.099999999991</v>
      </c>
      <c r="E51" s="90">
        <v>83424.409999999989</v>
      </c>
      <c r="F51" s="34">
        <v>0</v>
      </c>
      <c r="G51" s="34">
        <v>4176154</v>
      </c>
      <c r="H51" s="34">
        <v>14152773</v>
      </c>
      <c r="I51" s="34">
        <v>6433079</v>
      </c>
      <c r="J51" s="34">
        <v>0</v>
      </c>
      <c r="K51" s="34">
        <v>23278838</v>
      </c>
      <c r="L51" s="33">
        <v>4582654</v>
      </c>
      <c r="M51" s="31">
        <v>16263477</v>
      </c>
      <c r="N51" s="31">
        <v>23212959</v>
      </c>
      <c r="O51" s="34">
        <v>31784763</v>
      </c>
      <c r="P51" s="614">
        <f t="shared" si="1"/>
        <v>31784763</v>
      </c>
      <c r="Q51" s="112">
        <v>0</v>
      </c>
      <c r="R51" s="31">
        <v>6223432</v>
      </c>
      <c r="S51" s="31">
        <v>267845</v>
      </c>
      <c r="T51" s="103">
        <v>75153</v>
      </c>
      <c r="U51" s="138">
        <f t="shared" si="2"/>
        <v>5880434</v>
      </c>
      <c r="V51" s="651">
        <v>3504245</v>
      </c>
      <c r="W51" s="651">
        <v>4592943</v>
      </c>
      <c r="X51" s="651">
        <v>0</v>
      </c>
      <c r="Y51" s="652">
        <f t="shared" si="0"/>
        <v>0</v>
      </c>
      <c r="Z51" s="651">
        <v>0</v>
      </c>
      <c r="AA51" s="651">
        <v>0</v>
      </c>
      <c r="AB51" s="1240">
        <v>0</v>
      </c>
      <c r="AC51" s="56"/>
      <c r="AD51" s="56"/>
    </row>
    <row r="52" spans="1:59" s="58" customFormat="1" ht="12.75" x14ac:dyDescent="0.2">
      <c r="A52" s="55">
        <v>50</v>
      </c>
      <c r="B52" s="55" t="s">
        <v>66</v>
      </c>
      <c r="C52" s="85">
        <v>1.0438000000000001</v>
      </c>
      <c r="D52" s="91">
        <v>193340.75999999998</v>
      </c>
      <c r="E52" s="91">
        <v>216845.88</v>
      </c>
      <c r="F52" s="98">
        <v>0</v>
      </c>
      <c r="G52" s="98">
        <v>11278687</v>
      </c>
      <c r="H52" s="98">
        <v>38187031</v>
      </c>
      <c r="I52" s="98">
        <v>17357741</v>
      </c>
      <c r="J52" s="98">
        <v>0</v>
      </c>
      <c r="K52" s="98">
        <v>0</v>
      </c>
      <c r="L52" s="88">
        <v>13414654</v>
      </c>
      <c r="M52" s="32">
        <v>42465042</v>
      </c>
      <c r="N52" s="32">
        <v>69549090</v>
      </c>
      <c r="O52" s="98">
        <v>206284749</v>
      </c>
      <c r="P52" s="615">
        <f t="shared" si="1"/>
        <v>206284749</v>
      </c>
      <c r="Q52" s="113">
        <v>0</v>
      </c>
      <c r="R52" s="32">
        <v>15249543</v>
      </c>
      <c r="S52" s="32">
        <v>302981</v>
      </c>
      <c r="T52" s="105">
        <v>238141</v>
      </c>
      <c r="U52" s="139">
        <f t="shared" si="2"/>
        <v>14708421</v>
      </c>
      <c r="V52" s="653">
        <v>8720092</v>
      </c>
      <c r="W52" s="653">
        <v>0</v>
      </c>
      <c r="X52" s="653">
        <v>0</v>
      </c>
      <c r="Y52" s="654">
        <f t="shared" si="0"/>
        <v>0</v>
      </c>
      <c r="Z52" s="653">
        <v>99</v>
      </c>
      <c r="AA52" s="653">
        <v>37</v>
      </c>
      <c r="AB52" s="1241">
        <v>14</v>
      </c>
      <c r="AC52" s="56"/>
      <c r="AD52" s="56"/>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row>
    <row r="53" spans="1:59" ht="12.75" x14ac:dyDescent="0.2">
      <c r="A53" s="56">
        <v>51</v>
      </c>
      <c r="B53" s="56" t="s">
        <v>67</v>
      </c>
      <c r="C53" s="86">
        <v>0.98129999999999995</v>
      </c>
      <c r="D53" s="90">
        <v>85045.62</v>
      </c>
      <c r="E53" s="90">
        <v>93972.22</v>
      </c>
      <c r="F53" s="34">
        <v>0</v>
      </c>
      <c r="G53" s="34">
        <v>4663210</v>
      </c>
      <c r="H53" s="34">
        <v>15525316</v>
      </c>
      <c r="I53" s="34">
        <v>7056962</v>
      </c>
      <c r="J53" s="34">
        <v>0</v>
      </c>
      <c r="K53" s="34">
        <v>27840534</v>
      </c>
      <c r="L53" s="33">
        <v>5121702</v>
      </c>
      <c r="M53" s="31">
        <v>21867547</v>
      </c>
      <c r="N53" s="31">
        <v>33326486</v>
      </c>
      <c r="O53" s="34">
        <v>33490989</v>
      </c>
      <c r="P53" s="614">
        <f t="shared" si="1"/>
        <v>33490989</v>
      </c>
      <c r="Q53" s="112">
        <v>0</v>
      </c>
      <c r="R53" s="31">
        <v>7456417</v>
      </c>
      <c r="S53" s="31">
        <v>334829</v>
      </c>
      <c r="T53" s="103">
        <v>99193</v>
      </c>
      <c r="U53" s="138">
        <f t="shared" si="2"/>
        <v>7022395</v>
      </c>
      <c r="V53" s="651">
        <v>3891756</v>
      </c>
      <c r="W53" s="651">
        <v>1796984</v>
      </c>
      <c r="X53" s="651">
        <v>0</v>
      </c>
      <c r="Y53" s="652">
        <f t="shared" si="0"/>
        <v>0</v>
      </c>
      <c r="Z53" s="651">
        <v>0</v>
      </c>
      <c r="AA53" s="651">
        <v>0</v>
      </c>
      <c r="AB53" s="1240">
        <v>0</v>
      </c>
      <c r="AC53" s="56"/>
      <c r="AD53" s="56"/>
    </row>
    <row r="54" spans="1:59" ht="12.75" x14ac:dyDescent="0.2">
      <c r="A54" s="56">
        <v>52</v>
      </c>
      <c r="B54" s="56" t="s">
        <v>68</v>
      </c>
      <c r="C54" s="86">
        <v>1.0011000000000001</v>
      </c>
      <c r="D54" s="90">
        <v>95287.409999999989</v>
      </c>
      <c r="E54" s="90">
        <v>105634.43000000001</v>
      </c>
      <c r="F54" s="34">
        <v>0</v>
      </c>
      <c r="G54" s="34">
        <v>5330815</v>
      </c>
      <c r="H54" s="34">
        <v>17801512</v>
      </c>
      <c r="I54" s="34">
        <v>8091596</v>
      </c>
      <c r="J54" s="34">
        <v>0</v>
      </c>
      <c r="K54" s="34">
        <v>0</v>
      </c>
      <c r="L54" s="33">
        <v>7474555</v>
      </c>
      <c r="M54" s="31">
        <v>22276458</v>
      </c>
      <c r="N54" s="31">
        <v>42419460</v>
      </c>
      <c r="O54" s="34">
        <v>89847077</v>
      </c>
      <c r="P54" s="614">
        <f t="shared" si="1"/>
        <v>89847077</v>
      </c>
      <c r="Q54" s="112">
        <v>0</v>
      </c>
      <c r="R54" s="31">
        <v>7669635</v>
      </c>
      <c r="S54" s="31">
        <v>552702</v>
      </c>
      <c r="T54" s="103">
        <v>109498</v>
      </c>
      <c r="U54" s="138">
        <f t="shared" si="2"/>
        <v>7007435</v>
      </c>
      <c r="V54" s="651">
        <v>4348386</v>
      </c>
      <c r="W54" s="651">
        <v>0</v>
      </c>
      <c r="X54" s="651">
        <v>0</v>
      </c>
      <c r="Y54" s="652">
        <f t="shared" si="0"/>
        <v>0</v>
      </c>
      <c r="Z54" s="651">
        <v>72</v>
      </c>
      <c r="AA54" s="651">
        <v>0</v>
      </c>
      <c r="AB54" s="1240">
        <v>15</v>
      </c>
      <c r="AC54" s="56"/>
      <c r="AD54" s="56"/>
    </row>
    <row r="55" spans="1:59" ht="12.75" x14ac:dyDescent="0.2">
      <c r="A55" s="56">
        <v>53</v>
      </c>
      <c r="B55" s="56" t="s">
        <v>69</v>
      </c>
      <c r="C55" s="86">
        <v>0.97040000000000004</v>
      </c>
      <c r="D55" s="90">
        <v>117665.46</v>
      </c>
      <c r="E55" s="90">
        <v>127577.34999999999</v>
      </c>
      <c r="F55" s="34">
        <v>0</v>
      </c>
      <c r="G55" s="34">
        <v>6221095</v>
      </c>
      <c r="H55" s="34">
        <v>20456427</v>
      </c>
      <c r="I55" s="34">
        <v>9298376</v>
      </c>
      <c r="J55" s="34">
        <v>0</v>
      </c>
      <c r="K55" s="34">
        <v>41915967</v>
      </c>
      <c r="L55" s="33">
        <v>7103952</v>
      </c>
      <c r="M55" s="31">
        <v>29478507</v>
      </c>
      <c r="N55" s="31">
        <v>46002452</v>
      </c>
      <c r="O55" s="34">
        <v>42939374</v>
      </c>
      <c r="P55" s="614">
        <f t="shared" si="1"/>
        <v>42939374</v>
      </c>
      <c r="Q55" s="112">
        <v>0</v>
      </c>
      <c r="R55" s="31">
        <v>10621659</v>
      </c>
      <c r="S55" s="31">
        <v>618825</v>
      </c>
      <c r="T55" s="103">
        <v>134721</v>
      </c>
      <c r="U55" s="138">
        <f t="shared" si="2"/>
        <v>9868113</v>
      </c>
      <c r="V55" s="651">
        <v>5346111</v>
      </c>
      <c r="W55" s="651">
        <v>6897085</v>
      </c>
      <c r="X55" s="651">
        <v>0</v>
      </c>
      <c r="Y55" s="652">
        <f t="shared" si="0"/>
        <v>0</v>
      </c>
      <c r="Z55" s="651">
        <v>0</v>
      </c>
      <c r="AA55" s="651">
        <v>0</v>
      </c>
      <c r="AB55" s="1240">
        <v>0</v>
      </c>
      <c r="AC55" s="56"/>
      <c r="AD55" s="56"/>
    </row>
    <row r="56" spans="1:59" ht="12.75" x14ac:dyDescent="0.2">
      <c r="A56" s="56">
        <v>54</v>
      </c>
      <c r="B56" s="56" t="s">
        <v>70</v>
      </c>
      <c r="C56" s="86">
        <v>0.94550000000000001</v>
      </c>
      <c r="D56" s="90">
        <v>10335.16</v>
      </c>
      <c r="E56" s="90">
        <v>11066.289999999997</v>
      </c>
      <c r="F56" s="34">
        <v>3529695</v>
      </c>
      <c r="G56" s="34">
        <v>631063</v>
      </c>
      <c r="H56" s="34">
        <v>1769100</v>
      </c>
      <c r="I56" s="34">
        <v>804137</v>
      </c>
      <c r="J56" s="34">
        <v>0</v>
      </c>
      <c r="K56" s="34">
        <v>3013733</v>
      </c>
      <c r="L56" s="33">
        <v>908654</v>
      </c>
      <c r="M56" s="31">
        <v>2948474</v>
      </c>
      <c r="N56" s="31">
        <v>3368201</v>
      </c>
      <c r="O56" s="34">
        <v>4439585</v>
      </c>
      <c r="P56" s="614">
        <f t="shared" si="1"/>
        <v>4439585</v>
      </c>
      <c r="Q56" s="112">
        <v>0</v>
      </c>
      <c r="R56" s="31">
        <v>815366</v>
      </c>
      <c r="S56" s="31">
        <v>24267</v>
      </c>
      <c r="T56" s="103">
        <v>16432</v>
      </c>
      <c r="U56" s="138">
        <f t="shared" si="2"/>
        <v>774667</v>
      </c>
      <c r="V56" s="651">
        <v>560793</v>
      </c>
      <c r="W56" s="651">
        <v>609186</v>
      </c>
      <c r="X56" s="651">
        <v>0</v>
      </c>
      <c r="Y56" s="652">
        <f t="shared" si="0"/>
        <v>0</v>
      </c>
      <c r="Z56" s="651">
        <v>0</v>
      </c>
      <c r="AA56" s="651">
        <v>0</v>
      </c>
      <c r="AB56" s="1240">
        <v>0</v>
      </c>
      <c r="AC56" s="56"/>
      <c r="AD56" s="56"/>
    </row>
    <row r="57" spans="1:59" s="58" customFormat="1" ht="12.75" x14ac:dyDescent="0.2">
      <c r="A57" s="55">
        <v>55</v>
      </c>
      <c r="B57" s="55" t="s">
        <v>71</v>
      </c>
      <c r="C57" s="86">
        <v>1.0023</v>
      </c>
      <c r="D57" s="90">
        <v>50562.250000000007</v>
      </c>
      <c r="E57" s="90">
        <v>56289.690000000017</v>
      </c>
      <c r="F57" s="34">
        <v>0</v>
      </c>
      <c r="G57" s="34">
        <v>2897696</v>
      </c>
      <c r="H57" s="34">
        <v>9365732</v>
      </c>
      <c r="I57" s="34">
        <v>4257151</v>
      </c>
      <c r="J57" s="34">
        <v>0</v>
      </c>
      <c r="K57" s="34">
        <v>3676381</v>
      </c>
      <c r="L57" s="33">
        <v>2826399</v>
      </c>
      <c r="M57" s="31">
        <v>10117712</v>
      </c>
      <c r="N57" s="31">
        <v>16603862</v>
      </c>
      <c r="O57" s="98">
        <v>32787323</v>
      </c>
      <c r="P57" s="615">
        <f t="shared" si="1"/>
        <v>32787323</v>
      </c>
      <c r="Q57" s="113">
        <v>0</v>
      </c>
      <c r="R57" s="32">
        <v>4561565</v>
      </c>
      <c r="S57" s="32">
        <v>146731</v>
      </c>
      <c r="T57" s="105">
        <v>65061</v>
      </c>
      <c r="U57" s="139">
        <f t="shared" si="2"/>
        <v>4349773</v>
      </c>
      <c r="V57" s="653">
        <v>2354316</v>
      </c>
      <c r="W57" s="653">
        <v>903782</v>
      </c>
      <c r="X57" s="653">
        <v>0</v>
      </c>
      <c r="Y57" s="654">
        <f t="shared" si="0"/>
        <v>0</v>
      </c>
      <c r="Z57" s="653">
        <v>0</v>
      </c>
      <c r="AA57" s="653">
        <v>0</v>
      </c>
      <c r="AB57" s="1241">
        <v>0</v>
      </c>
      <c r="AC57" s="56"/>
      <c r="AD57" s="56"/>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row>
    <row r="58" spans="1:59" ht="12.75" x14ac:dyDescent="0.2">
      <c r="A58" s="56">
        <v>56</v>
      </c>
      <c r="B58" s="56" t="s">
        <v>72</v>
      </c>
      <c r="C58" s="92">
        <v>0.99350000000000005</v>
      </c>
      <c r="D58" s="89">
        <v>47185.73</v>
      </c>
      <c r="E58" s="89">
        <v>50854.76</v>
      </c>
      <c r="F58" s="99">
        <v>0</v>
      </c>
      <c r="G58" s="99">
        <v>2606946</v>
      </c>
      <c r="H58" s="99">
        <v>8348432</v>
      </c>
      <c r="I58" s="99">
        <v>3794742</v>
      </c>
      <c r="J58" s="99">
        <v>0</v>
      </c>
      <c r="K58" s="99">
        <v>7936640</v>
      </c>
      <c r="L58" s="87">
        <v>2947201</v>
      </c>
      <c r="M58" s="93">
        <v>11466497</v>
      </c>
      <c r="N58" s="93">
        <v>20311211</v>
      </c>
      <c r="O58" s="34">
        <v>26091809</v>
      </c>
      <c r="P58" s="614">
        <f t="shared" si="1"/>
        <v>26091809</v>
      </c>
      <c r="Q58" s="112">
        <v>0</v>
      </c>
      <c r="R58" s="31">
        <v>4361287</v>
      </c>
      <c r="S58" s="31">
        <v>224743</v>
      </c>
      <c r="T58" s="103">
        <v>48316</v>
      </c>
      <c r="U58" s="138">
        <f t="shared" si="2"/>
        <v>4088228</v>
      </c>
      <c r="V58" s="651">
        <v>2203774</v>
      </c>
      <c r="W58" s="651">
        <v>1982975</v>
      </c>
      <c r="X58" s="651">
        <v>0</v>
      </c>
      <c r="Y58" s="652">
        <f t="shared" si="0"/>
        <v>0</v>
      </c>
      <c r="Z58" s="651">
        <v>0</v>
      </c>
      <c r="AA58" s="651">
        <v>0</v>
      </c>
      <c r="AB58" s="1240">
        <v>0</v>
      </c>
      <c r="AC58" s="56"/>
      <c r="AD58" s="56"/>
    </row>
    <row r="59" spans="1:59" ht="12.75" x14ac:dyDescent="0.2">
      <c r="A59" s="56">
        <v>57</v>
      </c>
      <c r="B59" s="56" t="s">
        <v>73</v>
      </c>
      <c r="C59" s="86">
        <v>0.9627</v>
      </c>
      <c r="D59" s="90">
        <v>30773.940000000002</v>
      </c>
      <c r="E59" s="90">
        <v>33990.620000000003</v>
      </c>
      <c r="F59" s="34">
        <v>0</v>
      </c>
      <c r="G59" s="34">
        <v>1728947</v>
      </c>
      <c r="H59" s="34">
        <v>5531913</v>
      </c>
      <c r="I59" s="34">
        <v>2514506</v>
      </c>
      <c r="J59" s="34">
        <v>0</v>
      </c>
      <c r="K59" s="34">
        <v>10406823</v>
      </c>
      <c r="L59" s="33">
        <v>1798390</v>
      </c>
      <c r="M59" s="31">
        <v>8209097</v>
      </c>
      <c r="N59" s="31">
        <v>11237075</v>
      </c>
      <c r="O59" s="34">
        <v>11786158</v>
      </c>
      <c r="P59" s="614">
        <f t="shared" si="1"/>
        <v>11786158</v>
      </c>
      <c r="Q59" s="112">
        <v>0</v>
      </c>
      <c r="R59" s="31">
        <v>2539654</v>
      </c>
      <c r="S59" s="31">
        <v>136384</v>
      </c>
      <c r="T59" s="103">
        <v>34006</v>
      </c>
      <c r="U59" s="138">
        <f t="shared" si="2"/>
        <v>2369264</v>
      </c>
      <c r="V59" s="651">
        <v>1472055</v>
      </c>
      <c r="W59" s="651">
        <v>1294207</v>
      </c>
      <c r="X59" s="651">
        <v>871456</v>
      </c>
      <c r="Y59" s="652">
        <f t="shared" si="0"/>
        <v>403.92</v>
      </c>
      <c r="Z59" s="651">
        <v>1606</v>
      </c>
      <c r="AA59" s="651">
        <v>1103</v>
      </c>
      <c r="AB59" s="1240">
        <v>189</v>
      </c>
      <c r="AC59" s="56"/>
      <c r="AD59" s="56"/>
    </row>
    <row r="60" spans="1:59" ht="12.75" x14ac:dyDescent="0.2">
      <c r="A60" s="56">
        <v>58</v>
      </c>
      <c r="B60" s="56" t="s">
        <v>74</v>
      </c>
      <c r="C60" s="86">
        <v>1.0153000000000001</v>
      </c>
      <c r="D60" s="90">
        <v>46096.36</v>
      </c>
      <c r="E60" s="90">
        <v>51584.340000000004</v>
      </c>
      <c r="F60" s="34">
        <v>0</v>
      </c>
      <c r="G60" s="34">
        <v>2698161</v>
      </c>
      <c r="H60" s="34">
        <v>8718108</v>
      </c>
      <c r="I60" s="34">
        <v>3962776</v>
      </c>
      <c r="J60" s="34">
        <v>0</v>
      </c>
      <c r="K60" s="34">
        <v>0</v>
      </c>
      <c r="L60" s="33">
        <v>3328455</v>
      </c>
      <c r="M60" s="31">
        <v>9334858</v>
      </c>
      <c r="N60" s="31">
        <v>23325295</v>
      </c>
      <c r="O60" s="34">
        <v>68049473</v>
      </c>
      <c r="P60" s="614">
        <f t="shared" si="1"/>
        <v>68049473</v>
      </c>
      <c r="Q60" s="112">
        <v>0</v>
      </c>
      <c r="R60" s="31">
        <v>3917428</v>
      </c>
      <c r="S60" s="31">
        <v>187154</v>
      </c>
      <c r="T60" s="103">
        <v>54969</v>
      </c>
      <c r="U60" s="138">
        <f t="shared" si="2"/>
        <v>3675305</v>
      </c>
      <c r="V60" s="651">
        <v>2155205</v>
      </c>
      <c r="W60" s="651">
        <v>0</v>
      </c>
      <c r="X60" s="651">
        <v>0</v>
      </c>
      <c r="Y60" s="652">
        <f t="shared" si="0"/>
        <v>0</v>
      </c>
      <c r="Z60" s="651">
        <v>0</v>
      </c>
      <c r="AA60" s="651">
        <v>0</v>
      </c>
      <c r="AB60" s="1240">
        <v>0</v>
      </c>
      <c r="AC60" s="56"/>
      <c r="AD60" s="56"/>
    </row>
    <row r="61" spans="1:59" ht="12.75" x14ac:dyDescent="0.2">
      <c r="A61" s="56">
        <v>59</v>
      </c>
      <c r="B61" s="56" t="s">
        <v>75</v>
      </c>
      <c r="C61" s="86">
        <v>0.99509999999999998</v>
      </c>
      <c r="D61" s="90">
        <v>68022.720000000001</v>
      </c>
      <c r="E61" s="90">
        <v>74348.17</v>
      </c>
      <c r="F61" s="34">
        <v>0</v>
      </c>
      <c r="G61" s="34">
        <v>3764020</v>
      </c>
      <c r="H61" s="34">
        <v>12673712</v>
      </c>
      <c r="I61" s="34">
        <v>5760778</v>
      </c>
      <c r="J61" s="34">
        <v>0</v>
      </c>
      <c r="K61" s="34">
        <v>13243343</v>
      </c>
      <c r="L61" s="33">
        <v>4244512</v>
      </c>
      <c r="M61" s="31">
        <v>15850801</v>
      </c>
      <c r="N61" s="31">
        <v>20410905</v>
      </c>
      <c r="O61" s="34">
        <v>35811692</v>
      </c>
      <c r="P61" s="614">
        <f t="shared" si="1"/>
        <v>35811692</v>
      </c>
      <c r="Q61" s="112">
        <v>0</v>
      </c>
      <c r="R61" s="31">
        <v>5342120</v>
      </c>
      <c r="S61" s="31">
        <v>171817</v>
      </c>
      <c r="T61" s="103">
        <v>83069</v>
      </c>
      <c r="U61" s="138">
        <f t="shared" si="2"/>
        <v>5087234</v>
      </c>
      <c r="V61" s="651">
        <v>3132791</v>
      </c>
      <c r="W61" s="651">
        <v>5499997</v>
      </c>
      <c r="X61" s="651">
        <v>0</v>
      </c>
      <c r="Y61" s="652">
        <f t="shared" si="0"/>
        <v>0</v>
      </c>
      <c r="Z61" s="651">
        <v>0</v>
      </c>
      <c r="AA61" s="651">
        <v>0</v>
      </c>
      <c r="AB61" s="1240">
        <v>0</v>
      </c>
      <c r="AC61" s="56"/>
      <c r="AD61" s="56"/>
    </row>
    <row r="62" spans="1:59" s="58" customFormat="1" ht="12.75" x14ac:dyDescent="0.2">
      <c r="A62" s="55">
        <v>60</v>
      </c>
      <c r="B62" s="55" t="s">
        <v>76</v>
      </c>
      <c r="C62" s="85">
        <v>0.9708</v>
      </c>
      <c r="D62" s="91">
        <v>9364.6500000000015</v>
      </c>
      <c r="E62" s="91">
        <v>10309.65</v>
      </c>
      <c r="F62" s="98">
        <v>0</v>
      </c>
      <c r="G62" s="98">
        <v>608643</v>
      </c>
      <c r="H62" s="98">
        <v>1625720</v>
      </c>
      <c r="I62" s="98">
        <v>738964</v>
      </c>
      <c r="J62" s="98">
        <v>0</v>
      </c>
      <c r="K62" s="98">
        <v>0</v>
      </c>
      <c r="L62" s="88">
        <v>833004</v>
      </c>
      <c r="M62" s="32">
        <v>1894676</v>
      </c>
      <c r="N62" s="32">
        <v>4036078</v>
      </c>
      <c r="O62" s="98">
        <v>14238962</v>
      </c>
      <c r="P62" s="615">
        <f t="shared" si="1"/>
        <v>14238962</v>
      </c>
      <c r="Q62" s="113">
        <v>0</v>
      </c>
      <c r="R62" s="32">
        <v>853755</v>
      </c>
      <c r="S62" s="32">
        <v>40573</v>
      </c>
      <c r="T62" s="105">
        <v>12147</v>
      </c>
      <c r="U62" s="139">
        <f t="shared" si="2"/>
        <v>801035</v>
      </c>
      <c r="V62" s="653">
        <v>517523</v>
      </c>
      <c r="W62" s="653">
        <v>0</v>
      </c>
      <c r="X62" s="653">
        <v>0</v>
      </c>
      <c r="Y62" s="654">
        <f t="shared" si="0"/>
        <v>0</v>
      </c>
      <c r="Z62" s="653">
        <v>0</v>
      </c>
      <c r="AA62" s="653">
        <v>0</v>
      </c>
      <c r="AB62" s="1241">
        <v>0</v>
      </c>
      <c r="AC62" s="56"/>
      <c r="AD62" s="56"/>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row>
    <row r="63" spans="1:59" ht="12.75" x14ac:dyDescent="0.2">
      <c r="A63" s="56">
        <v>61</v>
      </c>
      <c r="B63" s="56" t="s">
        <v>77</v>
      </c>
      <c r="C63" s="86">
        <v>0.92510000000000003</v>
      </c>
      <c r="D63" s="90">
        <v>6063.0800000000008</v>
      </c>
      <c r="E63" s="90">
        <v>6424.7400000000007</v>
      </c>
      <c r="F63" s="34">
        <v>2434906</v>
      </c>
      <c r="G63" s="34">
        <v>408146</v>
      </c>
      <c r="H63" s="34">
        <v>1034488</v>
      </c>
      <c r="I63" s="34">
        <v>470222</v>
      </c>
      <c r="J63" s="34">
        <v>0</v>
      </c>
      <c r="K63" s="34">
        <v>2543038</v>
      </c>
      <c r="L63" s="33">
        <v>638056</v>
      </c>
      <c r="M63" s="31">
        <v>1233883</v>
      </c>
      <c r="N63" s="31">
        <v>1558638</v>
      </c>
      <c r="O63" s="34">
        <v>1829396</v>
      </c>
      <c r="P63" s="614">
        <f t="shared" si="1"/>
        <v>1829396</v>
      </c>
      <c r="Q63" s="112">
        <v>0</v>
      </c>
      <c r="R63" s="31">
        <v>488120</v>
      </c>
      <c r="S63" s="31">
        <v>29683</v>
      </c>
      <c r="T63" s="103">
        <v>7440</v>
      </c>
      <c r="U63" s="138">
        <f t="shared" si="2"/>
        <v>450997</v>
      </c>
      <c r="V63" s="651">
        <v>370322</v>
      </c>
      <c r="W63" s="651">
        <v>395744</v>
      </c>
      <c r="X63" s="651">
        <v>0</v>
      </c>
      <c r="Y63" s="652">
        <f t="shared" si="0"/>
        <v>0</v>
      </c>
      <c r="Z63" s="651">
        <v>0</v>
      </c>
      <c r="AA63" s="651">
        <v>0</v>
      </c>
      <c r="AB63" s="1240">
        <v>0</v>
      </c>
      <c r="AC63" s="56"/>
      <c r="AD63" s="56"/>
    </row>
    <row r="64" spans="1:59" ht="12.75" x14ac:dyDescent="0.2">
      <c r="A64" s="56">
        <v>62</v>
      </c>
      <c r="B64" s="56" t="s">
        <v>78</v>
      </c>
      <c r="C64" s="86">
        <v>0.92149999999999999</v>
      </c>
      <c r="D64" s="90">
        <v>2656.76</v>
      </c>
      <c r="E64" s="90">
        <v>3005.99</v>
      </c>
      <c r="F64" s="34">
        <v>1318690</v>
      </c>
      <c r="G64" s="34">
        <v>251622</v>
      </c>
      <c r="H64" s="34">
        <v>459534</v>
      </c>
      <c r="I64" s="34">
        <v>208879</v>
      </c>
      <c r="J64" s="34">
        <v>0</v>
      </c>
      <c r="K64" s="34">
        <v>508052</v>
      </c>
      <c r="L64" s="33">
        <v>461477</v>
      </c>
      <c r="M64" s="31">
        <v>571246</v>
      </c>
      <c r="N64" s="31">
        <v>1105083</v>
      </c>
      <c r="O64" s="34">
        <v>1407910</v>
      </c>
      <c r="P64" s="614">
        <f t="shared" si="1"/>
        <v>1407910</v>
      </c>
      <c r="Q64" s="112">
        <v>0</v>
      </c>
      <c r="R64" s="31">
        <v>221765</v>
      </c>
      <c r="S64" s="31">
        <v>17297</v>
      </c>
      <c r="T64" s="103">
        <v>4165</v>
      </c>
      <c r="U64" s="138">
        <f t="shared" si="2"/>
        <v>200303</v>
      </c>
      <c r="V64" s="651">
        <v>218452</v>
      </c>
      <c r="W64" s="651">
        <v>49643</v>
      </c>
      <c r="X64" s="651">
        <v>0</v>
      </c>
      <c r="Y64" s="652">
        <f t="shared" si="0"/>
        <v>0</v>
      </c>
      <c r="Z64" s="651">
        <v>0</v>
      </c>
      <c r="AA64" s="651">
        <v>0</v>
      </c>
      <c r="AB64" s="1240">
        <v>0</v>
      </c>
      <c r="AC64" s="56"/>
      <c r="AD64" s="56"/>
    </row>
    <row r="65" spans="1:59" ht="12.75" x14ac:dyDescent="0.2">
      <c r="A65" s="56">
        <v>63</v>
      </c>
      <c r="B65" s="56" t="s">
        <v>79</v>
      </c>
      <c r="C65" s="86">
        <v>0.9415</v>
      </c>
      <c r="D65" s="90">
        <v>2282.3099999999995</v>
      </c>
      <c r="E65" s="90">
        <v>2456.0299999999997</v>
      </c>
      <c r="F65" s="34">
        <v>1251403</v>
      </c>
      <c r="G65" s="34">
        <v>229049</v>
      </c>
      <c r="H65" s="34">
        <v>391443</v>
      </c>
      <c r="I65" s="34">
        <v>177929</v>
      </c>
      <c r="J65" s="34">
        <v>0</v>
      </c>
      <c r="K65" s="34">
        <v>1386686</v>
      </c>
      <c r="L65" s="33">
        <v>369611</v>
      </c>
      <c r="M65" s="31">
        <v>499735</v>
      </c>
      <c r="N65" s="31">
        <v>678382</v>
      </c>
      <c r="O65" s="34">
        <v>259220</v>
      </c>
      <c r="P65" s="614">
        <f t="shared" si="1"/>
        <v>259220</v>
      </c>
      <c r="Q65" s="112">
        <v>0</v>
      </c>
      <c r="R65" s="31">
        <v>174047</v>
      </c>
      <c r="S65" s="31">
        <v>4593</v>
      </c>
      <c r="T65" s="103">
        <v>3286</v>
      </c>
      <c r="U65" s="138">
        <f t="shared" si="2"/>
        <v>166168</v>
      </c>
      <c r="V65" s="651">
        <v>201757</v>
      </c>
      <c r="W65" s="651">
        <v>179142</v>
      </c>
      <c r="X65" s="651">
        <v>0</v>
      </c>
      <c r="Y65" s="652">
        <f t="shared" si="0"/>
        <v>0</v>
      </c>
      <c r="Z65" s="651">
        <v>0</v>
      </c>
      <c r="AA65" s="651">
        <v>0</v>
      </c>
      <c r="AB65" s="1240">
        <v>0</v>
      </c>
      <c r="AC65" s="56"/>
      <c r="AD65" s="56"/>
    </row>
    <row r="66" spans="1:59" ht="12.75" x14ac:dyDescent="0.2">
      <c r="A66" s="56">
        <v>64</v>
      </c>
      <c r="B66" s="56" t="s">
        <v>80</v>
      </c>
      <c r="C66" s="86">
        <v>0.96389999999999998</v>
      </c>
      <c r="D66" s="90">
        <v>64306.799999999996</v>
      </c>
      <c r="E66" s="90">
        <v>70402.990000000005</v>
      </c>
      <c r="F66" s="34">
        <v>0</v>
      </c>
      <c r="G66" s="34">
        <v>3462051</v>
      </c>
      <c r="H66" s="34">
        <v>11588710</v>
      </c>
      <c r="I66" s="34">
        <v>5267595</v>
      </c>
      <c r="J66" s="34">
        <v>0</v>
      </c>
      <c r="K66" s="34">
        <v>6160591</v>
      </c>
      <c r="L66" s="33">
        <v>4562412</v>
      </c>
      <c r="M66" s="31">
        <v>16774243</v>
      </c>
      <c r="N66" s="31">
        <v>24596154</v>
      </c>
      <c r="O66" s="34">
        <v>40214756</v>
      </c>
      <c r="P66" s="614">
        <f t="shared" si="1"/>
        <v>40214756</v>
      </c>
      <c r="Q66" s="112">
        <v>0</v>
      </c>
      <c r="R66" s="31">
        <v>5070588</v>
      </c>
      <c r="S66" s="31">
        <v>162958</v>
      </c>
      <c r="T66" s="103">
        <v>88318</v>
      </c>
      <c r="U66" s="138">
        <f t="shared" si="2"/>
        <v>4819312</v>
      </c>
      <c r="V66" s="651">
        <v>2967117</v>
      </c>
      <c r="W66" s="651">
        <v>4580639</v>
      </c>
      <c r="X66" s="651">
        <v>0</v>
      </c>
      <c r="Y66" s="652">
        <f t="shared" si="0"/>
        <v>0</v>
      </c>
      <c r="Z66" s="651">
        <v>0</v>
      </c>
      <c r="AA66" s="651">
        <v>0</v>
      </c>
      <c r="AB66" s="1240">
        <v>0</v>
      </c>
      <c r="AC66" s="56"/>
      <c r="AD66" s="56"/>
    </row>
    <row r="67" spans="1:59" s="58" customFormat="1" ht="12.75" x14ac:dyDescent="0.2">
      <c r="A67" s="55">
        <v>65</v>
      </c>
      <c r="B67" s="55" t="s">
        <v>81</v>
      </c>
      <c r="C67" s="86">
        <v>0.94699999999999995</v>
      </c>
      <c r="D67" s="90">
        <v>5187.2199999999993</v>
      </c>
      <c r="E67" s="90">
        <v>5605.5999999999995</v>
      </c>
      <c r="F67" s="34">
        <v>762129</v>
      </c>
      <c r="G67" s="34">
        <v>376825</v>
      </c>
      <c r="H67" s="34">
        <v>890338</v>
      </c>
      <c r="I67" s="34">
        <v>404699</v>
      </c>
      <c r="J67" s="34">
        <v>0</v>
      </c>
      <c r="K67" s="34">
        <v>2258879</v>
      </c>
      <c r="L67" s="33">
        <v>548761</v>
      </c>
      <c r="M67" s="31">
        <v>962721</v>
      </c>
      <c r="N67" s="31">
        <v>1928447</v>
      </c>
      <c r="O67" s="98">
        <v>1481921</v>
      </c>
      <c r="P67" s="615">
        <f t="shared" si="1"/>
        <v>1481921</v>
      </c>
      <c r="Q67" s="113">
        <v>0</v>
      </c>
      <c r="R67" s="32">
        <v>464434</v>
      </c>
      <c r="S67" s="32">
        <v>51159</v>
      </c>
      <c r="T67" s="105">
        <v>7679</v>
      </c>
      <c r="U67" s="139">
        <f t="shared" si="2"/>
        <v>405596</v>
      </c>
      <c r="V67" s="653">
        <v>331272</v>
      </c>
      <c r="W67" s="653">
        <v>138862</v>
      </c>
      <c r="X67" s="653">
        <v>0</v>
      </c>
      <c r="Y67" s="654">
        <f>IF(Z67=0,0,ROUND(X67/(Z67+AA67*0.5),2))</f>
        <v>0</v>
      </c>
      <c r="Z67" s="653">
        <v>0</v>
      </c>
      <c r="AA67" s="653">
        <v>0</v>
      </c>
      <c r="AB67" s="1241">
        <v>0</v>
      </c>
      <c r="AC67" s="56"/>
      <c r="AD67" s="56"/>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row>
    <row r="68" spans="1:59" ht="12.75" x14ac:dyDescent="0.2">
      <c r="A68" s="56">
        <v>66</v>
      </c>
      <c r="B68" s="56" t="s">
        <v>82</v>
      </c>
      <c r="C68" s="92">
        <v>0.98440000000000005</v>
      </c>
      <c r="D68" s="89">
        <v>11554.87</v>
      </c>
      <c r="E68" s="89">
        <v>12444.670000000002</v>
      </c>
      <c r="F68" s="99">
        <v>0</v>
      </c>
      <c r="G68" s="99">
        <v>719219</v>
      </c>
      <c r="H68" s="99">
        <v>2025878</v>
      </c>
      <c r="I68" s="99">
        <v>920854</v>
      </c>
      <c r="J68" s="99">
        <v>0</v>
      </c>
      <c r="K68" s="99">
        <v>0</v>
      </c>
      <c r="L68" s="87">
        <v>894364</v>
      </c>
      <c r="M68" s="93">
        <v>2351066</v>
      </c>
      <c r="N68" s="93">
        <v>4615008</v>
      </c>
      <c r="O68" s="34">
        <v>27620692</v>
      </c>
      <c r="P68" s="614">
        <f>O68</f>
        <v>27620692</v>
      </c>
      <c r="Q68" s="112">
        <v>0</v>
      </c>
      <c r="R68" s="31">
        <v>1122235</v>
      </c>
      <c r="S68" s="31">
        <v>130579</v>
      </c>
      <c r="T68" s="103">
        <v>13419</v>
      </c>
      <c r="U68" s="138">
        <f>R68-S68-T68</f>
        <v>978237</v>
      </c>
      <c r="V68" s="651">
        <v>615173</v>
      </c>
      <c r="W68" s="651">
        <v>0</v>
      </c>
      <c r="X68" s="651">
        <v>0</v>
      </c>
      <c r="Y68" s="652">
        <f>IF(Z68=0,0,ROUND(X68/(Z68+AA68*0.5),2))</f>
        <v>0</v>
      </c>
      <c r="Z68" s="651">
        <v>0</v>
      </c>
      <c r="AA68" s="651">
        <v>0</v>
      </c>
      <c r="AB68" s="1240">
        <v>0</v>
      </c>
      <c r="AC68" s="56"/>
      <c r="AD68" s="56"/>
    </row>
    <row r="69" spans="1:59" s="58" customFormat="1" ht="12.75" x14ac:dyDescent="0.2">
      <c r="A69" s="56">
        <v>67</v>
      </c>
      <c r="B69" s="56" t="s">
        <v>83</v>
      </c>
      <c r="C69" s="86">
        <v>0.93030000000000002</v>
      </c>
      <c r="D69" s="90">
        <v>3234.45</v>
      </c>
      <c r="E69" s="90">
        <v>3618.9100000000003</v>
      </c>
      <c r="F69" s="34">
        <v>2401756</v>
      </c>
      <c r="G69" s="34">
        <v>281050</v>
      </c>
      <c r="H69" s="34">
        <v>584871</v>
      </c>
      <c r="I69" s="34">
        <v>265850</v>
      </c>
      <c r="J69" s="34">
        <v>0</v>
      </c>
      <c r="K69" s="34">
        <v>1423449</v>
      </c>
      <c r="L69" s="33">
        <v>431406</v>
      </c>
      <c r="M69" s="31">
        <v>898489</v>
      </c>
      <c r="N69" s="31">
        <v>720461</v>
      </c>
      <c r="O69" s="34">
        <v>909099</v>
      </c>
      <c r="P69" s="614">
        <f>O69</f>
        <v>909099</v>
      </c>
      <c r="Q69" s="112">
        <v>0</v>
      </c>
      <c r="R69" s="31">
        <v>276716</v>
      </c>
      <c r="S69" s="31">
        <v>32065</v>
      </c>
      <c r="T69" s="103">
        <v>4927</v>
      </c>
      <c r="U69" s="138">
        <f>R69-S69-T69</f>
        <v>239724</v>
      </c>
      <c r="V69" s="651">
        <v>244208</v>
      </c>
      <c r="W69" s="651">
        <v>147752</v>
      </c>
      <c r="X69" s="651">
        <v>0</v>
      </c>
      <c r="Y69" s="652">
        <f>IF(Z69=0,0,ROUND(X69/(Z69+AA69*0.5),2))</f>
        <v>0</v>
      </c>
      <c r="Z69" s="651">
        <v>0</v>
      </c>
      <c r="AA69" s="651">
        <v>0</v>
      </c>
      <c r="AB69" s="1240">
        <v>0</v>
      </c>
      <c r="AC69" s="56"/>
      <c r="AD69" s="56"/>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row>
    <row r="70" spans="1:59" ht="12.75" x14ac:dyDescent="0.2">
      <c r="A70" s="56">
        <v>69</v>
      </c>
      <c r="B70" s="56" t="s">
        <v>85</v>
      </c>
      <c r="C70" s="86">
        <v>0.9718</v>
      </c>
      <c r="D70" s="90">
        <v>606.25</v>
      </c>
      <c r="E70" s="90">
        <v>630.2299999999999</v>
      </c>
      <c r="F70" s="34">
        <v>542692</v>
      </c>
      <c r="G70" s="34">
        <v>145207</v>
      </c>
      <c r="H70" s="34">
        <v>103591</v>
      </c>
      <c r="I70" s="34">
        <v>47087</v>
      </c>
      <c r="J70" s="34">
        <v>299845</v>
      </c>
      <c r="K70" s="34">
        <v>137358</v>
      </c>
      <c r="L70" s="33">
        <v>276927</v>
      </c>
      <c r="M70" s="31">
        <v>318049</v>
      </c>
      <c r="N70" s="31">
        <v>47670</v>
      </c>
      <c r="O70" s="34">
        <v>0</v>
      </c>
      <c r="P70" s="614"/>
      <c r="Q70" s="112">
        <v>0</v>
      </c>
      <c r="R70" s="31">
        <v>47909</v>
      </c>
      <c r="S70" s="31">
        <v>3506</v>
      </c>
      <c r="T70" s="103">
        <v>176</v>
      </c>
      <c r="U70" s="138">
        <f t="shared" ref="U70:U76" si="3">R70-S70-T70</f>
        <v>44227</v>
      </c>
      <c r="V70" s="651">
        <v>127030</v>
      </c>
      <c r="W70" s="651">
        <v>0</v>
      </c>
      <c r="X70" s="651">
        <v>0</v>
      </c>
      <c r="Y70" s="652"/>
      <c r="Z70" s="651">
        <v>0</v>
      </c>
      <c r="AA70" s="651">
        <v>0</v>
      </c>
      <c r="AB70" s="1240">
        <v>0</v>
      </c>
      <c r="AC70" s="56"/>
      <c r="AD70" s="56"/>
    </row>
    <row r="71" spans="1:59" ht="12.75" x14ac:dyDescent="0.2">
      <c r="A71" s="56">
        <v>70</v>
      </c>
      <c r="B71" s="55" t="s">
        <v>86</v>
      </c>
      <c r="C71" s="85">
        <v>1.0438000000000001</v>
      </c>
      <c r="D71" s="91">
        <v>1317.7299999999998</v>
      </c>
      <c r="E71" s="91">
        <v>1478.78</v>
      </c>
      <c r="F71" s="98">
        <v>657828</v>
      </c>
      <c r="G71" s="98">
        <v>191131</v>
      </c>
      <c r="H71" s="98">
        <v>233340</v>
      </c>
      <c r="I71" s="98">
        <v>106064</v>
      </c>
      <c r="J71" s="98">
        <v>1405952</v>
      </c>
      <c r="K71" s="98">
        <v>0</v>
      </c>
      <c r="L71" s="88">
        <v>308527</v>
      </c>
      <c r="M71" s="32">
        <v>335094</v>
      </c>
      <c r="N71" s="32">
        <v>109501</v>
      </c>
      <c r="O71" s="98">
        <v>0</v>
      </c>
      <c r="P71" s="615">
        <f t="shared" ref="P71:P76" si="4">O71</f>
        <v>0</v>
      </c>
      <c r="Q71" s="113">
        <v>0</v>
      </c>
      <c r="R71" s="32">
        <v>353539</v>
      </c>
      <c r="S71" s="32">
        <v>250540</v>
      </c>
      <c r="T71" s="105">
        <v>403</v>
      </c>
      <c r="U71" s="139">
        <f t="shared" si="3"/>
        <v>102596</v>
      </c>
      <c r="V71" s="653">
        <v>158751</v>
      </c>
      <c r="W71" s="653">
        <v>0</v>
      </c>
      <c r="X71" s="653">
        <v>0</v>
      </c>
      <c r="Y71" s="654">
        <f t="shared" ref="Y71:Y76" si="5">IF(Z71=0,0,ROUND(X71/(Z71+AA71*0.5),2))</f>
        <v>0</v>
      </c>
      <c r="Z71" s="653">
        <v>0</v>
      </c>
      <c r="AA71" s="653">
        <v>0</v>
      </c>
      <c r="AB71" s="1241">
        <v>0</v>
      </c>
      <c r="AC71" s="56"/>
      <c r="AD71" s="56"/>
    </row>
    <row r="72" spans="1:59" ht="12.75" x14ac:dyDescent="0.2">
      <c r="A72" s="56">
        <v>71</v>
      </c>
      <c r="B72" s="56" t="s">
        <v>128</v>
      </c>
      <c r="C72" s="86">
        <v>0.99350000000000005</v>
      </c>
      <c r="D72" s="90">
        <v>1455.74</v>
      </c>
      <c r="E72" s="90">
        <v>1538.7599999999998</v>
      </c>
      <c r="F72" s="34">
        <v>0</v>
      </c>
      <c r="G72" s="34">
        <v>190401</v>
      </c>
      <c r="H72" s="34">
        <v>256567</v>
      </c>
      <c r="I72" s="34">
        <v>116621</v>
      </c>
      <c r="J72" s="34">
        <v>804966</v>
      </c>
      <c r="K72" s="34">
        <v>244855</v>
      </c>
      <c r="L72" s="33">
        <v>314657</v>
      </c>
      <c r="M72" s="31">
        <v>421553</v>
      </c>
      <c r="N72" s="31">
        <v>223935</v>
      </c>
      <c r="O72" s="34">
        <v>0</v>
      </c>
      <c r="P72" s="614">
        <f t="shared" si="4"/>
        <v>0</v>
      </c>
      <c r="Q72" s="112">
        <v>0</v>
      </c>
      <c r="R72" s="31">
        <v>113000</v>
      </c>
      <c r="S72" s="31">
        <v>0</v>
      </c>
      <c r="T72" s="103">
        <v>1070</v>
      </c>
      <c r="U72" s="138">
        <f t="shared" si="3"/>
        <v>111930</v>
      </c>
      <c r="V72" s="651">
        <v>164904</v>
      </c>
      <c r="W72" s="651">
        <v>66926</v>
      </c>
      <c r="X72" s="651">
        <v>0</v>
      </c>
      <c r="Y72" s="652">
        <f t="shared" si="5"/>
        <v>0</v>
      </c>
      <c r="Z72" s="651">
        <v>0</v>
      </c>
      <c r="AA72" s="651">
        <v>0</v>
      </c>
      <c r="AB72" s="1240">
        <v>0</v>
      </c>
      <c r="AC72" s="56"/>
      <c r="AD72" s="56"/>
    </row>
    <row r="73" spans="1:59" ht="12.75" x14ac:dyDescent="0.2">
      <c r="A73" s="56">
        <v>72</v>
      </c>
      <c r="B73" s="56" t="s">
        <v>113</v>
      </c>
      <c r="C73" s="86">
        <v>1.0196000000000001</v>
      </c>
      <c r="D73" s="90">
        <v>699.62</v>
      </c>
      <c r="E73" s="90">
        <v>757.87</v>
      </c>
      <c r="F73" s="34">
        <v>0</v>
      </c>
      <c r="G73" s="34">
        <v>153112</v>
      </c>
      <c r="H73" s="34">
        <v>150068</v>
      </c>
      <c r="I73" s="34">
        <v>68213</v>
      </c>
      <c r="J73" s="34">
        <v>509155</v>
      </c>
      <c r="K73" s="34">
        <v>0</v>
      </c>
      <c r="L73" s="33">
        <v>281074</v>
      </c>
      <c r="M73" s="31">
        <v>142887</v>
      </c>
      <c r="N73" s="31">
        <v>145453</v>
      </c>
      <c r="O73" s="34">
        <v>0</v>
      </c>
      <c r="P73" s="614">
        <f t="shared" si="4"/>
        <v>0</v>
      </c>
      <c r="Q73" s="112">
        <v>0</v>
      </c>
      <c r="R73" s="31">
        <v>51865</v>
      </c>
      <c r="S73" s="31">
        <v>0</v>
      </c>
      <c r="T73" s="103">
        <v>580</v>
      </c>
      <c r="U73" s="138">
        <f t="shared" si="3"/>
        <v>51285</v>
      </c>
      <c r="V73" s="651">
        <v>131193</v>
      </c>
      <c r="W73" s="651">
        <v>0</v>
      </c>
      <c r="X73" s="651">
        <v>0</v>
      </c>
      <c r="Y73" s="652">
        <f t="shared" si="5"/>
        <v>0</v>
      </c>
      <c r="Z73" s="651">
        <v>0</v>
      </c>
      <c r="AA73" s="651">
        <v>0</v>
      </c>
      <c r="AB73" s="1240">
        <v>0</v>
      </c>
      <c r="AC73" s="56"/>
      <c r="AD73" s="56"/>
    </row>
    <row r="74" spans="1:59" ht="12.75" x14ac:dyDescent="0.2">
      <c r="A74" s="56">
        <v>73</v>
      </c>
      <c r="B74" s="56" t="s">
        <v>114</v>
      </c>
      <c r="C74" s="86">
        <v>0.9718</v>
      </c>
      <c r="D74" s="90">
        <v>1854.7099999999998</v>
      </c>
      <c r="E74" s="90">
        <v>1961.1</v>
      </c>
      <c r="F74" s="34">
        <v>1185896</v>
      </c>
      <c r="G74" s="34">
        <v>208997</v>
      </c>
      <c r="H74" s="34">
        <v>309517</v>
      </c>
      <c r="I74" s="34">
        <v>140690</v>
      </c>
      <c r="J74" s="34">
        <v>917321</v>
      </c>
      <c r="K74" s="34">
        <v>420222</v>
      </c>
      <c r="L74" s="33">
        <v>332350</v>
      </c>
      <c r="M74" s="31">
        <v>317297</v>
      </c>
      <c r="N74" s="31">
        <v>343701</v>
      </c>
      <c r="O74" s="34">
        <v>0</v>
      </c>
      <c r="P74" s="614">
        <f t="shared" si="4"/>
        <v>0</v>
      </c>
      <c r="Q74" s="112">
        <v>0</v>
      </c>
      <c r="R74" s="31">
        <v>170440</v>
      </c>
      <c r="S74" s="31">
        <v>22228</v>
      </c>
      <c r="T74" s="103">
        <v>865</v>
      </c>
      <c r="U74" s="138">
        <f t="shared" si="3"/>
        <v>147347</v>
      </c>
      <c r="V74" s="651">
        <v>182692</v>
      </c>
      <c r="W74" s="651">
        <v>0</v>
      </c>
      <c r="X74" s="651">
        <v>0</v>
      </c>
      <c r="Y74" s="652">
        <f t="shared" si="5"/>
        <v>0</v>
      </c>
      <c r="Z74" s="651">
        <v>0</v>
      </c>
      <c r="AA74" s="651">
        <v>0</v>
      </c>
      <c r="AB74" s="1240">
        <v>0</v>
      </c>
      <c r="AC74" s="56"/>
      <c r="AD74" s="56"/>
    </row>
    <row r="75" spans="1:59" ht="12.75" x14ac:dyDescent="0.2">
      <c r="A75" s="56">
        <v>74</v>
      </c>
      <c r="B75" s="56" t="s">
        <v>87</v>
      </c>
      <c r="C75" s="86">
        <v>0.97960000000000003</v>
      </c>
      <c r="D75" s="90">
        <v>1254.95</v>
      </c>
      <c r="E75" s="90">
        <v>1301.58</v>
      </c>
      <c r="F75" s="34">
        <v>1005083</v>
      </c>
      <c r="G75" s="34">
        <v>177887</v>
      </c>
      <c r="H75" s="34">
        <v>212410</v>
      </c>
      <c r="I75" s="34">
        <v>96550</v>
      </c>
      <c r="J75" s="34">
        <v>682730</v>
      </c>
      <c r="K75" s="34">
        <v>222289</v>
      </c>
      <c r="L75" s="33">
        <v>305605</v>
      </c>
      <c r="M75" s="31">
        <v>318569</v>
      </c>
      <c r="N75" s="31">
        <v>373295</v>
      </c>
      <c r="O75" s="34">
        <v>0</v>
      </c>
      <c r="P75" s="614">
        <f t="shared" si="4"/>
        <v>0</v>
      </c>
      <c r="Q75" s="112">
        <v>0</v>
      </c>
      <c r="R75" s="31">
        <v>108876</v>
      </c>
      <c r="S75" s="31">
        <v>11923</v>
      </c>
      <c r="T75" s="103">
        <v>766</v>
      </c>
      <c r="U75" s="138">
        <f t="shared" si="3"/>
        <v>96187</v>
      </c>
      <c r="V75" s="651">
        <v>155952</v>
      </c>
      <c r="W75" s="651">
        <v>0</v>
      </c>
      <c r="X75" s="651">
        <v>0</v>
      </c>
      <c r="Y75" s="652">
        <f t="shared" si="5"/>
        <v>0</v>
      </c>
      <c r="Z75" s="651">
        <v>0</v>
      </c>
      <c r="AA75" s="651">
        <v>0</v>
      </c>
      <c r="AB75" s="1240">
        <v>0</v>
      </c>
      <c r="AC75" s="56"/>
      <c r="AD75" s="56"/>
    </row>
    <row r="76" spans="1:59" s="58" customFormat="1" ht="12.75" x14ac:dyDescent="0.2">
      <c r="A76" s="55">
        <v>75</v>
      </c>
      <c r="B76" s="55" t="s">
        <v>108</v>
      </c>
      <c r="C76" s="85">
        <v>1</v>
      </c>
      <c r="D76" s="91">
        <v>47645.280000000006</v>
      </c>
      <c r="E76" s="91">
        <v>48608.549999999996</v>
      </c>
      <c r="F76" s="98">
        <v>0</v>
      </c>
      <c r="G76" s="98">
        <v>2512463</v>
      </c>
      <c r="H76" s="98">
        <v>8807608</v>
      </c>
      <c r="I76" s="98">
        <v>4003458</v>
      </c>
      <c r="J76" s="98">
        <v>33745246</v>
      </c>
      <c r="K76" s="98">
        <v>614624</v>
      </c>
      <c r="L76" s="88">
        <v>0</v>
      </c>
      <c r="M76" s="32">
        <v>0</v>
      </c>
      <c r="N76" s="32">
        <v>1976724</v>
      </c>
      <c r="O76" s="98">
        <v>0</v>
      </c>
      <c r="P76" s="615">
        <f t="shared" si="4"/>
        <v>0</v>
      </c>
      <c r="Q76" s="113">
        <v>0</v>
      </c>
      <c r="R76" s="32">
        <v>3841270</v>
      </c>
      <c r="S76" s="32">
        <v>28225</v>
      </c>
      <c r="T76" s="105">
        <v>5230</v>
      </c>
      <c r="U76" s="139">
        <f t="shared" si="3"/>
        <v>3807815</v>
      </c>
      <c r="V76" s="653">
        <v>2224263</v>
      </c>
      <c r="W76" s="653">
        <v>0</v>
      </c>
      <c r="X76" s="653">
        <v>0</v>
      </c>
      <c r="Y76" s="654">
        <f t="shared" si="5"/>
        <v>0</v>
      </c>
      <c r="Z76" s="653">
        <v>0</v>
      </c>
      <c r="AA76" s="653">
        <v>0</v>
      </c>
      <c r="AB76" s="1241">
        <v>0</v>
      </c>
      <c r="AC76" s="56"/>
      <c r="AD76" s="56"/>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row>
    <row r="77" spans="1:59" s="63" customFormat="1" ht="22.5" customHeight="1" x14ac:dyDescent="0.2">
      <c r="A77" s="60"/>
      <c r="B77" s="60" t="s">
        <v>16</v>
      </c>
      <c r="C77" s="61"/>
      <c r="D77" s="62">
        <f t="shared" ref="D77:I77" si="6">SUM(D3:D76)</f>
        <v>2974096.5000000014</v>
      </c>
      <c r="E77" s="62">
        <f t="shared" si="6"/>
        <v>3273681.0000000005</v>
      </c>
      <c r="F77" s="1242">
        <f t="shared" si="6"/>
        <v>62257560</v>
      </c>
      <c r="G77" s="1242">
        <f t="shared" si="6"/>
        <v>170000000</v>
      </c>
      <c r="H77" s="1242">
        <f t="shared" si="6"/>
        <v>550000000</v>
      </c>
      <c r="I77" s="1242">
        <f t="shared" si="6"/>
        <v>250000000</v>
      </c>
      <c r="J77" s="1242">
        <f t="shared" ref="J77:W77" si="7">SUM(J3:J76)</f>
        <v>38365215</v>
      </c>
      <c r="K77" s="1242">
        <f t="shared" si="7"/>
        <v>355989044</v>
      </c>
      <c r="L77" s="1242">
        <f t="shared" si="7"/>
        <v>210000000</v>
      </c>
      <c r="M77" s="1242">
        <f t="shared" si="7"/>
        <v>719314907</v>
      </c>
      <c r="N77" s="1242">
        <f t="shared" si="7"/>
        <v>1094851200</v>
      </c>
      <c r="O77" s="1242">
        <f t="shared" si="7"/>
        <v>2106443151</v>
      </c>
      <c r="P77" s="1243">
        <f t="shared" si="7"/>
        <v>2106443151</v>
      </c>
      <c r="Q77" s="1244">
        <v>0</v>
      </c>
      <c r="R77" s="1242">
        <f t="shared" si="7"/>
        <v>246978361</v>
      </c>
      <c r="S77" s="1245">
        <f t="shared" si="7"/>
        <v>11056278</v>
      </c>
      <c r="T77" s="1242">
        <f t="shared" si="7"/>
        <v>3334158</v>
      </c>
      <c r="U77" s="1246">
        <f t="shared" si="7"/>
        <v>232587925</v>
      </c>
      <c r="V77" s="1242">
        <f t="shared" si="7"/>
        <v>140000000</v>
      </c>
      <c r="W77" s="1242">
        <f t="shared" si="7"/>
        <v>66156089</v>
      </c>
      <c r="X77" s="1242">
        <f>SUM(X3:X76)</f>
        <v>8710141</v>
      </c>
      <c r="Y77" s="1246"/>
      <c r="Z77" s="1242">
        <f>SUM(Z3:Z76)</f>
        <v>21555</v>
      </c>
      <c r="AA77" s="1242">
        <f>SUM(AA3:AA76)</f>
        <v>15399</v>
      </c>
      <c r="AB77" s="1242">
        <f>SUM(AB3:AB76)</f>
        <v>3033</v>
      </c>
      <c r="AC77" s="60"/>
      <c r="AD77" s="56"/>
      <c r="AE77" s="50"/>
      <c r="AF77" s="50"/>
      <c r="AG77" s="50"/>
    </row>
    <row r="78" spans="1:59" x14ac:dyDescent="0.2">
      <c r="A78" s="64"/>
      <c r="B78" s="64"/>
      <c r="C78" s="65"/>
      <c r="D78" s="66"/>
      <c r="E78" s="66"/>
      <c r="F78" s="67"/>
      <c r="G78" s="67"/>
      <c r="H78" s="109"/>
      <c r="I78" s="109"/>
      <c r="J78" s="67"/>
      <c r="K78" s="67"/>
      <c r="L78" s="67"/>
      <c r="M78" s="68"/>
      <c r="N78" s="69"/>
      <c r="O78" s="142"/>
      <c r="P78" s="807"/>
      <c r="Q78" s="109"/>
      <c r="R78" s="67"/>
      <c r="S78" s="67"/>
      <c r="T78" s="67"/>
      <c r="U78" s="97"/>
      <c r="V78" s="109"/>
      <c r="W78" s="109"/>
      <c r="X78" s="109"/>
      <c r="Y78" s="97"/>
      <c r="Z78" s="109"/>
      <c r="AA78" s="109"/>
      <c r="AB78" s="109"/>
      <c r="AC78" s="56"/>
      <c r="AD78" s="56"/>
    </row>
    <row r="79" spans="1:59" x14ac:dyDescent="0.2">
      <c r="A79" s="56"/>
      <c r="B79" s="56"/>
      <c r="C79" s="61"/>
      <c r="D79" s="62"/>
      <c r="E79" s="62"/>
      <c r="F79" s="57"/>
      <c r="G79" s="57"/>
      <c r="J79" s="57"/>
      <c r="K79" s="57"/>
      <c r="L79" s="57"/>
      <c r="M79" s="70"/>
      <c r="N79" s="69"/>
      <c r="AC79" s="56"/>
      <c r="AD79" s="56"/>
    </row>
    <row r="80" spans="1:59" x14ac:dyDescent="0.2">
      <c r="A80" s="56"/>
      <c r="B80" s="56"/>
      <c r="C80" s="61"/>
      <c r="D80" s="62"/>
      <c r="E80" s="62"/>
      <c r="F80" s="57"/>
      <c r="G80" s="57"/>
      <c r="J80" s="57"/>
      <c r="K80" s="57"/>
      <c r="L80" s="57"/>
      <c r="M80" s="53"/>
      <c r="N80" s="71"/>
      <c r="AC80" s="56"/>
      <c r="AD80" s="56"/>
    </row>
    <row r="81" spans="13:33" x14ac:dyDescent="0.2">
      <c r="M81" s="53"/>
      <c r="N81" s="71"/>
      <c r="AD81" s="56"/>
    </row>
    <row r="82" spans="13:33" x14ac:dyDescent="0.2">
      <c r="M82" s="53"/>
      <c r="N82" s="71"/>
    </row>
    <row r="83" spans="13:33" x14ac:dyDescent="0.2">
      <c r="M83" s="53"/>
      <c r="N83" s="71"/>
      <c r="AD83" s="60"/>
      <c r="AE83" s="63"/>
      <c r="AF83" s="63"/>
      <c r="AG83" s="63"/>
    </row>
    <row r="84" spans="13:33" x14ac:dyDescent="0.2">
      <c r="AD84" s="56"/>
    </row>
    <row r="85" spans="13:33" x14ac:dyDescent="0.2">
      <c r="AD85" s="56"/>
    </row>
    <row r="86" spans="13:33" x14ac:dyDescent="0.2">
      <c r="AD86" s="56"/>
    </row>
    <row r="87" spans="13:33" x14ac:dyDescent="0.2">
      <c r="AD87" s="56"/>
    </row>
  </sheetData>
  <mergeCells count="4">
    <mergeCell ref="A1:AG1"/>
    <mergeCell ref="AD3:AD5"/>
    <mergeCell ref="AI3:AI5"/>
    <mergeCell ref="AN3:AN6"/>
  </mergeCells>
  <printOptions horizontalCentered="1"/>
  <pageMargins left="0" right="0" top="0.9" bottom="0" header="0.4" footer="0"/>
  <pageSetup scale="62" orientation="portrait" r:id="rId1"/>
  <headerFooter alignWithMargins="0">
    <oddHeader xml:space="preserve">&amp;L&amp;"Arial,Bold"&amp;F
&amp;A
&amp;D &amp;T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9"/>
  <sheetViews>
    <sheetView workbookViewId="0">
      <pane xSplit="2" ySplit="5" topLeftCell="C6" activePane="bottomRight" state="frozen"/>
      <selection sqref="A1:IV65536"/>
      <selection pane="topRight" sqref="A1:IV65536"/>
      <selection pane="bottomLeft" sqref="A1:IV65536"/>
      <selection pane="bottomRight" sqref="A1:XFD1048576"/>
    </sheetView>
  </sheetViews>
  <sheetFormatPr defaultRowHeight="12.75" x14ac:dyDescent="0.2"/>
  <cols>
    <col min="1" max="1" width="3" bestFit="1" customWidth="1"/>
    <col min="2" max="2" width="17.5703125" bestFit="1" customWidth="1"/>
    <col min="3" max="3" width="9.5703125" bestFit="1" customWidth="1"/>
    <col min="4" max="12" width="8.7109375" bestFit="1" customWidth="1"/>
    <col min="13" max="13" width="1.7109375" customWidth="1"/>
    <col min="257" max="257" width="3" bestFit="1" customWidth="1"/>
    <col min="258" max="258" width="17.5703125" bestFit="1" customWidth="1"/>
    <col min="259" max="259" width="9.5703125" bestFit="1" customWidth="1"/>
    <col min="260" max="268" width="8.7109375" bestFit="1" customWidth="1"/>
    <col min="269" max="269" width="1.7109375" customWidth="1"/>
    <col min="513" max="513" width="3" bestFit="1" customWidth="1"/>
    <col min="514" max="514" width="17.5703125" bestFit="1" customWidth="1"/>
    <col min="515" max="515" width="9.5703125" bestFit="1" customWidth="1"/>
    <col min="516" max="524" width="8.7109375" bestFit="1" customWidth="1"/>
    <col min="525" max="525" width="1.7109375" customWidth="1"/>
    <col min="769" max="769" width="3" bestFit="1" customWidth="1"/>
    <col min="770" max="770" width="17.5703125" bestFit="1" customWidth="1"/>
    <col min="771" max="771" width="9.5703125" bestFit="1" customWidth="1"/>
    <col min="772" max="780" width="8.7109375" bestFit="1" customWidth="1"/>
    <col min="781" max="781" width="1.7109375" customWidth="1"/>
    <col min="1025" max="1025" width="3" bestFit="1" customWidth="1"/>
    <col min="1026" max="1026" width="17.5703125" bestFit="1" customWidth="1"/>
    <col min="1027" max="1027" width="9.5703125" bestFit="1" customWidth="1"/>
    <col min="1028" max="1036" width="8.7109375" bestFit="1" customWidth="1"/>
    <col min="1037" max="1037" width="1.7109375" customWidth="1"/>
    <col min="1281" max="1281" width="3" bestFit="1" customWidth="1"/>
    <col min="1282" max="1282" width="17.5703125" bestFit="1" customWidth="1"/>
    <col min="1283" max="1283" width="9.5703125" bestFit="1" customWidth="1"/>
    <col min="1284" max="1292" width="8.7109375" bestFit="1" customWidth="1"/>
    <col min="1293" max="1293" width="1.7109375" customWidth="1"/>
    <col min="1537" max="1537" width="3" bestFit="1" customWidth="1"/>
    <col min="1538" max="1538" width="17.5703125" bestFit="1" customWidth="1"/>
    <col min="1539" max="1539" width="9.5703125" bestFit="1" customWidth="1"/>
    <col min="1540" max="1548" width="8.7109375" bestFit="1" customWidth="1"/>
    <col min="1549" max="1549" width="1.7109375" customWidth="1"/>
    <col min="1793" max="1793" width="3" bestFit="1" customWidth="1"/>
    <col min="1794" max="1794" width="17.5703125" bestFit="1" customWidth="1"/>
    <col min="1795" max="1795" width="9.5703125" bestFit="1" customWidth="1"/>
    <col min="1796" max="1804" width="8.7109375" bestFit="1" customWidth="1"/>
    <col min="1805" max="1805" width="1.7109375" customWidth="1"/>
    <col min="2049" max="2049" width="3" bestFit="1" customWidth="1"/>
    <col min="2050" max="2050" width="17.5703125" bestFit="1" customWidth="1"/>
    <col min="2051" max="2051" width="9.5703125" bestFit="1" customWidth="1"/>
    <col min="2052" max="2060" width="8.7109375" bestFit="1" customWidth="1"/>
    <col min="2061" max="2061" width="1.7109375" customWidth="1"/>
    <col min="2305" max="2305" width="3" bestFit="1" customWidth="1"/>
    <col min="2306" max="2306" width="17.5703125" bestFit="1" customWidth="1"/>
    <col min="2307" max="2307" width="9.5703125" bestFit="1" customWidth="1"/>
    <col min="2308" max="2316" width="8.7109375" bestFit="1" customWidth="1"/>
    <col min="2317" max="2317" width="1.7109375" customWidth="1"/>
    <col min="2561" max="2561" width="3" bestFit="1" customWidth="1"/>
    <col min="2562" max="2562" width="17.5703125" bestFit="1" customWidth="1"/>
    <col min="2563" max="2563" width="9.5703125" bestFit="1" customWidth="1"/>
    <col min="2564" max="2572" width="8.7109375" bestFit="1" customWidth="1"/>
    <col min="2573" max="2573" width="1.7109375" customWidth="1"/>
    <col min="2817" max="2817" width="3" bestFit="1" customWidth="1"/>
    <col min="2818" max="2818" width="17.5703125" bestFit="1" customWidth="1"/>
    <col min="2819" max="2819" width="9.5703125" bestFit="1" customWidth="1"/>
    <col min="2820" max="2828" width="8.7109375" bestFit="1" customWidth="1"/>
    <col min="2829" max="2829" width="1.7109375" customWidth="1"/>
    <col min="3073" max="3073" width="3" bestFit="1" customWidth="1"/>
    <col min="3074" max="3074" width="17.5703125" bestFit="1" customWidth="1"/>
    <col min="3075" max="3075" width="9.5703125" bestFit="1" customWidth="1"/>
    <col min="3076" max="3084" width="8.7109375" bestFit="1" customWidth="1"/>
    <col min="3085" max="3085" width="1.7109375" customWidth="1"/>
    <col min="3329" max="3329" width="3" bestFit="1" customWidth="1"/>
    <col min="3330" max="3330" width="17.5703125" bestFit="1" customWidth="1"/>
    <col min="3331" max="3331" width="9.5703125" bestFit="1" customWidth="1"/>
    <col min="3332" max="3340" width="8.7109375" bestFit="1" customWidth="1"/>
    <col min="3341" max="3341" width="1.7109375" customWidth="1"/>
    <col min="3585" max="3585" width="3" bestFit="1" customWidth="1"/>
    <col min="3586" max="3586" width="17.5703125" bestFit="1" customWidth="1"/>
    <col min="3587" max="3587" width="9.5703125" bestFit="1" customWidth="1"/>
    <col min="3588" max="3596" width="8.7109375" bestFit="1" customWidth="1"/>
    <col min="3597" max="3597" width="1.7109375" customWidth="1"/>
    <col min="3841" max="3841" width="3" bestFit="1" customWidth="1"/>
    <col min="3842" max="3842" width="17.5703125" bestFit="1" customWidth="1"/>
    <col min="3843" max="3843" width="9.5703125" bestFit="1" customWidth="1"/>
    <col min="3844" max="3852" width="8.7109375" bestFit="1" customWidth="1"/>
    <col min="3853" max="3853" width="1.7109375" customWidth="1"/>
    <col min="4097" max="4097" width="3" bestFit="1" customWidth="1"/>
    <col min="4098" max="4098" width="17.5703125" bestFit="1" customWidth="1"/>
    <col min="4099" max="4099" width="9.5703125" bestFit="1" customWidth="1"/>
    <col min="4100" max="4108" width="8.7109375" bestFit="1" customWidth="1"/>
    <col min="4109" max="4109" width="1.7109375" customWidth="1"/>
    <col min="4353" max="4353" width="3" bestFit="1" customWidth="1"/>
    <col min="4354" max="4354" width="17.5703125" bestFit="1" customWidth="1"/>
    <col min="4355" max="4355" width="9.5703125" bestFit="1" customWidth="1"/>
    <col min="4356" max="4364" width="8.7109375" bestFit="1" customWidth="1"/>
    <col min="4365" max="4365" width="1.7109375" customWidth="1"/>
    <col min="4609" max="4609" width="3" bestFit="1" customWidth="1"/>
    <col min="4610" max="4610" width="17.5703125" bestFit="1" customWidth="1"/>
    <col min="4611" max="4611" width="9.5703125" bestFit="1" customWidth="1"/>
    <col min="4612" max="4620" width="8.7109375" bestFit="1" customWidth="1"/>
    <col min="4621" max="4621" width="1.7109375" customWidth="1"/>
    <col min="4865" max="4865" width="3" bestFit="1" customWidth="1"/>
    <col min="4866" max="4866" width="17.5703125" bestFit="1" customWidth="1"/>
    <col min="4867" max="4867" width="9.5703125" bestFit="1" customWidth="1"/>
    <col min="4868" max="4876" width="8.7109375" bestFit="1" customWidth="1"/>
    <col min="4877" max="4877" width="1.7109375" customWidth="1"/>
    <col min="5121" max="5121" width="3" bestFit="1" customWidth="1"/>
    <col min="5122" max="5122" width="17.5703125" bestFit="1" customWidth="1"/>
    <col min="5123" max="5123" width="9.5703125" bestFit="1" customWidth="1"/>
    <col min="5124" max="5132" width="8.7109375" bestFit="1" customWidth="1"/>
    <col min="5133" max="5133" width="1.7109375" customWidth="1"/>
    <col min="5377" max="5377" width="3" bestFit="1" customWidth="1"/>
    <col min="5378" max="5378" width="17.5703125" bestFit="1" customWidth="1"/>
    <col min="5379" max="5379" width="9.5703125" bestFit="1" customWidth="1"/>
    <col min="5380" max="5388" width="8.7109375" bestFit="1" customWidth="1"/>
    <col min="5389" max="5389" width="1.7109375" customWidth="1"/>
    <col min="5633" max="5633" width="3" bestFit="1" customWidth="1"/>
    <col min="5634" max="5634" width="17.5703125" bestFit="1" customWidth="1"/>
    <col min="5635" max="5635" width="9.5703125" bestFit="1" customWidth="1"/>
    <col min="5636" max="5644" width="8.7109375" bestFit="1" customWidth="1"/>
    <col min="5645" max="5645" width="1.7109375" customWidth="1"/>
    <col min="5889" max="5889" width="3" bestFit="1" customWidth="1"/>
    <col min="5890" max="5890" width="17.5703125" bestFit="1" customWidth="1"/>
    <col min="5891" max="5891" width="9.5703125" bestFit="1" customWidth="1"/>
    <col min="5892" max="5900" width="8.7109375" bestFit="1" customWidth="1"/>
    <col min="5901" max="5901" width="1.7109375" customWidth="1"/>
    <col min="6145" max="6145" width="3" bestFit="1" customWidth="1"/>
    <col min="6146" max="6146" width="17.5703125" bestFit="1" customWidth="1"/>
    <col min="6147" max="6147" width="9.5703125" bestFit="1" customWidth="1"/>
    <col min="6148" max="6156" width="8.7109375" bestFit="1" customWidth="1"/>
    <col min="6157" max="6157" width="1.7109375" customWidth="1"/>
    <col min="6401" max="6401" width="3" bestFit="1" customWidth="1"/>
    <col min="6402" max="6402" width="17.5703125" bestFit="1" customWidth="1"/>
    <col min="6403" max="6403" width="9.5703125" bestFit="1" customWidth="1"/>
    <col min="6404" max="6412" width="8.7109375" bestFit="1" customWidth="1"/>
    <col min="6413" max="6413" width="1.7109375" customWidth="1"/>
    <col min="6657" max="6657" width="3" bestFit="1" customWidth="1"/>
    <col min="6658" max="6658" width="17.5703125" bestFit="1" customWidth="1"/>
    <col min="6659" max="6659" width="9.5703125" bestFit="1" customWidth="1"/>
    <col min="6660" max="6668" width="8.7109375" bestFit="1" customWidth="1"/>
    <col min="6669" max="6669" width="1.7109375" customWidth="1"/>
    <col min="6913" max="6913" width="3" bestFit="1" customWidth="1"/>
    <col min="6914" max="6914" width="17.5703125" bestFit="1" customWidth="1"/>
    <col min="6915" max="6915" width="9.5703125" bestFit="1" customWidth="1"/>
    <col min="6916" max="6924" width="8.7109375" bestFit="1" customWidth="1"/>
    <col min="6925" max="6925" width="1.7109375" customWidth="1"/>
    <col min="7169" max="7169" width="3" bestFit="1" customWidth="1"/>
    <col min="7170" max="7170" width="17.5703125" bestFit="1" customWidth="1"/>
    <col min="7171" max="7171" width="9.5703125" bestFit="1" customWidth="1"/>
    <col min="7172" max="7180" width="8.7109375" bestFit="1" customWidth="1"/>
    <col min="7181" max="7181" width="1.7109375" customWidth="1"/>
    <col min="7425" max="7425" width="3" bestFit="1" customWidth="1"/>
    <col min="7426" max="7426" width="17.5703125" bestFit="1" customWidth="1"/>
    <col min="7427" max="7427" width="9.5703125" bestFit="1" customWidth="1"/>
    <col min="7428" max="7436" width="8.7109375" bestFit="1" customWidth="1"/>
    <col min="7437" max="7437" width="1.7109375" customWidth="1"/>
    <col min="7681" max="7681" width="3" bestFit="1" customWidth="1"/>
    <col min="7682" max="7682" width="17.5703125" bestFit="1" customWidth="1"/>
    <col min="7683" max="7683" width="9.5703125" bestFit="1" customWidth="1"/>
    <col min="7684" max="7692" width="8.7109375" bestFit="1" customWidth="1"/>
    <col min="7693" max="7693" width="1.7109375" customWidth="1"/>
    <col min="7937" max="7937" width="3" bestFit="1" customWidth="1"/>
    <col min="7938" max="7938" width="17.5703125" bestFit="1" customWidth="1"/>
    <col min="7939" max="7939" width="9.5703125" bestFit="1" customWidth="1"/>
    <col min="7940" max="7948" width="8.7109375" bestFit="1" customWidth="1"/>
    <col min="7949" max="7949" width="1.7109375" customWidth="1"/>
    <col min="8193" max="8193" width="3" bestFit="1" customWidth="1"/>
    <col min="8194" max="8194" width="17.5703125" bestFit="1" customWidth="1"/>
    <col min="8195" max="8195" width="9.5703125" bestFit="1" customWidth="1"/>
    <col min="8196" max="8204" width="8.7109375" bestFit="1" customWidth="1"/>
    <col min="8205" max="8205" width="1.7109375" customWidth="1"/>
    <col min="8449" max="8449" width="3" bestFit="1" customWidth="1"/>
    <col min="8450" max="8450" width="17.5703125" bestFit="1" customWidth="1"/>
    <col min="8451" max="8451" width="9.5703125" bestFit="1" customWidth="1"/>
    <col min="8452" max="8460" width="8.7109375" bestFit="1" customWidth="1"/>
    <col min="8461" max="8461" width="1.7109375" customWidth="1"/>
    <col min="8705" max="8705" width="3" bestFit="1" customWidth="1"/>
    <col min="8706" max="8706" width="17.5703125" bestFit="1" customWidth="1"/>
    <col min="8707" max="8707" width="9.5703125" bestFit="1" customWidth="1"/>
    <col min="8708" max="8716" width="8.7109375" bestFit="1" customWidth="1"/>
    <col min="8717" max="8717" width="1.7109375" customWidth="1"/>
    <col min="8961" max="8961" width="3" bestFit="1" customWidth="1"/>
    <col min="8962" max="8962" width="17.5703125" bestFit="1" customWidth="1"/>
    <col min="8963" max="8963" width="9.5703125" bestFit="1" customWidth="1"/>
    <col min="8964" max="8972" width="8.7109375" bestFit="1" customWidth="1"/>
    <col min="8973" max="8973" width="1.7109375" customWidth="1"/>
    <col min="9217" max="9217" width="3" bestFit="1" customWidth="1"/>
    <col min="9218" max="9218" width="17.5703125" bestFit="1" customWidth="1"/>
    <col min="9219" max="9219" width="9.5703125" bestFit="1" customWidth="1"/>
    <col min="9220" max="9228" width="8.7109375" bestFit="1" customWidth="1"/>
    <col min="9229" max="9229" width="1.7109375" customWidth="1"/>
    <col min="9473" max="9473" width="3" bestFit="1" customWidth="1"/>
    <col min="9474" max="9474" width="17.5703125" bestFit="1" customWidth="1"/>
    <col min="9475" max="9475" width="9.5703125" bestFit="1" customWidth="1"/>
    <col min="9476" max="9484" width="8.7109375" bestFit="1" customWidth="1"/>
    <col min="9485" max="9485" width="1.7109375" customWidth="1"/>
    <col min="9729" max="9729" width="3" bestFit="1" customWidth="1"/>
    <col min="9730" max="9730" width="17.5703125" bestFit="1" customWidth="1"/>
    <col min="9731" max="9731" width="9.5703125" bestFit="1" customWidth="1"/>
    <col min="9732" max="9740" width="8.7109375" bestFit="1" customWidth="1"/>
    <col min="9741" max="9741" width="1.7109375" customWidth="1"/>
    <col min="9985" max="9985" width="3" bestFit="1" customWidth="1"/>
    <col min="9986" max="9986" width="17.5703125" bestFit="1" customWidth="1"/>
    <col min="9987" max="9987" width="9.5703125" bestFit="1" customWidth="1"/>
    <col min="9988" max="9996" width="8.7109375" bestFit="1" customWidth="1"/>
    <col min="9997" max="9997" width="1.7109375" customWidth="1"/>
    <col min="10241" max="10241" width="3" bestFit="1" customWidth="1"/>
    <col min="10242" max="10242" width="17.5703125" bestFit="1" customWidth="1"/>
    <col min="10243" max="10243" width="9.5703125" bestFit="1" customWidth="1"/>
    <col min="10244" max="10252" width="8.7109375" bestFit="1" customWidth="1"/>
    <col min="10253" max="10253" width="1.7109375" customWidth="1"/>
    <col min="10497" max="10497" width="3" bestFit="1" customWidth="1"/>
    <col min="10498" max="10498" width="17.5703125" bestFit="1" customWidth="1"/>
    <col min="10499" max="10499" width="9.5703125" bestFit="1" customWidth="1"/>
    <col min="10500" max="10508" width="8.7109375" bestFit="1" customWidth="1"/>
    <col min="10509" max="10509" width="1.7109375" customWidth="1"/>
    <col min="10753" max="10753" width="3" bestFit="1" customWidth="1"/>
    <col min="10754" max="10754" width="17.5703125" bestFit="1" customWidth="1"/>
    <col min="10755" max="10755" width="9.5703125" bestFit="1" customWidth="1"/>
    <col min="10756" max="10764" width="8.7109375" bestFit="1" customWidth="1"/>
    <col min="10765" max="10765" width="1.7109375" customWidth="1"/>
    <col min="11009" max="11009" width="3" bestFit="1" customWidth="1"/>
    <col min="11010" max="11010" width="17.5703125" bestFit="1" customWidth="1"/>
    <col min="11011" max="11011" width="9.5703125" bestFit="1" customWidth="1"/>
    <col min="11012" max="11020" width="8.7109375" bestFit="1" customWidth="1"/>
    <col min="11021" max="11021" width="1.7109375" customWidth="1"/>
    <col min="11265" max="11265" width="3" bestFit="1" customWidth="1"/>
    <col min="11266" max="11266" width="17.5703125" bestFit="1" customWidth="1"/>
    <col min="11267" max="11267" width="9.5703125" bestFit="1" customWidth="1"/>
    <col min="11268" max="11276" width="8.7109375" bestFit="1" customWidth="1"/>
    <col min="11277" max="11277" width="1.7109375" customWidth="1"/>
    <col min="11521" max="11521" width="3" bestFit="1" customWidth="1"/>
    <col min="11522" max="11522" width="17.5703125" bestFit="1" customWidth="1"/>
    <col min="11523" max="11523" width="9.5703125" bestFit="1" customWidth="1"/>
    <col min="11524" max="11532" width="8.7109375" bestFit="1" customWidth="1"/>
    <col min="11533" max="11533" width="1.7109375" customWidth="1"/>
    <col min="11777" max="11777" width="3" bestFit="1" customWidth="1"/>
    <col min="11778" max="11778" width="17.5703125" bestFit="1" customWidth="1"/>
    <col min="11779" max="11779" width="9.5703125" bestFit="1" customWidth="1"/>
    <col min="11780" max="11788" width="8.7109375" bestFit="1" customWidth="1"/>
    <col min="11789" max="11789" width="1.7109375" customWidth="1"/>
    <col min="12033" max="12033" width="3" bestFit="1" customWidth="1"/>
    <col min="12034" max="12034" width="17.5703125" bestFit="1" customWidth="1"/>
    <col min="12035" max="12035" width="9.5703125" bestFit="1" customWidth="1"/>
    <col min="12036" max="12044" width="8.7109375" bestFit="1" customWidth="1"/>
    <col min="12045" max="12045" width="1.7109375" customWidth="1"/>
    <col min="12289" max="12289" width="3" bestFit="1" customWidth="1"/>
    <col min="12290" max="12290" width="17.5703125" bestFit="1" customWidth="1"/>
    <col min="12291" max="12291" width="9.5703125" bestFit="1" customWidth="1"/>
    <col min="12292" max="12300" width="8.7109375" bestFit="1" customWidth="1"/>
    <col min="12301" max="12301" width="1.7109375" customWidth="1"/>
    <col min="12545" max="12545" width="3" bestFit="1" customWidth="1"/>
    <col min="12546" max="12546" width="17.5703125" bestFit="1" customWidth="1"/>
    <col min="12547" max="12547" width="9.5703125" bestFit="1" customWidth="1"/>
    <col min="12548" max="12556" width="8.7109375" bestFit="1" customWidth="1"/>
    <col min="12557" max="12557" width="1.7109375" customWidth="1"/>
    <col min="12801" max="12801" width="3" bestFit="1" customWidth="1"/>
    <col min="12802" max="12802" width="17.5703125" bestFit="1" customWidth="1"/>
    <col min="12803" max="12803" width="9.5703125" bestFit="1" customWidth="1"/>
    <col min="12804" max="12812" width="8.7109375" bestFit="1" customWidth="1"/>
    <col min="12813" max="12813" width="1.7109375" customWidth="1"/>
    <col min="13057" max="13057" width="3" bestFit="1" customWidth="1"/>
    <col min="13058" max="13058" width="17.5703125" bestFit="1" customWidth="1"/>
    <col min="13059" max="13059" width="9.5703125" bestFit="1" customWidth="1"/>
    <col min="13060" max="13068" width="8.7109375" bestFit="1" customWidth="1"/>
    <col min="13069" max="13069" width="1.7109375" customWidth="1"/>
    <col min="13313" max="13313" width="3" bestFit="1" customWidth="1"/>
    <col min="13314" max="13314" width="17.5703125" bestFit="1" customWidth="1"/>
    <col min="13315" max="13315" width="9.5703125" bestFit="1" customWidth="1"/>
    <col min="13316" max="13324" width="8.7109375" bestFit="1" customWidth="1"/>
    <col min="13325" max="13325" width="1.7109375" customWidth="1"/>
    <col min="13569" max="13569" width="3" bestFit="1" customWidth="1"/>
    <col min="13570" max="13570" width="17.5703125" bestFit="1" customWidth="1"/>
    <col min="13571" max="13571" width="9.5703125" bestFit="1" customWidth="1"/>
    <col min="13572" max="13580" width="8.7109375" bestFit="1" customWidth="1"/>
    <col min="13581" max="13581" width="1.7109375" customWidth="1"/>
    <col min="13825" max="13825" width="3" bestFit="1" customWidth="1"/>
    <col min="13826" max="13826" width="17.5703125" bestFit="1" customWidth="1"/>
    <col min="13827" max="13827" width="9.5703125" bestFit="1" customWidth="1"/>
    <col min="13828" max="13836" width="8.7109375" bestFit="1" customWidth="1"/>
    <col min="13837" max="13837" width="1.7109375" customWidth="1"/>
    <col min="14081" max="14081" width="3" bestFit="1" customWidth="1"/>
    <col min="14082" max="14082" width="17.5703125" bestFit="1" customWidth="1"/>
    <col min="14083" max="14083" width="9.5703125" bestFit="1" customWidth="1"/>
    <col min="14084" max="14092" width="8.7109375" bestFit="1" customWidth="1"/>
    <col min="14093" max="14093" width="1.7109375" customWidth="1"/>
    <col min="14337" max="14337" width="3" bestFit="1" customWidth="1"/>
    <col min="14338" max="14338" width="17.5703125" bestFit="1" customWidth="1"/>
    <col min="14339" max="14339" width="9.5703125" bestFit="1" customWidth="1"/>
    <col min="14340" max="14348" width="8.7109375" bestFit="1" customWidth="1"/>
    <col min="14349" max="14349" width="1.7109375" customWidth="1"/>
    <col min="14593" max="14593" width="3" bestFit="1" customWidth="1"/>
    <col min="14594" max="14594" width="17.5703125" bestFit="1" customWidth="1"/>
    <col min="14595" max="14595" width="9.5703125" bestFit="1" customWidth="1"/>
    <col min="14596" max="14604" width="8.7109375" bestFit="1" customWidth="1"/>
    <col min="14605" max="14605" width="1.7109375" customWidth="1"/>
    <col min="14849" max="14849" width="3" bestFit="1" customWidth="1"/>
    <col min="14850" max="14850" width="17.5703125" bestFit="1" customWidth="1"/>
    <col min="14851" max="14851" width="9.5703125" bestFit="1" customWidth="1"/>
    <col min="14852" max="14860" width="8.7109375" bestFit="1" customWidth="1"/>
    <col min="14861" max="14861" width="1.7109375" customWidth="1"/>
    <col min="15105" max="15105" width="3" bestFit="1" customWidth="1"/>
    <col min="15106" max="15106" width="17.5703125" bestFit="1" customWidth="1"/>
    <col min="15107" max="15107" width="9.5703125" bestFit="1" customWidth="1"/>
    <col min="15108" max="15116" width="8.7109375" bestFit="1" customWidth="1"/>
    <col min="15117" max="15117" width="1.7109375" customWidth="1"/>
    <col min="15361" max="15361" width="3" bestFit="1" customWidth="1"/>
    <col min="15362" max="15362" width="17.5703125" bestFit="1" customWidth="1"/>
    <col min="15363" max="15363" width="9.5703125" bestFit="1" customWidth="1"/>
    <col min="15364" max="15372" width="8.7109375" bestFit="1" customWidth="1"/>
    <col min="15373" max="15373" width="1.7109375" customWidth="1"/>
    <col min="15617" max="15617" width="3" bestFit="1" customWidth="1"/>
    <col min="15618" max="15618" width="17.5703125" bestFit="1" customWidth="1"/>
    <col min="15619" max="15619" width="9.5703125" bestFit="1" customWidth="1"/>
    <col min="15620" max="15628" width="8.7109375" bestFit="1" customWidth="1"/>
    <col min="15629" max="15629" width="1.7109375" customWidth="1"/>
    <col min="15873" max="15873" width="3" bestFit="1" customWidth="1"/>
    <col min="15874" max="15874" width="17.5703125" bestFit="1" customWidth="1"/>
    <col min="15875" max="15875" width="9.5703125" bestFit="1" customWidth="1"/>
    <col min="15876" max="15884" width="8.7109375" bestFit="1" customWidth="1"/>
    <col min="15885" max="15885" width="1.7109375" customWidth="1"/>
    <col min="16129" max="16129" width="3" bestFit="1" customWidth="1"/>
    <col min="16130" max="16130" width="17.5703125" bestFit="1" customWidth="1"/>
    <col min="16131" max="16131" width="9.5703125" bestFit="1" customWidth="1"/>
    <col min="16132" max="16140" width="8.7109375" bestFit="1" customWidth="1"/>
    <col min="16141" max="16141" width="1.7109375" customWidth="1"/>
  </cols>
  <sheetData>
    <row r="1" spans="1:12" ht="25.5" customHeight="1" x14ac:dyDescent="0.2">
      <c r="A1" s="1369" t="s">
        <v>190</v>
      </c>
      <c r="B1" s="1369"/>
      <c r="C1" s="1369"/>
      <c r="D1" s="1369"/>
      <c r="E1" s="1369"/>
      <c r="F1" s="1369"/>
      <c r="G1" s="1369"/>
      <c r="H1" s="1369"/>
      <c r="I1" s="1369"/>
      <c r="J1" s="1369"/>
      <c r="K1" s="1369"/>
      <c r="L1" s="1369"/>
    </row>
    <row r="2" spans="1:12" x14ac:dyDescent="0.2">
      <c r="A2" s="1370"/>
      <c r="B2" s="1373" t="s">
        <v>124</v>
      </c>
      <c r="C2" s="1376" t="s">
        <v>169</v>
      </c>
      <c r="D2" s="1378" t="s">
        <v>121</v>
      </c>
      <c r="E2" s="1379"/>
      <c r="F2" s="1380"/>
      <c r="G2" s="1378" t="s">
        <v>122</v>
      </c>
      <c r="H2" s="1379"/>
      <c r="I2" s="1380"/>
      <c r="J2" s="1378" t="s">
        <v>123</v>
      </c>
      <c r="K2" s="1379"/>
      <c r="L2" s="1380"/>
    </row>
    <row r="3" spans="1:12" x14ac:dyDescent="0.2">
      <c r="A3" s="1371"/>
      <c r="B3" s="1374"/>
      <c r="C3" s="1377"/>
      <c r="D3" s="1376" t="s">
        <v>170</v>
      </c>
      <c r="E3" s="1376" t="s">
        <v>171</v>
      </c>
      <c r="F3" s="1382" t="s">
        <v>172</v>
      </c>
      <c r="G3" s="1382" t="s">
        <v>173</v>
      </c>
      <c r="H3" s="1382" t="s">
        <v>174</v>
      </c>
      <c r="I3" s="1382" t="s">
        <v>172</v>
      </c>
      <c r="J3" s="1382" t="s">
        <v>173</v>
      </c>
      <c r="K3" s="1382" t="s">
        <v>174</v>
      </c>
      <c r="L3" s="1382" t="s">
        <v>172</v>
      </c>
    </row>
    <row r="4" spans="1:12" x14ac:dyDescent="0.2">
      <c r="A4" s="1371"/>
      <c r="B4" s="1374"/>
      <c r="C4" s="1377"/>
      <c r="D4" s="1377"/>
      <c r="E4" s="1377"/>
      <c r="F4" s="1383"/>
      <c r="G4" s="1383"/>
      <c r="H4" s="1383"/>
      <c r="I4" s="1383"/>
      <c r="J4" s="1383"/>
      <c r="K4" s="1383"/>
      <c r="L4" s="1383"/>
    </row>
    <row r="5" spans="1:12" x14ac:dyDescent="0.2">
      <c r="A5" s="1372"/>
      <c r="B5" s="1375"/>
      <c r="C5" s="1377"/>
      <c r="D5" s="1381"/>
      <c r="E5" s="1381"/>
      <c r="F5" s="1384"/>
      <c r="G5" s="1384"/>
      <c r="H5" s="1384"/>
      <c r="I5" s="1384"/>
      <c r="J5" s="1384"/>
      <c r="K5" s="1384"/>
      <c r="L5" s="1384"/>
    </row>
    <row r="6" spans="1:12" x14ac:dyDescent="0.2">
      <c r="A6" s="102">
        <v>1</v>
      </c>
      <c r="B6" s="100" t="s">
        <v>18</v>
      </c>
      <c r="C6" s="100">
        <v>0.96040000000000003</v>
      </c>
      <c r="D6" s="31">
        <v>975</v>
      </c>
      <c r="E6" s="31">
        <v>3147</v>
      </c>
      <c r="F6" s="31">
        <v>6422</v>
      </c>
      <c r="G6" s="31">
        <v>1093</v>
      </c>
      <c r="H6" s="31">
        <v>3265</v>
      </c>
      <c r="I6" s="31">
        <v>6540</v>
      </c>
      <c r="J6" s="31">
        <v>778</v>
      </c>
      <c r="K6" s="31">
        <v>2950</v>
      </c>
      <c r="L6" s="103">
        <v>6225</v>
      </c>
    </row>
    <row r="7" spans="1:12" x14ac:dyDescent="0.2">
      <c r="A7" s="102">
        <v>2</v>
      </c>
      <c r="B7" s="100" t="s">
        <v>19</v>
      </c>
      <c r="C7" s="100">
        <v>0.93340000000000001</v>
      </c>
      <c r="D7" s="31">
        <v>947</v>
      </c>
      <c r="E7" s="31">
        <v>3058</v>
      </c>
      <c r="F7" s="31">
        <v>6241</v>
      </c>
      <c r="G7" s="31">
        <v>1062</v>
      </c>
      <c r="H7" s="31">
        <v>3173</v>
      </c>
      <c r="I7" s="31">
        <v>6356</v>
      </c>
      <c r="J7" s="31">
        <v>756</v>
      </c>
      <c r="K7" s="31">
        <v>2867</v>
      </c>
      <c r="L7" s="103">
        <v>6050</v>
      </c>
    </row>
    <row r="8" spans="1:12" x14ac:dyDescent="0.2">
      <c r="A8" s="102">
        <v>3</v>
      </c>
      <c r="B8" s="100" t="s">
        <v>20</v>
      </c>
      <c r="C8" s="100">
        <v>0.95920000000000005</v>
      </c>
      <c r="D8" s="31">
        <v>973</v>
      </c>
      <c r="E8" s="31">
        <v>3143</v>
      </c>
      <c r="F8" s="31">
        <v>6414</v>
      </c>
      <c r="G8" s="31">
        <v>1091</v>
      </c>
      <c r="H8" s="31">
        <v>3261</v>
      </c>
      <c r="I8" s="31">
        <v>6532</v>
      </c>
      <c r="J8" s="31">
        <v>777</v>
      </c>
      <c r="K8" s="31">
        <v>2946</v>
      </c>
      <c r="L8" s="103">
        <v>6217</v>
      </c>
    </row>
    <row r="9" spans="1:12" x14ac:dyDescent="0.2">
      <c r="A9" s="102">
        <v>4</v>
      </c>
      <c r="B9" s="100" t="s">
        <v>21</v>
      </c>
      <c r="C9" s="100">
        <v>0.92949999999999999</v>
      </c>
      <c r="D9" s="31">
        <v>943</v>
      </c>
      <c r="E9" s="31">
        <v>3046</v>
      </c>
      <c r="F9" s="31">
        <v>6215</v>
      </c>
      <c r="G9" s="31">
        <v>1058</v>
      </c>
      <c r="H9" s="31">
        <v>3160</v>
      </c>
      <c r="I9" s="31">
        <v>6329</v>
      </c>
      <c r="J9" s="31">
        <v>753</v>
      </c>
      <c r="K9" s="31">
        <v>2855</v>
      </c>
      <c r="L9" s="103">
        <v>6025</v>
      </c>
    </row>
    <row r="10" spans="1:12" x14ac:dyDescent="0.2">
      <c r="A10" s="104">
        <v>5</v>
      </c>
      <c r="B10" s="101" t="s">
        <v>22</v>
      </c>
      <c r="C10" s="101">
        <v>0.98180000000000001</v>
      </c>
      <c r="D10" s="32">
        <v>996</v>
      </c>
      <c r="E10" s="32">
        <v>3217</v>
      </c>
      <c r="F10" s="32">
        <v>6565</v>
      </c>
      <c r="G10" s="32">
        <v>1117</v>
      </c>
      <c r="H10" s="32">
        <v>3338</v>
      </c>
      <c r="I10" s="32">
        <v>6686</v>
      </c>
      <c r="J10" s="32">
        <v>795</v>
      </c>
      <c r="K10" s="32">
        <v>3016</v>
      </c>
      <c r="L10" s="105">
        <v>6364</v>
      </c>
    </row>
    <row r="11" spans="1:12" x14ac:dyDescent="0.2">
      <c r="A11" s="102">
        <v>6</v>
      </c>
      <c r="B11" s="100" t="s">
        <v>23</v>
      </c>
      <c r="C11" s="106">
        <v>1.0429999999999999</v>
      </c>
      <c r="D11" s="31">
        <v>1058</v>
      </c>
      <c r="E11" s="31">
        <v>3418</v>
      </c>
      <c r="F11" s="31">
        <v>6974</v>
      </c>
      <c r="G11" s="31">
        <v>1187</v>
      </c>
      <c r="H11" s="103">
        <v>3546</v>
      </c>
      <c r="I11" s="31">
        <v>7102</v>
      </c>
      <c r="J11" s="33">
        <v>845</v>
      </c>
      <c r="K11" s="31">
        <v>3204</v>
      </c>
      <c r="L11" s="103">
        <v>6760</v>
      </c>
    </row>
    <row r="12" spans="1:12" x14ac:dyDescent="0.2">
      <c r="A12" s="102">
        <v>7</v>
      </c>
      <c r="B12" s="100" t="s">
        <v>24</v>
      </c>
      <c r="C12" s="100">
        <v>0.91310000000000002</v>
      </c>
      <c r="D12" s="31">
        <v>927</v>
      </c>
      <c r="E12" s="31">
        <v>2992</v>
      </c>
      <c r="F12" s="31">
        <v>6105</v>
      </c>
      <c r="G12" s="31">
        <v>1039</v>
      </c>
      <c r="H12" s="31">
        <v>3104</v>
      </c>
      <c r="I12" s="31">
        <v>6218</v>
      </c>
      <c r="J12" s="31">
        <v>739</v>
      </c>
      <c r="K12" s="31">
        <v>2805</v>
      </c>
      <c r="L12" s="103">
        <v>5918</v>
      </c>
    </row>
    <row r="13" spans="1:12" x14ac:dyDescent="0.2">
      <c r="A13" s="102">
        <v>8</v>
      </c>
      <c r="B13" s="100" t="s">
        <v>25</v>
      </c>
      <c r="C13" s="100">
        <v>0.96950000000000003</v>
      </c>
      <c r="D13" s="31">
        <v>984</v>
      </c>
      <c r="E13" s="31">
        <v>3177</v>
      </c>
      <c r="F13" s="31">
        <v>6483</v>
      </c>
      <c r="G13" s="31">
        <v>1103</v>
      </c>
      <c r="H13" s="31">
        <v>3296</v>
      </c>
      <c r="I13" s="31">
        <v>6602</v>
      </c>
      <c r="J13" s="31">
        <v>785</v>
      </c>
      <c r="K13" s="31">
        <v>2978</v>
      </c>
      <c r="L13" s="103">
        <v>6284</v>
      </c>
    </row>
    <row r="14" spans="1:12" x14ac:dyDescent="0.2">
      <c r="A14" s="102">
        <v>9</v>
      </c>
      <c r="B14" s="100" t="s">
        <v>26</v>
      </c>
      <c r="C14" s="100">
        <v>0.9345</v>
      </c>
      <c r="D14" s="31">
        <v>948</v>
      </c>
      <c r="E14" s="31">
        <v>3062</v>
      </c>
      <c r="F14" s="31">
        <v>6249</v>
      </c>
      <c r="G14" s="31">
        <v>1063</v>
      </c>
      <c r="H14" s="31">
        <v>3177</v>
      </c>
      <c r="I14" s="31">
        <v>6364</v>
      </c>
      <c r="J14" s="31">
        <v>757</v>
      </c>
      <c r="K14" s="31">
        <v>2870</v>
      </c>
      <c r="L14" s="103">
        <v>6057</v>
      </c>
    </row>
    <row r="15" spans="1:12" x14ac:dyDescent="0.2">
      <c r="A15" s="104">
        <v>10</v>
      </c>
      <c r="B15" s="101" t="s">
        <v>27</v>
      </c>
      <c r="C15" s="101">
        <v>0.96760000000000002</v>
      </c>
      <c r="D15" s="32">
        <v>982</v>
      </c>
      <c r="E15" s="32">
        <v>3170</v>
      </c>
      <c r="F15" s="32">
        <v>6470</v>
      </c>
      <c r="G15" s="32">
        <v>1101</v>
      </c>
      <c r="H15" s="32">
        <v>3290</v>
      </c>
      <c r="I15" s="32">
        <v>6589</v>
      </c>
      <c r="J15" s="32">
        <v>784</v>
      </c>
      <c r="K15" s="32">
        <v>2972</v>
      </c>
      <c r="L15" s="105">
        <v>6272</v>
      </c>
    </row>
    <row r="16" spans="1:12" x14ac:dyDescent="0.2">
      <c r="A16" s="102">
        <v>11</v>
      </c>
      <c r="B16" s="100" t="s">
        <v>28</v>
      </c>
      <c r="C16" s="100">
        <v>1.0088999999999999</v>
      </c>
      <c r="D16" s="31">
        <v>1024</v>
      </c>
      <c r="E16" s="31">
        <v>3306</v>
      </c>
      <c r="F16" s="31">
        <v>6746</v>
      </c>
      <c r="G16" s="31">
        <v>1148</v>
      </c>
      <c r="H16" s="31">
        <v>3430</v>
      </c>
      <c r="I16" s="31">
        <v>6870</v>
      </c>
      <c r="J16" s="31">
        <v>817</v>
      </c>
      <c r="K16" s="31">
        <v>3099</v>
      </c>
      <c r="L16" s="103">
        <v>6539</v>
      </c>
    </row>
    <row r="17" spans="1:12" x14ac:dyDescent="0.2">
      <c r="A17" s="102">
        <v>12</v>
      </c>
      <c r="B17" s="100" t="s">
        <v>29</v>
      </c>
      <c r="C17" s="100">
        <v>0.93359999999999999</v>
      </c>
      <c r="D17" s="31">
        <v>947</v>
      </c>
      <c r="E17" s="31">
        <v>3059</v>
      </c>
      <c r="F17" s="31">
        <v>6243</v>
      </c>
      <c r="G17" s="31">
        <v>1062</v>
      </c>
      <c r="H17" s="31">
        <v>3174</v>
      </c>
      <c r="I17" s="31">
        <v>6357</v>
      </c>
      <c r="J17" s="31">
        <v>756</v>
      </c>
      <c r="K17" s="31">
        <v>2868</v>
      </c>
      <c r="L17" s="103">
        <v>6051</v>
      </c>
    </row>
    <row r="18" spans="1:12" x14ac:dyDescent="0.2">
      <c r="A18" s="102">
        <v>13</v>
      </c>
      <c r="B18" s="100" t="s">
        <v>103</v>
      </c>
      <c r="C18" s="100">
        <v>1.0543</v>
      </c>
      <c r="D18" s="31">
        <v>1070</v>
      </c>
      <c r="E18" s="31">
        <v>3455</v>
      </c>
      <c r="F18" s="31">
        <v>7050</v>
      </c>
      <c r="G18" s="31">
        <v>1200</v>
      </c>
      <c r="H18" s="31">
        <v>3584</v>
      </c>
      <c r="I18" s="31">
        <v>7179</v>
      </c>
      <c r="J18" s="31">
        <v>854</v>
      </c>
      <c r="K18" s="31">
        <v>3238</v>
      </c>
      <c r="L18" s="103">
        <v>6833</v>
      </c>
    </row>
    <row r="19" spans="1:12" x14ac:dyDescent="0.2">
      <c r="A19" s="102">
        <v>14</v>
      </c>
      <c r="B19" s="100" t="s">
        <v>125</v>
      </c>
      <c r="C19" s="100">
        <v>0.93689999999999996</v>
      </c>
      <c r="D19" s="31">
        <v>951</v>
      </c>
      <c r="E19" s="31">
        <v>3070</v>
      </c>
      <c r="F19" s="31">
        <v>6265</v>
      </c>
      <c r="G19" s="31">
        <v>1066</v>
      </c>
      <c r="H19" s="31">
        <v>3185</v>
      </c>
      <c r="I19" s="31">
        <v>6380</v>
      </c>
      <c r="J19" s="31">
        <v>759</v>
      </c>
      <c r="K19" s="31">
        <v>2878</v>
      </c>
      <c r="L19" s="103">
        <v>6073</v>
      </c>
    </row>
    <row r="20" spans="1:12" x14ac:dyDescent="0.2">
      <c r="A20" s="104">
        <v>15</v>
      </c>
      <c r="B20" s="101" t="s">
        <v>31</v>
      </c>
      <c r="C20" s="101">
        <v>0.9355</v>
      </c>
      <c r="D20" s="32">
        <v>949</v>
      </c>
      <c r="E20" s="32">
        <v>3065</v>
      </c>
      <c r="F20" s="32">
        <v>6255</v>
      </c>
      <c r="G20" s="32">
        <v>1064</v>
      </c>
      <c r="H20" s="32">
        <v>3180</v>
      </c>
      <c r="I20" s="32">
        <v>6370</v>
      </c>
      <c r="J20" s="32">
        <v>758</v>
      </c>
      <c r="K20" s="32">
        <v>2874</v>
      </c>
      <c r="L20" s="105">
        <v>6063</v>
      </c>
    </row>
    <row r="21" spans="1:12" x14ac:dyDescent="0.2">
      <c r="A21" s="102">
        <v>16</v>
      </c>
      <c r="B21" s="100" t="s">
        <v>32</v>
      </c>
      <c r="C21" s="100">
        <v>0.97940000000000005</v>
      </c>
      <c r="D21" s="31">
        <v>994</v>
      </c>
      <c r="E21" s="31">
        <v>3209</v>
      </c>
      <c r="F21" s="31">
        <v>6549</v>
      </c>
      <c r="G21" s="31">
        <v>1114</v>
      </c>
      <c r="H21" s="31">
        <v>3330</v>
      </c>
      <c r="I21" s="31">
        <v>6669</v>
      </c>
      <c r="J21" s="31">
        <v>793</v>
      </c>
      <c r="K21" s="31">
        <v>3008</v>
      </c>
      <c r="L21" s="103">
        <v>6348</v>
      </c>
    </row>
    <row r="22" spans="1:12" x14ac:dyDescent="0.2">
      <c r="A22" s="102">
        <v>17</v>
      </c>
      <c r="B22" s="100" t="s">
        <v>33</v>
      </c>
      <c r="C22" s="100">
        <v>0.9516</v>
      </c>
      <c r="D22" s="31">
        <v>966</v>
      </c>
      <c r="E22" s="31">
        <v>3118</v>
      </c>
      <c r="F22" s="31">
        <v>6363</v>
      </c>
      <c r="G22" s="31">
        <v>1083</v>
      </c>
      <c r="H22" s="31">
        <v>3235</v>
      </c>
      <c r="I22" s="31">
        <v>6480</v>
      </c>
      <c r="J22" s="31">
        <v>771</v>
      </c>
      <c r="K22" s="31">
        <v>2923</v>
      </c>
      <c r="L22" s="103">
        <v>6168</v>
      </c>
    </row>
    <row r="23" spans="1:12" x14ac:dyDescent="0.2">
      <c r="A23" s="102">
        <v>18</v>
      </c>
      <c r="B23" s="100" t="s">
        <v>34</v>
      </c>
      <c r="C23" s="100">
        <v>0.9607</v>
      </c>
      <c r="D23" s="31">
        <v>975</v>
      </c>
      <c r="E23" s="31">
        <v>3148</v>
      </c>
      <c r="F23" s="31">
        <v>6424</v>
      </c>
      <c r="G23" s="31">
        <v>1093</v>
      </c>
      <c r="H23" s="31">
        <v>3266</v>
      </c>
      <c r="I23" s="31">
        <v>6542</v>
      </c>
      <c r="J23" s="31">
        <v>778</v>
      </c>
      <c r="K23" s="31">
        <v>2951</v>
      </c>
      <c r="L23" s="103">
        <v>6227</v>
      </c>
    </row>
    <row r="24" spans="1:12" x14ac:dyDescent="0.2">
      <c r="A24" s="102">
        <v>19</v>
      </c>
      <c r="B24" s="100" t="s">
        <v>35</v>
      </c>
      <c r="C24" s="100">
        <v>0.96109999999999995</v>
      </c>
      <c r="D24" s="31">
        <v>975</v>
      </c>
      <c r="E24" s="31">
        <v>3149</v>
      </c>
      <c r="F24" s="31">
        <v>6426</v>
      </c>
      <c r="G24" s="31">
        <v>1094</v>
      </c>
      <c r="H24" s="31">
        <v>3267</v>
      </c>
      <c r="I24" s="31">
        <v>6545</v>
      </c>
      <c r="J24" s="31">
        <v>778</v>
      </c>
      <c r="K24" s="31">
        <v>2952</v>
      </c>
      <c r="L24" s="103">
        <v>6229</v>
      </c>
    </row>
    <row r="25" spans="1:12" x14ac:dyDescent="0.2">
      <c r="A25" s="104">
        <v>20</v>
      </c>
      <c r="B25" s="101" t="s">
        <v>36</v>
      </c>
      <c r="C25" s="101">
        <v>0.94010000000000005</v>
      </c>
      <c r="D25" s="32">
        <v>954</v>
      </c>
      <c r="E25" s="32">
        <v>3080</v>
      </c>
      <c r="F25" s="32">
        <v>6286</v>
      </c>
      <c r="G25" s="32">
        <v>1070</v>
      </c>
      <c r="H25" s="32">
        <v>3196</v>
      </c>
      <c r="I25" s="32">
        <v>6402</v>
      </c>
      <c r="J25" s="32">
        <v>761</v>
      </c>
      <c r="K25" s="32">
        <v>2888</v>
      </c>
      <c r="L25" s="105">
        <v>6093</v>
      </c>
    </row>
    <row r="26" spans="1:12" x14ac:dyDescent="0.2">
      <c r="A26" s="102">
        <v>21</v>
      </c>
      <c r="B26" s="100" t="s">
        <v>37</v>
      </c>
      <c r="C26" s="100">
        <v>0.93630000000000002</v>
      </c>
      <c r="D26" s="31">
        <v>950</v>
      </c>
      <c r="E26" s="31">
        <v>3068</v>
      </c>
      <c r="F26" s="31">
        <v>6261</v>
      </c>
      <c r="G26" s="31">
        <v>1065</v>
      </c>
      <c r="H26" s="31">
        <v>3183</v>
      </c>
      <c r="I26" s="31">
        <v>6376</v>
      </c>
      <c r="J26" s="31">
        <v>758</v>
      </c>
      <c r="K26" s="31">
        <v>2876</v>
      </c>
      <c r="L26" s="103">
        <v>6069</v>
      </c>
    </row>
    <row r="27" spans="1:12" x14ac:dyDescent="0.2">
      <c r="A27" s="102">
        <v>22</v>
      </c>
      <c r="B27" s="100" t="s">
        <v>38</v>
      </c>
      <c r="C27" s="100">
        <v>0.96109999999999995</v>
      </c>
      <c r="D27" s="31">
        <v>975</v>
      </c>
      <c r="E27" s="31">
        <v>3149</v>
      </c>
      <c r="F27" s="31">
        <v>6426</v>
      </c>
      <c r="G27" s="31">
        <v>1094</v>
      </c>
      <c r="H27" s="31">
        <v>3267</v>
      </c>
      <c r="I27" s="31">
        <v>6545</v>
      </c>
      <c r="J27" s="31">
        <v>778</v>
      </c>
      <c r="K27" s="31">
        <v>2952</v>
      </c>
      <c r="L27" s="103">
        <v>6229</v>
      </c>
    </row>
    <row r="28" spans="1:12" x14ac:dyDescent="0.2">
      <c r="A28" s="102">
        <v>23</v>
      </c>
      <c r="B28" s="100" t="s">
        <v>39</v>
      </c>
      <c r="C28" s="100">
        <v>0.93840000000000001</v>
      </c>
      <c r="D28" s="31">
        <v>952</v>
      </c>
      <c r="E28" s="31">
        <v>3075</v>
      </c>
      <c r="F28" s="31">
        <v>6275</v>
      </c>
      <c r="G28" s="31">
        <v>1068</v>
      </c>
      <c r="H28" s="31">
        <v>3190</v>
      </c>
      <c r="I28" s="31">
        <v>6390</v>
      </c>
      <c r="J28" s="31">
        <v>760</v>
      </c>
      <c r="K28" s="31">
        <v>2882</v>
      </c>
      <c r="L28" s="103">
        <v>6082</v>
      </c>
    </row>
    <row r="29" spans="1:12" x14ac:dyDescent="0.2">
      <c r="A29" s="102">
        <v>24</v>
      </c>
      <c r="B29" s="100" t="s">
        <v>40</v>
      </c>
      <c r="C29" s="100">
        <v>0.93359999999999999</v>
      </c>
      <c r="D29" s="31">
        <v>947</v>
      </c>
      <c r="E29" s="31">
        <v>3059</v>
      </c>
      <c r="F29" s="31">
        <v>6243</v>
      </c>
      <c r="G29" s="31">
        <v>1062</v>
      </c>
      <c r="H29" s="31">
        <v>3174</v>
      </c>
      <c r="I29" s="31">
        <v>6357</v>
      </c>
      <c r="J29" s="31">
        <v>756</v>
      </c>
      <c r="K29" s="31">
        <v>2868</v>
      </c>
      <c r="L29" s="103">
        <v>6051</v>
      </c>
    </row>
    <row r="30" spans="1:12" x14ac:dyDescent="0.2">
      <c r="A30" s="104">
        <v>25</v>
      </c>
      <c r="B30" s="101" t="s">
        <v>41</v>
      </c>
      <c r="C30" s="101">
        <v>0.93220000000000003</v>
      </c>
      <c r="D30" s="32">
        <v>946</v>
      </c>
      <c r="E30" s="32">
        <v>3054</v>
      </c>
      <c r="F30" s="32">
        <v>6233</v>
      </c>
      <c r="G30" s="32">
        <v>1061</v>
      </c>
      <c r="H30" s="32">
        <v>3169</v>
      </c>
      <c r="I30" s="32">
        <v>6348</v>
      </c>
      <c r="J30" s="32">
        <v>755</v>
      </c>
      <c r="K30" s="32">
        <v>2863</v>
      </c>
      <c r="L30" s="105">
        <v>6042</v>
      </c>
    </row>
    <row r="31" spans="1:12" x14ac:dyDescent="0.2">
      <c r="A31" s="102">
        <v>26</v>
      </c>
      <c r="B31" s="100" t="s">
        <v>42</v>
      </c>
      <c r="C31" s="100">
        <v>0.9536</v>
      </c>
      <c r="D31" s="31">
        <v>968</v>
      </c>
      <c r="E31" s="31">
        <v>3125</v>
      </c>
      <c r="F31" s="31">
        <v>6376</v>
      </c>
      <c r="G31" s="31">
        <v>1085</v>
      </c>
      <c r="H31" s="31">
        <v>3242</v>
      </c>
      <c r="I31" s="31">
        <v>6494</v>
      </c>
      <c r="J31" s="31">
        <v>772</v>
      </c>
      <c r="K31" s="31">
        <v>2929</v>
      </c>
      <c r="L31" s="103">
        <v>6181</v>
      </c>
    </row>
    <row r="32" spans="1:12" x14ac:dyDescent="0.2">
      <c r="A32" s="102">
        <v>27</v>
      </c>
      <c r="B32" s="100" t="s">
        <v>43</v>
      </c>
      <c r="C32" s="100">
        <v>0.94669999999999999</v>
      </c>
      <c r="D32" s="31">
        <v>961</v>
      </c>
      <c r="E32" s="31">
        <v>3102</v>
      </c>
      <c r="F32" s="31">
        <v>6330</v>
      </c>
      <c r="G32" s="31">
        <v>1077</v>
      </c>
      <c r="H32" s="31">
        <v>3218</v>
      </c>
      <c r="I32" s="31">
        <v>6447</v>
      </c>
      <c r="J32" s="31">
        <v>767</v>
      </c>
      <c r="K32" s="31">
        <v>2908</v>
      </c>
      <c r="L32" s="103">
        <v>6136</v>
      </c>
    </row>
    <row r="33" spans="1:12" x14ac:dyDescent="0.2">
      <c r="A33" s="102">
        <v>28</v>
      </c>
      <c r="B33" s="100" t="s">
        <v>44</v>
      </c>
      <c r="C33" s="100">
        <v>0.95040000000000002</v>
      </c>
      <c r="D33" s="31">
        <v>964</v>
      </c>
      <c r="E33" s="31">
        <v>3114</v>
      </c>
      <c r="F33" s="31">
        <v>6355</v>
      </c>
      <c r="G33" s="31">
        <v>1081</v>
      </c>
      <c r="H33" s="31">
        <v>3231</v>
      </c>
      <c r="I33" s="31">
        <v>6472</v>
      </c>
      <c r="J33" s="31">
        <v>770</v>
      </c>
      <c r="K33" s="31">
        <v>2919</v>
      </c>
      <c r="L33" s="103">
        <v>6160</v>
      </c>
    </row>
    <row r="34" spans="1:12" x14ac:dyDescent="0.2">
      <c r="A34" s="102">
        <v>29</v>
      </c>
      <c r="B34" s="100" t="s">
        <v>45</v>
      </c>
      <c r="C34" s="100">
        <v>1.0015000000000001</v>
      </c>
      <c r="D34" s="31">
        <v>1016</v>
      </c>
      <c r="E34" s="31">
        <v>3282</v>
      </c>
      <c r="F34" s="31">
        <v>6697</v>
      </c>
      <c r="G34" s="31">
        <v>1139</v>
      </c>
      <c r="H34" s="31">
        <v>3405</v>
      </c>
      <c r="I34" s="31">
        <v>6820</v>
      </c>
      <c r="J34" s="31">
        <v>811</v>
      </c>
      <c r="K34" s="31">
        <v>3076</v>
      </c>
      <c r="L34" s="103">
        <v>6491</v>
      </c>
    </row>
    <row r="35" spans="1:12" x14ac:dyDescent="0.2">
      <c r="A35" s="104">
        <v>30</v>
      </c>
      <c r="B35" s="101" t="s">
        <v>46</v>
      </c>
      <c r="C35" s="101">
        <v>0.93269999999999997</v>
      </c>
      <c r="D35" s="32">
        <v>946</v>
      </c>
      <c r="E35" s="32">
        <v>3056</v>
      </c>
      <c r="F35" s="32">
        <v>6237</v>
      </c>
      <c r="G35" s="32">
        <v>1061</v>
      </c>
      <c r="H35" s="32">
        <v>3171</v>
      </c>
      <c r="I35" s="32">
        <v>6351</v>
      </c>
      <c r="J35" s="32">
        <v>755</v>
      </c>
      <c r="K35" s="32">
        <v>2865</v>
      </c>
      <c r="L35" s="105">
        <v>6045</v>
      </c>
    </row>
    <row r="36" spans="1:12" x14ac:dyDescent="0.2">
      <c r="A36" s="102">
        <v>31</v>
      </c>
      <c r="B36" s="100" t="s">
        <v>47</v>
      </c>
      <c r="C36" s="100">
        <v>0.9849</v>
      </c>
      <c r="D36" s="31">
        <v>999</v>
      </c>
      <c r="E36" s="31">
        <v>3227</v>
      </c>
      <c r="F36" s="31">
        <v>6586</v>
      </c>
      <c r="G36" s="31">
        <v>1121</v>
      </c>
      <c r="H36" s="31">
        <v>3348</v>
      </c>
      <c r="I36" s="31">
        <v>6707</v>
      </c>
      <c r="J36" s="31">
        <v>798</v>
      </c>
      <c r="K36" s="31">
        <v>3025</v>
      </c>
      <c r="L36" s="103">
        <v>6384</v>
      </c>
    </row>
    <row r="37" spans="1:12" x14ac:dyDescent="0.2">
      <c r="A37" s="102">
        <v>32</v>
      </c>
      <c r="B37" s="100" t="s">
        <v>48</v>
      </c>
      <c r="C37" s="100">
        <v>0.92030000000000001</v>
      </c>
      <c r="D37" s="31">
        <v>934</v>
      </c>
      <c r="E37" s="31">
        <v>3015</v>
      </c>
      <c r="F37" s="31">
        <v>6154</v>
      </c>
      <c r="G37" s="31">
        <v>1047</v>
      </c>
      <c r="H37" s="31">
        <v>3129</v>
      </c>
      <c r="I37" s="31">
        <v>6267</v>
      </c>
      <c r="J37" s="31">
        <v>745</v>
      </c>
      <c r="K37" s="31">
        <v>2827</v>
      </c>
      <c r="L37" s="103">
        <v>5965</v>
      </c>
    </row>
    <row r="38" spans="1:12" x14ac:dyDescent="0.2">
      <c r="A38" s="102">
        <v>33</v>
      </c>
      <c r="B38" s="100" t="s">
        <v>49</v>
      </c>
      <c r="C38" s="100">
        <v>0.95489999999999997</v>
      </c>
      <c r="D38" s="31">
        <v>969</v>
      </c>
      <c r="E38" s="31">
        <v>3129</v>
      </c>
      <c r="F38" s="31">
        <v>6385</v>
      </c>
      <c r="G38" s="31">
        <v>1086</v>
      </c>
      <c r="H38" s="31">
        <v>3246</v>
      </c>
      <c r="I38" s="31">
        <v>6502</v>
      </c>
      <c r="J38" s="31">
        <v>773</v>
      </c>
      <c r="K38" s="31">
        <v>2933</v>
      </c>
      <c r="L38" s="103">
        <v>6189</v>
      </c>
    </row>
    <row r="39" spans="1:12" x14ac:dyDescent="0.2">
      <c r="A39" s="102">
        <v>34</v>
      </c>
      <c r="B39" s="100" t="s">
        <v>50</v>
      </c>
      <c r="C39" s="100">
        <v>0.93820000000000003</v>
      </c>
      <c r="D39" s="31">
        <v>952</v>
      </c>
      <c r="E39" s="31">
        <v>3074</v>
      </c>
      <c r="F39" s="31">
        <v>6273</v>
      </c>
      <c r="G39" s="31">
        <v>1067</v>
      </c>
      <c r="H39" s="31">
        <v>3190</v>
      </c>
      <c r="I39" s="31">
        <v>6389</v>
      </c>
      <c r="J39" s="31">
        <v>760</v>
      </c>
      <c r="K39" s="31">
        <v>2882</v>
      </c>
      <c r="L39" s="103">
        <v>6081</v>
      </c>
    </row>
    <row r="40" spans="1:12" x14ac:dyDescent="0.2">
      <c r="A40" s="104">
        <v>35</v>
      </c>
      <c r="B40" s="101" t="s">
        <v>51</v>
      </c>
      <c r="C40" s="101">
        <v>0.95950000000000002</v>
      </c>
      <c r="D40" s="32">
        <v>974</v>
      </c>
      <c r="E40" s="32">
        <v>3144</v>
      </c>
      <c r="F40" s="32">
        <v>6416</v>
      </c>
      <c r="G40" s="32">
        <v>1092</v>
      </c>
      <c r="H40" s="32">
        <v>3262</v>
      </c>
      <c r="I40" s="32">
        <v>6534</v>
      </c>
      <c r="J40" s="32">
        <v>777</v>
      </c>
      <c r="K40" s="32">
        <v>2947</v>
      </c>
      <c r="L40" s="105">
        <v>6219</v>
      </c>
    </row>
    <row r="41" spans="1:12" x14ac:dyDescent="0.2">
      <c r="A41" s="102">
        <v>36</v>
      </c>
      <c r="B41" s="100" t="s">
        <v>52</v>
      </c>
      <c r="C41" s="100">
        <v>0.97740000000000005</v>
      </c>
      <c r="D41" s="31">
        <v>992</v>
      </c>
      <c r="E41" s="31">
        <v>3203</v>
      </c>
      <c r="F41" s="31">
        <v>6535</v>
      </c>
      <c r="G41" s="31">
        <v>1112</v>
      </c>
      <c r="H41" s="31">
        <v>3323</v>
      </c>
      <c r="I41" s="31">
        <v>6656</v>
      </c>
      <c r="J41" s="31">
        <v>791</v>
      </c>
      <c r="K41" s="31">
        <v>3002</v>
      </c>
      <c r="L41" s="103">
        <v>6335</v>
      </c>
    </row>
    <row r="42" spans="1:12" x14ac:dyDescent="0.2">
      <c r="A42" s="102">
        <v>37</v>
      </c>
      <c r="B42" s="100" t="s">
        <v>53</v>
      </c>
      <c r="C42" s="100">
        <v>0.9718</v>
      </c>
      <c r="D42" s="31">
        <v>986</v>
      </c>
      <c r="E42" s="31">
        <v>3184</v>
      </c>
      <c r="F42" s="31">
        <v>6498</v>
      </c>
      <c r="G42" s="31">
        <v>1106</v>
      </c>
      <c r="H42" s="31">
        <v>3304</v>
      </c>
      <c r="I42" s="31">
        <v>6618</v>
      </c>
      <c r="J42" s="31">
        <v>787</v>
      </c>
      <c r="K42" s="31">
        <v>2985</v>
      </c>
      <c r="L42" s="103">
        <v>6299</v>
      </c>
    </row>
    <row r="43" spans="1:12" x14ac:dyDescent="0.2">
      <c r="A43" s="102">
        <v>38</v>
      </c>
      <c r="B43" s="100" t="s">
        <v>54</v>
      </c>
      <c r="C43" s="100">
        <v>0.93189999999999995</v>
      </c>
      <c r="D43" s="31">
        <v>946</v>
      </c>
      <c r="E43" s="31">
        <v>3054</v>
      </c>
      <c r="F43" s="31">
        <v>6231</v>
      </c>
      <c r="G43" s="31">
        <v>1060</v>
      </c>
      <c r="H43" s="31">
        <v>3168</v>
      </c>
      <c r="I43" s="31">
        <v>6346</v>
      </c>
      <c r="J43" s="31">
        <v>755</v>
      </c>
      <c r="K43" s="31">
        <v>2862</v>
      </c>
      <c r="L43" s="103">
        <v>6040</v>
      </c>
    </row>
    <row r="44" spans="1:12" x14ac:dyDescent="0.2">
      <c r="A44" s="102">
        <v>39</v>
      </c>
      <c r="B44" s="100" t="s">
        <v>55</v>
      </c>
      <c r="C44" s="100">
        <v>0.9284</v>
      </c>
      <c r="D44" s="31">
        <v>942</v>
      </c>
      <c r="E44" s="31">
        <v>3042</v>
      </c>
      <c r="F44" s="31">
        <v>6208</v>
      </c>
      <c r="G44" s="31">
        <v>1056</v>
      </c>
      <c r="H44" s="31">
        <v>3156</v>
      </c>
      <c r="I44" s="31">
        <v>6322</v>
      </c>
      <c r="J44" s="31">
        <v>752</v>
      </c>
      <c r="K44" s="31">
        <v>2852</v>
      </c>
      <c r="L44" s="103">
        <v>6017</v>
      </c>
    </row>
    <row r="45" spans="1:12" x14ac:dyDescent="0.2">
      <c r="A45" s="104">
        <v>40</v>
      </c>
      <c r="B45" s="101" t="s">
        <v>56</v>
      </c>
      <c r="C45" s="101">
        <v>0.93640000000000001</v>
      </c>
      <c r="D45" s="32">
        <v>950</v>
      </c>
      <c r="E45" s="32">
        <v>3068</v>
      </c>
      <c r="F45" s="32">
        <v>6261</v>
      </c>
      <c r="G45" s="32">
        <v>1065</v>
      </c>
      <c r="H45" s="32">
        <v>3183</v>
      </c>
      <c r="I45" s="32">
        <v>6376</v>
      </c>
      <c r="J45" s="32">
        <v>758</v>
      </c>
      <c r="K45" s="32">
        <v>2876</v>
      </c>
      <c r="L45" s="105">
        <v>6069</v>
      </c>
    </row>
    <row r="46" spans="1:12" x14ac:dyDescent="0.2">
      <c r="A46" s="102">
        <v>41</v>
      </c>
      <c r="B46" s="100" t="s">
        <v>57</v>
      </c>
      <c r="C46" s="100">
        <v>0.99670000000000003</v>
      </c>
      <c r="D46" s="31">
        <v>1011</v>
      </c>
      <c r="E46" s="31">
        <v>3266</v>
      </c>
      <c r="F46" s="31">
        <v>6664</v>
      </c>
      <c r="G46" s="31">
        <v>1134</v>
      </c>
      <c r="H46" s="31">
        <v>3388</v>
      </c>
      <c r="I46" s="31">
        <v>6787</v>
      </c>
      <c r="J46" s="31">
        <v>807</v>
      </c>
      <c r="K46" s="31">
        <v>3062</v>
      </c>
      <c r="L46" s="103">
        <v>6460</v>
      </c>
    </row>
    <row r="47" spans="1:12" x14ac:dyDescent="0.2">
      <c r="A47" s="102">
        <v>42</v>
      </c>
      <c r="B47" s="100" t="s">
        <v>58</v>
      </c>
      <c r="C47" s="100">
        <v>0.94830000000000003</v>
      </c>
      <c r="D47" s="31">
        <v>962</v>
      </c>
      <c r="E47" s="31">
        <v>3107</v>
      </c>
      <c r="F47" s="31">
        <v>6341</v>
      </c>
      <c r="G47" s="31">
        <v>1079</v>
      </c>
      <c r="H47" s="31">
        <v>3224</v>
      </c>
      <c r="I47" s="31">
        <v>6457</v>
      </c>
      <c r="J47" s="31">
        <v>768</v>
      </c>
      <c r="K47" s="31">
        <v>2913</v>
      </c>
      <c r="L47" s="103">
        <v>6146</v>
      </c>
    </row>
    <row r="48" spans="1:12" x14ac:dyDescent="0.2">
      <c r="A48" s="102">
        <v>43</v>
      </c>
      <c r="B48" s="100" t="s">
        <v>59</v>
      </c>
      <c r="C48" s="100">
        <v>0.99350000000000005</v>
      </c>
      <c r="D48" s="31">
        <v>1008</v>
      </c>
      <c r="E48" s="31">
        <v>3255</v>
      </c>
      <c r="F48" s="31">
        <v>6643</v>
      </c>
      <c r="G48" s="31">
        <v>1130</v>
      </c>
      <c r="H48" s="31">
        <v>3378</v>
      </c>
      <c r="I48" s="31">
        <v>6765</v>
      </c>
      <c r="J48" s="31">
        <v>805</v>
      </c>
      <c r="K48" s="31">
        <v>3052</v>
      </c>
      <c r="L48" s="103">
        <v>6439</v>
      </c>
    </row>
    <row r="49" spans="1:12" x14ac:dyDescent="0.2">
      <c r="A49" s="102">
        <v>44</v>
      </c>
      <c r="B49" s="100" t="s">
        <v>60</v>
      </c>
      <c r="C49" s="100">
        <v>1.0818000000000001</v>
      </c>
      <c r="D49" s="31">
        <v>1098</v>
      </c>
      <c r="E49" s="31">
        <v>3545</v>
      </c>
      <c r="F49" s="31">
        <v>7233</v>
      </c>
      <c r="G49" s="31">
        <v>1231</v>
      </c>
      <c r="H49" s="31">
        <v>3678</v>
      </c>
      <c r="I49" s="31">
        <v>7367</v>
      </c>
      <c r="J49" s="31">
        <v>876</v>
      </c>
      <c r="K49" s="31">
        <v>3323</v>
      </c>
      <c r="L49" s="103">
        <v>7012</v>
      </c>
    </row>
    <row r="50" spans="1:12" x14ac:dyDescent="0.2">
      <c r="A50" s="104">
        <v>45</v>
      </c>
      <c r="B50" s="101" t="s">
        <v>61</v>
      </c>
      <c r="C50" s="101">
        <v>0.94979999999999998</v>
      </c>
      <c r="D50" s="32">
        <v>964</v>
      </c>
      <c r="E50" s="32">
        <v>3112</v>
      </c>
      <c r="F50" s="32">
        <v>6351</v>
      </c>
      <c r="G50" s="32">
        <v>1081</v>
      </c>
      <c r="H50" s="32">
        <v>3229</v>
      </c>
      <c r="I50" s="32">
        <v>6468</v>
      </c>
      <c r="J50" s="32">
        <v>769</v>
      </c>
      <c r="K50" s="32">
        <v>2917</v>
      </c>
      <c r="L50" s="105">
        <v>6156</v>
      </c>
    </row>
    <row r="51" spans="1:12" x14ac:dyDescent="0.2">
      <c r="A51" s="102">
        <v>46</v>
      </c>
      <c r="B51" s="100" t="s">
        <v>62</v>
      </c>
      <c r="C51" s="100">
        <v>0.9627</v>
      </c>
      <c r="D51" s="31">
        <v>977</v>
      </c>
      <c r="E51" s="31">
        <v>3154</v>
      </c>
      <c r="F51" s="31">
        <v>6437</v>
      </c>
      <c r="G51" s="31">
        <v>1095</v>
      </c>
      <c r="H51" s="31">
        <v>3273</v>
      </c>
      <c r="I51" s="31">
        <v>6556</v>
      </c>
      <c r="J51" s="31">
        <v>780</v>
      </c>
      <c r="K51" s="31">
        <v>2957</v>
      </c>
      <c r="L51" s="103">
        <v>6240</v>
      </c>
    </row>
    <row r="52" spans="1:12" x14ac:dyDescent="0.2">
      <c r="A52" s="102">
        <v>47</v>
      </c>
      <c r="B52" s="100" t="s">
        <v>63</v>
      </c>
      <c r="C52" s="106">
        <v>0.95899999999999996</v>
      </c>
      <c r="D52" s="31">
        <v>973</v>
      </c>
      <c r="E52" s="31">
        <v>3142</v>
      </c>
      <c r="F52" s="31">
        <v>6412</v>
      </c>
      <c r="G52" s="31">
        <v>1091</v>
      </c>
      <c r="H52" s="31">
        <v>3260</v>
      </c>
      <c r="I52" s="31">
        <v>6530</v>
      </c>
      <c r="J52" s="31">
        <v>777</v>
      </c>
      <c r="K52" s="31">
        <v>2946</v>
      </c>
      <c r="L52" s="103">
        <v>6216</v>
      </c>
    </row>
    <row r="53" spans="1:12" x14ac:dyDescent="0.2">
      <c r="A53" s="102">
        <v>48</v>
      </c>
      <c r="B53" s="100" t="s">
        <v>64</v>
      </c>
      <c r="C53" s="100">
        <v>1.0003</v>
      </c>
      <c r="D53" s="31">
        <v>1015</v>
      </c>
      <c r="E53" s="31">
        <v>3278</v>
      </c>
      <c r="F53" s="31">
        <v>6689</v>
      </c>
      <c r="G53" s="31">
        <v>1138</v>
      </c>
      <c r="H53" s="31">
        <v>3401</v>
      </c>
      <c r="I53" s="31">
        <v>6812</v>
      </c>
      <c r="J53" s="31">
        <v>810</v>
      </c>
      <c r="K53" s="31">
        <v>3073</v>
      </c>
      <c r="L53" s="103">
        <v>6483</v>
      </c>
    </row>
    <row r="54" spans="1:12" x14ac:dyDescent="0.2">
      <c r="A54" s="102">
        <v>49</v>
      </c>
      <c r="B54" s="100" t="s">
        <v>65</v>
      </c>
      <c r="C54" s="100">
        <v>0.96760000000000002</v>
      </c>
      <c r="D54" s="31">
        <v>982</v>
      </c>
      <c r="E54" s="31">
        <v>3170</v>
      </c>
      <c r="F54" s="31">
        <v>6470</v>
      </c>
      <c r="G54" s="31">
        <v>1101</v>
      </c>
      <c r="H54" s="31">
        <v>3290</v>
      </c>
      <c r="I54" s="31">
        <v>6589</v>
      </c>
      <c r="J54" s="31">
        <v>784</v>
      </c>
      <c r="K54" s="31">
        <v>2972</v>
      </c>
      <c r="L54" s="103">
        <v>6272</v>
      </c>
    </row>
    <row r="55" spans="1:12" x14ac:dyDescent="0.2">
      <c r="A55" s="104">
        <v>50</v>
      </c>
      <c r="B55" s="101" t="s">
        <v>66</v>
      </c>
      <c r="C55" s="101">
        <v>1.0314000000000001</v>
      </c>
      <c r="D55" s="32">
        <v>1047</v>
      </c>
      <c r="E55" s="32">
        <v>3380</v>
      </c>
      <c r="F55" s="32">
        <v>6896</v>
      </c>
      <c r="G55" s="32">
        <v>1173</v>
      </c>
      <c r="H55" s="32">
        <v>3506</v>
      </c>
      <c r="I55" s="32">
        <v>7023</v>
      </c>
      <c r="J55" s="32">
        <v>835</v>
      </c>
      <c r="K55" s="32">
        <v>3168</v>
      </c>
      <c r="L55" s="105">
        <v>6685</v>
      </c>
    </row>
    <row r="56" spans="1:12" x14ac:dyDescent="0.2">
      <c r="A56" s="102">
        <v>51</v>
      </c>
      <c r="B56" s="100" t="s">
        <v>67</v>
      </c>
      <c r="C56" s="100">
        <v>0.95979999999999999</v>
      </c>
      <c r="D56" s="31">
        <v>974</v>
      </c>
      <c r="E56" s="31">
        <v>3145</v>
      </c>
      <c r="F56" s="31">
        <v>6418</v>
      </c>
      <c r="G56" s="31">
        <v>1092</v>
      </c>
      <c r="H56" s="31">
        <v>3263</v>
      </c>
      <c r="I56" s="31">
        <v>6536</v>
      </c>
      <c r="J56" s="31">
        <v>777</v>
      </c>
      <c r="K56" s="31">
        <v>2948</v>
      </c>
      <c r="L56" s="103">
        <v>6221</v>
      </c>
    </row>
    <row r="57" spans="1:12" x14ac:dyDescent="0.2">
      <c r="A57" s="102">
        <v>52</v>
      </c>
      <c r="B57" s="100" t="s">
        <v>68</v>
      </c>
      <c r="C57" s="106">
        <v>1.024</v>
      </c>
      <c r="D57" s="31">
        <v>1039</v>
      </c>
      <c r="E57" s="31">
        <v>3355</v>
      </c>
      <c r="F57" s="31">
        <v>6847</v>
      </c>
      <c r="G57" s="31">
        <v>1165</v>
      </c>
      <c r="H57" s="31">
        <v>3481</v>
      </c>
      <c r="I57" s="31">
        <v>6973</v>
      </c>
      <c r="J57" s="31">
        <v>829</v>
      </c>
      <c r="K57" s="31">
        <v>3145</v>
      </c>
      <c r="L57" s="103">
        <v>6637</v>
      </c>
    </row>
    <row r="58" spans="1:12" x14ac:dyDescent="0.2">
      <c r="A58" s="102">
        <v>53</v>
      </c>
      <c r="B58" s="100" t="s">
        <v>69</v>
      </c>
      <c r="C58" s="100">
        <v>0.96409999999999996</v>
      </c>
      <c r="D58" s="31">
        <v>978</v>
      </c>
      <c r="E58" s="31">
        <v>3159</v>
      </c>
      <c r="F58" s="31">
        <v>6446</v>
      </c>
      <c r="G58" s="31">
        <v>1097</v>
      </c>
      <c r="H58" s="31">
        <v>3278</v>
      </c>
      <c r="I58" s="31">
        <v>6565</v>
      </c>
      <c r="J58" s="31">
        <v>781</v>
      </c>
      <c r="K58" s="31">
        <v>2961</v>
      </c>
      <c r="L58" s="103">
        <v>6249</v>
      </c>
    </row>
    <row r="59" spans="1:12" x14ac:dyDescent="0.2">
      <c r="A59" s="102">
        <v>54</v>
      </c>
      <c r="B59" s="100" t="s">
        <v>70</v>
      </c>
      <c r="C59" s="100">
        <v>0.93969999999999998</v>
      </c>
      <c r="D59" s="31">
        <v>954</v>
      </c>
      <c r="E59" s="31">
        <v>3079</v>
      </c>
      <c r="F59" s="31">
        <v>6283</v>
      </c>
      <c r="G59" s="31">
        <v>1069</v>
      </c>
      <c r="H59" s="31">
        <v>3195</v>
      </c>
      <c r="I59" s="31">
        <v>6399</v>
      </c>
      <c r="J59" s="31">
        <v>761</v>
      </c>
      <c r="K59" s="31">
        <v>2886</v>
      </c>
      <c r="L59" s="103">
        <v>6091</v>
      </c>
    </row>
    <row r="60" spans="1:12" x14ac:dyDescent="0.2">
      <c r="A60" s="104">
        <v>55</v>
      </c>
      <c r="B60" s="101" t="s">
        <v>71</v>
      </c>
      <c r="C60" s="101">
        <v>0.97919999999999996</v>
      </c>
      <c r="D60" s="32">
        <v>994</v>
      </c>
      <c r="E60" s="32">
        <v>3208</v>
      </c>
      <c r="F60" s="32">
        <v>6547</v>
      </c>
      <c r="G60" s="32">
        <v>1114</v>
      </c>
      <c r="H60" s="32">
        <v>3329</v>
      </c>
      <c r="I60" s="32">
        <v>6668</v>
      </c>
      <c r="J60" s="32">
        <v>793</v>
      </c>
      <c r="K60" s="32">
        <v>3008</v>
      </c>
      <c r="L60" s="105">
        <v>6347</v>
      </c>
    </row>
    <row r="61" spans="1:12" x14ac:dyDescent="0.2">
      <c r="A61" s="102">
        <v>56</v>
      </c>
      <c r="B61" s="100" t="s">
        <v>72</v>
      </c>
      <c r="C61" s="100">
        <v>0.96379999999999999</v>
      </c>
      <c r="D61" s="31">
        <v>978</v>
      </c>
      <c r="E61" s="31">
        <v>3158</v>
      </c>
      <c r="F61" s="31">
        <v>6444</v>
      </c>
      <c r="G61" s="31">
        <v>1097</v>
      </c>
      <c r="H61" s="31">
        <v>3277</v>
      </c>
      <c r="I61" s="31">
        <v>6563</v>
      </c>
      <c r="J61" s="31">
        <v>780</v>
      </c>
      <c r="K61" s="31">
        <v>2960</v>
      </c>
      <c r="L61" s="103">
        <v>6247</v>
      </c>
    </row>
    <row r="62" spans="1:12" x14ac:dyDescent="0.2">
      <c r="A62" s="102">
        <v>57</v>
      </c>
      <c r="B62" s="100" t="s">
        <v>73</v>
      </c>
      <c r="C62" s="100">
        <v>0.93820000000000003</v>
      </c>
      <c r="D62" s="31">
        <v>952</v>
      </c>
      <c r="E62" s="31">
        <v>3074</v>
      </c>
      <c r="F62" s="31">
        <v>6273</v>
      </c>
      <c r="G62" s="31">
        <v>1067</v>
      </c>
      <c r="H62" s="31">
        <v>3190</v>
      </c>
      <c r="I62" s="31">
        <v>6389</v>
      </c>
      <c r="J62" s="31">
        <v>760</v>
      </c>
      <c r="K62" s="31">
        <v>2882</v>
      </c>
      <c r="L62" s="103">
        <v>6081</v>
      </c>
    </row>
    <row r="63" spans="1:12" x14ac:dyDescent="0.2">
      <c r="A63" s="102">
        <v>58</v>
      </c>
      <c r="B63" s="100" t="s">
        <v>74</v>
      </c>
      <c r="C63" s="100">
        <v>1.0125999999999999</v>
      </c>
      <c r="D63" s="31">
        <v>1028</v>
      </c>
      <c r="E63" s="31">
        <v>3318</v>
      </c>
      <c r="F63" s="31">
        <v>6771</v>
      </c>
      <c r="G63" s="31">
        <v>1152</v>
      </c>
      <c r="H63" s="31">
        <v>3442</v>
      </c>
      <c r="I63" s="31">
        <v>6895</v>
      </c>
      <c r="J63" s="31">
        <v>820</v>
      </c>
      <c r="K63" s="31">
        <v>3110</v>
      </c>
      <c r="L63" s="103">
        <v>6563</v>
      </c>
    </row>
    <row r="64" spans="1:12" x14ac:dyDescent="0.2">
      <c r="A64" s="102">
        <v>59</v>
      </c>
      <c r="B64" s="100" t="s">
        <v>75</v>
      </c>
      <c r="C64" s="100">
        <v>0.99429999999999996</v>
      </c>
      <c r="D64" s="31">
        <v>1009</v>
      </c>
      <c r="E64" s="31">
        <v>3258</v>
      </c>
      <c r="F64" s="31">
        <v>6648</v>
      </c>
      <c r="G64" s="31">
        <v>1131</v>
      </c>
      <c r="H64" s="31">
        <v>3380</v>
      </c>
      <c r="I64" s="31">
        <v>6771</v>
      </c>
      <c r="J64" s="31">
        <v>805</v>
      </c>
      <c r="K64" s="31">
        <v>3054</v>
      </c>
      <c r="L64" s="103">
        <v>6445</v>
      </c>
    </row>
    <row r="65" spans="1:12" x14ac:dyDescent="0.2">
      <c r="A65" s="104">
        <v>60</v>
      </c>
      <c r="B65" s="101" t="s">
        <v>76</v>
      </c>
      <c r="C65" s="101">
        <v>0.92190000000000005</v>
      </c>
      <c r="D65" s="32">
        <v>936</v>
      </c>
      <c r="E65" s="32">
        <v>3021</v>
      </c>
      <c r="F65" s="32">
        <v>6164</v>
      </c>
      <c r="G65" s="32">
        <v>1049</v>
      </c>
      <c r="H65" s="32">
        <v>3134</v>
      </c>
      <c r="I65" s="32">
        <v>6278</v>
      </c>
      <c r="J65" s="32">
        <v>747</v>
      </c>
      <c r="K65" s="32">
        <v>2832</v>
      </c>
      <c r="L65" s="105">
        <v>5975</v>
      </c>
    </row>
    <row r="66" spans="1:12" x14ac:dyDescent="0.2">
      <c r="A66" s="102">
        <v>61</v>
      </c>
      <c r="B66" s="100" t="s">
        <v>77</v>
      </c>
      <c r="C66" s="100">
        <v>0.92930000000000001</v>
      </c>
      <c r="D66" s="31">
        <v>943</v>
      </c>
      <c r="E66" s="31">
        <v>3045</v>
      </c>
      <c r="F66" s="31">
        <v>6214</v>
      </c>
      <c r="G66" s="31">
        <v>1057</v>
      </c>
      <c r="H66" s="31">
        <v>3159</v>
      </c>
      <c r="I66" s="31">
        <v>6328</v>
      </c>
      <c r="J66" s="31">
        <v>753</v>
      </c>
      <c r="K66" s="31">
        <v>2854</v>
      </c>
      <c r="L66" s="103">
        <v>6023</v>
      </c>
    </row>
    <row r="67" spans="1:12" x14ac:dyDescent="0.2">
      <c r="A67" s="102">
        <v>62</v>
      </c>
      <c r="B67" s="100" t="s">
        <v>78</v>
      </c>
      <c r="C67" s="100">
        <v>0.94989999999999997</v>
      </c>
      <c r="D67" s="31">
        <v>964</v>
      </c>
      <c r="E67" s="31">
        <v>3112</v>
      </c>
      <c r="F67" s="31">
        <v>6352</v>
      </c>
      <c r="G67" s="31">
        <v>1081</v>
      </c>
      <c r="H67" s="31">
        <v>3229</v>
      </c>
      <c r="I67" s="31">
        <v>6468</v>
      </c>
      <c r="J67" s="31">
        <v>769</v>
      </c>
      <c r="K67" s="31">
        <v>2918</v>
      </c>
      <c r="L67" s="103">
        <v>6157</v>
      </c>
    </row>
    <row r="68" spans="1:12" x14ac:dyDescent="0.2">
      <c r="A68" s="102">
        <v>63</v>
      </c>
      <c r="B68" s="100" t="s">
        <v>79</v>
      </c>
      <c r="C68" s="100">
        <v>0.93140000000000001</v>
      </c>
      <c r="D68" s="31">
        <v>945</v>
      </c>
      <c r="E68" s="31">
        <v>3052</v>
      </c>
      <c r="F68" s="31">
        <v>6228</v>
      </c>
      <c r="G68" s="31">
        <v>1060</v>
      </c>
      <c r="H68" s="31">
        <v>3166</v>
      </c>
      <c r="I68" s="31">
        <v>6342</v>
      </c>
      <c r="J68" s="31">
        <v>754</v>
      </c>
      <c r="K68" s="31">
        <v>2861</v>
      </c>
      <c r="L68" s="103">
        <v>6037</v>
      </c>
    </row>
    <row r="69" spans="1:12" x14ac:dyDescent="0.2">
      <c r="A69" s="102">
        <v>64</v>
      </c>
      <c r="B69" s="100" t="s">
        <v>80</v>
      </c>
      <c r="C69" s="100">
        <v>0.9647</v>
      </c>
      <c r="D69" s="31">
        <v>979</v>
      </c>
      <c r="E69" s="31">
        <v>3161</v>
      </c>
      <c r="F69" s="31">
        <v>6451</v>
      </c>
      <c r="G69" s="31">
        <v>1098</v>
      </c>
      <c r="H69" s="31">
        <v>3280</v>
      </c>
      <c r="I69" s="31">
        <v>6569</v>
      </c>
      <c r="J69" s="31">
        <v>781</v>
      </c>
      <c r="K69" s="31">
        <v>2963</v>
      </c>
      <c r="L69" s="103">
        <v>6253</v>
      </c>
    </row>
    <row r="70" spans="1:12" x14ac:dyDescent="0.2">
      <c r="A70" s="104">
        <v>65</v>
      </c>
      <c r="B70" s="101" t="s">
        <v>81</v>
      </c>
      <c r="C70" s="107">
        <v>0.94299999999999995</v>
      </c>
      <c r="D70" s="32">
        <v>957</v>
      </c>
      <c r="E70" s="32">
        <v>3090</v>
      </c>
      <c r="F70" s="32">
        <v>6305</v>
      </c>
      <c r="G70" s="32">
        <v>1073</v>
      </c>
      <c r="H70" s="32">
        <v>3206</v>
      </c>
      <c r="I70" s="32">
        <v>6421</v>
      </c>
      <c r="J70" s="32">
        <v>764</v>
      </c>
      <c r="K70" s="32">
        <v>2897</v>
      </c>
      <c r="L70" s="105">
        <v>6112</v>
      </c>
    </row>
    <row r="71" spans="1:12" x14ac:dyDescent="0.2">
      <c r="A71" s="102">
        <v>66</v>
      </c>
      <c r="B71" s="100" t="s">
        <v>82</v>
      </c>
      <c r="C71" s="100">
        <v>0.93720000000000003</v>
      </c>
      <c r="D71" s="31">
        <v>951</v>
      </c>
      <c r="E71" s="31">
        <v>3071</v>
      </c>
      <c r="F71" s="31">
        <v>6267</v>
      </c>
      <c r="G71" s="31">
        <v>1066</v>
      </c>
      <c r="H71" s="31">
        <v>3186</v>
      </c>
      <c r="I71" s="31">
        <v>6382</v>
      </c>
      <c r="J71" s="31">
        <v>759</v>
      </c>
      <c r="K71" s="31">
        <v>2879</v>
      </c>
      <c r="L71" s="103">
        <v>6074</v>
      </c>
    </row>
    <row r="72" spans="1:12" x14ac:dyDescent="0.2">
      <c r="A72" s="104">
        <v>67</v>
      </c>
      <c r="B72" s="101" t="s">
        <v>83</v>
      </c>
      <c r="C72" s="101">
        <v>0.90969999999999995</v>
      </c>
      <c r="D72" s="32">
        <v>923</v>
      </c>
      <c r="E72" s="32">
        <v>2981</v>
      </c>
      <c r="F72" s="32">
        <v>6083</v>
      </c>
      <c r="G72" s="32">
        <v>1035</v>
      </c>
      <c r="H72" s="32">
        <v>3093</v>
      </c>
      <c r="I72" s="32">
        <v>6195</v>
      </c>
      <c r="J72" s="32">
        <v>737</v>
      </c>
      <c r="K72" s="32">
        <v>2794</v>
      </c>
      <c r="L72" s="105">
        <v>5896</v>
      </c>
    </row>
    <row r="73" spans="1:12" x14ac:dyDescent="0.2">
      <c r="A73" s="102">
        <v>68</v>
      </c>
      <c r="B73" s="100" t="s">
        <v>84</v>
      </c>
      <c r="C73" s="100">
        <v>0.90969999999999995</v>
      </c>
      <c r="D73" s="31">
        <v>923</v>
      </c>
      <c r="E73" s="31">
        <v>2981</v>
      </c>
      <c r="F73" s="31">
        <v>6083</v>
      </c>
      <c r="G73" s="31">
        <v>1035</v>
      </c>
      <c r="H73" s="31">
        <v>3093</v>
      </c>
      <c r="I73" s="31">
        <v>6195</v>
      </c>
      <c r="J73" s="31">
        <v>737</v>
      </c>
      <c r="K73" s="31">
        <v>2794</v>
      </c>
      <c r="L73" s="103">
        <v>5896</v>
      </c>
    </row>
    <row r="74" spans="1:12" x14ac:dyDescent="0.2">
      <c r="A74" s="102">
        <v>69</v>
      </c>
      <c r="B74" s="100" t="s">
        <v>85</v>
      </c>
      <c r="C74" s="100">
        <v>0.9718</v>
      </c>
      <c r="D74" s="31">
        <v>986</v>
      </c>
      <c r="E74" s="31">
        <v>3184</v>
      </c>
      <c r="F74" s="31">
        <v>6498</v>
      </c>
      <c r="G74" s="31">
        <v>1106</v>
      </c>
      <c r="H74" s="31">
        <v>3304</v>
      </c>
      <c r="I74" s="31">
        <v>6618</v>
      </c>
      <c r="J74" s="31">
        <v>787</v>
      </c>
      <c r="K74" s="31">
        <v>2985</v>
      </c>
      <c r="L74" s="103">
        <v>6299</v>
      </c>
    </row>
    <row r="75" spans="1:12" x14ac:dyDescent="0.2">
      <c r="A75" s="102">
        <v>70</v>
      </c>
      <c r="B75" s="100" t="s">
        <v>86</v>
      </c>
      <c r="C75" s="100">
        <v>1.0314000000000001</v>
      </c>
      <c r="D75" s="31">
        <v>1047</v>
      </c>
      <c r="E75" s="31">
        <v>3380</v>
      </c>
      <c r="F75" s="31">
        <v>6896</v>
      </c>
      <c r="G75" s="31">
        <v>1173</v>
      </c>
      <c r="H75" s="31">
        <v>3506</v>
      </c>
      <c r="I75" s="31">
        <v>7023</v>
      </c>
      <c r="J75" s="31">
        <v>835</v>
      </c>
      <c r="K75" s="31">
        <v>3168</v>
      </c>
      <c r="L75" s="103">
        <v>6685</v>
      </c>
    </row>
    <row r="76" spans="1:12" x14ac:dyDescent="0.2">
      <c r="A76" s="102">
        <v>71</v>
      </c>
      <c r="B76" s="100" t="s">
        <v>128</v>
      </c>
      <c r="C76" s="100">
        <v>0.96379999999999999</v>
      </c>
      <c r="D76" s="31">
        <v>978</v>
      </c>
      <c r="E76" s="31">
        <v>3158</v>
      </c>
      <c r="F76" s="31">
        <v>6444</v>
      </c>
      <c r="G76" s="31">
        <v>1097</v>
      </c>
      <c r="H76" s="31">
        <v>3277</v>
      </c>
      <c r="I76" s="31">
        <v>6563</v>
      </c>
      <c r="J76" s="31">
        <v>780</v>
      </c>
      <c r="K76" s="31">
        <v>2960</v>
      </c>
      <c r="L76" s="103">
        <v>6247</v>
      </c>
    </row>
    <row r="77" spans="1:12" x14ac:dyDescent="0.2">
      <c r="A77" s="102">
        <v>72</v>
      </c>
      <c r="B77" s="100" t="s">
        <v>129</v>
      </c>
      <c r="C77" s="100">
        <v>1.0429999999999999</v>
      </c>
      <c r="D77" s="31">
        <v>1058</v>
      </c>
      <c r="E77" s="31">
        <v>3418</v>
      </c>
      <c r="F77" s="31">
        <v>6974</v>
      </c>
      <c r="G77" s="31">
        <v>1187</v>
      </c>
      <c r="H77" s="31">
        <v>3546</v>
      </c>
      <c r="I77" s="31">
        <v>7102</v>
      </c>
      <c r="J77" s="31">
        <v>845</v>
      </c>
      <c r="K77" s="31">
        <v>3204</v>
      </c>
      <c r="L77" s="103">
        <v>6760</v>
      </c>
    </row>
    <row r="78" spans="1:12" x14ac:dyDescent="0.2">
      <c r="A78" s="102">
        <v>73</v>
      </c>
      <c r="B78" s="100" t="s">
        <v>126</v>
      </c>
      <c r="C78" s="100">
        <v>0.9718</v>
      </c>
      <c r="D78" s="31">
        <v>986</v>
      </c>
      <c r="E78" s="31">
        <v>3184</v>
      </c>
      <c r="F78" s="31">
        <v>6498</v>
      </c>
      <c r="G78" s="31">
        <v>1106</v>
      </c>
      <c r="H78" s="31">
        <v>3304</v>
      </c>
      <c r="I78" s="31">
        <v>6618</v>
      </c>
      <c r="J78" s="31">
        <v>787</v>
      </c>
      <c r="K78" s="31">
        <v>2985</v>
      </c>
      <c r="L78" s="103">
        <v>6299</v>
      </c>
    </row>
    <row r="79" spans="1:12" x14ac:dyDescent="0.2">
      <c r="A79" s="102">
        <v>74</v>
      </c>
      <c r="B79" s="100" t="s">
        <v>87</v>
      </c>
      <c r="C79" s="100">
        <v>0.96040000000000003</v>
      </c>
      <c r="D79" s="31">
        <v>975</v>
      </c>
      <c r="E79" s="31">
        <v>3147</v>
      </c>
      <c r="F79" s="31">
        <v>6422</v>
      </c>
      <c r="G79" s="31">
        <v>1093</v>
      </c>
      <c r="H79" s="31">
        <v>3265</v>
      </c>
      <c r="I79" s="31">
        <v>6540</v>
      </c>
      <c r="J79" s="31">
        <v>778</v>
      </c>
      <c r="K79" s="31">
        <v>2950</v>
      </c>
      <c r="L79" s="103">
        <v>6225</v>
      </c>
    </row>
    <row r="80" spans="1:12" x14ac:dyDescent="0.2">
      <c r="A80" s="104">
        <v>75</v>
      </c>
      <c r="B80" s="101" t="s">
        <v>130</v>
      </c>
      <c r="C80" s="101">
        <v>1</v>
      </c>
      <c r="D80" s="32">
        <v>1015</v>
      </c>
      <c r="E80" s="32">
        <v>3277</v>
      </c>
      <c r="F80" s="32">
        <v>6687</v>
      </c>
      <c r="G80" s="32">
        <v>1138</v>
      </c>
      <c r="H80" s="32">
        <v>3400</v>
      </c>
      <c r="I80" s="32">
        <v>6810</v>
      </c>
      <c r="J80" s="32">
        <v>810</v>
      </c>
      <c r="K80" s="32">
        <v>3072</v>
      </c>
      <c r="L80" s="105">
        <v>6482</v>
      </c>
    </row>
    <row r="81" spans="2:12" x14ac:dyDescent="0.2">
      <c r="B81" s="34"/>
      <c r="D81" s="34"/>
      <c r="E81" s="34"/>
      <c r="F81" s="34"/>
      <c r="G81" s="34"/>
      <c r="H81" s="34"/>
      <c r="I81" s="34"/>
      <c r="J81" s="34"/>
      <c r="K81" s="34"/>
      <c r="L81" s="34"/>
    </row>
    <row r="89" spans="2:12" x14ac:dyDescent="0.2">
      <c r="D89" s="34"/>
    </row>
  </sheetData>
  <mergeCells count="16">
    <mergeCell ref="A1:L1"/>
    <mergeCell ref="A2:A5"/>
    <mergeCell ref="B2:B5"/>
    <mergeCell ref="C2:C5"/>
    <mergeCell ref="D2:F2"/>
    <mergeCell ref="G2:I2"/>
    <mergeCell ref="J2:L2"/>
    <mergeCell ref="D3:D5"/>
    <mergeCell ref="E3:E5"/>
    <mergeCell ref="F3:F5"/>
    <mergeCell ref="G3:G5"/>
    <mergeCell ref="H3:H5"/>
    <mergeCell ref="I3:I5"/>
    <mergeCell ref="J3:J5"/>
    <mergeCell ref="K3:K5"/>
    <mergeCell ref="L3:L5"/>
  </mergeCells>
  <printOptions horizontalCentered="1"/>
  <pageMargins left="0.75" right="0.75" top="0.5" bottom="0.5" header="0.5" footer="0.25"/>
  <pageSetup scale="71" orientation="portrait" r:id="rId1"/>
  <headerFooter alignWithMargins="0">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zoomScaleNormal="100" workbookViewId="0">
      <selection activeCellId="1" sqref="A1:XFD1048576 A1:XFD1048576"/>
    </sheetView>
  </sheetViews>
  <sheetFormatPr defaultRowHeight="12.75" x14ac:dyDescent="0.2"/>
  <cols>
    <col min="1" max="1" width="4.7109375" style="798" customWidth="1"/>
    <col min="2" max="2" width="3.7109375" style="798" customWidth="1"/>
    <col min="3" max="3" width="11.42578125" style="798" bestFit="1" customWidth="1"/>
    <col min="4" max="4" width="13.85546875" style="798" bestFit="1" customWidth="1"/>
    <col min="5" max="5" width="11.85546875" style="798" bestFit="1" customWidth="1"/>
    <col min="6" max="6" width="9.85546875" style="798" bestFit="1" customWidth="1"/>
    <col min="7" max="7" width="1.85546875" style="798" customWidth="1"/>
    <col min="8" max="8" width="10.5703125" style="798" bestFit="1" customWidth="1"/>
    <col min="9" max="9" width="9.7109375" style="798" bestFit="1" customWidth="1"/>
    <col min="10" max="10" width="9.85546875" style="798" bestFit="1" customWidth="1"/>
    <col min="11" max="11" width="1.85546875" style="798" customWidth="1"/>
    <col min="12" max="12" width="9.85546875" style="798" bestFit="1" customWidth="1"/>
    <col min="13" max="256" width="9.140625" style="798"/>
    <col min="257" max="257" width="4.7109375" style="798" customWidth="1"/>
    <col min="258" max="258" width="3.7109375" style="798" customWidth="1"/>
    <col min="259" max="259" width="11.42578125" style="798" bestFit="1" customWidth="1"/>
    <col min="260" max="260" width="13.85546875" style="798" bestFit="1" customWidth="1"/>
    <col min="261" max="261" width="11.85546875" style="798" bestFit="1" customWidth="1"/>
    <col min="262" max="262" width="9.85546875" style="798" bestFit="1" customWidth="1"/>
    <col min="263" max="263" width="1.85546875" style="798" customWidth="1"/>
    <col min="264" max="264" width="10.5703125" style="798" bestFit="1" customWidth="1"/>
    <col min="265" max="265" width="9.7109375" style="798" bestFit="1" customWidth="1"/>
    <col min="266" max="266" width="9.85546875" style="798" bestFit="1" customWidth="1"/>
    <col min="267" max="267" width="1.85546875" style="798" customWidth="1"/>
    <col min="268" max="268" width="9.85546875" style="798" bestFit="1" customWidth="1"/>
    <col min="269" max="512" width="9.140625" style="798"/>
    <col min="513" max="513" width="4.7109375" style="798" customWidth="1"/>
    <col min="514" max="514" width="3.7109375" style="798" customWidth="1"/>
    <col min="515" max="515" width="11.42578125" style="798" bestFit="1" customWidth="1"/>
    <col min="516" max="516" width="13.85546875" style="798" bestFit="1" customWidth="1"/>
    <col min="517" max="517" width="11.85546875" style="798" bestFit="1" customWidth="1"/>
    <col min="518" max="518" width="9.85546875" style="798" bestFit="1" customWidth="1"/>
    <col min="519" max="519" width="1.85546875" style="798" customWidth="1"/>
    <col min="520" max="520" width="10.5703125" style="798" bestFit="1" customWidth="1"/>
    <col min="521" max="521" width="9.7109375" style="798" bestFit="1" customWidth="1"/>
    <col min="522" max="522" width="9.85546875" style="798" bestFit="1" customWidth="1"/>
    <col min="523" max="523" width="1.85546875" style="798" customWidth="1"/>
    <col min="524" max="524" width="9.85546875" style="798" bestFit="1" customWidth="1"/>
    <col min="525" max="768" width="9.140625" style="798"/>
    <col min="769" max="769" width="4.7109375" style="798" customWidth="1"/>
    <col min="770" max="770" width="3.7109375" style="798" customWidth="1"/>
    <col min="771" max="771" width="11.42578125" style="798" bestFit="1" customWidth="1"/>
    <col min="772" max="772" width="13.85546875" style="798" bestFit="1" customWidth="1"/>
    <col min="773" max="773" width="11.85546875" style="798" bestFit="1" customWidth="1"/>
    <col min="774" max="774" width="9.85546875" style="798" bestFit="1" customWidth="1"/>
    <col min="775" max="775" width="1.85546875" style="798" customWidth="1"/>
    <col min="776" max="776" width="10.5703125" style="798" bestFit="1" customWidth="1"/>
    <col min="777" max="777" width="9.7109375" style="798" bestFit="1" customWidth="1"/>
    <col min="778" max="778" width="9.85546875" style="798" bestFit="1" customWidth="1"/>
    <col min="779" max="779" width="1.85546875" style="798" customWidth="1"/>
    <col min="780" max="780" width="9.85546875" style="798" bestFit="1" customWidth="1"/>
    <col min="781" max="1024" width="9.140625" style="798"/>
    <col min="1025" max="1025" width="4.7109375" style="798" customWidth="1"/>
    <col min="1026" max="1026" width="3.7109375" style="798" customWidth="1"/>
    <col min="1027" max="1027" width="11.42578125" style="798" bestFit="1" customWidth="1"/>
    <col min="1028" max="1028" width="13.85546875" style="798" bestFit="1" customWidth="1"/>
    <col min="1029" max="1029" width="11.85546875" style="798" bestFit="1" customWidth="1"/>
    <col min="1030" max="1030" width="9.85546875" style="798" bestFit="1" customWidth="1"/>
    <col min="1031" max="1031" width="1.85546875" style="798" customWidth="1"/>
    <col min="1032" max="1032" width="10.5703125" style="798" bestFit="1" customWidth="1"/>
    <col min="1033" max="1033" width="9.7109375" style="798" bestFit="1" customWidth="1"/>
    <col min="1034" max="1034" width="9.85546875" style="798" bestFit="1" customWidth="1"/>
    <col min="1035" max="1035" width="1.85546875" style="798" customWidth="1"/>
    <col min="1036" max="1036" width="9.85546875" style="798" bestFit="1" customWidth="1"/>
    <col min="1037" max="1280" width="9.140625" style="798"/>
    <col min="1281" max="1281" width="4.7109375" style="798" customWidth="1"/>
    <col min="1282" max="1282" width="3.7109375" style="798" customWidth="1"/>
    <col min="1283" max="1283" width="11.42578125" style="798" bestFit="1" customWidth="1"/>
    <col min="1284" max="1284" width="13.85546875" style="798" bestFit="1" customWidth="1"/>
    <col min="1285" max="1285" width="11.85546875" style="798" bestFit="1" customWidth="1"/>
    <col min="1286" max="1286" width="9.85546875" style="798" bestFit="1" customWidth="1"/>
    <col min="1287" max="1287" width="1.85546875" style="798" customWidth="1"/>
    <col min="1288" max="1288" width="10.5703125" style="798" bestFit="1" customWidth="1"/>
    <col min="1289" max="1289" width="9.7109375" style="798" bestFit="1" customWidth="1"/>
    <col min="1290" max="1290" width="9.85546875" style="798" bestFit="1" customWidth="1"/>
    <col min="1291" max="1291" width="1.85546875" style="798" customWidth="1"/>
    <col min="1292" max="1292" width="9.85546875" style="798" bestFit="1" customWidth="1"/>
    <col min="1293" max="1536" width="9.140625" style="798"/>
    <col min="1537" max="1537" width="4.7109375" style="798" customWidth="1"/>
    <col min="1538" max="1538" width="3.7109375" style="798" customWidth="1"/>
    <col min="1539" max="1539" width="11.42578125" style="798" bestFit="1" customWidth="1"/>
    <col min="1540" max="1540" width="13.85546875" style="798" bestFit="1" customWidth="1"/>
    <col min="1541" max="1541" width="11.85546875" style="798" bestFit="1" customWidth="1"/>
    <col min="1542" max="1542" width="9.85546875" style="798" bestFit="1" customWidth="1"/>
    <col min="1543" max="1543" width="1.85546875" style="798" customWidth="1"/>
    <col min="1544" max="1544" width="10.5703125" style="798" bestFit="1" customWidth="1"/>
    <col min="1545" max="1545" width="9.7109375" style="798" bestFit="1" customWidth="1"/>
    <col min="1546" max="1546" width="9.85546875" style="798" bestFit="1" customWidth="1"/>
    <col min="1547" max="1547" width="1.85546875" style="798" customWidth="1"/>
    <col min="1548" max="1548" width="9.85546875" style="798" bestFit="1" customWidth="1"/>
    <col min="1549" max="1792" width="9.140625" style="798"/>
    <col min="1793" max="1793" width="4.7109375" style="798" customWidth="1"/>
    <col min="1794" max="1794" width="3.7109375" style="798" customWidth="1"/>
    <col min="1795" max="1795" width="11.42578125" style="798" bestFit="1" customWidth="1"/>
    <col min="1796" max="1796" width="13.85546875" style="798" bestFit="1" customWidth="1"/>
    <col min="1797" max="1797" width="11.85546875" style="798" bestFit="1" customWidth="1"/>
    <col min="1798" max="1798" width="9.85546875" style="798" bestFit="1" customWidth="1"/>
    <col min="1799" max="1799" width="1.85546875" style="798" customWidth="1"/>
    <col min="1800" max="1800" width="10.5703125" style="798" bestFit="1" customWidth="1"/>
    <col min="1801" max="1801" width="9.7109375" style="798" bestFit="1" customWidth="1"/>
    <col min="1802" max="1802" width="9.85546875" style="798" bestFit="1" customWidth="1"/>
    <col min="1803" max="1803" width="1.85546875" style="798" customWidth="1"/>
    <col min="1804" max="1804" width="9.85546875" style="798" bestFit="1" customWidth="1"/>
    <col min="1805" max="2048" width="9.140625" style="798"/>
    <col min="2049" max="2049" width="4.7109375" style="798" customWidth="1"/>
    <col min="2050" max="2050" width="3.7109375" style="798" customWidth="1"/>
    <col min="2051" max="2051" width="11.42578125" style="798" bestFit="1" customWidth="1"/>
    <col min="2052" max="2052" width="13.85546875" style="798" bestFit="1" customWidth="1"/>
    <col min="2053" max="2053" width="11.85546875" style="798" bestFit="1" customWidth="1"/>
    <col min="2054" max="2054" width="9.85546875" style="798" bestFit="1" customWidth="1"/>
    <col min="2055" max="2055" width="1.85546875" style="798" customWidth="1"/>
    <col min="2056" max="2056" width="10.5703125" style="798" bestFit="1" customWidth="1"/>
    <col min="2057" max="2057" width="9.7109375" style="798" bestFit="1" customWidth="1"/>
    <col min="2058" max="2058" width="9.85546875" style="798" bestFit="1" customWidth="1"/>
    <col min="2059" max="2059" width="1.85546875" style="798" customWidth="1"/>
    <col min="2060" max="2060" width="9.85546875" style="798" bestFit="1" customWidth="1"/>
    <col min="2061" max="2304" width="9.140625" style="798"/>
    <col min="2305" max="2305" width="4.7109375" style="798" customWidth="1"/>
    <col min="2306" max="2306" width="3.7109375" style="798" customWidth="1"/>
    <col min="2307" max="2307" width="11.42578125" style="798" bestFit="1" customWidth="1"/>
    <col min="2308" max="2308" width="13.85546875" style="798" bestFit="1" customWidth="1"/>
    <col min="2309" max="2309" width="11.85546875" style="798" bestFit="1" customWidth="1"/>
    <col min="2310" max="2310" width="9.85546875" style="798" bestFit="1" customWidth="1"/>
    <col min="2311" max="2311" width="1.85546875" style="798" customWidth="1"/>
    <col min="2312" max="2312" width="10.5703125" style="798" bestFit="1" customWidth="1"/>
    <col min="2313" max="2313" width="9.7109375" style="798" bestFit="1" customWidth="1"/>
    <col min="2314" max="2314" width="9.85546875" style="798" bestFit="1" customWidth="1"/>
    <col min="2315" max="2315" width="1.85546875" style="798" customWidth="1"/>
    <col min="2316" max="2316" width="9.85546875" style="798" bestFit="1" customWidth="1"/>
    <col min="2317" max="2560" width="9.140625" style="798"/>
    <col min="2561" max="2561" width="4.7109375" style="798" customWidth="1"/>
    <col min="2562" max="2562" width="3.7109375" style="798" customWidth="1"/>
    <col min="2563" max="2563" width="11.42578125" style="798" bestFit="1" customWidth="1"/>
    <col min="2564" max="2564" width="13.85546875" style="798" bestFit="1" customWidth="1"/>
    <col min="2565" max="2565" width="11.85546875" style="798" bestFit="1" customWidth="1"/>
    <col min="2566" max="2566" width="9.85546875" style="798" bestFit="1" customWidth="1"/>
    <col min="2567" max="2567" width="1.85546875" style="798" customWidth="1"/>
    <col min="2568" max="2568" width="10.5703125" style="798" bestFit="1" customWidth="1"/>
    <col min="2569" max="2569" width="9.7109375" style="798" bestFit="1" customWidth="1"/>
    <col min="2570" max="2570" width="9.85546875" style="798" bestFit="1" customWidth="1"/>
    <col min="2571" max="2571" width="1.85546875" style="798" customWidth="1"/>
    <col min="2572" max="2572" width="9.85546875" style="798" bestFit="1" customWidth="1"/>
    <col min="2573" max="2816" width="9.140625" style="798"/>
    <col min="2817" max="2817" width="4.7109375" style="798" customWidth="1"/>
    <col min="2818" max="2818" width="3.7109375" style="798" customWidth="1"/>
    <col min="2819" max="2819" width="11.42578125" style="798" bestFit="1" customWidth="1"/>
    <col min="2820" max="2820" width="13.85546875" style="798" bestFit="1" customWidth="1"/>
    <col min="2821" max="2821" width="11.85546875" style="798" bestFit="1" customWidth="1"/>
    <col min="2822" max="2822" width="9.85546875" style="798" bestFit="1" customWidth="1"/>
    <col min="2823" max="2823" width="1.85546875" style="798" customWidth="1"/>
    <col min="2824" max="2824" width="10.5703125" style="798" bestFit="1" customWidth="1"/>
    <col min="2825" max="2825" width="9.7109375" style="798" bestFit="1" customWidth="1"/>
    <col min="2826" max="2826" width="9.85546875" style="798" bestFit="1" customWidth="1"/>
    <col min="2827" max="2827" width="1.85546875" style="798" customWidth="1"/>
    <col min="2828" max="2828" width="9.85546875" style="798" bestFit="1" customWidth="1"/>
    <col min="2829" max="3072" width="9.140625" style="798"/>
    <col min="3073" max="3073" width="4.7109375" style="798" customWidth="1"/>
    <col min="3074" max="3074" width="3.7109375" style="798" customWidth="1"/>
    <col min="3075" max="3075" width="11.42578125" style="798" bestFit="1" customWidth="1"/>
    <col min="3076" max="3076" width="13.85546875" style="798" bestFit="1" customWidth="1"/>
    <col min="3077" max="3077" width="11.85546875" style="798" bestFit="1" customWidth="1"/>
    <col min="3078" max="3078" width="9.85546875" style="798" bestFit="1" customWidth="1"/>
    <col min="3079" max="3079" width="1.85546875" style="798" customWidth="1"/>
    <col min="3080" max="3080" width="10.5703125" style="798" bestFit="1" customWidth="1"/>
    <col min="3081" max="3081" width="9.7109375" style="798" bestFit="1" customWidth="1"/>
    <col min="3082" max="3082" width="9.85546875" style="798" bestFit="1" customWidth="1"/>
    <col min="3083" max="3083" width="1.85546875" style="798" customWidth="1"/>
    <col min="3084" max="3084" width="9.85546875" style="798" bestFit="1" customWidth="1"/>
    <col min="3085" max="3328" width="9.140625" style="798"/>
    <col min="3329" max="3329" width="4.7109375" style="798" customWidth="1"/>
    <col min="3330" max="3330" width="3.7109375" style="798" customWidth="1"/>
    <col min="3331" max="3331" width="11.42578125" style="798" bestFit="1" customWidth="1"/>
    <col min="3332" max="3332" width="13.85546875" style="798" bestFit="1" customWidth="1"/>
    <col min="3333" max="3333" width="11.85546875" style="798" bestFit="1" customWidth="1"/>
    <col min="3334" max="3334" width="9.85546875" style="798" bestFit="1" customWidth="1"/>
    <col min="3335" max="3335" width="1.85546875" style="798" customWidth="1"/>
    <col min="3336" max="3336" width="10.5703125" style="798" bestFit="1" customWidth="1"/>
    <col min="3337" max="3337" width="9.7109375" style="798" bestFit="1" customWidth="1"/>
    <col min="3338" max="3338" width="9.85546875" style="798" bestFit="1" customWidth="1"/>
    <col min="3339" max="3339" width="1.85546875" style="798" customWidth="1"/>
    <col min="3340" max="3340" width="9.85546875" style="798" bestFit="1" customWidth="1"/>
    <col min="3341" max="3584" width="9.140625" style="798"/>
    <col min="3585" max="3585" width="4.7109375" style="798" customWidth="1"/>
    <col min="3586" max="3586" width="3.7109375" style="798" customWidth="1"/>
    <col min="3587" max="3587" width="11.42578125" style="798" bestFit="1" customWidth="1"/>
    <col min="3588" max="3588" width="13.85546875" style="798" bestFit="1" customWidth="1"/>
    <col min="3589" max="3589" width="11.85546875" style="798" bestFit="1" customWidth="1"/>
    <col min="3590" max="3590" width="9.85546875" style="798" bestFit="1" customWidth="1"/>
    <col min="3591" max="3591" width="1.85546875" style="798" customWidth="1"/>
    <col min="3592" max="3592" width="10.5703125" style="798" bestFit="1" customWidth="1"/>
    <col min="3593" max="3593" width="9.7109375" style="798" bestFit="1" customWidth="1"/>
    <col min="3594" max="3594" width="9.85546875" style="798" bestFit="1" customWidth="1"/>
    <col min="3595" max="3595" width="1.85546875" style="798" customWidth="1"/>
    <col min="3596" max="3596" width="9.85546875" style="798" bestFit="1" customWidth="1"/>
    <col min="3597" max="3840" width="9.140625" style="798"/>
    <col min="3841" max="3841" width="4.7109375" style="798" customWidth="1"/>
    <col min="3842" max="3842" width="3.7109375" style="798" customWidth="1"/>
    <col min="3843" max="3843" width="11.42578125" style="798" bestFit="1" customWidth="1"/>
    <col min="3844" max="3844" width="13.85546875" style="798" bestFit="1" customWidth="1"/>
    <col min="3845" max="3845" width="11.85546875" style="798" bestFit="1" customWidth="1"/>
    <col min="3846" max="3846" width="9.85546875" style="798" bestFit="1" customWidth="1"/>
    <col min="3847" max="3847" width="1.85546875" style="798" customWidth="1"/>
    <col min="3848" max="3848" width="10.5703125" style="798" bestFit="1" customWidth="1"/>
    <col min="3849" max="3849" width="9.7109375" style="798" bestFit="1" customWidth="1"/>
    <col min="3850" max="3850" width="9.85546875" style="798" bestFit="1" customWidth="1"/>
    <col min="3851" max="3851" width="1.85546875" style="798" customWidth="1"/>
    <col min="3852" max="3852" width="9.85546875" style="798" bestFit="1" customWidth="1"/>
    <col min="3853" max="4096" width="9.140625" style="798"/>
    <col min="4097" max="4097" width="4.7109375" style="798" customWidth="1"/>
    <col min="4098" max="4098" width="3.7109375" style="798" customWidth="1"/>
    <col min="4099" max="4099" width="11.42578125" style="798" bestFit="1" customWidth="1"/>
    <col min="4100" max="4100" width="13.85546875" style="798" bestFit="1" customWidth="1"/>
    <col min="4101" max="4101" width="11.85546875" style="798" bestFit="1" customWidth="1"/>
    <col min="4102" max="4102" width="9.85546875" style="798" bestFit="1" customWidth="1"/>
    <col min="4103" max="4103" width="1.85546875" style="798" customWidth="1"/>
    <col min="4104" max="4104" width="10.5703125" style="798" bestFit="1" customWidth="1"/>
    <col min="4105" max="4105" width="9.7109375" style="798" bestFit="1" customWidth="1"/>
    <col min="4106" max="4106" width="9.85546875" style="798" bestFit="1" customWidth="1"/>
    <col min="4107" max="4107" width="1.85546875" style="798" customWidth="1"/>
    <col min="4108" max="4108" width="9.85546875" style="798" bestFit="1" customWidth="1"/>
    <col min="4109" max="4352" width="9.140625" style="798"/>
    <col min="4353" max="4353" width="4.7109375" style="798" customWidth="1"/>
    <col min="4354" max="4354" width="3.7109375" style="798" customWidth="1"/>
    <col min="4355" max="4355" width="11.42578125" style="798" bestFit="1" customWidth="1"/>
    <col min="4356" max="4356" width="13.85546875" style="798" bestFit="1" customWidth="1"/>
    <col min="4357" max="4357" width="11.85546875" style="798" bestFit="1" customWidth="1"/>
    <col min="4358" max="4358" width="9.85546875" style="798" bestFit="1" customWidth="1"/>
    <col min="4359" max="4359" width="1.85546875" style="798" customWidth="1"/>
    <col min="4360" max="4360" width="10.5703125" style="798" bestFit="1" customWidth="1"/>
    <col min="4361" max="4361" width="9.7109375" style="798" bestFit="1" customWidth="1"/>
    <col min="4362" max="4362" width="9.85546875" style="798" bestFit="1" customWidth="1"/>
    <col min="4363" max="4363" width="1.85546875" style="798" customWidth="1"/>
    <col min="4364" max="4364" width="9.85546875" style="798" bestFit="1" customWidth="1"/>
    <col min="4365" max="4608" width="9.140625" style="798"/>
    <col min="4609" max="4609" width="4.7109375" style="798" customWidth="1"/>
    <col min="4610" max="4610" width="3.7109375" style="798" customWidth="1"/>
    <col min="4611" max="4611" width="11.42578125" style="798" bestFit="1" customWidth="1"/>
    <col min="4612" max="4612" width="13.85546875" style="798" bestFit="1" customWidth="1"/>
    <col min="4613" max="4613" width="11.85546875" style="798" bestFit="1" customWidth="1"/>
    <col min="4614" max="4614" width="9.85546875" style="798" bestFit="1" customWidth="1"/>
    <col min="4615" max="4615" width="1.85546875" style="798" customWidth="1"/>
    <col min="4616" max="4616" width="10.5703125" style="798" bestFit="1" customWidth="1"/>
    <col min="4617" max="4617" width="9.7109375" style="798" bestFit="1" customWidth="1"/>
    <col min="4618" max="4618" width="9.85546875" style="798" bestFit="1" customWidth="1"/>
    <col min="4619" max="4619" width="1.85546875" style="798" customWidth="1"/>
    <col min="4620" max="4620" width="9.85546875" style="798" bestFit="1" customWidth="1"/>
    <col min="4621" max="4864" width="9.140625" style="798"/>
    <col min="4865" max="4865" width="4.7109375" style="798" customWidth="1"/>
    <col min="4866" max="4866" width="3.7109375" style="798" customWidth="1"/>
    <col min="4867" max="4867" width="11.42578125" style="798" bestFit="1" customWidth="1"/>
    <col min="4868" max="4868" width="13.85546875" style="798" bestFit="1" customWidth="1"/>
    <col min="4869" max="4869" width="11.85546875" style="798" bestFit="1" customWidth="1"/>
    <col min="4870" max="4870" width="9.85546875" style="798" bestFit="1" customWidth="1"/>
    <col min="4871" max="4871" width="1.85546875" style="798" customWidth="1"/>
    <col min="4872" max="4872" width="10.5703125" style="798" bestFit="1" customWidth="1"/>
    <col min="4873" max="4873" width="9.7109375" style="798" bestFit="1" customWidth="1"/>
    <col min="4874" max="4874" width="9.85546875" style="798" bestFit="1" customWidth="1"/>
    <col min="4875" max="4875" width="1.85546875" style="798" customWidth="1"/>
    <col min="4876" max="4876" width="9.85546875" style="798" bestFit="1" customWidth="1"/>
    <col min="4877" max="5120" width="9.140625" style="798"/>
    <col min="5121" max="5121" width="4.7109375" style="798" customWidth="1"/>
    <col min="5122" max="5122" width="3.7109375" style="798" customWidth="1"/>
    <col min="5123" max="5123" width="11.42578125" style="798" bestFit="1" customWidth="1"/>
    <col min="5124" max="5124" width="13.85546875" style="798" bestFit="1" customWidth="1"/>
    <col min="5125" max="5125" width="11.85546875" style="798" bestFit="1" customWidth="1"/>
    <col min="5126" max="5126" width="9.85546875" style="798" bestFit="1" customWidth="1"/>
    <col min="5127" max="5127" width="1.85546875" style="798" customWidth="1"/>
    <col min="5128" max="5128" width="10.5703125" style="798" bestFit="1" customWidth="1"/>
    <col min="5129" max="5129" width="9.7109375" style="798" bestFit="1" customWidth="1"/>
    <col min="5130" max="5130" width="9.85546875" style="798" bestFit="1" customWidth="1"/>
    <col min="5131" max="5131" width="1.85546875" style="798" customWidth="1"/>
    <col min="5132" max="5132" width="9.85546875" style="798" bestFit="1" customWidth="1"/>
    <col min="5133" max="5376" width="9.140625" style="798"/>
    <col min="5377" max="5377" width="4.7109375" style="798" customWidth="1"/>
    <col min="5378" max="5378" width="3.7109375" style="798" customWidth="1"/>
    <col min="5379" max="5379" width="11.42578125" style="798" bestFit="1" customWidth="1"/>
    <col min="5380" max="5380" width="13.85546875" style="798" bestFit="1" customWidth="1"/>
    <col min="5381" max="5381" width="11.85546875" style="798" bestFit="1" customWidth="1"/>
    <col min="5382" max="5382" width="9.85546875" style="798" bestFit="1" customWidth="1"/>
    <col min="5383" max="5383" width="1.85546875" style="798" customWidth="1"/>
    <col min="5384" max="5384" width="10.5703125" style="798" bestFit="1" customWidth="1"/>
    <col min="5385" max="5385" width="9.7109375" style="798" bestFit="1" customWidth="1"/>
    <col min="5386" max="5386" width="9.85546875" style="798" bestFit="1" customWidth="1"/>
    <col min="5387" max="5387" width="1.85546875" style="798" customWidth="1"/>
    <col min="5388" max="5388" width="9.85546875" style="798" bestFit="1" customWidth="1"/>
    <col min="5389" max="5632" width="9.140625" style="798"/>
    <col min="5633" max="5633" width="4.7109375" style="798" customWidth="1"/>
    <col min="5634" max="5634" width="3.7109375" style="798" customWidth="1"/>
    <col min="5635" max="5635" width="11.42578125" style="798" bestFit="1" customWidth="1"/>
    <col min="5636" max="5636" width="13.85546875" style="798" bestFit="1" customWidth="1"/>
    <col min="5637" max="5637" width="11.85546875" style="798" bestFit="1" customWidth="1"/>
    <col min="5638" max="5638" width="9.85546875" style="798" bestFit="1" customWidth="1"/>
    <col min="5639" max="5639" width="1.85546875" style="798" customWidth="1"/>
    <col min="5640" max="5640" width="10.5703125" style="798" bestFit="1" customWidth="1"/>
    <col min="5641" max="5641" width="9.7109375" style="798" bestFit="1" customWidth="1"/>
    <col min="5642" max="5642" width="9.85546875" style="798" bestFit="1" customWidth="1"/>
    <col min="5643" max="5643" width="1.85546875" style="798" customWidth="1"/>
    <col min="5644" max="5644" width="9.85546875" style="798" bestFit="1" customWidth="1"/>
    <col min="5645" max="5888" width="9.140625" style="798"/>
    <col min="5889" max="5889" width="4.7109375" style="798" customWidth="1"/>
    <col min="5890" max="5890" width="3.7109375" style="798" customWidth="1"/>
    <col min="5891" max="5891" width="11.42578125" style="798" bestFit="1" customWidth="1"/>
    <col min="5892" max="5892" width="13.85546875" style="798" bestFit="1" customWidth="1"/>
    <col min="5893" max="5893" width="11.85546875" style="798" bestFit="1" customWidth="1"/>
    <col min="5894" max="5894" width="9.85546875" style="798" bestFit="1" customWidth="1"/>
    <col min="5895" max="5895" width="1.85546875" style="798" customWidth="1"/>
    <col min="5896" max="5896" width="10.5703125" style="798" bestFit="1" customWidth="1"/>
    <col min="5897" max="5897" width="9.7109375" style="798" bestFit="1" customWidth="1"/>
    <col min="5898" max="5898" width="9.85546875" style="798" bestFit="1" customWidth="1"/>
    <col min="5899" max="5899" width="1.85546875" style="798" customWidth="1"/>
    <col min="5900" max="5900" width="9.85546875" style="798" bestFit="1" customWidth="1"/>
    <col min="5901" max="6144" width="9.140625" style="798"/>
    <col min="6145" max="6145" width="4.7109375" style="798" customWidth="1"/>
    <col min="6146" max="6146" width="3.7109375" style="798" customWidth="1"/>
    <col min="6147" max="6147" width="11.42578125" style="798" bestFit="1" customWidth="1"/>
    <col min="6148" max="6148" width="13.85546875" style="798" bestFit="1" customWidth="1"/>
    <col min="6149" max="6149" width="11.85546875" style="798" bestFit="1" customWidth="1"/>
    <col min="6150" max="6150" width="9.85546875" style="798" bestFit="1" customWidth="1"/>
    <col min="6151" max="6151" width="1.85546875" style="798" customWidth="1"/>
    <col min="6152" max="6152" width="10.5703125" style="798" bestFit="1" customWidth="1"/>
    <col min="6153" max="6153" width="9.7109375" style="798" bestFit="1" customWidth="1"/>
    <col min="6154" max="6154" width="9.85546875" style="798" bestFit="1" customWidth="1"/>
    <col min="6155" max="6155" width="1.85546875" style="798" customWidth="1"/>
    <col min="6156" max="6156" width="9.85546875" style="798" bestFit="1" customWidth="1"/>
    <col min="6157" max="6400" width="9.140625" style="798"/>
    <col min="6401" max="6401" width="4.7109375" style="798" customWidth="1"/>
    <col min="6402" max="6402" width="3.7109375" style="798" customWidth="1"/>
    <col min="6403" max="6403" width="11.42578125" style="798" bestFit="1" customWidth="1"/>
    <col min="6404" max="6404" width="13.85546875" style="798" bestFit="1" customWidth="1"/>
    <col min="6405" max="6405" width="11.85546875" style="798" bestFit="1" customWidth="1"/>
    <col min="6406" max="6406" width="9.85546875" style="798" bestFit="1" customWidth="1"/>
    <col min="6407" max="6407" width="1.85546875" style="798" customWidth="1"/>
    <col min="6408" max="6408" width="10.5703125" style="798" bestFit="1" customWidth="1"/>
    <col min="6409" max="6409" width="9.7109375" style="798" bestFit="1" customWidth="1"/>
    <col min="6410" max="6410" width="9.85546875" style="798" bestFit="1" customWidth="1"/>
    <col min="6411" max="6411" width="1.85546875" style="798" customWidth="1"/>
    <col min="6412" max="6412" width="9.85546875" style="798" bestFit="1" customWidth="1"/>
    <col min="6413" max="6656" width="9.140625" style="798"/>
    <col min="6657" max="6657" width="4.7109375" style="798" customWidth="1"/>
    <col min="6658" max="6658" width="3.7109375" style="798" customWidth="1"/>
    <col min="6659" max="6659" width="11.42578125" style="798" bestFit="1" customWidth="1"/>
    <col min="6660" max="6660" width="13.85546875" style="798" bestFit="1" customWidth="1"/>
    <col min="6661" max="6661" width="11.85546875" style="798" bestFit="1" customWidth="1"/>
    <col min="6662" max="6662" width="9.85546875" style="798" bestFit="1" customWidth="1"/>
    <col min="6663" max="6663" width="1.85546875" style="798" customWidth="1"/>
    <col min="6664" max="6664" width="10.5703125" style="798" bestFit="1" customWidth="1"/>
    <col min="6665" max="6665" width="9.7109375" style="798" bestFit="1" customWidth="1"/>
    <col min="6666" max="6666" width="9.85546875" style="798" bestFit="1" customWidth="1"/>
    <col min="6667" max="6667" width="1.85546875" style="798" customWidth="1"/>
    <col min="6668" max="6668" width="9.85546875" style="798" bestFit="1" customWidth="1"/>
    <col min="6669" max="6912" width="9.140625" style="798"/>
    <col min="6913" max="6913" width="4.7109375" style="798" customWidth="1"/>
    <col min="6914" max="6914" width="3.7109375" style="798" customWidth="1"/>
    <col min="6915" max="6915" width="11.42578125" style="798" bestFit="1" customWidth="1"/>
    <col min="6916" max="6916" width="13.85546875" style="798" bestFit="1" customWidth="1"/>
    <col min="6917" max="6917" width="11.85546875" style="798" bestFit="1" customWidth="1"/>
    <col min="6918" max="6918" width="9.85546875" style="798" bestFit="1" customWidth="1"/>
    <col min="6919" max="6919" width="1.85546875" style="798" customWidth="1"/>
    <col min="6920" max="6920" width="10.5703125" style="798" bestFit="1" customWidth="1"/>
    <col min="6921" max="6921" width="9.7109375" style="798" bestFit="1" customWidth="1"/>
    <col min="6922" max="6922" width="9.85546875" style="798" bestFit="1" customWidth="1"/>
    <col min="6923" max="6923" width="1.85546875" style="798" customWidth="1"/>
    <col min="6924" max="6924" width="9.85546875" style="798" bestFit="1" customWidth="1"/>
    <col min="6925" max="7168" width="9.140625" style="798"/>
    <col min="7169" max="7169" width="4.7109375" style="798" customWidth="1"/>
    <col min="7170" max="7170" width="3.7109375" style="798" customWidth="1"/>
    <col min="7171" max="7171" width="11.42578125" style="798" bestFit="1" customWidth="1"/>
    <col min="7172" max="7172" width="13.85546875" style="798" bestFit="1" customWidth="1"/>
    <col min="7173" max="7173" width="11.85546875" style="798" bestFit="1" customWidth="1"/>
    <col min="7174" max="7174" width="9.85546875" style="798" bestFit="1" customWidth="1"/>
    <col min="7175" max="7175" width="1.85546875" style="798" customWidth="1"/>
    <col min="7176" max="7176" width="10.5703125" style="798" bestFit="1" customWidth="1"/>
    <col min="7177" max="7177" width="9.7109375" style="798" bestFit="1" customWidth="1"/>
    <col min="7178" max="7178" width="9.85546875" style="798" bestFit="1" customWidth="1"/>
    <col min="7179" max="7179" width="1.85546875" style="798" customWidth="1"/>
    <col min="7180" max="7180" width="9.85546875" style="798" bestFit="1" customWidth="1"/>
    <col min="7181" max="7424" width="9.140625" style="798"/>
    <col min="7425" max="7425" width="4.7109375" style="798" customWidth="1"/>
    <col min="7426" max="7426" width="3.7109375" style="798" customWidth="1"/>
    <col min="7427" max="7427" width="11.42578125" style="798" bestFit="1" customWidth="1"/>
    <col min="7428" max="7428" width="13.85546875" style="798" bestFit="1" customWidth="1"/>
    <col min="7429" max="7429" width="11.85546875" style="798" bestFit="1" customWidth="1"/>
    <col min="7430" max="7430" width="9.85546875" style="798" bestFit="1" customWidth="1"/>
    <col min="7431" max="7431" width="1.85546875" style="798" customWidth="1"/>
    <col min="7432" max="7432" width="10.5703125" style="798" bestFit="1" customWidth="1"/>
    <col min="7433" max="7433" width="9.7109375" style="798" bestFit="1" customWidth="1"/>
    <col min="7434" max="7434" width="9.85546875" style="798" bestFit="1" customWidth="1"/>
    <col min="7435" max="7435" width="1.85546875" style="798" customWidth="1"/>
    <col min="7436" max="7436" width="9.85546875" style="798" bestFit="1" customWidth="1"/>
    <col min="7437" max="7680" width="9.140625" style="798"/>
    <col min="7681" max="7681" width="4.7109375" style="798" customWidth="1"/>
    <col min="7682" max="7682" width="3.7109375" style="798" customWidth="1"/>
    <col min="7683" max="7683" width="11.42578125" style="798" bestFit="1" customWidth="1"/>
    <col min="7684" max="7684" width="13.85546875" style="798" bestFit="1" customWidth="1"/>
    <col min="7685" max="7685" width="11.85546875" style="798" bestFit="1" customWidth="1"/>
    <col min="7686" max="7686" width="9.85546875" style="798" bestFit="1" customWidth="1"/>
    <col min="7687" max="7687" width="1.85546875" style="798" customWidth="1"/>
    <col min="7688" max="7688" width="10.5703125" style="798" bestFit="1" customWidth="1"/>
    <col min="7689" max="7689" width="9.7109375" style="798" bestFit="1" customWidth="1"/>
    <col min="7690" max="7690" width="9.85546875" style="798" bestFit="1" customWidth="1"/>
    <col min="7691" max="7691" width="1.85546875" style="798" customWidth="1"/>
    <col min="7692" max="7692" width="9.85546875" style="798" bestFit="1" customWidth="1"/>
    <col min="7693" max="7936" width="9.140625" style="798"/>
    <col min="7937" max="7937" width="4.7109375" style="798" customWidth="1"/>
    <col min="7938" max="7938" width="3.7109375" style="798" customWidth="1"/>
    <col min="7939" max="7939" width="11.42578125" style="798" bestFit="1" customWidth="1"/>
    <col min="7940" max="7940" width="13.85546875" style="798" bestFit="1" customWidth="1"/>
    <col min="7941" max="7941" width="11.85546875" style="798" bestFit="1" customWidth="1"/>
    <col min="7942" max="7942" width="9.85546875" style="798" bestFit="1" customWidth="1"/>
    <col min="7943" max="7943" width="1.85546875" style="798" customWidth="1"/>
    <col min="7944" max="7944" width="10.5703125" style="798" bestFit="1" customWidth="1"/>
    <col min="7945" max="7945" width="9.7109375" style="798" bestFit="1" customWidth="1"/>
    <col min="7946" max="7946" width="9.85546875" style="798" bestFit="1" customWidth="1"/>
    <col min="7947" max="7947" width="1.85546875" style="798" customWidth="1"/>
    <col min="7948" max="7948" width="9.85546875" style="798" bestFit="1" customWidth="1"/>
    <col min="7949" max="8192" width="9.140625" style="798"/>
    <col min="8193" max="8193" width="4.7109375" style="798" customWidth="1"/>
    <col min="8194" max="8194" width="3.7109375" style="798" customWidth="1"/>
    <col min="8195" max="8195" width="11.42578125" style="798" bestFit="1" customWidth="1"/>
    <col min="8196" max="8196" width="13.85546875" style="798" bestFit="1" customWidth="1"/>
    <col min="8197" max="8197" width="11.85546875" style="798" bestFit="1" customWidth="1"/>
    <col min="8198" max="8198" width="9.85546875" style="798" bestFit="1" customWidth="1"/>
    <col min="8199" max="8199" width="1.85546875" style="798" customWidth="1"/>
    <col min="8200" max="8200" width="10.5703125" style="798" bestFit="1" customWidth="1"/>
    <col min="8201" max="8201" width="9.7109375" style="798" bestFit="1" customWidth="1"/>
    <col min="8202" max="8202" width="9.85546875" style="798" bestFit="1" customWidth="1"/>
    <col min="8203" max="8203" width="1.85546875" style="798" customWidth="1"/>
    <col min="8204" max="8204" width="9.85546875" style="798" bestFit="1" customWidth="1"/>
    <col min="8205" max="8448" width="9.140625" style="798"/>
    <col min="8449" max="8449" width="4.7109375" style="798" customWidth="1"/>
    <col min="8450" max="8450" width="3.7109375" style="798" customWidth="1"/>
    <col min="8451" max="8451" width="11.42578125" style="798" bestFit="1" customWidth="1"/>
    <col min="8452" max="8452" width="13.85546875" style="798" bestFit="1" customWidth="1"/>
    <col min="8453" max="8453" width="11.85546875" style="798" bestFit="1" customWidth="1"/>
    <col min="8454" max="8454" width="9.85546875" style="798" bestFit="1" customWidth="1"/>
    <col min="8455" max="8455" width="1.85546875" style="798" customWidth="1"/>
    <col min="8456" max="8456" width="10.5703125" style="798" bestFit="1" customWidth="1"/>
    <col min="8457" max="8457" width="9.7109375" style="798" bestFit="1" customWidth="1"/>
    <col min="8458" max="8458" width="9.85546875" style="798" bestFit="1" customWidth="1"/>
    <col min="8459" max="8459" width="1.85546875" style="798" customWidth="1"/>
    <col min="8460" max="8460" width="9.85546875" style="798" bestFit="1" customWidth="1"/>
    <col min="8461" max="8704" width="9.140625" style="798"/>
    <col min="8705" max="8705" width="4.7109375" style="798" customWidth="1"/>
    <col min="8706" max="8706" width="3.7109375" style="798" customWidth="1"/>
    <col min="8707" max="8707" width="11.42578125" style="798" bestFit="1" customWidth="1"/>
    <col min="8708" max="8708" width="13.85546875" style="798" bestFit="1" customWidth="1"/>
    <col min="8709" max="8709" width="11.85546875" style="798" bestFit="1" customWidth="1"/>
    <col min="8710" max="8710" width="9.85546875" style="798" bestFit="1" customWidth="1"/>
    <col min="8711" max="8711" width="1.85546875" style="798" customWidth="1"/>
    <col min="8712" max="8712" width="10.5703125" style="798" bestFit="1" customWidth="1"/>
    <col min="8713" max="8713" width="9.7109375" style="798" bestFit="1" customWidth="1"/>
    <col min="8714" max="8714" width="9.85546875" style="798" bestFit="1" customWidth="1"/>
    <col min="8715" max="8715" width="1.85546875" style="798" customWidth="1"/>
    <col min="8716" max="8716" width="9.85546875" style="798" bestFit="1" customWidth="1"/>
    <col min="8717" max="8960" width="9.140625" style="798"/>
    <col min="8961" max="8961" width="4.7109375" style="798" customWidth="1"/>
    <col min="8962" max="8962" width="3.7109375" style="798" customWidth="1"/>
    <col min="8963" max="8963" width="11.42578125" style="798" bestFit="1" customWidth="1"/>
    <col min="8964" max="8964" width="13.85546875" style="798" bestFit="1" customWidth="1"/>
    <col min="8965" max="8965" width="11.85546875" style="798" bestFit="1" customWidth="1"/>
    <col min="8966" max="8966" width="9.85546875" style="798" bestFit="1" customWidth="1"/>
    <col min="8967" max="8967" width="1.85546875" style="798" customWidth="1"/>
    <col min="8968" max="8968" width="10.5703125" style="798" bestFit="1" customWidth="1"/>
    <col min="8969" max="8969" width="9.7109375" style="798" bestFit="1" customWidth="1"/>
    <col min="8970" max="8970" width="9.85546875" style="798" bestFit="1" customWidth="1"/>
    <col min="8971" max="8971" width="1.85546875" style="798" customWidth="1"/>
    <col min="8972" max="8972" width="9.85546875" style="798" bestFit="1" customWidth="1"/>
    <col min="8973" max="9216" width="9.140625" style="798"/>
    <col min="9217" max="9217" width="4.7109375" style="798" customWidth="1"/>
    <col min="9218" max="9218" width="3.7109375" style="798" customWidth="1"/>
    <col min="9219" max="9219" width="11.42578125" style="798" bestFit="1" customWidth="1"/>
    <col min="9220" max="9220" width="13.85546875" style="798" bestFit="1" customWidth="1"/>
    <col min="9221" max="9221" width="11.85546875" style="798" bestFit="1" customWidth="1"/>
    <col min="9222" max="9222" width="9.85546875" style="798" bestFit="1" customWidth="1"/>
    <col min="9223" max="9223" width="1.85546875" style="798" customWidth="1"/>
    <col min="9224" max="9224" width="10.5703125" style="798" bestFit="1" customWidth="1"/>
    <col min="9225" max="9225" width="9.7109375" style="798" bestFit="1" customWidth="1"/>
    <col min="9226" max="9226" width="9.85546875" style="798" bestFit="1" customWidth="1"/>
    <col min="9227" max="9227" width="1.85546875" style="798" customWidth="1"/>
    <col min="9228" max="9228" width="9.85546875" style="798" bestFit="1" customWidth="1"/>
    <col min="9229" max="9472" width="9.140625" style="798"/>
    <col min="9473" max="9473" width="4.7109375" style="798" customWidth="1"/>
    <col min="9474" max="9474" width="3.7109375" style="798" customWidth="1"/>
    <col min="9475" max="9475" width="11.42578125" style="798" bestFit="1" customWidth="1"/>
    <col min="9476" max="9476" width="13.85546875" style="798" bestFit="1" customWidth="1"/>
    <col min="9477" max="9477" width="11.85546875" style="798" bestFit="1" customWidth="1"/>
    <col min="9478" max="9478" width="9.85546875" style="798" bestFit="1" customWidth="1"/>
    <col min="9479" max="9479" width="1.85546875" style="798" customWidth="1"/>
    <col min="9480" max="9480" width="10.5703125" style="798" bestFit="1" customWidth="1"/>
    <col min="9481" max="9481" width="9.7109375" style="798" bestFit="1" customWidth="1"/>
    <col min="9482" max="9482" width="9.85546875" style="798" bestFit="1" customWidth="1"/>
    <col min="9483" max="9483" width="1.85546875" style="798" customWidth="1"/>
    <col min="9484" max="9484" width="9.85546875" style="798" bestFit="1" customWidth="1"/>
    <col min="9485" max="9728" width="9.140625" style="798"/>
    <col min="9729" max="9729" width="4.7109375" style="798" customWidth="1"/>
    <col min="9730" max="9730" width="3.7109375" style="798" customWidth="1"/>
    <col min="9731" max="9731" width="11.42578125" style="798" bestFit="1" customWidth="1"/>
    <col min="9732" max="9732" width="13.85546875" style="798" bestFit="1" customWidth="1"/>
    <col min="9733" max="9733" width="11.85546875" style="798" bestFit="1" customWidth="1"/>
    <col min="9734" max="9734" width="9.85546875" style="798" bestFit="1" customWidth="1"/>
    <col min="9735" max="9735" width="1.85546875" style="798" customWidth="1"/>
    <col min="9736" max="9736" width="10.5703125" style="798" bestFit="1" customWidth="1"/>
    <col min="9737" max="9737" width="9.7109375" style="798" bestFit="1" customWidth="1"/>
    <col min="9738" max="9738" width="9.85546875" style="798" bestFit="1" customWidth="1"/>
    <col min="9739" max="9739" width="1.85546875" style="798" customWidth="1"/>
    <col min="9740" max="9740" width="9.85546875" style="798" bestFit="1" customWidth="1"/>
    <col min="9741" max="9984" width="9.140625" style="798"/>
    <col min="9985" max="9985" width="4.7109375" style="798" customWidth="1"/>
    <col min="9986" max="9986" width="3.7109375" style="798" customWidth="1"/>
    <col min="9987" max="9987" width="11.42578125" style="798" bestFit="1" customWidth="1"/>
    <col min="9988" max="9988" width="13.85546875" style="798" bestFit="1" customWidth="1"/>
    <col min="9989" max="9989" width="11.85546875" style="798" bestFit="1" customWidth="1"/>
    <col min="9990" max="9990" width="9.85546875" style="798" bestFit="1" customWidth="1"/>
    <col min="9991" max="9991" width="1.85546875" style="798" customWidth="1"/>
    <col min="9992" max="9992" width="10.5703125" style="798" bestFit="1" customWidth="1"/>
    <col min="9993" max="9993" width="9.7109375" style="798" bestFit="1" customWidth="1"/>
    <col min="9994" max="9994" width="9.85546875" style="798" bestFit="1" customWidth="1"/>
    <col min="9995" max="9995" width="1.85546875" style="798" customWidth="1"/>
    <col min="9996" max="9996" width="9.85546875" style="798" bestFit="1" customWidth="1"/>
    <col min="9997" max="10240" width="9.140625" style="798"/>
    <col min="10241" max="10241" width="4.7109375" style="798" customWidth="1"/>
    <col min="10242" max="10242" width="3.7109375" style="798" customWidth="1"/>
    <col min="10243" max="10243" width="11.42578125" style="798" bestFit="1" customWidth="1"/>
    <col min="10244" max="10244" width="13.85546875" style="798" bestFit="1" customWidth="1"/>
    <col min="10245" max="10245" width="11.85546875" style="798" bestFit="1" customWidth="1"/>
    <col min="10246" max="10246" width="9.85546875" style="798" bestFit="1" customWidth="1"/>
    <col min="10247" max="10247" width="1.85546875" style="798" customWidth="1"/>
    <col min="10248" max="10248" width="10.5703125" style="798" bestFit="1" customWidth="1"/>
    <col min="10249" max="10249" width="9.7109375" style="798" bestFit="1" customWidth="1"/>
    <col min="10250" max="10250" width="9.85546875" style="798" bestFit="1" customWidth="1"/>
    <col min="10251" max="10251" width="1.85546875" style="798" customWidth="1"/>
    <col min="10252" max="10252" width="9.85546875" style="798" bestFit="1" customWidth="1"/>
    <col min="10253" max="10496" width="9.140625" style="798"/>
    <col min="10497" max="10497" width="4.7109375" style="798" customWidth="1"/>
    <col min="10498" max="10498" width="3.7109375" style="798" customWidth="1"/>
    <col min="10499" max="10499" width="11.42578125" style="798" bestFit="1" customWidth="1"/>
    <col min="10500" max="10500" width="13.85546875" style="798" bestFit="1" customWidth="1"/>
    <col min="10501" max="10501" width="11.85546875" style="798" bestFit="1" customWidth="1"/>
    <col min="10502" max="10502" width="9.85546875" style="798" bestFit="1" customWidth="1"/>
    <col min="10503" max="10503" width="1.85546875" style="798" customWidth="1"/>
    <col min="10504" max="10504" width="10.5703125" style="798" bestFit="1" customWidth="1"/>
    <col min="10505" max="10505" width="9.7109375" style="798" bestFit="1" customWidth="1"/>
    <col min="10506" max="10506" width="9.85546875" style="798" bestFit="1" customWidth="1"/>
    <col min="10507" max="10507" width="1.85546875" style="798" customWidth="1"/>
    <col min="10508" max="10508" width="9.85546875" style="798" bestFit="1" customWidth="1"/>
    <col min="10509" max="10752" width="9.140625" style="798"/>
    <col min="10753" max="10753" width="4.7109375" style="798" customWidth="1"/>
    <col min="10754" max="10754" width="3.7109375" style="798" customWidth="1"/>
    <col min="10755" max="10755" width="11.42578125" style="798" bestFit="1" customWidth="1"/>
    <col min="10756" max="10756" width="13.85546875" style="798" bestFit="1" customWidth="1"/>
    <col min="10757" max="10757" width="11.85546875" style="798" bestFit="1" customWidth="1"/>
    <col min="10758" max="10758" width="9.85546875" style="798" bestFit="1" customWidth="1"/>
    <col min="10759" max="10759" width="1.85546875" style="798" customWidth="1"/>
    <col min="10760" max="10760" width="10.5703125" style="798" bestFit="1" customWidth="1"/>
    <col min="10761" max="10761" width="9.7109375" style="798" bestFit="1" customWidth="1"/>
    <col min="10762" max="10762" width="9.85546875" style="798" bestFit="1" customWidth="1"/>
    <col min="10763" max="10763" width="1.85546875" style="798" customWidth="1"/>
    <col min="10764" max="10764" width="9.85546875" style="798" bestFit="1" customWidth="1"/>
    <col min="10765" max="11008" width="9.140625" style="798"/>
    <col min="11009" max="11009" width="4.7109375" style="798" customWidth="1"/>
    <col min="11010" max="11010" width="3.7109375" style="798" customWidth="1"/>
    <col min="11011" max="11011" width="11.42578125" style="798" bestFit="1" customWidth="1"/>
    <col min="11012" max="11012" width="13.85546875" style="798" bestFit="1" customWidth="1"/>
    <col min="11013" max="11013" width="11.85546875" style="798" bestFit="1" customWidth="1"/>
    <col min="11014" max="11014" width="9.85546875" style="798" bestFit="1" customWidth="1"/>
    <col min="11015" max="11015" width="1.85546875" style="798" customWidth="1"/>
    <col min="11016" max="11016" width="10.5703125" style="798" bestFit="1" customWidth="1"/>
    <col min="11017" max="11017" width="9.7109375" style="798" bestFit="1" customWidth="1"/>
    <col min="11018" max="11018" width="9.85546875" style="798" bestFit="1" customWidth="1"/>
    <col min="11019" max="11019" width="1.85546875" style="798" customWidth="1"/>
    <col min="11020" max="11020" width="9.85546875" style="798" bestFit="1" customWidth="1"/>
    <col min="11021" max="11264" width="9.140625" style="798"/>
    <col min="11265" max="11265" width="4.7109375" style="798" customWidth="1"/>
    <col min="11266" max="11266" width="3.7109375" style="798" customWidth="1"/>
    <col min="11267" max="11267" width="11.42578125" style="798" bestFit="1" customWidth="1"/>
    <col min="11268" max="11268" width="13.85546875" style="798" bestFit="1" customWidth="1"/>
    <col min="11269" max="11269" width="11.85546875" style="798" bestFit="1" customWidth="1"/>
    <col min="11270" max="11270" width="9.85546875" style="798" bestFit="1" customWidth="1"/>
    <col min="11271" max="11271" width="1.85546875" style="798" customWidth="1"/>
    <col min="11272" max="11272" width="10.5703125" style="798" bestFit="1" customWidth="1"/>
    <col min="11273" max="11273" width="9.7109375" style="798" bestFit="1" customWidth="1"/>
    <col min="11274" max="11274" width="9.85546875" style="798" bestFit="1" customWidth="1"/>
    <col min="11275" max="11275" width="1.85546875" style="798" customWidth="1"/>
    <col min="11276" max="11276" width="9.85546875" style="798" bestFit="1" customWidth="1"/>
    <col min="11277" max="11520" width="9.140625" style="798"/>
    <col min="11521" max="11521" width="4.7109375" style="798" customWidth="1"/>
    <col min="11522" max="11522" width="3.7109375" style="798" customWidth="1"/>
    <col min="11523" max="11523" width="11.42578125" style="798" bestFit="1" customWidth="1"/>
    <col min="11524" max="11524" width="13.85546875" style="798" bestFit="1" customWidth="1"/>
    <col min="11525" max="11525" width="11.85546875" style="798" bestFit="1" customWidth="1"/>
    <col min="11526" max="11526" width="9.85546875" style="798" bestFit="1" customWidth="1"/>
    <col min="11527" max="11527" width="1.85546875" style="798" customWidth="1"/>
    <col min="11528" max="11528" width="10.5703125" style="798" bestFit="1" customWidth="1"/>
    <col min="11529" max="11529" width="9.7109375" style="798" bestFit="1" customWidth="1"/>
    <col min="11530" max="11530" width="9.85546875" style="798" bestFit="1" customWidth="1"/>
    <col min="11531" max="11531" width="1.85546875" style="798" customWidth="1"/>
    <col min="11532" max="11532" width="9.85546875" style="798" bestFit="1" customWidth="1"/>
    <col min="11533" max="11776" width="9.140625" style="798"/>
    <col min="11777" max="11777" width="4.7109375" style="798" customWidth="1"/>
    <col min="11778" max="11778" width="3.7109375" style="798" customWidth="1"/>
    <col min="11779" max="11779" width="11.42578125" style="798" bestFit="1" customWidth="1"/>
    <col min="11780" max="11780" width="13.85546875" style="798" bestFit="1" customWidth="1"/>
    <col min="11781" max="11781" width="11.85546875" style="798" bestFit="1" customWidth="1"/>
    <col min="11782" max="11782" width="9.85546875" style="798" bestFit="1" customWidth="1"/>
    <col min="11783" max="11783" width="1.85546875" style="798" customWidth="1"/>
    <col min="11784" max="11784" width="10.5703125" style="798" bestFit="1" customWidth="1"/>
    <col min="11785" max="11785" width="9.7109375" style="798" bestFit="1" customWidth="1"/>
    <col min="11786" max="11786" width="9.85546875" style="798" bestFit="1" customWidth="1"/>
    <col min="11787" max="11787" width="1.85546875" style="798" customWidth="1"/>
    <col min="11788" max="11788" width="9.85546875" style="798" bestFit="1" customWidth="1"/>
    <col min="11789" max="12032" width="9.140625" style="798"/>
    <col min="12033" max="12033" width="4.7109375" style="798" customWidth="1"/>
    <col min="12034" max="12034" width="3.7109375" style="798" customWidth="1"/>
    <col min="12035" max="12035" width="11.42578125" style="798" bestFit="1" customWidth="1"/>
    <col min="12036" max="12036" width="13.85546875" style="798" bestFit="1" customWidth="1"/>
    <col min="12037" max="12037" width="11.85546875" style="798" bestFit="1" customWidth="1"/>
    <col min="12038" max="12038" width="9.85546875" style="798" bestFit="1" customWidth="1"/>
    <col min="12039" max="12039" width="1.85546875" style="798" customWidth="1"/>
    <col min="12040" max="12040" width="10.5703125" style="798" bestFit="1" customWidth="1"/>
    <col min="12041" max="12041" width="9.7109375" style="798" bestFit="1" customWidth="1"/>
    <col min="12042" max="12042" width="9.85546875" style="798" bestFit="1" customWidth="1"/>
    <col min="12043" max="12043" width="1.85546875" style="798" customWidth="1"/>
    <col min="12044" max="12044" width="9.85546875" style="798" bestFit="1" customWidth="1"/>
    <col min="12045" max="12288" width="9.140625" style="798"/>
    <col min="12289" max="12289" width="4.7109375" style="798" customWidth="1"/>
    <col min="12290" max="12290" width="3.7109375" style="798" customWidth="1"/>
    <col min="12291" max="12291" width="11.42578125" style="798" bestFit="1" customWidth="1"/>
    <col min="12292" max="12292" width="13.85546875" style="798" bestFit="1" customWidth="1"/>
    <col min="12293" max="12293" width="11.85546875" style="798" bestFit="1" customWidth="1"/>
    <col min="12294" max="12294" width="9.85546875" style="798" bestFit="1" customWidth="1"/>
    <col min="12295" max="12295" width="1.85546875" style="798" customWidth="1"/>
    <col min="12296" max="12296" width="10.5703125" style="798" bestFit="1" customWidth="1"/>
    <col min="12297" max="12297" width="9.7109375" style="798" bestFit="1" customWidth="1"/>
    <col min="12298" max="12298" width="9.85546875" style="798" bestFit="1" customWidth="1"/>
    <col min="12299" max="12299" width="1.85546875" style="798" customWidth="1"/>
    <col min="12300" max="12300" width="9.85546875" style="798" bestFit="1" customWidth="1"/>
    <col min="12301" max="12544" width="9.140625" style="798"/>
    <col min="12545" max="12545" width="4.7109375" style="798" customWidth="1"/>
    <col min="12546" max="12546" width="3.7109375" style="798" customWidth="1"/>
    <col min="12547" max="12547" width="11.42578125" style="798" bestFit="1" customWidth="1"/>
    <col min="12548" max="12548" width="13.85546875" style="798" bestFit="1" customWidth="1"/>
    <col min="12549" max="12549" width="11.85546875" style="798" bestFit="1" customWidth="1"/>
    <col min="12550" max="12550" width="9.85546875" style="798" bestFit="1" customWidth="1"/>
    <col min="12551" max="12551" width="1.85546875" style="798" customWidth="1"/>
    <col min="12552" max="12552" width="10.5703125" style="798" bestFit="1" customWidth="1"/>
    <col min="12553" max="12553" width="9.7109375" style="798" bestFit="1" customWidth="1"/>
    <col min="12554" max="12554" width="9.85546875" style="798" bestFit="1" customWidth="1"/>
    <col min="12555" max="12555" width="1.85546875" style="798" customWidth="1"/>
    <col min="12556" max="12556" width="9.85546875" style="798" bestFit="1" customWidth="1"/>
    <col min="12557" max="12800" width="9.140625" style="798"/>
    <col min="12801" max="12801" width="4.7109375" style="798" customWidth="1"/>
    <col min="12802" max="12802" width="3.7109375" style="798" customWidth="1"/>
    <col min="12803" max="12803" width="11.42578125" style="798" bestFit="1" customWidth="1"/>
    <col min="12804" max="12804" width="13.85546875" style="798" bestFit="1" customWidth="1"/>
    <col min="12805" max="12805" width="11.85546875" style="798" bestFit="1" customWidth="1"/>
    <col min="12806" max="12806" width="9.85546875" style="798" bestFit="1" customWidth="1"/>
    <col min="12807" max="12807" width="1.85546875" style="798" customWidth="1"/>
    <col min="12808" max="12808" width="10.5703125" style="798" bestFit="1" customWidth="1"/>
    <col min="12809" max="12809" width="9.7109375" style="798" bestFit="1" customWidth="1"/>
    <col min="12810" max="12810" width="9.85546875" style="798" bestFit="1" customWidth="1"/>
    <col min="12811" max="12811" width="1.85546875" style="798" customWidth="1"/>
    <col min="12812" max="12812" width="9.85546875" style="798" bestFit="1" customWidth="1"/>
    <col min="12813" max="13056" width="9.140625" style="798"/>
    <col min="13057" max="13057" width="4.7109375" style="798" customWidth="1"/>
    <col min="13058" max="13058" width="3.7109375" style="798" customWidth="1"/>
    <col min="13059" max="13059" width="11.42578125" style="798" bestFit="1" customWidth="1"/>
    <col min="13060" max="13060" width="13.85546875" style="798" bestFit="1" customWidth="1"/>
    <col min="13061" max="13061" width="11.85546875" style="798" bestFit="1" customWidth="1"/>
    <col min="13062" max="13062" width="9.85546875" style="798" bestFit="1" customWidth="1"/>
    <col min="13063" max="13063" width="1.85546875" style="798" customWidth="1"/>
    <col min="13064" max="13064" width="10.5703125" style="798" bestFit="1" customWidth="1"/>
    <col min="13065" max="13065" width="9.7109375" style="798" bestFit="1" customWidth="1"/>
    <col min="13066" max="13066" width="9.85546875" style="798" bestFit="1" customWidth="1"/>
    <col min="13067" max="13067" width="1.85546875" style="798" customWidth="1"/>
    <col min="13068" max="13068" width="9.85546875" style="798" bestFit="1" customWidth="1"/>
    <col min="13069" max="13312" width="9.140625" style="798"/>
    <col min="13313" max="13313" width="4.7109375" style="798" customWidth="1"/>
    <col min="13314" max="13314" width="3.7109375" style="798" customWidth="1"/>
    <col min="13315" max="13315" width="11.42578125" style="798" bestFit="1" customWidth="1"/>
    <col min="13316" max="13316" width="13.85546875" style="798" bestFit="1" customWidth="1"/>
    <col min="13317" max="13317" width="11.85546875" style="798" bestFit="1" customWidth="1"/>
    <col min="13318" max="13318" width="9.85546875" style="798" bestFit="1" customWidth="1"/>
    <col min="13319" max="13319" width="1.85546875" style="798" customWidth="1"/>
    <col min="13320" max="13320" width="10.5703125" style="798" bestFit="1" customWidth="1"/>
    <col min="13321" max="13321" width="9.7109375" style="798" bestFit="1" customWidth="1"/>
    <col min="13322" max="13322" width="9.85546875" style="798" bestFit="1" customWidth="1"/>
    <col min="13323" max="13323" width="1.85546875" style="798" customWidth="1"/>
    <col min="13324" max="13324" width="9.85546875" style="798" bestFit="1" customWidth="1"/>
    <col min="13325" max="13568" width="9.140625" style="798"/>
    <col min="13569" max="13569" width="4.7109375" style="798" customWidth="1"/>
    <col min="13570" max="13570" width="3.7109375" style="798" customWidth="1"/>
    <col min="13571" max="13571" width="11.42578125" style="798" bestFit="1" customWidth="1"/>
    <col min="13572" max="13572" width="13.85546875" style="798" bestFit="1" customWidth="1"/>
    <col min="13573" max="13573" width="11.85546875" style="798" bestFit="1" customWidth="1"/>
    <col min="13574" max="13574" width="9.85546875" style="798" bestFit="1" customWidth="1"/>
    <col min="13575" max="13575" width="1.85546875" style="798" customWidth="1"/>
    <col min="13576" max="13576" width="10.5703125" style="798" bestFit="1" customWidth="1"/>
    <col min="13577" max="13577" width="9.7109375" style="798" bestFit="1" customWidth="1"/>
    <col min="13578" max="13578" width="9.85546875" style="798" bestFit="1" customWidth="1"/>
    <col min="13579" max="13579" width="1.85546875" style="798" customWidth="1"/>
    <col min="13580" max="13580" width="9.85546875" style="798" bestFit="1" customWidth="1"/>
    <col min="13581" max="13824" width="9.140625" style="798"/>
    <col min="13825" max="13825" width="4.7109375" style="798" customWidth="1"/>
    <col min="13826" max="13826" width="3.7109375" style="798" customWidth="1"/>
    <col min="13827" max="13827" width="11.42578125" style="798" bestFit="1" customWidth="1"/>
    <col min="13828" max="13828" width="13.85546875" style="798" bestFit="1" customWidth="1"/>
    <col min="13829" max="13829" width="11.85546875" style="798" bestFit="1" customWidth="1"/>
    <col min="13830" max="13830" width="9.85546875" style="798" bestFit="1" customWidth="1"/>
    <col min="13831" max="13831" width="1.85546875" style="798" customWidth="1"/>
    <col min="13832" max="13832" width="10.5703125" style="798" bestFit="1" customWidth="1"/>
    <col min="13833" max="13833" width="9.7109375" style="798" bestFit="1" customWidth="1"/>
    <col min="13834" max="13834" width="9.85546875" style="798" bestFit="1" customWidth="1"/>
    <col min="13835" max="13835" width="1.85546875" style="798" customWidth="1"/>
    <col min="13836" max="13836" width="9.85546875" style="798" bestFit="1" customWidth="1"/>
    <col min="13837" max="14080" width="9.140625" style="798"/>
    <col min="14081" max="14081" width="4.7109375" style="798" customWidth="1"/>
    <col min="14082" max="14082" width="3.7109375" style="798" customWidth="1"/>
    <col min="14083" max="14083" width="11.42578125" style="798" bestFit="1" customWidth="1"/>
    <col min="14084" max="14084" width="13.85546875" style="798" bestFit="1" customWidth="1"/>
    <col min="14085" max="14085" width="11.85546875" style="798" bestFit="1" customWidth="1"/>
    <col min="14086" max="14086" width="9.85546875" style="798" bestFit="1" customWidth="1"/>
    <col min="14087" max="14087" width="1.85546875" style="798" customWidth="1"/>
    <col min="14088" max="14088" width="10.5703125" style="798" bestFit="1" customWidth="1"/>
    <col min="14089" max="14089" width="9.7109375" style="798" bestFit="1" customWidth="1"/>
    <col min="14090" max="14090" width="9.85546875" style="798" bestFit="1" customWidth="1"/>
    <col min="14091" max="14091" width="1.85546875" style="798" customWidth="1"/>
    <col min="14092" max="14092" width="9.85546875" style="798" bestFit="1" customWidth="1"/>
    <col min="14093" max="14336" width="9.140625" style="798"/>
    <col min="14337" max="14337" width="4.7109375" style="798" customWidth="1"/>
    <col min="14338" max="14338" width="3.7109375" style="798" customWidth="1"/>
    <col min="14339" max="14339" width="11.42578125" style="798" bestFit="1" customWidth="1"/>
    <col min="14340" max="14340" width="13.85546875" style="798" bestFit="1" customWidth="1"/>
    <col min="14341" max="14341" width="11.85546875" style="798" bestFit="1" customWidth="1"/>
    <col min="14342" max="14342" width="9.85546875" style="798" bestFit="1" customWidth="1"/>
    <col min="14343" max="14343" width="1.85546875" style="798" customWidth="1"/>
    <col min="14344" max="14344" width="10.5703125" style="798" bestFit="1" customWidth="1"/>
    <col min="14345" max="14345" width="9.7109375" style="798" bestFit="1" customWidth="1"/>
    <col min="14346" max="14346" width="9.85546875" style="798" bestFit="1" customWidth="1"/>
    <col min="14347" max="14347" width="1.85546875" style="798" customWidth="1"/>
    <col min="14348" max="14348" width="9.85546875" style="798" bestFit="1" customWidth="1"/>
    <col min="14349" max="14592" width="9.140625" style="798"/>
    <col min="14593" max="14593" width="4.7109375" style="798" customWidth="1"/>
    <col min="14594" max="14594" width="3.7109375" style="798" customWidth="1"/>
    <col min="14595" max="14595" width="11.42578125" style="798" bestFit="1" customWidth="1"/>
    <col min="14596" max="14596" width="13.85546875" style="798" bestFit="1" customWidth="1"/>
    <col min="14597" max="14597" width="11.85546875" style="798" bestFit="1" customWidth="1"/>
    <col min="14598" max="14598" width="9.85546875" style="798" bestFit="1" customWidth="1"/>
    <col min="14599" max="14599" width="1.85546875" style="798" customWidth="1"/>
    <col min="14600" max="14600" width="10.5703125" style="798" bestFit="1" customWidth="1"/>
    <col min="14601" max="14601" width="9.7109375" style="798" bestFit="1" customWidth="1"/>
    <col min="14602" max="14602" width="9.85546875" style="798" bestFit="1" customWidth="1"/>
    <col min="14603" max="14603" width="1.85546875" style="798" customWidth="1"/>
    <col min="14604" max="14604" width="9.85546875" style="798" bestFit="1" customWidth="1"/>
    <col min="14605" max="14848" width="9.140625" style="798"/>
    <col min="14849" max="14849" width="4.7109375" style="798" customWidth="1"/>
    <col min="14850" max="14850" width="3.7109375" style="798" customWidth="1"/>
    <col min="14851" max="14851" width="11.42578125" style="798" bestFit="1" customWidth="1"/>
    <col min="14852" max="14852" width="13.85546875" style="798" bestFit="1" customWidth="1"/>
    <col min="14853" max="14853" width="11.85546875" style="798" bestFit="1" customWidth="1"/>
    <col min="14854" max="14854" width="9.85546875" style="798" bestFit="1" customWidth="1"/>
    <col min="14855" max="14855" width="1.85546875" style="798" customWidth="1"/>
    <col min="14856" max="14856" width="10.5703125" style="798" bestFit="1" customWidth="1"/>
    <col min="14857" max="14857" width="9.7109375" style="798" bestFit="1" customWidth="1"/>
    <col min="14858" max="14858" width="9.85546875" style="798" bestFit="1" customWidth="1"/>
    <col min="14859" max="14859" width="1.85546875" style="798" customWidth="1"/>
    <col min="14860" max="14860" width="9.85546875" style="798" bestFit="1" customWidth="1"/>
    <col min="14861" max="15104" width="9.140625" style="798"/>
    <col min="15105" max="15105" width="4.7109375" style="798" customWidth="1"/>
    <col min="15106" max="15106" width="3.7109375" style="798" customWidth="1"/>
    <col min="15107" max="15107" width="11.42578125" style="798" bestFit="1" customWidth="1"/>
    <col min="15108" max="15108" width="13.85546875" style="798" bestFit="1" customWidth="1"/>
    <col min="15109" max="15109" width="11.85546875" style="798" bestFit="1" customWidth="1"/>
    <col min="15110" max="15110" width="9.85546875" style="798" bestFit="1" customWidth="1"/>
    <col min="15111" max="15111" width="1.85546875" style="798" customWidth="1"/>
    <col min="15112" max="15112" width="10.5703125" style="798" bestFit="1" customWidth="1"/>
    <col min="15113" max="15113" width="9.7109375" style="798" bestFit="1" customWidth="1"/>
    <col min="15114" max="15114" width="9.85546875" style="798" bestFit="1" customWidth="1"/>
    <col min="15115" max="15115" width="1.85546875" style="798" customWidth="1"/>
    <col min="15116" max="15116" width="9.85546875" style="798" bestFit="1" customWidth="1"/>
    <col min="15117" max="15360" width="9.140625" style="798"/>
    <col min="15361" max="15361" width="4.7109375" style="798" customWidth="1"/>
    <col min="15362" max="15362" width="3.7109375" style="798" customWidth="1"/>
    <col min="15363" max="15363" width="11.42578125" style="798" bestFit="1" customWidth="1"/>
    <col min="15364" max="15364" width="13.85546875" style="798" bestFit="1" customWidth="1"/>
    <col min="15365" max="15365" width="11.85546875" style="798" bestFit="1" customWidth="1"/>
    <col min="15366" max="15366" width="9.85546875" style="798" bestFit="1" customWidth="1"/>
    <col min="15367" max="15367" width="1.85546875" style="798" customWidth="1"/>
    <col min="15368" max="15368" width="10.5703125" style="798" bestFit="1" customWidth="1"/>
    <col min="15369" max="15369" width="9.7109375" style="798" bestFit="1" customWidth="1"/>
    <col min="15370" max="15370" width="9.85546875" style="798" bestFit="1" customWidth="1"/>
    <col min="15371" max="15371" width="1.85546875" style="798" customWidth="1"/>
    <col min="15372" max="15372" width="9.85546875" style="798" bestFit="1" customWidth="1"/>
    <col min="15373" max="15616" width="9.140625" style="798"/>
    <col min="15617" max="15617" width="4.7109375" style="798" customWidth="1"/>
    <col min="15618" max="15618" width="3.7109375" style="798" customWidth="1"/>
    <col min="15619" max="15619" width="11.42578125" style="798" bestFit="1" customWidth="1"/>
    <col min="15620" max="15620" width="13.85546875" style="798" bestFit="1" customWidth="1"/>
    <col min="15621" max="15621" width="11.85546875" style="798" bestFit="1" customWidth="1"/>
    <col min="15622" max="15622" width="9.85546875" style="798" bestFit="1" customWidth="1"/>
    <col min="15623" max="15623" width="1.85546875" style="798" customWidth="1"/>
    <col min="15624" max="15624" width="10.5703125" style="798" bestFit="1" customWidth="1"/>
    <col min="15625" max="15625" width="9.7109375" style="798" bestFit="1" customWidth="1"/>
    <col min="15626" max="15626" width="9.85546875" style="798" bestFit="1" customWidth="1"/>
    <col min="15627" max="15627" width="1.85546875" style="798" customWidth="1"/>
    <col min="15628" max="15628" width="9.85546875" style="798" bestFit="1" customWidth="1"/>
    <col min="15629" max="15872" width="9.140625" style="798"/>
    <col min="15873" max="15873" width="4.7109375" style="798" customWidth="1"/>
    <col min="15874" max="15874" width="3.7109375" style="798" customWidth="1"/>
    <col min="15875" max="15875" width="11.42578125" style="798" bestFit="1" customWidth="1"/>
    <col min="15876" max="15876" width="13.85546875" style="798" bestFit="1" customWidth="1"/>
    <col min="15877" max="15877" width="11.85546875" style="798" bestFit="1" customWidth="1"/>
    <col min="15878" max="15878" width="9.85546875" style="798" bestFit="1" customWidth="1"/>
    <col min="15879" max="15879" width="1.85546875" style="798" customWidth="1"/>
    <col min="15880" max="15880" width="10.5703125" style="798" bestFit="1" customWidth="1"/>
    <col min="15881" max="15881" width="9.7109375" style="798" bestFit="1" customWidth="1"/>
    <col min="15882" max="15882" width="9.85546875" style="798" bestFit="1" customWidth="1"/>
    <col min="15883" max="15883" width="1.85546875" style="798" customWidth="1"/>
    <col min="15884" max="15884" width="9.85546875" style="798" bestFit="1" customWidth="1"/>
    <col min="15885" max="16128" width="9.140625" style="798"/>
    <col min="16129" max="16129" width="4.7109375" style="798" customWidth="1"/>
    <col min="16130" max="16130" width="3.7109375" style="798" customWidth="1"/>
    <col min="16131" max="16131" width="11.42578125" style="798" bestFit="1" customWidth="1"/>
    <col min="16132" max="16132" width="13.85546875" style="798" bestFit="1" customWidth="1"/>
    <col min="16133" max="16133" width="11.85546875" style="798" bestFit="1" customWidth="1"/>
    <col min="16134" max="16134" width="9.85546875" style="798" bestFit="1" customWidth="1"/>
    <col min="16135" max="16135" width="1.85546875" style="798" customWidth="1"/>
    <col min="16136" max="16136" width="10.5703125" style="798" bestFit="1" customWidth="1"/>
    <col min="16137" max="16137" width="9.7109375" style="798" bestFit="1" customWidth="1"/>
    <col min="16138" max="16138" width="9.85546875" style="798" bestFit="1" customWidth="1"/>
    <col min="16139" max="16139" width="1.85546875" style="798" customWidth="1"/>
    <col min="16140" max="16140" width="9.85546875" style="798" bestFit="1" customWidth="1"/>
    <col min="16141" max="16384" width="9.140625" style="798"/>
  </cols>
  <sheetData>
    <row r="1" spans="1:12" x14ac:dyDescent="0.2">
      <c r="A1" s="1385" t="s">
        <v>192</v>
      </c>
      <c r="B1" s="1385"/>
      <c r="C1" s="1385"/>
      <c r="D1" s="1385"/>
      <c r="E1" s="1385"/>
      <c r="F1" s="1385"/>
      <c r="G1" s="1385"/>
      <c r="H1" s="1385"/>
      <c r="I1" s="1385"/>
      <c r="J1" s="1385"/>
      <c r="K1" s="1385"/>
      <c r="L1" s="1385"/>
    </row>
    <row r="2" spans="1:12" x14ac:dyDescent="0.2">
      <c r="B2" s="1385" t="s">
        <v>1520</v>
      </c>
      <c r="C2" s="1385"/>
      <c r="D2" s="1385"/>
      <c r="E2" s="1385"/>
      <c r="F2" s="1385"/>
      <c r="G2" s="1385"/>
      <c r="H2" s="1385"/>
      <c r="I2" s="1385"/>
      <c r="J2" s="1385"/>
      <c r="K2" s="1385"/>
      <c r="L2" s="1385"/>
    </row>
    <row r="3" spans="1:12" s="930" customFormat="1" ht="27.75" customHeight="1" x14ac:dyDescent="0.2">
      <c r="B3" s="1386" t="s">
        <v>193</v>
      </c>
      <c r="C3" s="1386"/>
      <c r="D3" s="1386"/>
      <c r="E3" s="1386"/>
      <c r="F3" s="1386"/>
      <c r="G3" s="1386"/>
      <c r="H3" s="1386"/>
      <c r="I3" s="1386"/>
      <c r="J3" s="1386"/>
      <c r="K3" s="1386"/>
      <c r="L3" s="1386"/>
    </row>
    <row r="4" spans="1:12" ht="17.25" customHeight="1" x14ac:dyDescent="0.2">
      <c r="B4" s="150"/>
      <c r="C4" s="151"/>
      <c r="D4" s="1387" t="s">
        <v>194</v>
      </c>
      <c r="E4" s="1388"/>
      <c r="F4" s="1389"/>
      <c r="G4" s="152"/>
      <c r="H4" s="1387" t="s">
        <v>195</v>
      </c>
      <c r="I4" s="1388"/>
      <c r="J4" s="1389"/>
      <c r="K4" s="152"/>
      <c r="L4" s="153"/>
    </row>
    <row r="5" spans="1:12" ht="13.5" customHeight="1" x14ac:dyDescent="0.2">
      <c r="B5" s="154"/>
      <c r="C5" s="155"/>
      <c r="D5" s="154"/>
      <c r="E5" s="156"/>
      <c r="F5" s="155"/>
      <c r="G5" s="149"/>
      <c r="H5" s="154"/>
      <c r="I5" s="156"/>
      <c r="J5" s="155"/>
      <c r="K5" s="149"/>
      <c r="L5" s="157" t="s">
        <v>16</v>
      </c>
    </row>
    <row r="6" spans="1:12" x14ac:dyDescent="0.2">
      <c r="B6" s="158"/>
      <c r="C6" s="159"/>
      <c r="D6" s="158"/>
      <c r="E6" s="152" t="s">
        <v>196</v>
      </c>
      <c r="F6" s="160" t="s">
        <v>197</v>
      </c>
      <c r="G6" s="152"/>
      <c r="H6" s="158"/>
      <c r="I6" s="152" t="s">
        <v>196</v>
      </c>
      <c r="J6" s="160" t="s">
        <v>197</v>
      </c>
      <c r="K6" s="152"/>
      <c r="L6" s="161" t="s">
        <v>197</v>
      </c>
    </row>
    <row r="7" spans="1:12" x14ac:dyDescent="0.2">
      <c r="B7" s="158"/>
      <c r="C7" s="159"/>
      <c r="D7" s="162" t="s">
        <v>198</v>
      </c>
      <c r="E7" s="152" t="s">
        <v>198</v>
      </c>
      <c r="F7" s="160" t="s">
        <v>199</v>
      </c>
      <c r="G7" s="152"/>
      <c r="H7" s="162" t="s">
        <v>200</v>
      </c>
      <c r="I7" s="152" t="s">
        <v>200</v>
      </c>
      <c r="J7" s="160" t="s">
        <v>201</v>
      </c>
      <c r="K7" s="152"/>
      <c r="L7" s="161" t="s">
        <v>201</v>
      </c>
    </row>
    <row r="8" spans="1:12" x14ac:dyDescent="0.2">
      <c r="B8" s="158"/>
      <c r="C8" s="159"/>
      <c r="D8" s="163" t="s">
        <v>197</v>
      </c>
      <c r="E8" s="164" t="s">
        <v>202</v>
      </c>
      <c r="F8" s="165" t="s">
        <v>204</v>
      </c>
      <c r="G8" s="152"/>
      <c r="H8" s="163" t="s">
        <v>203</v>
      </c>
      <c r="I8" s="164" t="s">
        <v>202</v>
      </c>
      <c r="J8" s="165" t="s">
        <v>204</v>
      </c>
      <c r="K8" s="152"/>
      <c r="L8" s="161" t="s">
        <v>204</v>
      </c>
    </row>
    <row r="9" spans="1:12" x14ac:dyDescent="0.2">
      <c r="B9" s="166"/>
      <c r="C9" s="167" t="s">
        <v>17</v>
      </c>
      <c r="D9" s="168" t="s">
        <v>205</v>
      </c>
      <c r="E9" s="168" t="s">
        <v>206</v>
      </c>
      <c r="F9" s="169" t="s">
        <v>207</v>
      </c>
      <c r="G9" s="170"/>
      <c r="H9" s="171" t="s">
        <v>208</v>
      </c>
      <c r="I9" s="172" t="s">
        <v>209</v>
      </c>
      <c r="J9" s="173" t="s">
        <v>210</v>
      </c>
      <c r="K9" s="170"/>
      <c r="L9" s="174" t="s">
        <v>211</v>
      </c>
    </row>
    <row r="10" spans="1:12" x14ac:dyDescent="0.2">
      <c r="B10" s="162">
        <v>1</v>
      </c>
      <c r="C10" s="159" t="s">
        <v>18</v>
      </c>
      <c r="D10" s="175">
        <v>4331694</v>
      </c>
      <c r="E10" s="176">
        <v>7876.63</v>
      </c>
      <c r="F10" s="800">
        <v>550</v>
      </c>
      <c r="G10" s="176"/>
      <c r="H10" s="178">
        <v>432724</v>
      </c>
      <c r="I10" s="179">
        <v>256.99</v>
      </c>
      <c r="J10" s="180">
        <v>1684</v>
      </c>
      <c r="K10" s="181"/>
      <c r="L10" s="182">
        <v>2234</v>
      </c>
    </row>
    <row r="11" spans="1:12" x14ac:dyDescent="0.2">
      <c r="B11" s="162">
        <v>2</v>
      </c>
      <c r="C11" s="159" t="s">
        <v>19</v>
      </c>
      <c r="D11" s="175">
        <v>1506929</v>
      </c>
      <c r="E11" s="176">
        <v>2617.5</v>
      </c>
      <c r="F11" s="800">
        <v>576</v>
      </c>
      <c r="G11" s="176"/>
      <c r="H11" s="183">
        <v>143241</v>
      </c>
      <c r="I11" s="176">
        <v>81.260000000000005</v>
      </c>
      <c r="J11" s="184">
        <v>1763</v>
      </c>
      <c r="K11" s="181"/>
      <c r="L11" s="182">
        <v>2339</v>
      </c>
    </row>
    <row r="12" spans="1:12" x14ac:dyDescent="0.2">
      <c r="B12" s="162">
        <v>3</v>
      </c>
      <c r="C12" s="159" t="s">
        <v>20</v>
      </c>
      <c r="D12" s="175">
        <v>3569583</v>
      </c>
      <c r="E12" s="176">
        <v>6717.13</v>
      </c>
      <c r="F12" s="800">
        <v>531</v>
      </c>
      <c r="G12" s="176"/>
      <c r="H12" s="183">
        <v>666505</v>
      </c>
      <c r="I12" s="176">
        <v>409.63</v>
      </c>
      <c r="J12" s="184">
        <v>1627</v>
      </c>
      <c r="K12" s="181"/>
      <c r="L12" s="182">
        <v>2158</v>
      </c>
    </row>
    <row r="13" spans="1:12" x14ac:dyDescent="0.2">
      <c r="B13" s="162">
        <v>4</v>
      </c>
      <c r="C13" s="159" t="s">
        <v>21</v>
      </c>
      <c r="D13" s="175">
        <v>716664</v>
      </c>
      <c r="E13" s="176">
        <v>1261.5</v>
      </c>
      <c r="F13" s="800">
        <v>568</v>
      </c>
      <c r="G13" s="176"/>
      <c r="H13" s="183">
        <v>77338</v>
      </c>
      <c r="I13" s="176">
        <v>44.46</v>
      </c>
      <c r="J13" s="184">
        <v>1739</v>
      </c>
      <c r="K13" s="181"/>
      <c r="L13" s="182">
        <v>2307</v>
      </c>
    </row>
    <row r="14" spans="1:12" x14ac:dyDescent="0.2">
      <c r="B14" s="163">
        <v>5</v>
      </c>
      <c r="C14" s="167" t="s">
        <v>22</v>
      </c>
      <c r="D14" s="175">
        <v>11933421</v>
      </c>
      <c r="E14" s="176">
        <v>21747.360000000001</v>
      </c>
      <c r="F14" s="800">
        <v>549</v>
      </c>
      <c r="G14" s="176"/>
      <c r="H14" s="185">
        <v>1241396</v>
      </c>
      <c r="I14" s="186">
        <v>738.87</v>
      </c>
      <c r="J14" s="187">
        <v>1680</v>
      </c>
      <c r="K14" s="181"/>
      <c r="L14" s="182">
        <v>2229</v>
      </c>
    </row>
    <row r="15" spans="1:12" x14ac:dyDescent="0.2">
      <c r="B15" s="162">
        <v>6</v>
      </c>
      <c r="C15" s="149" t="s">
        <v>23</v>
      </c>
      <c r="D15" s="178">
        <v>30826087</v>
      </c>
      <c r="E15" s="179">
        <v>59312.28</v>
      </c>
      <c r="F15" s="801">
        <v>520</v>
      </c>
      <c r="G15" s="176"/>
      <c r="H15" s="178">
        <v>2630831</v>
      </c>
      <c r="I15" s="179">
        <v>1653.25</v>
      </c>
      <c r="J15" s="180">
        <v>1591</v>
      </c>
      <c r="K15" s="181"/>
      <c r="L15" s="189">
        <v>2111</v>
      </c>
    </row>
    <row r="16" spans="1:12" x14ac:dyDescent="0.2">
      <c r="B16" s="162">
        <v>7</v>
      </c>
      <c r="C16" s="149" t="s">
        <v>24</v>
      </c>
      <c r="D16" s="183">
        <v>427732</v>
      </c>
      <c r="E16" s="176">
        <v>784.71</v>
      </c>
      <c r="F16" s="800">
        <v>545</v>
      </c>
      <c r="G16" s="176"/>
      <c r="H16" s="183">
        <v>53573</v>
      </c>
      <c r="I16" s="176">
        <v>32.1</v>
      </c>
      <c r="J16" s="184">
        <v>1669</v>
      </c>
      <c r="K16" s="181"/>
      <c r="L16" s="182">
        <v>2214</v>
      </c>
    </row>
    <row r="17" spans="2:12" x14ac:dyDescent="0.2">
      <c r="B17" s="162">
        <v>8</v>
      </c>
      <c r="C17" s="149" t="s">
        <v>25</v>
      </c>
      <c r="D17" s="183">
        <v>3190510</v>
      </c>
      <c r="E17" s="176">
        <v>6053.9</v>
      </c>
      <c r="F17" s="800">
        <v>527</v>
      </c>
      <c r="G17" s="176"/>
      <c r="H17" s="183">
        <v>882496</v>
      </c>
      <c r="I17" s="176">
        <v>546.9</v>
      </c>
      <c r="J17" s="184">
        <v>1614</v>
      </c>
      <c r="K17" s="181"/>
      <c r="L17" s="182">
        <v>2141</v>
      </c>
    </row>
    <row r="18" spans="2:12" x14ac:dyDescent="0.2">
      <c r="B18" s="162">
        <v>9</v>
      </c>
      <c r="C18" s="149" t="s">
        <v>26</v>
      </c>
      <c r="D18" s="183">
        <v>4603433</v>
      </c>
      <c r="E18" s="176">
        <v>8324.6600000000017</v>
      </c>
      <c r="F18" s="800">
        <v>553</v>
      </c>
      <c r="G18" s="176"/>
      <c r="H18" s="183">
        <v>203752</v>
      </c>
      <c r="I18" s="176">
        <v>120.33999999999999</v>
      </c>
      <c r="J18" s="184">
        <v>1693</v>
      </c>
      <c r="K18" s="181"/>
      <c r="L18" s="182">
        <v>2246</v>
      </c>
    </row>
    <row r="19" spans="2:12" x14ac:dyDescent="0.2">
      <c r="B19" s="162">
        <v>10</v>
      </c>
      <c r="C19" s="149" t="s">
        <v>27</v>
      </c>
      <c r="D19" s="185">
        <v>6966020</v>
      </c>
      <c r="E19" s="186">
        <v>12379.25</v>
      </c>
      <c r="F19" s="802">
        <v>563</v>
      </c>
      <c r="G19" s="176"/>
      <c r="H19" s="185">
        <v>1518239</v>
      </c>
      <c r="I19" s="186">
        <v>881.19</v>
      </c>
      <c r="J19" s="187">
        <v>1723</v>
      </c>
      <c r="K19" s="181"/>
      <c r="L19" s="191">
        <v>2286</v>
      </c>
    </row>
    <row r="20" spans="2:12" x14ac:dyDescent="0.2">
      <c r="B20" s="192">
        <v>11</v>
      </c>
      <c r="C20" s="155" t="s">
        <v>28</v>
      </c>
      <c r="D20" s="175">
        <v>7683528</v>
      </c>
      <c r="E20" s="176">
        <v>14381.019999999999</v>
      </c>
      <c r="F20" s="800">
        <v>534</v>
      </c>
      <c r="G20" s="176"/>
      <c r="H20" s="178">
        <v>966330</v>
      </c>
      <c r="I20" s="179">
        <v>590.71</v>
      </c>
      <c r="J20" s="180">
        <v>1636</v>
      </c>
      <c r="K20" s="181"/>
      <c r="L20" s="182">
        <v>2170</v>
      </c>
    </row>
    <row r="21" spans="2:12" x14ac:dyDescent="0.2">
      <c r="B21" s="162">
        <v>12</v>
      </c>
      <c r="C21" s="159" t="s">
        <v>29</v>
      </c>
      <c r="D21" s="175">
        <v>2065339</v>
      </c>
      <c r="E21" s="176">
        <v>3572.3599999999997</v>
      </c>
      <c r="F21" s="800">
        <v>578</v>
      </c>
      <c r="G21" s="176"/>
      <c r="H21" s="183">
        <v>309824</v>
      </c>
      <c r="I21" s="176">
        <v>175.02</v>
      </c>
      <c r="J21" s="184">
        <v>1770</v>
      </c>
      <c r="K21" s="181"/>
      <c r="L21" s="182">
        <v>2348</v>
      </c>
    </row>
    <row r="22" spans="2:12" x14ac:dyDescent="0.2">
      <c r="B22" s="162">
        <v>13</v>
      </c>
      <c r="C22" s="159" t="s">
        <v>103</v>
      </c>
      <c r="D22" s="175">
        <v>17176811</v>
      </c>
      <c r="E22" s="176">
        <v>35110.089999999997</v>
      </c>
      <c r="F22" s="800">
        <v>489</v>
      </c>
      <c r="G22" s="176"/>
      <c r="H22" s="183">
        <v>6392458</v>
      </c>
      <c r="I22" s="176">
        <v>4267.5200000000004</v>
      </c>
      <c r="J22" s="184">
        <v>1498</v>
      </c>
      <c r="K22" s="181"/>
      <c r="L22" s="182">
        <v>1987</v>
      </c>
    </row>
    <row r="23" spans="2:12" x14ac:dyDescent="0.2">
      <c r="B23" s="162">
        <v>14</v>
      </c>
      <c r="C23" s="159" t="s">
        <v>125</v>
      </c>
      <c r="D23" s="175">
        <v>615615</v>
      </c>
      <c r="E23" s="176">
        <v>1140.0100000000002</v>
      </c>
      <c r="F23" s="800">
        <v>540</v>
      </c>
      <c r="G23" s="176"/>
      <c r="H23" s="183">
        <v>183551</v>
      </c>
      <c r="I23" s="176">
        <v>111.01</v>
      </c>
      <c r="J23" s="184">
        <v>1653</v>
      </c>
      <c r="K23" s="181"/>
      <c r="L23" s="182">
        <v>2193</v>
      </c>
    </row>
    <row r="24" spans="2:12" x14ac:dyDescent="0.2">
      <c r="B24" s="163">
        <v>15</v>
      </c>
      <c r="C24" s="167" t="s">
        <v>31</v>
      </c>
      <c r="D24" s="175">
        <v>522081</v>
      </c>
      <c r="E24" s="176">
        <v>934.28</v>
      </c>
      <c r="F24" s="800">
        <v>559</v>
      </c>
      <c r="G24" s="176"/>
      <c r="H24" s="185">
        <v>20773</v>
      </c>
      <c r="I24" s="186">
        <v>12.14</v>
      </c>
      <c r="J24" s="187">
        <v>1711</v>
      </c>
      <c r="K24" s="181"/>
      <c r="L24" s="182">
        <v>2270</v>
      </c>
    </row>
    <row r="25" spans="2:12" x14ac:dyDescent="0.2">
      <c r="B25" s="162">
        <v>16</v>
      </c>
      <c r="C25" s="149" t="s">
        <v>32</v>
      </c>
      <c r="D25" s="178">
        <v>15615001</v>
      </c>
      <c r="E25" s="179">
        <v>31571.120000000003</v>
      </c>
      <c r="F25" s="801">
        <v>495</v>
      </c>
      <c r="G25" s="176"/>
      <c r="H25" s="178">
        <v>4181429</v>
      </c>
      <c r="I25" s="179">
        <v>2761.16</v>
      </c>
      <c r="J25" s="180">
        <v>1514</v>
      </c>
      <c r="K25" s="181"/>
      <c r="L25" s="189">
        <v>2009</v>
      </c>
    </row>
    <row r="26" spans="2:12" x14ac:dyDescent="0.2">
      <c r="B26" s="162">
        <v>17</v>
      </c>
      <c r="C26" s="149" t="s">
        <v>33</v>
      </c>
      <c r="D26" s="183">
        <v>8472318</v>
      </c>
      <c r="E26" s="176">
        <v>15552.720000000001</v>
      </c>
      <c r="F26" s="800">
        <v>545</v>
      </c>
      <c r="G26" s="176"/>
      <c r="H26" s="183">
        <v>1129701</v>
      </c>
      <c r="I26" s="176">
        <v>677.31000000000006</v>
      </c>
      <c r="J26" s="184">
        <v>1668</v>
      </c>
      <c r="K26" s="181"/>
      <c r="L26" s="182">
        <v>2213</v>
      </c>
    </row>
    <row r="27" spans="2:12" x14ac:dyDescent="0.2">
      <c r="B27" s="162">
        <v>18</v>
      </c>
      <c r="C27" s="149" t="s">
        <v>34</v>
      </c>
      <c r="D27" s="183">
        <v>2953661</v>
      </c>
      <c r="E27" s="176">
        <v>5400.2599999999993</v>
      </c>
      <c r="F27" s="800">
        <v>547</v>
      </c>
      <c r="G27" s="176"/>
      <c r="H27" s="183">
        <v>349683</v>
      </c>
      <c r="I27" s="176">
        <v>208.81</v>
      </c>
      <c r="J27" s="184">
        <v>1675</v>
      </c>
      <c r="K27" s="181"/>
      <c r="L27" s="182">
        <v>2222</v>
      </c>
    </row>
    <row r="28" spans="2:12" x14ac:dyDescent="0.2">
      <c r="B28" s="162">
        <v>19</v>
      </c>
      <c r="C28" s="149" t="s">
        <v>35</v>
      </c>
      <c r="D28" s="183">
        <v>342779</v>
      </c>
      <c r="E28" s="176">
        <v>597.11</v>
      </c>
      <c r="F28" s="800">
        <v>574</v>
      </c>
      <c r="G28" s="176"/>
      <c r="H28" s="183">
        <v>1807</v>
      </c>
      <c r="I28" s="176">
        <v>1.03</v>
      </c>
      <c r="J28" s="184">
        <v>1754</v>
      </c>
      <c r="K28" s="181"/>
      <c r="L28" s="182">
        <v>2328</v>
      </c>
    </row>
    <row r="29" spans="2:12" x14ac:dyDescent="0.2">
      <c r="B29" s="162">
        <v>20</v>
      </c>
      <c r="C29" s="149" t="s">
        <v>36</v>
      </c>
      <c r="D29" s="185">
        <v>1293382</v>
      </c>
      <c r="E29" s="186">
        <v>2360.17</v>
      </c>
      <c r="F29" s="802">
        <v>548</v>
      </c>
      <c r="G29" s="176"/>
      <c r="H29" s="183">
        <v>216412</v>
      </c>
      <c r="I29" s="176">
        <v>128.97999999999999</v>
      </c>
      <c r="J29" s="184">
        <v>1678</v>
      </c>
      <c r="K29" s="181"/>
      <c r="L29" s="191">
        <v>2226</v>
      </c>
    </row>
    <row r="30" spans="2:12" x14ac:dyDescent="0.2">
      <c r="B30" s="192">
        <v>21</v>
      </c>
      <c r="C30" s="155" t="s">
        <v>37</v>
      </c>
      <c r="D30" s="175">
        <v>540803</v>
      </c>
      <c r="E30" s="176">
        <v>950.85</v>
      </c>
      <c r="F30" s="800">
        <v>569</v>
      </c>
      <c r="G30" s="176"/>
      <c r="H30" s="178">
        <v>17570</v>
      </c>
      <c r="I30" s="179">
        <v>10.09</v>
      </c>
      <c r="J30" s="180">
        <v>1741</v>
      </c>
      <c r="K30" s="181"/>
      <c r="L30" s="182">
        <v>2310</v>
      </c>
    </row>
    <row r="31" spans="2:12" x14ac:dyDescent="0.2">
      <c r="B31" s="162">
        <v>22</v>
      </c>
      <c r="C31" s="159" t="s">
        <v>38</v>
      </c>
      <c r="D31" s="175">
        <v>379970</v>
      </c>
      <c r="E31" s="176">
        <v>677</v>
      </c>
      <c r="F31" s="800">
        <v>561</v>
      </c>
      <c r="G31" s="176"/>
      <c r="H31" s="183">
        <v>3434</v>
      </c>
      <c r="I31" s="176">
        <v>2</v>
      </c>
      <c r="J31" s="184">
        <v>1717</v>
      </c>
      <c r="K31" s="181"/>
      <c r="L31" s="182">
        <v>2278</v>
      </c>
    </row>
    <row r="32" spans="2:12" x14ac:dyDescent="0.2">
      <c r="B32" s="162">
        <v>23</v>
      </c>
      <c r="C32" s="159" t="s">
        <v>39</v>
      </c>
      <c r="D32" s="175">
        <v>341298</v>
      </c>
      <c r="E32" s="176">
        <v>612</v>
      </c>
      <c r="F32" s="800">
        <v>558</v>
      </c>
      <c r="G32" s="176"/>
      <c r="H32" s="183">
        <v>27429</v>
      </c>
      <c r="I32" s="176">
        <v>16.059999999999999</v>
      </c>
      <c r="J32" s="184">
        <v>1708</v>
      </c>
      <c r="K32" s="181"/>
      <c r="L32" s="182">
        <v>2266</v>
      </c>
    </row>
    <row r="33" spans="2:12" x14ac:dyDescent="0.2">
      <c r="B33" s="162">
        <v>24</v>
      </c>
      <c r="C33" s="159" t="s">
        <v>40</v>
      </c>
      <c r="D33" s="175">
        <v>570580</v>
      </c>
      <c r="E33" s="176">
        <v>996.67</v>
      </c>
      <c r="F33" s="800">
        <v>572</v>
      </c>
      <c r="G33" s="176"/>
      <c r="H33" s="183">
        <v>27690</v>
      </c>
      <c r="I33" s="176">
        <v>15.8</v>
      </c>
      <c r="J33" s="184">
        <v>1753</v>
      </c>
      <c r="K33" s="181"/>
      <c r="L33" s="182">
        <v>2325</v>
      </c>
    </row>
    <row r="34" spans="2:12" x14ac:dyDescent="0.2">
      <c r="B34" s="163">
        <v>25</v>
      </c>
      <c r="C34" s="167" t="s">
        <v>41</v>
      </c>
      <c r="D34" s="175">
        <v>1334002</v>
      </c>
      <c r="E34" s="176">
        <v>2244</v>
      </c>
      <c r="F34" s="800">
        <v>594</v>
      </c>
      <c r="G34" s="176"/>
      <c r="H34" s="185">
        <v>105571</v>
      </c>
      <c r="I34" s="186">
        <v>58</v>
      </c>
      <c r="J34" s="187">
        <v>1820</v>
      </c>
      <c r="K34" s="181"/>
      <c r="L34" s="182">
        <v>2414</v>
      </c>
    </row>
    <row r="35" spans="2:12" x14ac:dyDescent="0.2">
      <c r="B35" s="162">
        <v>26</v>
      </c>
      <c r="C35" s="149" t="s">
        <v>42</v>
      </c>
      <c r="D35" s="178">
        <v>1728167</v>
      </c>
      <c r="E35" s="179">
        <v>3078.74</v>
      </c>
      <c r="F35" s="801">
        <v>561</v>
      </c>
      <c r="G35" s="176"/>
      <c r="H35" s="183">
        <v>149144</v>
      </c>
      <c r="I35" s="176">
        <v>86.78</v>
      </c>
      <c r="J35" s="184">
        <v>1719</v>
      </c>
      <c r="K35" s="181"/>
      <c r="L35" s="189">
        <v>2280</v>
      </c>
    </row>
    <row r="36" spans="2:12" x14ac:dyDescent="0.2">
      <c r="B36" s="162">
        <v>27</v>
      </c>
      <c r="C36" s="149" t="s">
        <v>43</v>
      </c>
      <c r="D36" s="183">
        <v>5381740</v>
      </c>
      <c r="E36" s="176">
        <v>9344.91</v>
      </c>
      <c r="F36" s="800">
        <v>576</v>
      </c>
      <c r="G36" s="176"/>
      <c r="H36" s="183">
        <v>168461</v>
      </c>
      <c r="I36" s="176">
        <v>95.54</v>
      </c>
      <c r="J36" s="184">
        <v>1763</v>
      </c>
      <c r="K36" s="181"/>
      <c r="L36" s="182">
        <v>2339</v>
      </c>
    </row>
    <row r="37" spans="2:12" x14ac:dyDescent="0.2">
      <c r="B37" s="162">
        <v>28</v>
      </c>
      <c r="C37" s="149" t="s">
        <v>44</v>
      </c>
      <c r="D37" s="183">
        <v>2572375</v>
      </c>
      <c r="E37" s="176">
        <v>4796.7199999999993</v>
      </c>
      <c r="F37" s="800">
        <v>536</v>
      </c>
      <c r="G37" s="176"/>
      <c r="H37" s="183">
        <v>452412</v>
      </c>
      <c r="I37" s="176">
        <v>275.53000000000003</v>
      </c>
      <c r="J37" s="184">
        <v>1642</v>
      </c>
      <c r="K37" s="181"/>
      <c r="L37" s="182">
        <v>2178</v>
      </c>
    </row>
    <row r="38" spans="2:12" x14ac:dyDescent="0.2">
      <c r="B38" s="162">
        <v>29</v>
      </c>
      <c r="C38" s="149" t="s">
        <v>45</v>
      </c>
      <c r="D38" s="183">
        <v>33486542</v>
      </c>
      <c r="E38" s="176">
        <v>60007.53</v>
      </c>
      <c r="F38" s="800">
        <v>558</v>
      </c>
      <c r="G38" s="176"/>
      <c r="H38" s="183">
        <v>4673851</v>
      </c>
      <c r="I38" s="176">
        <v>2735.4500000000003</v>
      </c>
      <c r="J38" s="184">
        <v>1709</v>
      </c>
      <c r="K38" s="181"/>
      <c r="L38" s="182">
        <v>2267</v>
      </c>
    </row>
    <row r="39" spans="2:12" x14ac:dyDescent="0.2">
      <c r="B39" s="162">
        <v>30</v>
      </c>
      <c r="C39" s="149" t="s">
        <v>46</v>
      </c>
      <c r="D39" s="185">
        <v>858096</v>
      </c>
      <c r="E39" s="186">
        <v>1539</v>
      </c>
      <c r="F39" s="802">
        <v>558</v>
      </c>
      <c r="G39" s="176"/>
      <c r="H39" s="183">
        <v>8534</v>
      </c>
      <c r="I39" s="176">
        <v>5</v>
      </c>
      <c r="J39" s="184">
        <v>1707</v>
      </c>
      <c r="K39" s="181"/>
      <c r="L39" s="191">
        <v>2265</v>
      </c>
    </row>
    <row r="40" spans="2:12" x14ac:dyDescent="0.2">
      <c r="B40" s="192">
        <v>31</v>
      </c>
      <c r="C40" s="155" t="s">
        <v>47</v>
      </c>
      <c r="D40" s="175">
        <v>2543902</v>
      </c>
      <c r="E40" s="176">
        <v>4869.2299999999996</v>
      </c>
      <c r="F40" s="800">
        <v>522</v>
      </c>
      <c r="G40" s="176"/>
      <c r="H40" s="178">
        <v>425164</v>
      </c>
      <c r="I40" s="179">
        <v>265.78999999999996</v>
      </c>
      <c r="J40" s="180">
        <v>1600</v>
      </c>
      <c r="K40" s="181"/>
      <c r="L40" s="182">
        <v>2122</v>
      </c>
    </row>
    <row r="41" spans="2:12" x14ac:dyDescent="0.2">
      <c r="B41" s="162">
        <v>32</v>
      </c>
      <c r="C41" s="159" t="s">
        <v>48</v>
      </c>
      <c r="D41" s="175">
        <v>1524731</v>
      </c>
      <c r="E41" s="176">
        <v>2715.72</v>
      </c>
      <c r="F41" s="800">
        <v>561</v>
      </c>
      <c r="G41" s="176"/>
      <c r="H41" s="183">
        <v>297395</v>
      </c>
      <c r="I41" s="176">
        <v>173</v>
      </c>
      <c r="J41" s="184">
        <v>1719</v>
      </c>
      <c r="K41" s="181"/>
      <c r="L41" s="182">
        <v>2280</v>
      </c>
    </row>
    <row r="42" spans="2:12" x14ac:dyDescent="0.2">
      <c r="B42" s="162">
        <v>33</v>
      </c>
      <c r="C42" s="159" t="s">
        <v>49</v>
      </c>
      <c r="D42" s="175">
        <v>292898</v>
      </c>
      <c r="E42" s="176">
        <v>502.98</v>
      </c>
      <c r="F42" s="800">
        <v>582</v>
      </c>
      <c r="G42" s="176"/>
      <c r="H42" s="183">
        <v>15120</v>
      </c>
      <c r="I42" s="176">
        <v>8.48</v>
      </c>
      <c r="J42" s="184">
        <v>1783</v>
      </c>
      <c r="K42" s="181"/>
      <c r="L42" s="182">
        <v>2365</v>
      </c>
    </row>
    <row r="43" spans="2:12" x14ac:dyDescent="0.2">
      <c r="B43" s="162">
        <v>34</v>
      </c>
      <c r="C43" s="159" t="s">
        <v>50</v>
      </c>
      <c r="D43" s="175">
        <v>201241</v>
      </c>
      <c r="E43" s="176">
        <v>346.26</v>
      </c>
      <c r="F43" s="800">
        <v>581</v>
      </c>
      <c r="G43" s="176"/>
      <c r="H43" s="183">
        <v>0</v>
      </c>
      <c r="I43" s="176">
        <v>0</v>
      </c>
      <c r="J43" s="184">
        <v>0</v>
      </c>
      <c r="K43" s="181"/>
      <c r="L43" s="182">
        <v>581</v>
      </c>
    </row>
    <row r="44" spans="2:12" x14ac:dyDescent="0.2">
      <c r="B44" s="163">
        <v>35</v>
      </c>
      <c r="C44" s="167" t="s">
        <v>51</v>
      </c>
      <c r="D44" s="193">
        <v>8796186</v>
      </c>
      <c r="E44" s="186">
        <v>16551.849999999999</v>
      </c>
      <c r="F44" s="802">
        <v>531</v>
      </c>
      <c r="G44" s="176"/>
      <c r="H44" s="185">
        <v>1570346</v>
      </c>
      <c r="I44" s="186">
        <v>965.08999999999992</v>
      </c>
      <c r="J44" s="187">
        <v>1627</v>
      </c>
      <c r="K44" s="181"/>
      <c r="L44" s="182">
        <v>2158</v>
      </c>
    </row>
    <row r="45" spans="2:12" x14ac:dyDescent="0.2">
      <c r="B45" s="162">
        <v>36</v>
      </c>
      <c r="C45" s="149" t="s">
        <v>52</v>
      </c>
      <c r="D45" s="178">
        <v>24885075</v>
      </c>
      <c r="E45" s="179">
        <v>47574.5</v>
      </c>
      <c r="F45" s="801">
        <v>523</v>
      </c>
      <c r="G45" s="176"/>
      <c r="H45" s="183">
        <v>3199136</v>
      </c>
      <c r="I45" s="176">
        <v>1997.5</v>
      </c>
      <c r="J45" s="184">
        <v>1602</v>
      </c>
      <c r="K45" s="181"/>
      <c r="L45" s="189">
        <v>2125</v>
      </c>
    </row>
    <row r="46" spans="2:12" x14ac:dyDescent="0.2">
      <c r="B46" s="162">
        <v>37</v>
      </c>
      <c r="C46" s="149" t="s">
        <v>53</v>
      </c>
      <c r="D46" s="183">
        <v>4073325</v>
      </c>
      <c r="E46" s="176">
        <v>7652.43</v>
      </c>
      <c r="F46" s="800">
        <v>532</v>
      </c>
      <c r="G46" s="176"/>
      <c r="H46" s="183">
        <v>695712</v>
      </c>
      <c r="I46" s="176">
        <v>426.87</v>
      </c>
      <c r="J46" s="184">
        <v>1630</v>
      </c>
      <c r="K46" s="181"/>
      <c r="L46" s="182">
        <v>2162</v>
      </c>
    </row>
    <row r="47" spans="2:12" x14ac:dyDescent="0.2">
      <c r="B47" s="162">
        <v>38</v>
      </c>
      <c r="C47" s="149" t="s">
        <v>54</v>
      </c>
      <c r="D47" s="183">
        <v>1328017</v>
      </c>
      <c r="E47" s="176">
        <v>2248.7600000000002</v>
      </c>
      <c r="F47" s="800">
        <v>591</v>
      </c>
      <c r="G47" s="176"/>
      <c r="H47" s="183">
        <v>169244</v>
      </c>
      <c r="I47" s="176">
        <v>93.6</v>
      </c>
      <c r="J47" s="184">
        <v>1808</v>
      </c>
      <c r="K47" s="181"/>
      <c r="L47" s="182">
        <v>2399</v>
      </c>
    </row>
    <row r="48" spans="2:12" x14ac:dyDescent="0.2">
      <c r="B48" s="162">
        <v>39</v>
      </c>
      <c r="C48" s="149" t="s">
        <v>55</v>
      </c>
      <c r="D48" s="183">
        <v>261061</v>
      </c>
      <c r="E48" s="176">
        <v>453.94</v>
      </c>
      <c r="F48" s="800">
        <v>575</v>
      </c>
      <c r="G48" s="176"/>
      <c r="H48" s="183">
        <v>52810</v>
      </c>
      <c r="I48" s="176">
        <v>29.990000000000002</v>
      </c>
      <c r="J48" s="184">
        <v>1761</v>
      </c>
      <c r="K48" s="181"/>
      <c r="L48" s="182">
        <v>2336</v>
      </c>
    </row>
    <row r="49" spans="2:12" x14ac:dyDescent="0.2">
      <c r="B49" s="162">
        <v>40</v>
      </c>
      <c r="C49" s="149" t="s">
        <v>56</v>
      </c>
      <c r="D49" s="185">
        <v>600635</v>
      </c>
      <c r="E49" s="186">
        <v>1066.08</v>
      </c>
      <c r="F49" s="802">
        <v>563</v>
      </c>
      <c r="G49" s="176"/>
      <c r="H49" s="183">
        <v>54096</v>
      </c>
      <c r="I49" s="176">
        <v>31.36</v>
      </c>
      <c r="J49" s="184">
        <v>1725</v>
      </c>
      <c r="K49" s="181"/>
      <c r="L49" s="191">
        <v>2288</v>
      </c>
    </row>
    <row r="50" spans="2:12" x14ac:dyDescent="0.2">
      <c r="B50" s="192">
        <v>41</v>
      </c>
      <c r="C50" s="155" t="s">
        <v>57</v>
      </c>
      <c r="D50" s="175">
        <v>8126558</v>
      </c>
      <c r="E50" s="176">
        <v>14645.08</v>
      </c>
      <c r="F50" s="800">
        <v>555</v>
      </c>
      <c r="G50" s="176"/>
      <c r="H50" s="178">
        <v>916210</v>
      </c>
      <c r="I50" s="179">
        <v>539.26</v>
      </c>
      <c r="J50" s="180">
        <v>1699</v>
      </c>
      <c r="K50" s="181"/>
      <c r="L50" s="182">
        <v>2254</v>
      </c>
    </row>
    <row r="51" spans="2:12" x14ac:dyDescent="0.2">
      <c r="B51" s="162">
        <v>42</v>
      </c>
      <c r="C51" s="159" t="s">
        <v>58</v>
      </c>
      <c r="D51" s="175">
        <v>10679821</v>
      </c>
      <c r="E51" s="176">
        <v>19081</v>
      </c>
      <c r="F51" s="800">
        <v>560</v>
      </c>
      <c r="G51" s="176"/>
      <c r="H51" s="183">
        <v>2152456</v>
      </c>
      <c r="I51" s="176">
        <v>1256</v>
      </c>
      <c r="J51" s="184">
        <v>1714</v>
      </c>
      <c r="K51" s="181"/>
      <c r="L51" s="182">
        <v>2274</v>
      </c>
    </row>
    <row r="52" spans="2:12" x14ac:dyDescent="0.2">
      <c r="B52" s="162">
        <v>43</v>
      </c>
      <c r="C52" s="159" t="s">
        <v>59</v>
      </c>
      <c r="D52" s="175">
        <v>3704245</v>
      </c>
      <c r="E52" s="176">
        <v>6404.01</v>
      </c>
      <c r="F52" s="800">
        <v>578</v>
      </c>
      <c r="G52" s="176"/>
      <c r="H52" s="183">
        <v>197959</v>
      </c>
      <c r="I52" s="176">
        <v>111.78</v>
      </c>
      <c r="J52" s="184">
        <v>1771</v>
      </c>
      <c r="K52" s="181"/>
      <c r="L52" s="182">
        <v>2349</v>
      </c>
    </row>
    <row r="53" spans="2:12" x14ac:dyDescent="0.2">
      <c r="B53" s="162">
        <v>44</v>
      </c>
      <c r="C53" s="159" t="s">
        <v>60</v>
      </c>
      <c r="D53" s="175">
        <v>1150835</v>
      </c>
      <c r="E53" s="176">
        <v>2175.8800000000006</v>
      </c>
      <c r="F53" s="800">
        <v>529</v>
      </c>
      <c r="G53" s="176"/>
      <c r="H53" s="183">
        <v>153421</v>
      </c>
      <c r="I53" s="176">
        <v>94.74</v>
      </c>
      <c r="J53" s="184">
        <v>1619</v>
      </c>
      <c r="K53" s="181"/>
      <c r="L53" s="182">
        <v>2148</v>
      </c>
    </row>
    <row r="54" spans="2:12" x14ac:dyDescent="0.2">
      <c r="B54" s="163">
        <v>45</v>
      </c>
      <c r="C54" s="167" t="s">
        <v>61</v>
      </c>
      <c r="D54" s="175">
        <v>3336753</v>
      </c>
      <c r="E54" s="176">
        <v>5547.7400000000007</v>
      </c>
      <c r="F54" s="800">
        <v>601</v>
      </c>
      <c r="G54" s="176"/>
      <c r="H54" s="185">
        <v>363227</v>
      </c>
      <c r="I54" s="186">
        <v>197.23999999999998</v>
      </c>
      <c r="J54" s="187">
        <v>1842</v>
      </c>
      <c r="K54" s="181"/>
      <c r="L54" s="182">
        <v>2443</v>
      </c>
    </row>
    <row r="55" spans="2:12" x14ac:dyDescent="0.2">
      <c r="B55" s="162">
        <v>46</v>
      </c>
      <c r="C55" s="149" t="s">
        <v>62</v>
      </c>
      <c r="D55" s="178">
        <v>6609595</v>
      </c>
      <c r="E55" s="179">
        <v>12368.34</v>
      </c>
      <c r="F55" s="801">
        <v>534</v>
      </c>
      <c r="G55" s="176"/>
      <c r="H55" s="183">
        <v>1296586</v>
      </c>
      <c r="I55" s="176">
        <v>792.42</v>
      </c>
      <c r="J55" s="184">
        <v>1636</v>
      </c>
      <c r="K55" s="181"/>
      <c r="L55" s="189">
        <v>2170</v>
      </c>
    </row>
    <row r="56" spans="2:12" x14ac:dyDescent="0.2">
      <c r="B56" s="162">
        <v>47</v>
      </c>
      <c r="C56" s="149" t="s">
        <v>63</v>
      </c>
      <c r="D56" s="183">
        <v>1741329</v>
      </c>
      <c r="E56" s="176">
        <v>3104.67</v>
      </c>
      <c r="F56" s="800">
        <v>561</v>
      </c>
      <c r="G56" s="176"/>
      <c r="H56" s="183">
        <v>160931</v>
      </c>
      <c r="I56" s="176">
        <v>93.71</v>
      </c>
      <c r="J56" s="184">
        <v>1717</v>
      </c>
      <c r="K56" s="181"/>
      <c r="L56" s="182">
        <v>2278</v>
      </c>
    </row>
    <row r="57" spans="2:12" x14ac:dyDescent="0.2">
      <c r="B57" s="162">
        <v>48</v>
      </c>
      <c r="C57" s="149" t="s">
        <v>64</v>
      </c>
      <c r="D57" s="183">
        <v>32473162</v>
      </c>
      <c r="E57" s="176">
        <v>57291.41</v>
      </c>
      <c r="F57" s="800">
        <v>567</v>
      </c>
      <c r="G57" s="176"/>
      <c r="H57" s="183">
        <v>2527168</v>
      </c>
      <c r="I57" s="176">
        <v>1456.19</v>
      </c>
      <c r="J57" s="184">
        <v>1735</v>
      </c>
      <c r="K57" s="181"/>
      <c r="L57" s="182">
        <v>2302</v>
      </c>
    </row>
    <row r="58" spans="2:12" x14ac:dyDescent="0.2">
      <c r="B58" s="162">
        <v>49</v>
      </c>
      <c r="C58" s="149" t="s">
        <v>65</v>
      </c>
      <c r="D58" s="183">
        <v>18450320</v>
      </c>
      <c r="E58" s="176">
        <v>31970.09</v>
      </c>
      <c r="F58" s="800">
        <v>577</v>
      </c>
      <c r="G58" s="176"/>
      <c r="H58" s="183">
        <v>2402371</v>
      </c>
      <c r="I58" s="176">
        <v>1359.56</v>
      </c>
      <c r="J58" s="184">
        <v>1767</v>
      </c>
      <c r="K58" s="181"/>
      <c r="L58" s="182">
        <v>2344</v>
      </c>
    </row>
    <row r="59" spans="2:12" x14ac:dyDescent="0.2">
      <c r="B59" s="162">
        <v>50</v>
      </c>
      <c r="C59" s="149" t="s">
        <v>66</v>
      </c>
      <c r="D59" s="185">
        <v>26330986</v>
      </c>
      <c r="E59" s="186">
        <v>47222.039999999994</v>
      </c>
      <c r="F59" s="802">
        <v>558</v>
      </c>
      <c r="G59" s="176"/>
      <c r="H59" s="183">
        <v>3838433</v>
      </c>
      <c r="I59" s="176">
        <v>2248.2799999999997</v>
      </c>
      <c r="J59" s="184">
        <v>1707</v>
      </c>
      <c r="K59" s="181"/>
      <c r="L59" s="191">
        <v>2265</v>
      </c>
    </row>
    <row r="60" spans="2:12" x14ac:dyDescent="0.2">
      <c r="B60" s="192">
        <v>51</v>
      </c>
      <c r="C60" s="155" t="s">
        <v>67</v>
      </c>
      <c r="D60" s="175">
        <v>16857446</v>
      </c>
      <c r="E60" s="176">
        <v>30463.760000000002</v>
      </c>
      <c r="F60" s="800">
        <v>553</v>
      </c>
      <c r="G60" s="176"/>
      <c r="H60" s="178">
        <v>2291259</v>
      </c>
      <c r="I60" s="179">
        <v>1352.34</v>
      </c>
      <c r="J60" s="180">
        <v>1694</v>
      </c>
      <c r="K60" s="181"/>
      <c r="L60" s="182">
        <v>2247</v>
      </c>
    </row>
    <row r="61" spans="2:12" x14ac:dyDescent="0.2">
      <c r="B61" s="162">
        <v>52</v>
      </c>
      <c r="C61" s="159" t="s">
        <v>68</v>
      </c>
      <c r="D61" s="175">
        <v>10979082</v>
      </c>
      <c r="E61" s="176">
        <v>21065.06</v>
      </c>
      <c r="F61" s="800">
        <v>521</v>
      </c>
      <c r="G61" s="176"/>
      <c r="H61" s="183">
        <v>2045650</v>
      </c>
      <c r="I61" s="176">
        <v>1281.8799999999999</v>
      </c>
      <c r="J61" s="184">
        <v>1596</v>
      </c>
      <c r="K61" s="181"/>
      <c r="L61" s="182">
        <v>2117</v>
      </c>
    </row>
    <row r="62" spans="2:12" x14ac:dyDescent="0.2">
      <c r="B62" s="162">
        <v>53</v>
      </c>
      <c r="C62" s="159" t="s">
        <v>69</v>
      </c>
      <c r="D62" s="175">
        <v>24065528</v>
      </c>
      <c r="E62" s="176">
        <v>42823.25</v>
      </c>
      <c r="F62" s="800">
        <v>562</v>
      </c>
      <c r="G62" s="176"/>
      <c r="H62" s="183">
        <v>3346683</v>
      </c>
      <c r="I62" s="176">
        <v>1944.99</v>
      </c>
      <c r="J62" s="184">
        <v>1721</v>
      </c>
      <c r="K62" s="181"/>
      <c r="L62" s="182">
        <v>2283</v>
      </c>
    </row>
    <row r="63" spans="2:12" x14ac:dyDescent="0.2">
      <c r="B63" s="162">
        <v>54</v>
      </c>
      <c r="C63" s="159" t="s">
        <v>70</v>
      </c>
      <c r="D63" s="175">
        <v>2521414</v>
      </c>
      <c r="E63" s="176">
        <v>4267.3100000000004</v>
      </c>
      <c r="F63" s="800">
        <v>591</v>
      </c>
      <c r="G63" s="176"/>
      <c r="H63" s="183">
        <v>322585</v>
      </c>
      <c r="I63" s="176">
        <v>178.31</v>
      </c>
      <c r="J63" s="184">
        <v>1809</v>
      </c>
      <c r="K63" s="181"/>
      <c r="L63" s="182">
        <v>2400</v>
      </c>
    </row>
    <row r="64" spans="2:12" x14ac:dyDescent="0.2">
      <c r="B64" s="163">
        <v>55</v>
      </c>
      <c r="C64" s="167" t="s">
        <v>71</v>
      </c>
      <c r="D64" s="175">
        <v>13550447</v>
      </c>
      <c r="E64" s="176">
        <v>22903.74</v>
      </c>
      <c r="F64" s="800">
        <v>592</v>
      </c>
      <c r="G64" s="176"/>
      <c r="H64" s="185">
        <v>1342780</v>
      </c>
      <c r="I64" s="186">
        <v>741.27</v>
      </c>
      <c r="J64" s="187">
        <v>1811</v>
      </c>
      <c r="K64" s="181"/>
      <c r="L64" s="182">
        <v>2403</v>
      </c>
    </row>
    <row r="65" spans="2:12" x14ac:dyDescent="0.2">
      <c r="B65" s="162">
        <v>56</v>
      </c>
      <c r="C65" s="149" t="s">
        <v>72</v>
      </c>
      <c r="D65" s="178">
        <v>8895221</v>
      </c>
      <c r="E65" s="179">
        <v>17078.34</v>
      </c>
      <c r="F65" s="801">
        <v>521</v>
      </c>
      <c r="G65" s="176"/>
      <c r="H65" s="183">
        <v>1218023</v>
      </c>
      <c r="I65" s="176">
        <v>763.7700000000001</v>
      </c>
      <c r="J65" s="184">
        <v>1595</v>
      </c>
      <c r="K65" s="181"/>
      <c r="L65" s="189">
        <v>2116</v>
      </c>
    </row>
    <row r="66" spans="2:12" x14ac:dyDescent="0.2">
      <c r="B66" s="162">
        <v>57</v>
      </c>
      <c r="C66" s="149" t="s">
        <v>73</v>
      </c>
      <c r="D66" s="183">
        <v>7244971</v>
      </c>
      <c r="E66" s="176">
        <v>12994.38</v>
      </c>
      <c r="F66" s="800">
        <v>558</v>
      </c>
      <c r="G66" s="176"/>
      <c r="H66" s="183">
        <v>1128014</v>
      </c>
      <c r="I66" s="176">
        <v>660.77</v>
      </c>
      <c r="J66" s="184">
        <v>1707</v>
      </c>
      <c r="K66" s="181"/>
      <c r="L66" s="182">
        <v>2265</v>
      </c>
    </row>
    <row r="67" spans="2:12" x14ac:dyDescent="0.2">
      <c r="B67" s="162">
        <v>58</v>
      </c>
      <c r="C67" s="149" t="s">
        <v>74</v>
      </c>
      <c r="D67" s="183">
        <v>7408673</v>
      </c>
      <c r="E67" s="176">
        <v>13973.619999999999</v>
      </c>
      <c r="F67" s="800">
        <v>530</v>
      </c>
      <c r="G67" s="176"/>
      <c r="H67" s="183">
        <v>965205</v>
      </c>
      <c r="I67" s="176">
        <v>594.57999999999993</v>
      </c>
      <c r="J67" s="184">
        <v>1623</v>
      </c>
      <c r="K67" s="181"/>
      <c r="L67" s="182">
        <v>2153</v>
      </c>
    </row>
    <row r="68" spans="2:12" x14ac:dyDescent="0.2">
      <c r="B68" s="162">
        <v>59</v>
      </c>
      <c r="C68" s="149" t="s">
        <v>75</v>
      </c>
      <c r="D68" s="183">
        <v>10420584</v>
      </c>
      <c r="E68" s="176">
        <v>19767.689999999999</v>
      </c>
      <c r="F68" s="800">
        <v>527</v>
      </c>
      <c r="G68" s="176"/>
      <c r="H68" s="183">
        <v>354914</v>
      </c>
      <c r="I68" s="176">
        <v>219.89</v>
      </c>
      <c r="J68" s="184">
        <v>1614</v>
      </c>
      <c r="K68" s="181"/>
      <c r="L68" s="182">
        <v>2141</v>
      </c>
    </row>
    <row r="69" spans="2:12" x14ac:dyDescent="0.2">
      <c r="B69" s="162">
        <v>60</v>
      </c>
      <c r="C69" s="149" t="s">
        <v>76</v>
      </c>
      <c r="D69" s="185">
        <v>1252709</v>
      </c>
      <c r="E69" s="186">
        <v>2314.36</v>
      </c>
      <c r="F69" s="802">
        <v>541</v>
      </c>
      <c r="G69" s="176"/>
      <c r="H69" s="183">
        <v>186483</v>
      </c>
      <c r="I69" s="176">
        <v>112.52000000000001</v>
      </c>
      <c r="J69" s="184">
        <v>1657</v>
      </c>
      <c r="K69" s="181"/>
      <c r="L69" s="191">
        <v>2198</v>
      </c>
    </row>
    <row r="70" spans="2:12" x14ac:dyDescent="0.2">
      <c r="B70" s="192">
        <v>61</v>
      </c>
      <c r="C70" s="155" t="s">
        <v>77</v>
      </c>
      <c r="D70" s="175">
        <v>1337916</v>
      </c>
      <c r="E70" s="176">
        <v>2299.0500000000002</v>
      </c>
      <c r="F70" s="800">
        <v>582</v>
      </c>
      <c r="G70" s="176"/>
      <c r="H70" s="178">
        <v>138572</v>
      </c>
      <c r="I70" s="179">
        <v>77.77</v>
      </c>
      <c r="J70" s="180">
        <v>1782</v>
      </c>
      <c r="K70" s="181"/>
      <c r="L70" s="182">
        <v>2364</v>
      </c>
    </row>
    <row r="71" spans="2:12" x14ac:dyDescent="0.2">
      <c r="B71" s="162">
        <v>62</v>
      </c>
      <c r="C71" s="159" t="s">
        <v>78</v>
      </c>
      <c r="D71" s="175">
        <v>706665</v>
      </c>
      <c r="E71" s="176">
        <v>1271.3499999999999</v>
      </c>
      <c r="F71" s="800">
        <v>556</v>
      </c>
      <c r="G71" s="176"/>
      <c r="H71" s="183">
        <v>96936</v>
      </c>
      <c r="I71" s="176">
        <v>56.96</v>
      </c>
      <c r="J71" s="184">
        <v>1702</v>
      </c>
      <c r="K71" s="181"/>
      <c r="L71" s="182">
        <v>2258</v>
      </c>
    </row>
    <row r="72" spans="2:12" x14ac:dyDescent="0.2">
      <c r="B72" s="162">
        <v>63</v>
      </c>
      <c r="C72" s="159" t="s">
        <v>79</v>
      </c>
      <c r="D72" s="175">
        <v>555246</v>
      </c>
      <c r="E72" s="176">
        <v>986.94</v>
      </c>
      <c r="F72" s="800">
        <v>563</v>
      </c>
      <c r="G72" s="176"/>
      <c r="H72" s="183">
        <v>19528</v>
      </c>
      <c r="I72" s="176">
        <v>11.34</v>
      </c>
      <c r="J72" s="184">
        <v>1722</v>
      </c>
      <c r="K72" s="181"/>
      <c r="L72" s="182">
        <v>2285</v>
      </c>
    </row>
    <row r="73" spans="2:12" x14ac:dyDescent="0.2">
      <c r="B73" s="162">
        <v>64</v>
      </c>
      <c r="C73" s="159" t="s">
        <v>80</v>
      </c>
      <c r="D73" s="175">
        <v>11453566</v>
      </c>
      <c r="E73" s="176">
        <v>19186.830000000002</v>
      </c>
      <c r="F73" s="800">
        <v>597</v>
      </c>
      <c r="G73" s="176"/>
      <c r="H73" s="183">
        <v>1161106</v>
      </c>
      <c r="I73" s="176">
        <v>635.26</v>
      </c>
      <c r="J73" s="184">
        <v>1828</v>
      </c>
      <c r="K73" s="181"/>
      <c r="L73" s="182">
        <v>2425</v>
      </c>
    </row>
    <row r="74" spans="2:12" x14ac:dyDescent="0.2">
      <c r="B74" s="163">
        <v>65</v>
      </c>
      <c r="C74" s="167" t="s">
        <v>81</v>
      </c>
      <c r="D74" s="175">
        <v>1596787</v>
      </c>
      <c r="E74" s="176">
        <v>2724.26</v>
      </c>
      <c r="F74" s="800">
        <v>586</v>
      </c>
      <c r="G74" s="176"/>
      <c r="H74" s="185">
        <v>126564</v>
      </c>
      <c r="I74" s="186">
        <v>70.52000000000001</v>
      </c>
      <c r="J74" s="187">
        <v>1795</v>
      </c>
      <c r="K74" s="181"/>
      <c r="L74" s="182">
        <v>2381</v>
      </c>
    </row>
    <row r="75" spans="2:12" x14ac:dyDescent="0.2">
      <c r="B75" s="162">
        <v>66</v>
      </c>
      <c r="C75" s="149" t="s">
        <v>82</v>
      </c>
      <c r="D75" s="178">
        <v>2822469</v>
      </c>
      <c r="E75" s="179">
        <v>4678.1299999999992</v>
      </c>
      <c r="F75" s="801">
        <v>603</v>
      </c>
      <c r="G75" s="176"/>
      <c r="H75" s="178">
        <v>321672</v>
      </c>
      <c r="I75" s="179">
        <v>174.13</v>
      </c>
      <c r="J75" s="180">
        <v>1847</v>
      </c>
      <c r="K75" s="181"/>
      <c r="L75" s="189">
        <v>2450</v>
      </c>
    </row>
    <row r="76" spans="2:12" x14ac:dyDescent="0.2">
      <c r="B76" s="163">
        <v>67</v>
      </c>
      <c r="C76" s="194" t="s">
        <v>83</v>
      </c>
      <c r="D76" s="185">
        <v>879338</v>
      </c>
      <c r="E76" s="186">
        <v>1534.97</v>
      </c>
      <c r="F76" s="802">
        <v>573</v>
      </c>
      <c r="G76" s="176"/>
      <c r="H76" s="185">
        <v>84768</v>
      </c>
      <c r="I76" s="186">
        <v>48.330000000000005</v>
      </c>
      <c r="J76" s="187">
        <v>1754</v>
      </c>
      <c r="K76" s="181"/>
      <c r="L76" s="191">
        <v>2327</v>
      </c>
    </row>
    <row r="77" spans="2:12" ht="26.25" customHeight="1" x14ac:dyDescent="0.2">
      <c r="B77" s="149"/>
      <c r="D77" s="175"/>
      <c r="E77" s="176"/>
      <c r="F77" s="175"/>
      <c r="G77" s="176"/>
      <c r="H77" s="175"/>
      <c r="I77" s="176"/>
      <c r="J77" s="181"/>
      <c r="K77" s="181"/>
      <c r="L77" s="181"/>
    </row>
    <row r="78" spans="2:12" ht="15" customHeight="1" x14ac:dyDescent="0.2">
      <c r="B78" s="149"/>
      <c r="C78" s="149" t="s">
        <v>212</v>
      </c>
      <c r="D78" s="176">
        <v>451664898</v>
      </c>
      <c r="E78" s="175">
        <v>826066.52999999991</v>
      </c>
      <c r="F78" s="176">
        <v>547</v>
      </c>
      <c r="G78" s="176"/>
      <c r="H78" s="175">
        <v>62874686</v>
      </c>
      <c r="I78" s="181">
        <v>38064.419999999976</v>
      </c>
      <c r="J78" s="181">
        <v>1652</v>
      </c>
      <c r="K78" s="181"/>
      <c r="L78" s="181">
        <v>2199</v>
      </c>
    </row>
    <row r="79" spans="2:12" x14ac:dyDescent="0.2">
      <c r="B79" s="149"/>
      <c r="D79" s="149"/>
      <c r="E79" s="149"/>
      <c r="F79" s="149"/>
      <c r="G79" s="149"/>
      <c r="H79" s="149"/>
      <c r="I79" s="149"/>
      <c r="J79" s="149"/>
      <c r="K79" s="149"/>
      <c r="L79" s="149"/>
    </row>
    <row r="80" spans="2:12" x14ac:dyDescent="0.2">
      <c r="B80" s="149"/>
      <c r="D80" s="149"/>
      <c r="E80" s="149"/>
      <c r="F80" s="149"/>
      <c r="G80" s="149"/>
      <c r="H80" s="149"/>
      <c r="I80" s="149"/>
      <c r="J80" s="149"/>
      <c r="K80" s="149"/>
      <c r="L80" s="149"/>
    </row>
    <row r="81" spans="2:2" x14ac:dyDescent="0.2">
      <c r="B81" s="799"/>
    </row>
  </sheetData>
  <mergeCells count="5">
    <mergeCell ref="A1:L1"/>
    <mergeCell ref="B3:L3"/>
    <mergeCell ref="B2:L2"/>
    <mergeCell ref="D4:F4"/>
    <mergeCell ref="H4:J4"/>
  </mergeCells>
  <printOptions horizontalCentered="1" verticalCentered="1"/>
  <pageMargins left="0.5" right="0.5" top="0.5" bottom="0.5" header="0.5" footer="0.5"/>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7"/>
  <sheetViews>
    <sheetView zoomScaleNormal="100" workbookViewId="0">
      <selection sqref="A1:XFD1048576"/>
    </sheetView>
  </sheetViews>
  <sheetFormatPr defaultRowHeight="15.75" x14ac:dyDescent="0.25"/>
  <cols>
    <col min="1" max="1" width="10.28515625" style="23" customWidth="1"/>
    <col min="2" max="2" width="34.28515625" style="1" customWidth="1"/>
    <col min="3" max="3" width="16.42578125" style="1" customWidth="1"/>
    <col min="4" max="4" width="6.7109375" style="1" customWidth="1"/>
    <col min="5" max="5" width="14.5703125" style="1" customWidth="1"/>
    <col min="6" max="6" width="8" style="1" customWidth="1"/>
    <col min="7" max="7" width="15.42578125" style="1" customWidth="1"/>
    <col min="8" max="8" width="21.42578125" style="1" customWidth="1"/>
    <col min="9" max="9" width="29.140625" style="1" bestFit="1" customWidth="1"/>
    <col min="10" max="10" width="22.85546875" style="1" customWidth="1"/>
    <col min="11" max="11" width="15.5703125" style="2" customWidth="1"/>
    <col min="12" max="12" width="2" style="1" customWidth="1"/>
    <col min="13" max="13" width="7.28515625" style="1" customWidth="1"/>
    <col min="14" max="14" width="1.5703125" style="1" customWidth="1"/>
    <col min="15" max="15" width="1" style="1" customWidth="1"/>
    <col min="16" max="16" width="16.42578125" style="3" customWidth="1"/>
    <col min="17" max="17" width="1.42578125" style="3" customWidth="1"/>
    <col min="18" max="18" width="2.42578125" style="1" customWidth="1"/>
    <col min="19" max="19" width="13" style="1" customWidth="1"/>
    <col min="20" max="20" width="3.140625" style="1" customWidth="1"/>
    <col min="21" max="21" width="21.42578125" style="4" customWidth="1"/>
    <col min="22" max="22" width="9.140625" style="1"/>
    <col min="23" max="23" width="10" style="1" bestFit="1" customWidth="1"/>
    <col min="24" max="24" width="9.85546875" style="1" bestFit="1" customWidth="1"/>
    <col min="25" max="256" width="9.140625" style="1"/>
    <col min="257" max="257" width="10.28515625" style="1" customWidth="1"/>
    <col min="258" max="258" width="34.28515625" style="1" customWidth="1"/>
    <col min="259" max="259" width="16.42578125" style="1" customWidth="1"/>
    <col min="260" max="260" width="6.7109375" style="1" customWidth="1"/>
    <col min="261" max="261" width="14.5703125" style="1" customWidth="1"/>
    <col min="262" max="262" width="8" style="1" customWidth="1"/>
    <col min="263" max="263" width="15.42578125" style="1" customWidth="1"/>
    <col min="264" max="264" width="21.42578125" style="1" customWidth="1"/>
    <col min="265" max="265" width="29.140625" style="1" bestFit="1" customWidth="1"/>
    <col min="266" max="266" width="22.85546875" style="1" customWidth="1"/>
    <col min="267" max="267" width="15.5703125" style="1" customWidth="1"/>
    <col min="268" max="268" width="2" style="1" customWidth="1"/>
    <col min="269" max="269" width="7.28515625" style="1" customWidth="1"/>
    <col min="270" max="270" width="1.5703125" style="1" customWidth="1"/>
    <col min="271" max="271" width="1" style="1" customWidth="1"/>
    <col min="272" max="272" width="16.42578125" style="1" customWidth="1"/>
    <col min="273" max="273" width="1.42578125" style="1" customWidth="1"/>
    <col min="274" max="274" width="2.42578125" style="1" customWidth="1"/>
    <col min="275" max="275" width="13" style="1" customWidth="1"/>
    <col min="276" max="276" width="3.140625" style="1" customWidth="1"/>
    <col min="277" max="277" width="21.42578125" style="1" customWidth="1"/>
    <col min="278" max="278" width="9.140625" style="1"/>
    <col min="279" max="279" width="10" style="1" bestFit="1" customWidth="1"/>
    <col min="280" max="280" width="9.85546875" style="1" bestFit="1" customWidth="1"/>
    <col min="281" max="512" width="9.140625" style="1"/>
    <col min="513" max="513" width="10.28515625" style="1" customWidth="1"/>
    <col min="514" max="514" width="34.28515625" style="1" customWidth="1"/>
    <col min="515" max="515" width="16.42578125" style="1" customWidth="1"/>
    <col min="516" max="516" width="6.7109375" style="1" customWidth="1"/>
    <col min="517" max="517" width="14.5703125" style="1" customWidth="1"/>
    <col min="518" max="518" width="8" style="1" customWidth="1"/>
    <col min="519" max="519" width="15.42578125" style="1" customWidth="1"/>
    <col min="520" max="520" width="21.42578125" style="1" customWidth="1"/>
    <col min="521" max="521" width="29.140625" style="1" bestFit="1" customWidth="1"/>
    <col min="522" max="522" width="22.85546875" style="1" customWidth="1"/>
    <col min="523" max="523" width="15.5703125" style="1" customWidth="1"/>
    <col min="524" max="524" width="2" style="1" customWidth="1"/>
    <col min="525" max="525" width="7.28515625" style="1" customWidth="1"/>
    <col min="526" max="526" width="1.5703125" style="1" customWidth="1"/>
    <col min="527" max="527" width="1" style="1" customWidth="1"/>
    <col min="528" max="528" width="16.42578125" style="1" customWidth="1"/>
    <col min="529" max="529" width="1.42578125" style="1" customWidth="1"/>
    <col min="530" max="530" width="2.42578125" style="1" customWidth="1"/>
    <col min="531" max="531" width="13" style="1" customWidth="1"/>
    <col min="532" max="532" width="3.140625" style="1" customWidth="1"/>
    <col min="533" max="533" width="21.42578125" style="1" customWidth="1"/>
    <col min="534" max="534" width="9.140625" style="1"/>
    <col min="535" max="535" width="10" style="1" bestFit="1" customWidth="1"/>
    <col min="536" max="536" width="9.85546875" style="1" bestFit="1" customWidth="1"/>
    <col min="537" max="768" width="9.140625" style="1"/>
    <col min="769" max="769" width="10.28515625" style="1" customWidth="1"/>
    <col min="770" max="770" width="34.28515625" style="1" customWidth="1"/>
    <col min="771" max="771" width="16.42578125" style="1" customWidth="1"/>
    <col min="772" max="772" width="6.7109375" style="1" customWidth="1"/>
    <col min="773" max="773" width="14.5703125" style="1" customWidth="1"/>
    <col min="774" max="774" width="8" style="1" customWidth="1"/>
    <col min="775" max="775" width="15.42578125" style="1" customWidth="1"/>
    <col min="776" max="776" width="21.42578125" style="1" customWidth="1"/>
    <col min="777" max="777" width="29.140625" style="1" bestFit="1" customWidth="1"/>
    <col min="778" max="778" width="22.85546875" style="1" customWidth="1"/>
    <col min="779" max="779" width="15.5703125" style="1" customWidth="1"/>
    <col min="780" max="780" width="2" style="1" customWidth="1"/>
    <col min="781" max="781" width="7.28515625" style="1" customWidth="1"/>
    <col min="782" max="782" width="1.5703125" style="1" customWidth="1"/>
    <col min="783" max="783" width="1" style="1" customWidth="1"/>
    <col min="784" max="784" width="16.42578125" style="1" customWidth="1"/>
    <col min="785" max="785" width="1.42578125" style="1" customWidth="1"/>
    <col min="786" max="786" width="2.42578125" style="1" customWidth="1"/>
    <col min="787" max="787" width="13" style="1" customWidth="1"/>
    <col min="788" max="788" width="3.140625" style="1" customWidth="1"/>
    <col min="789" max="789" width="21.42578125" style="1" customWidth="1"/>
    <col min="790" max="790" width="9.140625" style="1"/>
    <col min="791" max="791" width="10" style="1" bestFit="1" customWidth="1"/>
    <col min="792" max="792" width="9.85546875" style="1" bestFit="1" customWidth="1"/>
    <col min="793" max="1024" width="9.140625" style="1"/>
    <col min="1025" max="1025" width="10.28515625" style="1" customWidth="1"/>
    <col min="1026" max="1026" width="34.28515625" style="1" customWidth="1"/>
    <col min="1027" max="1027" width="16.42578125" style="1" customWidth="1"/>
    <col min="1028" max="1028" width="6.7109375" style="1" customWidth="1"/>
    <col min="1029" max="1029" width="14.5703125" style="1" customWidth="1"/>
    <col min="1030" max="1030" width="8" style="1" customWidth="1"/>
    <col min="1031" max="1031" width="15.42578125" style="1" customWidth="1"/>
    <col min="1032" max="1032" width="21.42578125" style="1" customWidth="1"/>
    <col min="1033" max="1033" width="29.140625" style="1" bestFit="1" customWidth="1"/>
    <col min="1034" max="1034" width="22.85546875" style="1" customWidth="1"/>
    <col min="1035" max="1035" width="15.5703125" style="1" customWidth="1"/>
    <col min="1036" max="1036" width="2" style="1" customWidth="1"/>
    <col min="1037" max="1037" width="7.28515625" style="1" customWidth="1"/>
    <col min="1038" max="1038" width="1.5703125" style="1" customWidth="1"/>
    <col min="1039" max="1039" width="1" style="1" customWidth="1"/>
    <col min="1040" max="1040" width="16.42578125" style="1" customWidth="1"/>
    <col min="1041" max="1041" width="1.42578125" style="1" customWidth="1"/>
    <col min="1042" max="1042" width="2.42578125" style="1" customWidth="1"/>
    <col min="1043" max="1043" width="13" style="1" customWidth="1"/>
    <col min="1044" max="1044" width="3.140625" style="1" customWidth="1"/>
    <col min="1045" max="1045" width="21.42578125" style="1" customWidth="1"/>
    <col min="1046" max="1046" width="9.140625" style="1"/>
    <col min="1047" max="1047" width="10" style="1" bestFit="1" customWidth="1"/>
    <col min="1048" max="1048" width="9.85546875" style="1" bestFit="1" customWidth="1"/>
    <col min="1049" max="1280" width="9.140625" style="1"/>
    <col min="1281" max="1281" width="10.28515625" style="1" customWidth="1"/>
    <col min="1282" max="1282" width="34.28515625" style="1" customWidth="1"/>
    <col min="1283" max="1283" width="16.42578125" style="1" customWidth="1"/>
    <col min="1284" max="1284" width="6.7109375" style="1" customWidth="1"/>
    <col min="1285" max="1285" width="14.5703125" style="1" customWidth="1"/>
    <col min="1286" max="1286" width="8" style="1" customWidth="1"/>
    <col min="1287" max="1287" width="15.42578125" style="1" customWidth="1"/>
    <col min="1288" max="1288" width="21.42578125" style="1" customWidth="1"/>
    <col min="1289" max="1289" width="29.140625" style="1" bestFit="1" customWidth="1"/>
    <col min="1290" max="1290" width="22.85546875" style="1" customWidth="1"/>
    <col min="1291" max="1291" width="15.5703125" style="1" customWidth="1"/>
    <col min="1292" max="1292" width="2" style="1" customWidth="1"/>
    <col min="1293" max="1293" width="7.28515625" style="1" customWidth="1"/>
    <col min="1294" max="1294" width="1.5703125" style="1" customWidth="1"/>
    <col min="1295" max="1295" width="1" style="1" customWidth="1"/>
    <col min="1296" max="1296" width="16.42578125" style="1" customWidth="1"/>
    <col min="1297" max="1297" width="1.42578125" style="1" customWidth="1"/>
    <col min="1298" max="1298" width="2.42578125" style="1" customWidth="1"/>
    <col min="1299" max="1299" width="13" style="1" customWidth="1"/>
    <col min="1300" max="1300" width="3.140625" style="1" customWidth="1"/>
    <col min="1301" max="1301" width="21.42578125" style="1" customWidth="1"/>
    <col min="1302" max="1302" width="9.140625" style="1"/>
    <col min="1303" max="1303" width="10" style="1" bestFit="1" customWidth="1"/>
    <col min="1304" max="1304" width="9.85546875" style="1" bestFit="1" customWidth="1"/>
    <col min="1305" max="1536" width="9.140625" style="1"/>
    <col min="1537" max="1537" width="10.28515625" style="1" customWidth="1"/>
    <col min="1538" max="1538" width="34.28515625" style="1" customWidth="1"/>
    <col min="1539" max="1539" width="16.42578125" style="1" customWidth="1"/>
    <col min="1540" max="1540" width="6.7109375" style="1" customWidth="1"/>
    <col min="1541" max="1541" width="14.5703125" style="1" customWidth="1"/>
    <col min="1542" max="1542" width="8" style="1" customWidth="1"/>
    <col min="1543" max="1543" width="15.42578125" style="1" customWidth="1"/>
    <col min="1544" max="1544" width="21.42578125" style="1" customWidth="1"/>
    <col min="1545" max="1545" width="29.140625" style="1" bestFit="1" customWidth="1"/>
    <col min="1546" max="1546" width="22.85546875" style="1" customWidth="1"/>
    <col min="1547" max="1547" width="15.5703125" style="1" customWidth="1"/>
    <col min="1548" max="1548" width="2" style="1" customWidth="1"/>
    <col min="1549" max="1549" width="7.28515625" style="1" customWidth="1"/>
    <col min="1550" max="1550" width="1.5703125" style="1" customWidth="1"/>
    <col min="1551" max="1551" width="1" style="1" customWidth="1"/>
    <col min="1552" max="1552" width="16.42578125" style="1" customWidth="1"/>
    <col min="1553" max="1553" width="1.42578125" style="1" customWidth="1"/>
    <col min="1554" max="1554" width="2.42578125" style="1" customWidth="1"/>
    <col min="1555" max="1555" width="13" style="1" customWidth="1"/>
    <col min="1556" max="1556" width="3.140625" style="1" customWidth="1"/>
    <col min="1557" max="1557" width="21.42578125" style="1" customWidth="1"/>
    <col min="1558" max="1558" width="9.140625" style="1"/>
    <col min="1559" max="1559" width="10" style="1" bestFit="1" customWidth="1"/>
    <col min="1560" max="1560" width="9.85546875" style="1" bestFit="1" customWidth="1"/>
    <col min="1561" max="1792" width="9.140625" style="1"/>
    <col min="1793" max="1793" width="10.28515625" style="1" customWidth="1"/>
    <col min="1794" max="1794" width="34.28515625" style="1" customWidth="1"/>
    <col min="1795" max="1795" width="16.42578125" style="1" customWidth="1"/>
    <col min="1796" max="1796" width="6.7109375" style="1" customWidth="1"/>
    <col min="1797" max="1797" width="14.5703125" style="1" customWidth="1"/>
    <col min="1798" max="1798" width="8" style="1" customWidth="1"/>
    <col min="1799" max="1799" width="15.42578125" style="1" customWidth="1"/>
    <col min="1800" max="1800" width="21.42578125" style="1" customWidth="1"/>
    <col min="1801" max="1801" width="29.140625" style="1" bestFit="1" customWidth="1"/>
    <col min="1802" max="1802" width="22.85546875" style="1" customWidth="1"/>
    <col min="1803" max="1803" width="15.5703125" style="1" customWidth="1"/>
    <col min="1804" max="1804" width="2" style="1" customWidth="1"/>
    <col min="1805" max="1805" width="7.28515625" style="1" customWidth="1"/>
    <col min="1806" max="1806" width="1.5703125" style="1" customWidth="1"/>
    <col min="1807" max="1807" width="1" style="1" customWidth="1"/>
    <col min="1808" max="1808" width="16.42578125" style="1" customWidth="1"/>
    <col min="1809" max="1809" width="1.42578125" style="1" customWidth="1"/>
    <col min="1810" max="1810" width="2.42578125" style="1" customWidth="1"/>
    <col min="1811" max="1811" width="13" style="1" customWidth="1"/>
    <col min="1812" max="1812" width="3.140625" style="1" customWidth="1"/>
    <col min="1813" max="1813" width="21.42578125" style="1" customWidth="1"/>
    <col min="1814" max="1814" width="9.140625" style="1"/>
    <col min="1815" max="1815" width="10" style="1" bestFit="1" customWidth="1"/>
    <col min="1816" max="1816" width="9.85546875" style="1" bestFit="1" customWidth="1"/>
    <col min="1817" max="2048" width="9.140625" style="1"/>
    <col min="2049" max="2049" width="10.28515625" style="1" customWidth="1"/>
    <col min="2050" max="2050" width="34.28515625" style="1" customWidth="1"/>
    <col min="2051" max="2051" width="16.42578125" style="1" customWidth="1"/>
    <col min="2052" max="2052" width="6.7109375" style="1" customWidth="1"/>
    <col min="2053" max="2053" width="14.5703125" style="1" customWidth="1"/>
    <col min="2054" max="2054" width="8" style="1" customWidth="1"/>
    <col min="2055" max="2055" width="15.42578125" style="1" customWidth="1"/>
    <col min="2056" max="2056" width="21.42578125" style="1" customWidth="1"/>
    <col min="2057" max="2057" width="29.140625" style="1" bestFit="1" customWidth="1"/>
    <col min="2058" max="2058" width="22.85546875" style="1" customWidth="1"/>
    <col min="2059" max="2059" width="15.5703125" style="1" customWidth="1"/>
    <col min="2060" max="2060" width="2" style="1" customWidth="1"/>
    <col min="2061" max="2061" width="7.28515625" style="1" customWidth="1"/>
    <col min="2062" max="2062" width="1.5703125" style="1" customWidth="1"/>
    <col min="2063" max="2063" width="1" style="1" customWidth="1"/>
    <col min="2064" max="2064" width="16.42578125" style="1" customWidth="1"/>
    <col min="2065" max="2065" width="1.42578125" style="1" customWidth="1"/>
    <col min="2066" max="2066" width="2.42578125" style="1" customWidth="1"/>
    <col min="2067" max="2067" width="13" style="1" customWidth="1"/>
    <col min="2068" max="2068" width="3.140625" style="1" customWidth="1"/>
    <col min="2069" max="2069" width="21.42578125" style="1" customWidth="1"/>
    <col min="2070" max="2070" width="9.140625" style="1"/>
    <col min="2071" max="2071" width="10" style="1" bestFit="1" customWidth="1"/>
    <col min="2072" max="2072" width="9.85546875" style="1" bestFit="1" customWidth="1"/>
    <col min="2073" max="2304" width="9.140625" style="1"/>
    <col min="2305" max="2305" width="10.28515625" style="1" customWidth="1"/>
    <col min="2306" max="2306" width="34.28515625" style="1" customWidth="1"/>
    <col min="2307" max="2307" width="16.42578125" style="1" customWidth="1"/>
    <col min="2308" max="2308" width="6.7109375" style="1" customWidth="1"/>
    <col min="2309" max="2309" width="14.5703125" style="1" customWidth="1"/>
    <col min="2310" max="2310" width="8" style="1" customWidth="1"/>
    <col min="2311" max="2311" width="15.42578125" style="1" customWidth="1"/>
    <col min="2312" max="2312" width="21.42578125" style="1" customWidth="1"/>
    <col min="2313" max="2313" width="29.140625" style="1" bestFit="1" customWidth="1"/>
    <col min="2314" max="2314" width="22.85546875" style="1" customWidth="1"/>
    <col min="2315" max="2315" width="15.5703125" style="1" customWidth="1"/>
    <col min="2316" max="2316" width="2" style="1" customWidth="1"/>
    <col min="2317" max="2317" width="7.28515625" style="1" customWidth="1"/>
    <col min="2318" max="2318" width="1.5703125" style="1" customWidth="1"/>
    <col min="2319" max="2319" width="1" style="1" customWidth="1"/>
    <col min="2320" max="2320" width="16.42578125" style="1" customWidth="1"/>
    <col min="2321" max="2321" width="1.42578125" style="1" customWidth="1"/>
    <col min="2322" max="2322" width="2.42578125" style="1" customWidth="1"/>
    <col min="2323" max="2323" width="13" style="1" customWidth="1"/>
    <col min="2324" max="2324" width="3.140625" style="1" customWidth="1"/>
    <col min="2325" max="2325" width="21.42578125" style="1" customWidth="1"/>
    <col min="2326" max="2326" width="9.140625" style="1"/>
    <col min="2327" max="2327" width="10" style="1" bestFit="1" customWidth="1"/>
    <col min="2328" max="2328" width="9.85546875" style="1" bestFit="1" customWidth="1"/>
    <col min="2329" max="2560" width="9.140625" style="1"/>
    <col min="2561" max="2561" width="10.28515625" style="1" customWidth="1"/>
    <col min="2562" max="2562" width="34.28515625" style="1" customWidth="1"/>
    <col min="2563" max="2563" width="16.42578125" style="1" customWidth="1"/>
    <col min="2564" max="2564" width="6.7109375" style="1" customWidth="1"/>
    <col min="2565" max="2565" width="14.5703125" style="1" customWidth="1"/>
    <col min="2566" max="2566" width="8" style="1" customWidth="1"/>
    <col min="2567" max="2567" width="15.42578125" style="1" customWidth="1"/>
    <col min="2568" max="2568" width="21.42578125" style="1" customWidth="1"/>
    <col min="2569" max="2569" width="29.140625" style="1" bestFit="1" customWidth="1"/>
    <col min="2570" max="2570" width="22.85546875" style="1" customWidth="1"/>
    <col min="2571" max="2571" width="15.5703125" style="1" customWidth="1"/>
    <col min="2572" max="2572" width="2" style="1" customWidth="1"/>
    <col min="2573" max="2573" width="7.28515625" style="1" customWidth="1"/>
    <col min="2574" max="2574" width="1.5703125" style="1" customWidth="1"/>
    <col min="2575" max="2575" width="1" style="1" customWidth="1"/>
    <col min="2576" max="2576" width="16.42578125" style="1" customWidth="1"/>
    <col min="2577" max="2577" width="1.42578125" style="1" customWidth="1"/>
    <col min="2578" max="2578" width="2.42578125" style="1" customWidth="1"/>
    <col min="2579" max="2579" width="13" style="1" customWidth="1"/>
    <col min="2580" max="2580" width="3.140625" style="1" customWidth="1"/>
    <col min="2581" max="2581" width="21.42578125" style="1" customWidth="1"/>
    <col min="2582" max="2582" width="9.140625" style="1"/>
    <col min="2583" max="2583" width="10" style="1" bestFit="1" customWidth="1"/>
    <col min="2584" max="2584" width="9.85546875" style="1" bestFit="1" customWidth="1"/>
    <col min="2585" max="2816" width="9.140625" style="1"/>
    <col min="2817" max="2817" width="10.28515625" style="1" customWidth="1"/>
    <col min="2818" max="2818" width="34.28515625" style="1" customWidth="1"/>
    <col min="2819" max="2819" width="16.42578125" style="1" customWidth="1"/>
    <col min="2820" max="2820" width="6.7109375" style="1" customWidth="1"/>
    <col min="2821" max="2821" width="14.5703125" style="1" customWidth="1"/>
    <col min="2822" max="2822" width="8" style="1" customWidth="1"/>
    <col min="2823" max="2823" width="15.42578125" style="1" customWidth="1"/>
    <col min="2824" max="2824" width="21.42578125" style="1" customWidth="1"/>
    <col min="2825" max="2825" width="29.140625" style="1" bestFit="1" customWidth="1"/>
    <col min="2826" max="2826" width="22.85546875" style="1" customWidth="1"/>
    <col min="2827" max="2827" width="15.5703125" style="1" customWidth="1"/>
    <col min="2828" max="2828" width="2" style="1" customWidth="1"/>
    <col min="2829" max="2829" width="7.28515625" style="1" customWidth="1"/>
    <col min="2830" max="2830" width="1.5703125" style="1" customWidth="1"/>
    <col min="2831" max="2831" width="1" style="1" customWidth="1"/>
    <col min="2832" max="2832" width="16.42578125" style="1" customWidth="1"/>
    <col min="2833" max="2833" width="1.42578125" style="1" customWidth="1"/>
    <col min="2834" max="2834" width="2.42578125" style="1" customWidth="1"/>
    <col min="2835" max="2835" width="13" style="1" customWidth="1"/>
    <col min="2836" max="2836" width="3.140625" style="1" customWidth="1"/>
    <col min="2837" max="2837" width="21.42578125" style="1" customWidth="1"/>
    <col min="2838" max="2838" width="9.140625" style="1"/>
    <col min="2839" max="2839" width="10" style="1" bestFit="1" customWidth="1"/>
    <col min="2840" max="2840" width="9.85546875" style="1" bestFit="1" customWidth="1"/>
    <col min="2841" max="3072" width="9.140625" style="1"/>
    <col min="3073" max="3073" width="10.28515625" style="1" customWidth="1"/>
    <col min="3074" max="3074" width="34.28515625" style="1" customWidth="1"/>
    <col min="3075" max="3075" width="16.42578125" style="1" customWidth="1"/>
    <col min="3076" max="3076" width="6.7109375" style="1" customWidth="1"/>
    <col min="3077" max="3077" width="14.5703125" style="1" customWidth="1"/>
    <col min="3078" max="3078" width="8" style="1" customWidth="1"/>
    <col min="3079" max="3079" width="15.42578125" style="1" customWidth="1"/>
    <col min="3080" max="3080" width="21.42578125" style="1" customWidth="1"/>
    <col min="3081" max="3081" width="29.140625" style="1" bestFit="1" customWidth="1"/>
    <col min="3082" max="3082" width="22.85546875" style="1" customWidth="1"/>
    <col min="3083" max="3083" width="15.5703125" style="1" customWidth="1"/>
    <col min="3084" max="3084" width="2" style="1" customWidth="1"/>
    <col min="3085" max="3085" width="7.28515625" style="1" customWidth="1"/>
    <col min="3086" max="3086" width="1.5703125" style="1" customWidth="1"/>
    <col min="3087" max="3087" width="1" style="1" customWidth="1"/>
    <col min="3088" max="3088" width="16.42578125" style="1" customWidth="1"/>
    <col min="3089" max="3089" width="1.42578125" style="1" customWidth="1"/>
    <col min="3090" max="3090" width="2.42578125" style="1" customWidth="1"/>
    <col min="3091" max="3091" width="13" style="1" customWidth="1"/>
    <col min="3092" max="3092" width="3.140625" style="1" customWidth="1"/>
    <col min="3093" max="3093" width="21.42578125" style="1" customWidth="1"/>
    <col min="3094" max="3094" width="9.140625" style="1"/>
    <col min="3095" max="3095" width="10" style="1" bestFit="1" customWidth="1"/>
    <col min="3096" max="3096" width="9.85546875" style="1" bestFit="1" customWidth="1"/>
    <col min="3097" max="3328" width="9.140625" style="1"/>
    <col min="3329" max="3329" width="10.28515625" style="1" customWidth="1"/>
    <col min="3330" max="3330" width="34.28515625" style="1" customWidth="1"/>
    <col min="3331" max="3331" width="16.42578125" style="1" customWidth="1"/>
    <col min="3332" max="3332" width="6.7109375" style="1" customWidth="1"/>
    <col min="3333" max="3333" width="14.5703125" style="1" customWidth="1"/>
    <col min="3334" max="3334" width="8" style="1" customWidth="1"/>
    <col min="3335" max="3335" width="15.42578125" style="1" customWidth="1"/>
    <col min="3336" max="3336" width="21.42578125" style="1" customWidth="1"/>
    <col min="3337" max="3337" width="29.140625" style="1" bestFit="1" customWidth="1"/>
    <col min="3338" max="3338" width="22.85546875" style="1" customWidth="1"/>
    <col min="3339" max="3339" width="15.5703125" style="1" customWidth="1"/>
    <col min="3340" max="3340" width="2" style="1" customWidth="1"/>
    <col min="3341" max="3341" width="7.28515625" style="1" customWidth="1"/>
    <col min="3342" max="3342" width="1.5703125" style="1" customWidth="1"/>
    <col min="3343" max="3343" width="1" style="1" customWidth="1"/>
    <col min="3344" max="3344" width="16.42578125" style="1" customWidth="1"/>
    <col min="3345" max="3345" width="1.42578125" style="1" customWidth="1"/>
    <col min="3346" max="3346" width="2.42578125" style="1" customWidth="1"/>
    <col min="3347" max="3347" width="13" style="1" customWidth="1"/>
    <col min="3348" max="3348" width="3.140625" style="1" customWidth="1"/>
    <col min="3349" max="3349" width="21.42578125" style="1" customWidth="1"/>
    <col min="3350" max="3350" width="9.140625" style="1"/>
    <col min="3351" max="3351" width="10" style="1" bestFit="1" customWidth="1"/>
    <col min="3352" max="3352" width="9.85546875" style="1" bestFit="1" customWidth="1"/>
    <col min="3353" max="3584" width="9.140625" style="1"/>
    <col min="3585" max="3585" width="10.28515625" style="1" customWidth="1"/>
    <col min="3586" max="3586" width="34.28515625" style="1" customWidth="1"/>
    <col min="3587" max="3587" width="16.42578125" style="1" customWidth="1"/>
    <col min="3588" max="3588" width="6.7109375" style="1" customWidth="1"/>
    <col min="3589" max="3589" width="14.5703125" style="1" customWidth="1"/>
    <col min="3590" max="3590" width="8" style="1" customWidth="1"/>
    <col min="3591" max="3591" width="15.42578125" style="1" customWidth="1"/>
    <col min="3592" max="3592" width="21.42578125" style="1" customWidth="1"/>
    <col min="3593" max="3593" width="29.140625" style="1" bestFit="1" customWidth="1"/>
    <col min="3594" max="3594" width="22.85546875" style="1" customWidth="1"/>
    <col min="3595" max="3595" width="15.5703125" style="1" customWidth="1"/>
    <col min="3596" max="3596" width="2" style="1" customWidth="1"/>
    <col min="3597" max="3597" width="7.28515625" style="1" customWidth="1"/>
    <col min="3598" max="3598" width="1.5703125" style="1" customWidth="1"/>
    <col min="3599" max="3599" width="1" style="1" customWidth="1"/>
    <col min="3600" max="3600" width="16.42578125" style="1" customWidth="1"/>
    <col min="3601" max="3601" width="1.42578125" style="1" customWidth="1"/>
    <col min="3602" max="3602" width="2.42578125" style="1" customWidth="1"/>
    <col min="3603" max="3603" width="13" style="1" customWidth="1"/>
    <col min="3604" max="3604" width="3.140625" style="1" customWidth="1"/>
    <col min="3605" max="3605" width="21.42578125" style="1" customWidth="1"/>
    <col min="3606" max="3606" width="9.140625" style="1"/>
    <col min="3607" max="3607" width="10" style="1" bestFit="1" customWidth="1"/>
    <col min="3608" max="3608" width="9.85546875" style="1" bestFit="1" customWidth="1"/>
    <col min="3609" max="3840" width="9.140625" style="1"/>
    <col min="3841" max="3841" width="10.28515625" style="1" customWidth="1"/>
    <col min="3842" max="3842" width="34.28515625" style="1" customWidth="1"/>
    <col min="3843" max="3843" width="16.42578125" style="1" customWidth="1"/>
    <col min="3844" max="3844" width="6.7109375" style="1" customWidth="1"/>
    <col min="3845" max="3845" width="14.5703125" style="1" customWidth="1"/>
    <col min="3846" max="3846" width="8" style="1" customWidth="1"/>
    <col min="3847" max="3847" width="15.42578125" style="1" customWidth="1"/>
    <col min="3848" max="3848" width="21.42578125" style="1" customWidth="1"/>
    <col min="3849" max="3849" width="29.140625" style="1" bestFit="1" customWidth="1"/>
    <col min="3850" max="3850" width="22.85546875" style="1" customWidth="1"/>
    <col min="3851" max="3851" width="15.5703125" style="1" customWidth="1"/>
    <col min="3852" max="3852" width="2" style="1" customWidth="1"/>
    <col min="3853" max="3853" width="7.28515625" style="1" customWidth="1"/>
    <col min="3854" max="3854" width="1.5703125" style="1" customWidth="1"/>
    <col min="3855" max="3855" width="1" style="1" customWidth="1"/>
    <col min="3856" max="3856" width="16.42578125" style="1" customWidth="1"/>
    <col min="3857" max="3857" width="1.42578125" style="1" customWidth="1"/>
    <col min="3858" max="3858" width="2.42578125" style="1" customWidth="1"/>
    <col min="3859" max="3859" width="13" style="1" customWidth="1"/>
    <col min="3860" max="3860" width="3.140625" style="1" customWidth="1"/>
    <col min="3861" max="3861" width="21.42578125" style="1" customWidth="1"/>
    <col min="3862" max="3862" width="9.140625" style="1"/>
    <col min="3863" max="3863" width="10" style="1" bestFit="1" customWidth="1"/>
    <col min="3864" max="3864" width="9.85546875" style="1" bestFit="1" customWidth="1"/>
    <col min="3865" max="4096" width="9.140625" style="1"/>
    <col min="4097" max="4097" width="10.28515625" style="1" customWidth="1"/>
    <col min="4098" max="4098" width="34.28515625" style="1" customWidth="1"/>
    <col min="4099" max="4099" width="16.42578125" style="1" customWidth="1"/>
    <col min="4100" max="4100" width="6.7109375" style="1" customWidth="1"/>
    <col min="4101" max="4101" width="14.5703125" style="1" customWidth="1"/>
    <col min="4102" max="4102" width="8" style="1" customWidth="1"/>
    <col min="4103" max="4103" width="15.42578125" style="1" customWidth="1"/>
    <col min="4104" max="4104" width="21.42578125" style="1" customWidth="1"/>
    <col min="4105" max="4105" width="29.140625" style="1" bestFit="1" customWidth="1"/>
    <col min="4106" max="4106" width="22.85546875" style="1" customWidth="1"/>
    <col min="4107" max="4107" width="15.5703125" style="1" customWidth="1"/>
    <col min="4108" max="4108" width="2" style="1" customWidth="1"/>
    <col min="4109" max="4109" width="7.28515625" style="1" customWidth="1"/>
    <col min="4110" max="4110" width="1.5703125" style="1" customWidth="1"/>
    <col min="4111" max="4111" width="1" style="1" customWidth="1"/>
    <col min="4112" max="4112" width="16.42578125" style="1" customWidth="1"/>
    <col min="4113" max="4113" width="1.42578125" style="1" customWidth="1"/>
    <col min="4114" max="4114" width="2.42578125" style="1" customWidth="1"/>
    <col min="4115" max="4115" width="13" style="1" customWidth="1"/>
    <col min="4116" max="4116" width="3.140625" style="1" customWidth="1"/>
    <col min="4117" max="4117" width="21.42578125" style="1" customWidth="1"/>
    <col min="4118" max="4118" width="9.140625" style="1"/>
    <col min="4119" max="4119" width="10" style="1" bestFit="1" customWidth="1"/>
    <col min="4120" max="4120" width="9.85546875" style="1" bestFit="1" customWidth="1"/>
    <col min="4121" max="4352" width="9.140625" style="1"/>
    <col min="4353" max="4353" width="10.28515625" style="1" customWidth="1"/>
    <col min="4354" max="4354" width="34.28515625" style="1" customWidth="1"/>
    <col min="4355" max="4355" width="16.42578125" style="1" customWidth="1"/>
    <col min="4356" max="4356" width="6.7109375" style="1" customWidth="1"/>
    <col min="4357" max="4357" width="14.5703125" style="1" customWidth="1"/>
    <col min="4358" max="4358" width="8" style="1" customWidth="1"/>
    <col min="4359" max="4359" width="15.42578125" style="1" customWidth="1"/>
    <col min="4360" max="4360" width="21.42578125" style="1" customWidth="1"/>
    <col min="4361" max="4361" width="29.140625" style="1" bestFit="1" customWidth="1"/>
    <col min="4362" max="4362" width="22.85546875" style="1" customWidth="1"/>
    <col min="4363" max="4363" width="15.5703125" style="1" customWidth="1"/>
    <col min="4364" max="4364" width="2" style="1" customWidth="1"/>
    <col min="4365" max="4365" width="7.28515625" style="1" customWidth="1"/>
    <col min="4366" max="4366" width="1.5703125" style="1" customWidth="1"/>
    <col min="4367" max="4367" width="1" style="1" customWidth="1"/>
    <col min="4368" max="4368" width="16.42578125" style="1" customWidth="1"/>
    <col min="4369" max="4369" width="1.42578125" style="1" customWidth="1"/>
    <col min="4370" max="4370" width="2.42578125" style="1" customWidth="1"/>
    <col min="4371" max="4371" width="13" style="1" customWidth="1"/>
    <col min="4372" max="4372" width="3.140625" style="1" customWidth="1"/>
    <col min="4373" max="4373" width="21.42578125" style="1" customWidth="1"/>
    <col min="4374" max="4374" width="9.140625" style="1"/>
    <col min="4375" max="4375" width="10" style="1" bestFit="1" customWidth="1"/>
    <col min="4376" max="4376" width="9.85546875" style="1" bestFit="1" customWidth="1"/>
    <col min="4377" max="4608" width="9.140625" style="1"/>
    <col min="4609" max="4609" width="10.28515625" style="1" customWidth="1"/>
    <col min="4610" max="4610" width="34.28515625" style="1" customWidth="1"/>
    <col min="4611" max="4611" width="16.42578125" style="1" customWidth="1"/>
    <col min="4612" max="4612" width="6.7109375" style="1" customWidth="1"/>
    <col min="4613" max="4613" width="14.5703125" style="1" customWidth="1"/>
    <col min="4614" max="4614" width="8" style="1" customWidth="1"/>
    <col min="4615" max="4615" width="15.42578125" style="1" customWidth="1"/>
    <col min="4616" max="4616" width="21.42578125" style="1" customWidth="1"/>
    <col min="4617" max="4617" width="29.140625" style="1" bestFit="1" customWidth="1"/>
    <col min="4618" max="4618" width="22.85546875" style="1" customWidth="1"/>
    <col min="4619" max="4619" width="15.5703125" style="1" customWidth="1"/>
    <col min="4620" max="4620" width="2" style="1" customWidth="1"/>
    <col min="4621" max="4621" width="7.28515625" style="1" customWidth="1"/>
    <col min="4622" max="4622" width="1.5703125" style="1" customWidth="1"/>
    <col min="4623" max="4623" width="1" style="1" customWidth="1"/>
    <col min="4624" max="4624" width="16.42578125" style="1" customWidth="1"/>
    <col min="4625" max="4625" width="1.42578125" style="1" customWidth="1"/>
    <col min="4626" max="4626" width="2.42578125" style="1" customWidth="1"/>
    <col min="4627" max="4627" width="13" style="1" customWidth="1"/>
    <col min="4628" max="4628" width="3.140625" style="1" customWidth="1"/>
    <col min="4629" max="4629" width="21.42578125" style="1" customWidth="1"/>
    <col min="4630" max="4630" width="9.140625" style="1"/>
    <col min="4631" max="4631" width="10" style="1" bestFit="1" customWidth="1"/>
    <col min="4632" max="4632" width="9.85546875" style="1" bestFit="1" customWidth="1"/>
    <col min="4633" max="4864" width="9.140625" style="1"/>
    <col min="4865" max="4865" width="10.28515625" style="1" customWidth="1"/>
    <col min="4866" max="4866" width="34.28515625" style="1" customWidth="1"/>
    <col min="4867" max="4867" width="16.42578125" style="1" customWidth="1"/>
    <col min="4868" max="4868" width="6.7109375" style="1" customWidth="1"/>
    <col min="4869" max="4869" width="14.5703125" style="1" customWidth="1"/>
    <col min="4870" max="4870" width="8" style="1" customWidth="1"/>
    <col min="4871" max="4871" width="15.42578125" style="1" customWidth="1"/>
    <col min="4872" max="4872" width="21.42578125" style="1" customWidth="1"/>
    <col min="4873" max="4873" width="29.140625" style="1" bestFit="1" customWidth="1"/>
    <col min="4874" max="4874" width="22.85546875" style="1" customWidth="1"/>
    <col min="4875" max="4875" width="15.5703125" style="1" customWidth="1"/>
    <col min="4876" max="4876" width="2" style="1" customWidth="1"/>
    <col min="4877" max="4877" width="7.28515625" style="1" customWidth="1"/>
    <col min="4878" max="4878" width="1.5703125" style="1" customWidth="1"/>
    <col min="4879" max="4879" width="1" style="1" customWidth="1"/>
    <col min="4880" max="4880" width="16.42578125" style="1" customWidth="1"/>
    <col min="4881" max="4881" width="1.42578125" style="1" customWidth="1"/>
    <col min="4882" max="4882" width="2.42578125" style="1" customWidth="1"/>
    <col min="4883" max="4883" width="13" style="1" customWidth="1"/>
    <col min="4884" max="4884" width="3.140625" style="1" customWidth="1"/>
    <col min="4885" max="4885" width="21.42578125" style="1" customWidth="1"/>
    <col min="4886" max="4886" width="9.140625" style="1"/>
    <col min="4887" max="4887" width="10" style="1" bestFit="1" customWidth="1"/>
    <col min="4888" max="4888" width="9.85546875" style="1" bestFit="1" customWidth="1"/>
    <col min="4889" max="5120" width="9.140625" style="1"/>
    <col min="5121" max="5121" width="10.28515625" style="1" customWidth="1"/>
    <col min="5122" max="5122" width="34.28515625" style="1" customWidth="1"/>
    <col min="5123" max="5123" width="16.42578125" style="1" customWidth="1"/>
    <col min="5124" max="5124" width="6.7109375" style="1" customWidth="1"/>
    <col min="5125" max="5125" width="14.5703125" style="1" customWidth="1"/>
    <col min="5126" max="5126" width="8" style="1" customWidth="1"/>
    <col min="5127" max="5127" width="15.42578125" style="1" customWidth="1"/>
    <col min="5128" max="5128" width="21.42578125" style="1" customWidth="1"/>
    <col min="5129" max="5129" width="29.140625" style="1" bestFit="1" customWidth="1"/>
    <col min="5130" max="5130" width="22.85546875" style="1" customWidth="1"/>
    <col min="5131" max="5131" width="15.5703125" style="1" customWidth="1"/>
    <col min="5132" max="5132" width="2" style="1" customWidth="1"/>
    <col min="5133" max="5133" width="7.28515625" style="1" customWidth="1"/>
    <col min="5134" max="5134" width="1.5703125" style="1" customWidth="1"/>
    <col min="5135" max="5135" width="1" style="1" customWidth="1"/>
    <col min="5136" max="5136" width="16.42578125" style="1" customWidth="1"/>
    <col min="5137" max="5137" width="1.42578125" style="1" customWidth="1"/>
    <col min="5138" max="5138" width="2.42578125" style="1" customWidth="1"/>
    <col min="5139" max="5139" width="13" style="1" customWidth="1"/>
    <col min="5140" max="5140" width="3.140625" style="1" customWidth="1"/>
    <col min="5141" max="5141" width="21.42578125" style="1" customWidth="1"/>
    <col min="5142" max="5142" width="9.140625" style="1"/>
    <col min="5143" max="5143" width="10" style="1" bestFit="1" customWidth="1"/>
    <col min="5144" max="5144" width="9.85546875" style="1" bestFit="1" customWidth="1"/>
    <col min="5145" max="5376" width="9.140625" style="1"/>
    <col min="5377" max="5377" width="10.28515625" style="1" customWidth="1"/>
    <col min="5378" max="5378" width="34.28515625" style="1" customWidth="1"/>
    <col min="5379" max="5379" width="16.42578125" style="1" customWidth="1"/>
    <col min="5380" max="5380" width="6.7109375" style="1" customWidth="1"/>
    <col min="5381" max="5381" width="14.5703125" style="1" customWidth="1"/>
    <col min="5382" max="5382" width="8" style="1" customWidth="1"/>
    <col min="5383" max="5383" width="15.42578125" style="1" customWidth="1"/>
    <col min="5384" max="5384" width="21.42578125" style="1" customWidth="1"/>
    <col min="5385" max="5385" width="29.140625" style="1" bestFit="1" customWidth="1"/>
    <col min="5386" max="5386" width="22.85546875" style="1" customWidth="1"/>
    <col min="5387" max="5387" width="15.5703125" style="1" customWidth="1"/>
    <col min="5388" max="5388" width="2" style="1" customWidth="1"/>
    <col min="5389" max="5389" width="7.28515625" style="1" customWidth="1"/>
    <col min="5390" max="5390" width="1.5703125" style="1" customWidth="1"/>
    <col min="5391" max="5391" width="1" style="1" customWidth="1"/>
    <col min="5392" max="5392" width="16.42578125" style="1" customWidth="1"/>
    <col min="5393" max="5393" width="1.42578125" style="1" customWidth="1"/>
    <col min="5394" max="5394" width="2.42578125" style="1" customWidth="1"/>
    <col min="5395" max="5395" width="13" style="1" customWidth="1"/>
    <col min="5396" max="5396" width="3.140625" style="1" customWidth="1"/>
    <col min="5397" max="5397" width="21.42578125" style="1" customWidth="1"/>
    <col min="5398" max="5398" width="9.140625" style="1"/>
    <col min="5399" max="5399" width="10" style="1" bestFit="1" customWidth="1"/>
    <col min="5400" max="5400" width="9.85546875" style="1" bestFit="1" customWidth="1"/>
    <col min="5401" max="5632" width="9.140625" style="1"/>
    <col min="5633" max="5633" width="10.28515625" style="1" customWidth="1"/>
    <col min="5634" max="5634" width="34.28515625" style="1" customWidth="1"/>
    <col min="5635" max="5635" width="16.42578125" style="1" customWidth="1"/>
    <col min="5636" max="5636" width="6.7109375" style="1" customWidth="1"/>
    <col min="5637" max="5637" width="14.5703125" style="1" customWidth="1"/>
    <col min="5638" max="5638" width="8" style="1" customWidth="1"/>
    <col min="5639" max="5639" width="15.42578125" style="1" customWidth="1"/>
    <col min="5640" max="5640" width="21.42578125" style="1" customWidth="1"/>
    <col min="5641" max="5641" width="29.140625" style="1" bestFit="1" customWidth="1"/>
    <col min="5642" max="5642" width="22.85546875" style="1" customWidth="1"/>
    <col min="5643" max="5643" width="15.5703125" style="1" customWidth="1"/>
    <col min="5644" max="5644" width="2" style="1" customWidth="1"/>
    <col min="5645" max="5645" width="7.28515625" style="1" customWidth="1"/>
    <col min="5646" max="5646" width="1.5703125" style="1" customWidth="1"/>
    <col min="5647" max="5647" width="1" style="1" customWidth="1"/>
    <col min="5648" max="5648" width="16.42578125" style="1" customWidth="1"/>
    <col min="5649" max="5649" width="1.42578125" style="1" customWidth="1"/>
    <col min="5650" max="5650" width="2.42578125" style="1" customWidth="1"/>
    <col min="5651" max="5651" width="13" style="1" customWidth="1"/>
    <col min="5652" max="5652" width="3.140625" style="1" customWidth="1"/>
    <col min="5653" max="5653" width="21.42578125" style="1" customWidth="1"/>
    <col min="5654" max="5654" width="9.140625" style="1"/>
    <col min="5655" max="5655" width="10" style="1" bestFit="1" customWidth="1"/>
    <col min="5656" max="5656" width="9.85546875" style="1" bestFit="1" customWidth="1"/>
    <col min="5657" max="5888" width="9.140625" style="1"/>
    <col min="5889" max="5889" width="10.28515625" style="1" customWidth="1"/>
    <col min="5890" max="5890" width="34.28515625" style="1" customWidth="1"/>
    <col min="5891" max="5891" width="16.42578125" style="1" customWidth="1"/>
    <col min="5892" max="5892" width="6.7109375" style="1" customWidth="1"/>
    <col min="5893" max="5893" width="14.5703125" style="1" customWidth="1"/>
    <col min="5894" max="5894" width="8" style="1" customWidth="1"/>
    <col min="5895" max="5895" width="15.42578125" style="1" customWidth="1"/>
    <col min="5896" max="5896" width="21.42578125" style="1" customWidth="1"/>
    <col min="5897" max="5897" width="29.140625" style="1" bestFit="1" customWidth="1"/>
    <col min="5898" max="5898" width="22.85546875" style="1" customWidth="1"/>
    <col min="5899" max="5899" width="15.5703125" style="1" customWidth="1"/>
    <col min="5900" max="5900" width="2" style="1" customWidth="1"/>
    <col min="5901" max="5901" width="7.28515625" style="1" customWidth="1"/>
    <col min="5902" max="5902" width="1.5703125" style="1" customWidth="1"/>
    <col min="5903" max="5903" width="1" style="1" customWidth="1"/>
    <col min="5904" max="5904" width="16.42578125" style="1" customWidth="1"/>
    <col min="5905" max="5905" width="1.42578125" style="1" customWidth="1"/>
    <col min="5906" max="5906" width="2.42578125" style="1" customWidth="1"/>
    <col min="5907" max="5907" width="13" style="1" customWidth="1"/>
    <col min="5908" max="5908" width="3.140625" style="1" customWidth="1"/>
    <col min="5909" max="5909" width="21.42578125" style="1" customWidth="1"/>
    <col min="5910" max="5910" width="9.140625" style="1"/>
    <col min="5911" max="5911" width="10" style="1" bestFit="1" customWidth="1"/>
    <col min="5912" max="5912" width="9.85546875" style="1" bestFit="1" customWidth="1"/>
    <col min="5913" max="6144" width="9.140625" style="1"/>
    <col min="6145" max="6145" width="10.28515625" style="1" customWidth="1"/>
    <col min="6146" max="6146" width="34.28515625" style="1" customWidth="1"/>
    <col min="6147" max="6147" width="16.42578125" style="1" customWidth="1"/>
    <col min="6148" max="6148" width="6.7109375" style="1" customWidth="1"/>
    <col min="6149" max="6149" width="14.5703125" style="1" customWidth="1"/>
    <col min="6150" max="6150" width="8" style="1" customWidth="1"/>
    <col min="6151" max="6151" width="15.42578125" style="1" customWidth="1"/>
    <col min="6152" max="6152" width="21.42578125" style="1" customWidth="1"/>
    <col min="6153" max="6153" width="29.140625" style="1" bestFit="1" customWidth="1"/>
    <col min="6154" max="6154" width="22.85546875" style="1" customWidth="1"/>
    <col min="6155" max="6155" width="15.5703125" style="1" customWidth="1"/>
    <col min="6156" max="6156" width="2" style="1" customWidth="1"/>
    <col min="6157" max="6157" width="7.28515625" style="1" customWidth="1"/>
    <col min="6158" max="6158" width="1.5703125" style="1" customWidth="1"/>
    <col min="6159" max="6159" width="1" style="1" customWidth="1"/>
    <col min="6160" max="6160" width="16.42578125" style="1" customWidth="1"/>
    <col min="6161" max="6161" width="1.42578125" style="1" customWidth="1"/>
    <col min="6162" max="6162" width="2.42578125" style="1" customWidth="1"/>
    <col min="6163" max="6163" width="13" style="1" customWidth="1"/>
    <col min="6164" max="6164" width="3.140625" style="1" customWidth="1"/>
    <col min="6165" max="6165" width="21.42578125" style="1" customWidth="1"/>
    <col min="6166" max="6166" width="9.140625" style="1"/>
    <col min="6167" max="6167" width="10" style="1" bestFit="1" customWidth="1"/>
    <col min="6168" max="6168" width="9.85546875" style="1" bestFit="1" customWidth="1"/>
    <col min="6169" max="6400" width="9.140625" style="1"/>
    <col min="6401" max="6401" width="10.28515625" style="1" customWidth="1"/>
    <col min="6402" max="6402" width="34.28515625" style="1" customWidth="1"/>
    <col min="6403" max="6403" width="16.42578125" style="1" customWidth="1"/>
    <col min="6404" max="6404" width="6.7109375" style="1" customWidth="1"/>
    <col min="6405" max="6405" width="14.5703125" style="1" customWidth="1"/>
    <col min="6406" max="6406" width="8" style="1" customWidth="1"/>
    <col min="6407" max="6407" width="15.42578125" style="1" customWidth="1"/>
    <col min="6408" max="6408" width="21.42578125" style="1" customWidth="1"/>
    <col min="6409" max="6409" width="29.140625" style="1" bestFit="1" customWidth="1"/>
    <col min="6410" max="6410" width="22.85546875" style="1" customWidth="1"/>
    <col min="6411" max="6411" width="15.5703125" style="1" customWidth="1"/>
    <col min="6412" max="6412" width="2" style="1" customWidth="1"/>
    <col min="6413" max="6413" width="7.28515625" style="1" customWidth="1"/>
    <col min="6414" max="6414" width="1.5703125" style="1" customWidth="1"/>
    <col min="6415" max="6415" width="1" style="1" customWidth="1"/>
    <col min="6416" max="6416" width="16.42578125" style="1" customWidth="1"/>
    <col min="6417" max="6417" width="1.42578125" style="1" customWidth="1"/>
    <col min="6418" max="6418" width="2.42578125" style="1" customWidth="1"/>
    <col min="6419" max="6419" width="13" style="1" customWidth="1"/>
    <col min="6420" max="6420" width="3.140625" style="1" customWidth="1"/>
    <col min="6421" max="6421" width="21.42578125" style="1" customWidth="1"/>
    <col min="6422" max="6422" width="9.140625" style="1"/>
    <col min="6423" max="6423" width="10" style="1" bestFit="1" customWidth="1"/>
    <col min="6424" max="6424" width="9.85546875" style="1" bestFit="1" customWidth="1"/>
    <col min="6425" max="6656" width="9.140625" style="1"/>
    <col min="6657" max="6657" width="10.28515625" style="1" customWidth="1"/>
    <col min="6658" max="6658" width="34.28515625" style="1" customWidth="1"/>
    <col min="6659" max="6659" width="16.42578125" style="1" customWidth="1"/>
    <col min="6660" max="6660" width="6.7109375" style="1" customWidth="1"/>
    <col min="6661" max="6661" width="14.5703125" style="1" customWidth="1"/>
    <col min="6662" max="6662" width="8" style="1" customWidth="1"/>
    <col min="6663" max="6663" width="15.42578125" style="1" customWidth="1"/>
    <col min="6664" max="6664" width="21.42578125" style="1" customWidth="1"/>
    <col min="6665" max="6665" width="29.140625" style="1" bestFit="1" customWidth="1"/>
    <col min="6666" max="6666" width="22.85546875" style="1" customWidth="1"/>
    <col min="6667" max="6667" width="15.5703125" style="1" customWidth="1"/>
    <col min="6668" max="6668" width="2" style="1" customWidth="1"/>
    <col min="6669" max="6669" width="7.28515625" style="1" customWidth="1"/>
    <col min="6670" max="6670" width="1.5703125" style="1" customWidth="1"/>
    <col min="6671" max="6671" width="1" style="1" customWidth="1"/>
    <col min="6672" max="6672" width="16.42578125" style="1" customWidth="1"/>
    <col min="6673" max="6673" width="1.42578125" style="1" customWidth="1"/>
    <col min="6674" max="6674" width="2.42578125" style="1" customWidth="1"/>
    <col min="6675" max="6675" width="13" style="1" customWidth="1"/>
    <col min="6676" max="6676" width="3.140625" style="1" customWidth="1"/>
    <col min="6677" max="6677" width="21.42578125" style="1" customWidth="1"/>
    <col min="6678" max="6678" width="9.140625" style="1"/>
    <col min="6679" max="6679" width="10" style="1" bestFit="1" customWidth="1"/>
    <col min="6680" max="6680" width="9.85546875" style="1" bestFit="1" customWidth="1"/>
    <col min="6681" max="6912" width="9.140625" style="1"/>
    <col min="6913" max="6913" width="10.28515625" style="1" customWidth="1"/>
    <col min="6914" max="6914" width="34.28515625" style="1" customWidth="1"/>
    <col min="6915" max="6915" width="16.42578125" style="1" customWidth="1"/>
    <col min="6916" max="6916" width="6.7109375" style="1" customWidth="1"/>
    <col min="6917" max="6917" width="14.5703125" style="1" customWidth="1"/>
    <col min="6918" max="6918" width="8" style="1" customWidth="1"/>
    <col min="6919" max="6919" width="15.42578125" style="1" customWidth="1"/>
    <col min="6920" max="6920" width="21.42578125" style="1" customWidth="1"/>
    <col min="6921" max="6921" width="29.140625" style="1" bestFit="1" customWidth="1"/>
    <col min="6922" max="6922" width="22.85546875" style="1" customWidth="1"/>
    <col min="6923" max="6923" width="15.5703125" style="1" customWidth="1"/>
    <col min="6924" max="6924" width="2" style="1" customWidth="1"/>
    <col min="6925" max="6925" width="7.28515625" style="1" customWidth="1"/>
    <col min="6926" max="6926" width="1.5703125" style="1" customWidth="1"/>
    <col min="6927" max="6927" width="1" style="1" customWidth="1"/>
    <col min="6928" max="6928" width="16.42578125" style="1" customWidth="1"/>
    <col min="6929" max="6929" width="1.42578125" style="1" customWidth="1"/>
    <col min="6930" max="6930" width="2.42578125" style="1" customWidth="1"/>
    <col min="6931" max="6931" width="13" style="1" customWidth="1"/>
    <col min="6932" max="6932" width="3.140625" style="1" customWidth="1"/>
    <col min="6933" max="6933" width="21.42578125" style="1" customWidth="1"/>
    <col min="6934" max="6934" width="9.140625" style="1"/>
    <col min="6935" max="6935" width="10" style="1" bestFit="1" customWidth="1"/>
    <col min="6936" max="6936" width="9.85546875" style="1" bestFit="1" customWidth="1"/>
    <col min="6937" max="7168" width="9.140625" style="1"/>
    <col min="7169" max="7169" width="10.28515625" style="1" customWidth="1"/>
    <col min="7170" max="7170" width="34.28515625" style="1" customWidth="1"/>
    <col min="7171" max="7171" width="16.42578125" style="1" customWidth="1"/>
    <col min="7172" max="7172" width="6.7109375" style="1" customWidth="1"/>
    <col min="7173" max="7173" width="14.5703125" style="1" customWidth="1"/>
    <col min="7174" max="7174" width="8" style="1" customWidth="1"/>
    <col min="7175" max="7175" width="15.42578125" style="1" customWidth="1"/>
    <col min="7176" max="7176" width="21.42578125" style="1" customWidth="1"/>
    <col min="7177" max="7177" width="29.140625" style="1" bestFit="1" customWidth="1"/>
    <col min="7178" max="7178" width="22.85546875" style="1" customWidth="1"/>
    <col min="7179" max="7179" width="15.5703125" style="1" customWidth="1"/>
    <col min="7180" max="7180" width="2" style="1" customWidth="1"/>
    <col min="7181" max="7181" width="7.28515625" style="1" customWidth="1"/>
    <col min="7182" max="7182" width="1.5703125" style="1" customWidth="1"/>
    <col min="7183" max="7183" width="1" style="1" customWidth="1"/>
    <col min="7184" max="7184" width="16.42578125" style="1" customWidth="1"/>
    <col min="7185" max="7185" width="1.42578125" style="1" customWidth="1"/>
    <col min="7186" max="7186" width="2.42578125" style="1" customWidth="1"/>
    <col min="7187" max="7187" width="13" style="1" customWidth="1"/>
    <col min="7188" max="7188" width="3.140625" style="1" customWidth="1"/>
    <col min="7189" max="7189" width="21.42578125" style="1" customWidth="1"/>
    <col min="7190" max="7190" width="9.140625" style="1"/>
    <col min="7191" max="7191" width="10" style="1" bestFit="1" customWidth="1"/>
    <col min="7192" max="7192" width="9.85546875" style="1" bestFit="1" customWidth="1"/>
    <col min="7193" max="7424" width="9.140625" style="1"/>
    <col min="7425" max="7425" width="10.28515625" style="1" customWidth="1"/>
    <col min="7426" max="7426" width="34.28515625" style="1" customWidth="1"/>
    <col min="7427" max="7427" width="16.42578125" style="1" customWidth="1"/>
    <col min="7428" max="7428" width="6.7109375" style="1" customWidth="1"/>
    <col min="7429" max="7429" width="14.5703125" style="1" customWidth="1"/>
    <col min="7430" max="7430" width="8" style="1" customWidth="1"/>
    <col min="7431" max="7431" width="15.42578125" style="1" customWidth="1"/>
    <col min="7432" max="7432" width="21.42578125" style="1" customWidth="1"/>
    <col min="7433" max="7433" width="29.140625" style="1" bestFit="1" customWidth="1"/>
    <col min="7434" max="7434" width="22.85546875" style="1" customWidth="1"/>
    <col min="7435" max="7435" width="15.5703125" style="1" customWidth="1"/>
    <col min="7436" max="7436" width="2" style="1" customWidth="1"/>
    <col min="7437" max="7437" width="7.28515625" style="1" customWidth="1"/>
    <col min="7438" max="7438" width="1.5703125" style="1" customWidth="1"/>
    <col min="7439" max="7439" width="1" style="1" customWidth="1"/>
    <col min="7440" max="7440" width="16.42578125" style="1" customWidth="1"/>
    <col min="7441" max="7441" width="1.42578125" style="1" customWidth="1"/>
    <col min="7442" max="7442" width="2.42578125" style="1" customWidth="1"/>
    <col min="7443" max="7443" width="13" style="1" customWidth="1"/>
    <col min="7444" max="7444" width="3.140625" style="1" customWidth="1"/>
    <col min="7445" max="7445" width="21.42578125" style="1" customWidth="1"/>
    <col min="7446" max="7446" width="9.140625" style="1"/>
    <col min="7447" max="7447" width="10" style="1" bestFit="1" customWidth="1"/>
    <col min="7448" max="7448" width="9.85546875" style="1" bestFit="1" customWidth="1"/>
    <col min="7449" max="7680" width="9.140625" style="1"/>
    <col min="7681" max="7681" width="10.28515625" style="1" customWidth="1"/>
    <col min="7682" max="7682" width="34.28515625" style="1" customWidth="1"/>
    <col min="7683" max="7683" width="16.42578125" style="1" customWidth="1"/>
    <col min="7684" max="7684" width="6.7109375" style="1" customWidth="1"/>
    <col min="7685" max="7685" width="14.5703125" style="1" customWidth="1"/>
    <col min="7686" max="7686" width="8" style="1" customWidth="1"/>
    <col min="7687" max="7687" width="15.42578125" style="1" customWidth="1"/>
    <col min="7688" max="7688" width="21.42578125" style="1" customWidth="1"/>
    <col min="7689" max="7689" width="29.140625" style="1" bestFit="1" customWidth="1"/>
    <col min="7690" max="7690" width="22.85546875" style="1" customWidth="1"/>
    <col min="7691" max="7691" width="15.5703125" style="1" customWidth="1"/>
    <col min="7692" max="7692" width="2" style="1" customWidth="1"/>
    <col min="7693" max="7693" width="7.28515625" style="1" customWidth="1"/>
    <col min="7694" max="7694" width="1.5703125" style="1" customWidth="1"/>
    <col min="7695" max="7695" width="1" style="1" customWidth="1"/>
    <col min="7696" max="7696" width="16.42578125" style="1" customWidth="1"/>
    <col min="7697" max="7697" width="1.42578125" style="1" customWidth="1"/>
    <col min="7698" max="7698" width="2.42578125" style="1" customWidth="1"/>
    <col min="7699" max="7699" width="13" style="1" customWidth="1"/>
    <col min="7700" max="7700" width="3.140625" style="1" customWidth="1"/>
    <col min="7701" max="7701" width="21.42578125" style="1" customWidth="1"/>
    <col min="7702" max="7702" width="9.140625" style="1"/>
    <col min="7703" max="7703" width="10" style="1" bestFit="1" customWidth="1"/>
    <col min="7704" max="7704" width="9.85546875" style="1" bestFit="1" customWidth="1"/>
    <col min="7705" max="7936" width="9.140625" style="1"/>
    <col min="7937" max="7937" width="10.28515625" style="1" customWidth="1"/>
    <col min="7938" max="7938" width="34.28515625" style="1" customWidth="1"/>
    <col min="7939" max="7939" width="16.42578125" style="1" customWidth="1"/>
    <col min="7940" max="7940" width="6.7109375" style="1" customWidth="1"/>
    <col min="7941" max="7941" width="14.5703125" style="1" customWidth="1"/>
    <col min="7942" max="7942" width="8" style="1" customWidth="1"/>
    <col min="7943" max="7943" width="15.42578125" style="1" customWidth="1"/>
    <col min="7944" max="7944" width="21.42578125" style="1" customWidth="1"/>
    <col min="7945" max="7945" width="29.140625" style="1" bestFit="1" customWidth="1"/>
    <col min="7946" max="7946" width="22.85546875" style="1" customWidth="1"/>
    <col min="7947" max="7947" width="15.5703125" style="1" customWidth="1"/>
    <col min="7948" max="7948" width="2" style="1" customWidth="1"/>
    <col min="7949" max="7949" width="7.28515625" style="1" customWidth="1"/>
    <col min="7950" max="7950" width="1.5703125" style="1" customWidth="1"/>
    <col min="7951" max="7951" width="1" style="1" customWidth="1"/>
    <col min="7952" max="7952" width="16.42578125" style="1" customWidth="1"/>
    <col min="7953" max="7953" width="1.42578125" style="1" customWidth="1"/>
    <col min="7954" max="7954" width="2.42578125" style="1" customWidth="1"/>
    <col min="7955" max="7955" width="13" style="1" customWidth="1"/>
    <col min="7956" max="7956" width="3.140625" style="1" customWidth="1"/>
    <col min="7957" max="7957" width="21.42578125" style="1" customWidth="1"/>
    <col min="7958" max="7958" width="9.140625" style="1"/>
    <col min="7959" max="7959" width="10" style="1" bestFit="1" customWidth="1"/>
    <col min="7960" max="7960" width="9.85546875" style="1" bestFit="1" customWidth="1"/>
    <col min="7961" max="8192" width="9.140625" style="1"/>
    <col min="8193" max="8193" width="10.28515625" style="1" customWidth="1"/>
    <col min="8194" max="8194" width="34.28515625" style="1" customWidth="1"/>
    <col min="8195" max="8195" width="16.42578125" style="1" customWidth="1"/>
    <col min="8196" max="8196" width="6.7109375" style="1" customWidth="1"/>
    <col min="8197" max="8197" width="14.5703125" style="1" customWidth="1"/>
    <col min="8198" max="8198" width="8" style="1" customWidth="1"/>
    <col min="8199" max="8199" width="15.42578125" style="1" customWidth="1"/>
    <col min="8200" max="8200" width="21.42578125" style="1" customWidth="1"/>
    <col min="8201" max="8201" width="29.140625" style="1" bestFit="1" customWidth="1"/>
    <col min="8202" max="8202" width="22.85546875" style="1" customWidth="1"/>
    <col min="8203" max="8203" width="15.5703125" style="1" customWidth="1"/>
    <col min="8204" max="8204" width="2" style="1" customWidth="1"/>
    <col min="8205" max="8205" width="7.28515625" style="1" customWidth="1"/>
    <col min="8206" max="8206" width="1.5703125" style="1" customWidth="1"/>
    <col min="8207" max="8207" width="1" style="1" customWidth="1"/>
    <col min="8208" max="8208" width="16.42578125" style="1" customWidth="1"/>
    <col min="8209" max="8209" width="1.42578125" style="1" customWidth="1"/>
    <col min="8210" max="8210" width="2.42578125" style="1" customWidth="1"/>
    <col min="8211" max="8211" width="13" style="1" customWidth="1"/>
    <col min="8212" max="8212" width="3.140625" style="1" customWidth="1"/>
    <col min="8213" max="8213" width="21.42578125" style="1" customWidth="1"/>
    <col min="8214" max="8214" width="9.140625" style="1"/>
    <col min="8215" max="8215" width="10" style="1" bestFit="1" customWidth="1"/>
    <col min="8216" max="8216" width="9.85546875" style="1" bestFit="1" customWidth="1"/>
    <col min="8217" max="8448" width="9.140625" style="1"/>
    <col min="8449" max="8449" width="10.28515625" style="1" customWidth="1"/>
    <col min="8450" max="8450" width="34.28515625" style="1" customWidth="1"/>
    <col min="8451" max="8451" width="16.42578125" style="1" customWidth="1"/>
    <col min="8452" max="8452" width="6.7109375" style="1" customWidth="1"/>
    <col min="8453" max="8453" width="14.5703125" style="1" customWidth="1"/>
    <col min="8454" max="8454" width="8" style="1" customWidth="1"/>
    <col min="8455" max="8455" width="15.42578125" style="1" customWidth="1"/>
    <col min="8456" max="8456" width="21.42578125" style="1" customWidth="1"/>
    <col min="8457" max="8457" width="29.140625" style="1" bestFit="1" customWidth="1"/>
    <col min="8458" max="8458" width="22.85546875" style="1" customWidth="1"/>
    <col min="8459" max="8459" width="15.5703125" style="1" customWidth="1"/>
    <col min="8460" max="8460" width="2" style="1" customWidth="1"/>
    <col min="8461" max="8461" width="7.28515625" style="1" customWidth="1"/>
    <col min="8462" max="8462" width="1.5703125" style="1" customWidth="1"/>
    <col min="8463" max="8463" width="1" style="1" customWidth="1"/>
    <col min="8464" max="8464" width="16.42578125" style="1" customWidth="1"/>
    <col min="8465" max="8465" width="1.42578125" style="1" customWidth="1"/>
    <col min="8466" max="8466" width="2.42578125" style="1" customWidth="1"/>
    <col min="8467" max="8467" width="13" style="1" customWidth="1"/>
    <col min="8468" max="8468" width="3.140625" style="1" customWidth="1"/>
    <col min="8469" max="8469" width="21.42578125" style="1" customWidth="1"/>
    <col min="8470" max="8470" width="9.140625" style="1"/>
    <col min="8471" max="8471" width="10" style="1" bestFit="1" customWidth="1"/>
    <col min="8472" max="8472" width="9.85546875" style="1" bestFit="1" customWidth="1"/>
    <col min="8473" max="8704" width="9.140625" style="1"/>
    <col min="8705" max="8705" width="10.28515625" style="1" customWidth="1"/>
    <col min="8706" max="8706" width="34.28515625" style="1" customWidth="1"/>
    <col min="8707" max="8707" width="16.42578125" style="1" customWidth="1"/>
    <col min="8708" max="8708" width="6.7109375" style="1" customWidth="1"/>
    <col min="8709" max="8709" width="14.5703125" style="1" customWidth="1"/>
    <col min="8710" max="8710" width="8" style="1" customWidth="1"/>
    <col min="8711" max="8711" width="15.42578125" style="1" customWidth="1"/>
    <col min="8712" max="8712" width="21.42578125" style="1" customWidth="1"/>
    <col min="8713" max="8713" width="29.140625" style="1" bestFit="1" customWidth="1"/>
    <col min="8714" max="8714" width="22.85546875" style="1" customWidth="1"/>
    <col min="8715" max="8715" width="15.5703125" style="1" customWidth="1"/>
    <col min="8716" max="8716" width="2" style="1" customWidth="1"/>
    <col min="8717" max="8717" width="7.28515625" style="1" customWidth="1"/>
    <col min="8718" max="8718" width="1.5703125" style="1" customWidth="1"/>
    <col min="8719" max="8719" width="1" style="1" customWidth="1"/>
    <col min="8720" max="8720" width="16.42578125" style="1" customWidth="1"/>
    <col min="8721" max="8721" width="1.42578125" style="1" customWidth="1"/>
    <col min="8722" max="8722" width="2.42578125" style="1" customWidth="1"/>
    <col min="8723" max="8723" width="13" style="1" customWidth="1"/>
    <col min="8724" max="8724" width="3.140625" style="1" customWidth="1"/>
    <col min="8725" max="8725" width="21.42578125" style="1" customWidth="1"/>
    <col min="8726" max="8726" width="9.140625" style="1"/>
    <col min="8727" max="8727" width="10" style="1" bestFit="1" customWidth="1"/>
    <col min="8728" max="8728" width="9.85546875" style="1" bestFit="1" customWidth="1"/>
    <col min="8729" max="8960" width="9.140625" style="1"/>
    <col min="8961" max="8961" width="10.28515625" style="1" customWidth="1"/>
    <col min="8962" max="8962" width="34.28515625" style="1" customWidth="1"/>
    <col min="8963" max="8963" width="16.42578125" style="1" customWidth="1"/>
    <col min="8964" max="8964" width="6.7109375" style="1" customWidth="1"/>
    <col min="8965" max="8965" width="14.5703125" style="1" customWidth="1"/>
    <col min="8966" max="8966" width="8" style="1" customWidth="1"/>
    <col min="8967" max="8967" width="15.42578125" style="1" customWidth="1"/>
    <col min="8968" max="8968" width="21.42578125" style="1" customWidth="1"/>
    <col min="8969" max="8969" width="29.140625" style="1" bestFit="1" customWidth="1"/>
    <col min="8970" max="8970" width="22.85546875" style="1" customWidth="1"/>
    <col min="8971" max="8971" width="15.5703125" style="1" customWidth="1"/>
    <col min="8972" max="8972" width="2" style="1" customWidth="1"/>
    <col min="8973" max="8973" width="7.28515625" style="1" customWidth="1"/>
    <col min="8974" max="8974" width="1.5703125" style="1" customWidth="1"/>
    <col min="8975" max="8975" width="1" style="1" customWidth="1"/>
    <col min="8976" max="8976" width="16.42578125" style="1" customWidth="1"/>
    <col min="8977" max="8977" width="1.42578125" style="1" customWidth="1"/>
    <col min="8978" max="8978" width="2.42578125" style="1" customWidth="1"/>
    <col min="8979" max="8979" width="13" style="1" customWidth="1"/>
    <col min="8980" max="8980" width="3.140625" style="1" customWidth="1"/>
    <col min="8981" max="8981" width="21.42578125" style="1" customWidth="1"/>
    <col min="8982" max="8982" width="9.140625" style="1"/>
    <col min="8983" max="8983" width="10" style="1" bestFit="1" customWidth="1"/>
    <col min="8984" max="8984" width="9.85546875" style="1" bestFit="1" customWidth="1"/>
    <col min="8985" max="9216" width="9.140625" style="1"/>
    <col min="9217" max="9217" width="10.28515625" style="1" customWidth="1"/>
    <col min="9218" max="9218" width="34.28515625" style="1" customWidth="1"/>
    <col min="9219" max="9219" width="16.42578125" style="1" customWidth="1"/>
    <col min="9220" max="9220" width="6.7109375" style="1" customWidth="1"/>
    <col min="9221" max="9221" width="14.5703125" style="1" customWidth="1"/>
    <col min="9222" max="9222" width="8" style="1" customWidth="1"/>
    <col min="9223" max="9223" width="15.42578125" style="1" customWidth="1"/>
    <col min="9224" max="9224" width="21.42578125" style="1" customWidth="1"/>
    <col min="9225" max="9225" width="29.140625" style="1" bestFit="1" customWidth="1"/>
    <col min="9226" max="9226" width="22.85546875" style="1" customWidth="1"/>
    <col min="9227" max="9227" width="15.5703125" style="1" customWidth="1"/>
    <col min="9228" max="9228" width="2" style="1" customWidth="1"/>
    <col min="9229" max="9229" width="7.28515625" style="1" customWidth="1"/>
    <col min="9230" max="9230" width="1.5703125" style="1" customWidth="1"/>
    <col min="9231" max="9231" width="1" style="1" customWidth="1"/>
    <col min="9232" max="9232" width="16.42578125" style="1" customWidth="1"/>
    <col min="9233" max="9233" width="1.42578125" style="1" customWidth="1"/>
    <col min="9234" max="9234" width="2.42578125" style="1" customWidth="1"/>
    <col min="9235" max="9235" width="13" style="1" customWidth="1"/>
    <col min="9236" max="9236" width="3.140625" style="1" customWidth="1"/>
    <col min="9237" max="9237" width="21.42578125" style="1" customWidth="1"/>
    <col min="9238" max="9238" width="9.140625" style="1"/>
    <col min="9239" max="9239" width="10" style="1" bestFit="1" customWidth="1"/>
    <col min="9240" max="9240" width="9.85546875" style="1" bestFit="1" customWidth="1"/>
    <col min="9241" max="9472" width="9.140625" style="1"/>
    <col min="9473" max="9473" width="10.28515625" style="1" customWidth="1"/>
    <col min="9474" max="9474" width="34.28515625" style="1" customWidth="1"/>
    <col min="9475" max="9475" width="16.42578125" style="1" customWidth="1"/>
    <col min="9476" max="9476" width="6.7109375" style="1" customWidth="1"/>
    <col min="9477" max="9477" width="14.5703125" style="1" customWidth="1"/>
    <col min="9478" max="9478" width="8" style="1" customWidth="1"/>
    <col min="9479" max="9479" width="15.42578125" style="1" customWidth="1"/>
    <col min="9480" max="9480" width="21.42578125" style="1" customWidth="1"/>
    <col min="9481" max="9481" width="29.140625" style="1" bestFit="1" customWidth="1"/>
    <col min="9482" max="9482" width="22.85546875" style="1" customWidth="1"/>
    <col min="9483" max="9483" width="15.5703125" style="1" customWidth="1"/>
    <col min="9484" max="9484" width="2" style="1" customWidth="1"/>
    <col min="9485" max="9485" width="7.28515625" style="1" customWidth="1"/>
    <col min="9486" max="9486" width="1.5703125" style="1" customWidth="1"/>
    <col min="9487" max="9487" width="1" style="1" customWidth="1"/>
    <col min="9488" max="9488" width="16.42578125" style="1" customWidth="1"/>
    <col min="9489" max="9489" width="1.42578125" style="1" customWidth="1"/>
    <col min="9490" max="9490" width="2.42578125" style="1" customWidth="1"/>
    <col min="9491" max="9491" width="13" style="1" customWidth="1"/>
    <col min="9492" max="9492" width="3.140625" style="1" customWidth="1"/>
    <col min="9493" max="9493" width="21.42578125" style="1" customWidth="1"/>
    <col min="9494" max="9494" width="9.140625" style="1"/>
    <col min="9495" max="9495" width="10" style="1" bestFit="1" customWidth="1"/>
    <col min="9496" max="9496" width="9.85546875" style="1" bestFit="1" customWidth="1"/>
    <col min="9497" max="9728" width="9.140625" style="1"/>
    <col min="9729" max="9729" width="10.28515625" style="1" customWidth="1"/>
    <col min="9730" max="9730" width="34.28515625" style="1" customWidth="1"/>
    <col min="9731" max="9731" width="16.42578125" style="1" customWidth="1"/>
    <col min="9732" max="9732" width="6.7109375" style="1" customWidth="1"/>
    <col min="9733" max="9733" width="14.5703125" style="1" customWidth="1"/>
    <col min="9734" max="9734" width="8" style="1" customWidth="1"/>
    <col min="9735" max="9735" width="15.42578125" style="1" customWidth="1"/>
    <col min="9736" max="9736" width="21.42578125" style="1" customWidth="1"/>
    <col min="9737" max="9737" width="29.140625" style="1" bestFit="1" customWidth="1"/>
    <col min="9738" max="9738" width="22.85546875" style="1" customWidth="1"/>
    <col min="9739" max="9739" width="15.5703125" style="1" customWidth="1"/>
    <col min="9740" max="9740" width="2" style="1" customWidth="1"/>
    <col min="9741" max="9741" width="7.28515625" style="1" customWidth="1"/>
    <col min="9742" max="9742" width="1.5703125" style="1" customWidth="1"/>
    <col min="9743" max="9743" width="1" style="1" customWidth="1"/>
    <col min="9744" max="9744" width="16.42578125" style="1" customWidth="1"/>
    <col min="9745" max="9745" width="1.42578125" style="1" customWidth="1"/>
    <col min="9746" max="9746" width="2.42578125" style="1" customWidth="1"/>
    <col min="9747" max="9747" width="13" style="1" customWidth="1"/>
    <col min="9748" max="9748" width="3.140625" style="1" customWidth="1"/>
    <col min="9749" max="9749" width="21.42578125" style="1" customWidth="1"/>
    <col min="9750" max="9750" width="9.140625" style="1"/>
    <col min="9751" max="9751" width="10" style="1" bestFit="1" customWidth="1"/>
    <col min="9752" max="9752" width="9.85546875" style="1" bestFit="1" customWidth="1"/>
    <col min="9753" max="9984" width="9.140625" style="1"/>
    <col min="9985" max="9985" width="10.28515625" style="1" customWidth="1"/>
    <col min="9986" max="9986" width="34.28515625" style="1" customWidth="1"/>
    <col min="9987" max="9987" width="16.42578125" style="1" customWidth="1"/>
    <col min="9988" max="9988" width="6.7109375" style="1" customWidth="1"/>
    <col min="9989" max="9989" width="14.5703125" style="1" customWidth="1"/>
    <col min="9990" max="9990" width="8" style="1" customWidth="1"/>
    <col min="9991" max="9991" width="15.42578125" style="1" customWidth="1"/>
    <col min="9992" max="9992" width="21.42578125" style="1" customWidth="1"/>
    <col min="9993" max="9993" width="29.140625" style="1" bestFit="1" customWidth="1"/>
    <col min="9994" max="9994" width="22.85546875" style="1" customWidth="1"/>
    <col min="9995" max="9995" width="15.5703125" style="1" customWidth="1"/>
    <col min="9996" max="9996" width="2" style="1" customWidth="1"/>
    <col min="9997" max="9997" width="7.28515625" style="1" customWidth="1"/>
    <col min="9998" max="9998" width="1.5703125" style="1" customWidth="1"/>
    <col min="9999" max="9999" width="1" style="1" customWidth="1"/>
    <col min="10000" max="10000" width="16.42578125" style="1" customWidth="1"/>
    <col min="10001" max="10001" width="1.42578125" style="1" customWidth="1"/>
    <col min="10002" max="10002" width="2.42578125" style="1" customWidth="1"/>
    <col min="10003" max="10003" width="13" style="1" customWidth="1"/>
    <col min="10004" max="10004" width="3.140625" style="1" customWidth="1"/>
    <col min="10005" max="10005" width="21.42578125" style="1" customWidth="1"/>
    <col min="10006" max="10006" width="9.140625" style="1"/>
    <col min="10007" max="10007" width="10" style="1" bestFit="1" customWidth="1"/>
    <col min="10008" max="10008" width="9.85546875" style="1" bestFit="1" customWidth="1"/>
    <col min="10009" max="10240" width="9.140625" style="1"/>
    <col min="10241" max="10241" width="10.28515625" style="1" customWidth="1"/>
    <col min="10242" max="10242" width="34.28515625" style="1" customWidth="1"/>
    <col min="10243" max="10243" width="16.42578125" style="1" customWidth="1"/>
    <col min="10244" max="10244" width="6.7109375" style="1" customWidth="1"/>
    <col min="10245" max="10245" width="14.5703125" style="1" customWidth="1"/>
    <col min="10246" max="10246" width="8" style="1" customWidth="1"/>
    <col min="10247" max="10247" width="15.42578125" style="1" customWidth="1"/>
    <col min="10248" max="10248" width="21.42578125" style="1" customWidth="1"/>
    <col min="10249" max="10249" width="29.140625" style="1" bestFit="1" customWidth="1"/>
    <col min="10250" max="10250" width="22.85546875" style="1" customWidth="1"/>
    <col min="10251" max="10251" width="15.5703125" style="1" customWidth="1"/>
    <col min="10252" max="10252" width="2" style="1" customWidth="1"/>
    <col min="10253" max="10253" width="7.28515625" style="1" customWidth="1"/>
    <col min="10254" max="10254" width="1.5703125" style="1" customWidth="1"/>
    <col min="10255" max="10255" width="1" style="1" customWidth="1"/>
    <col min="10256" max="10256" width="16.42578125" style="1" customWidth="1"/>
    <col min="10257" max="10257" width="1.42578125" style="1" customWidth="1"/>
    <col min="10258" max="10258" width="2.42578125" style="1" customWidth="1"/>
    <col min="10259" max="10259" width="13" style="1" customWidth="1"/>
    <col min="10260" max="10260" width="3.140625" style="1" customWidth="1"/>
    <col min="10261" max="10261" width="21.42578125" style="1" customWidth="1"/>
    <col min="10262" max="10262" width="9.140625" style="1"/>
    <col min="10263" max="10263" width="10" style="1" bestFit="1" customWidth="1"/>
    <col min="10264" max="10264" width="9.85546875" style="1" bestFit="1" customWidth="1"/>
    <col min="10265" max="10496" width="9.140625" style="1"/>
    <col min="10497" max="10497" width="10.28515625" style="1" customWidth="1"/>
    <col min="10498" max="10498" width="34.28515625" style="1" customWidth="1"/>
    <col min="10499" max="10499" width="16.42578125" style="1" customWidth="1"/>
    <col min="10500" max="10500" width="6.7109375" style="1" customWidth="1"/>
    <col min="10501" max="10501" width="14.5703125" style="1" customWidth="1"/>
    <col min="10502" max="10502" width="8" style="1" customWidth="1"/>
    <col min="10503" max="10503" width="15.42578125" style="1" customWidth="1"/>
    <col min="10504" max="10504" width="21.42578125" style="1" customWidth="1"/>
    <col min="10505" max="10505" width="29.140625" style="1" bestFit="1" customWidth="1"/>
    <col min="10506" max="10506" width="22.85546875" style="1" customWidth="1"/>
    <col min="10507" max="10507" width="15.5703125" style="1" customWidth="1"/>
    <col min="10508" max="10508" width="2" style="1" customWidth="1"/>
    <col min="10509" max="10509" width="7.28515625" style="1" customWidth="1"/>
    <col min="10510" max="10510" width="1.5703125" style="1" customWidth="1"/>
    <col min="10511" max="10511" width="1" style="1" customWidth="1"/>
    <col min="10512" max="10512" width="16.42578125" style="1" customWidth="1"/>
    <col min="10513" max="10513" width="1.42578125" style="1" customWidth="1"/>
    <col min="10514" max="10514" width="2.42578125" style="1" customWidth="1"/>
    <col min="10515" max="10515" width="13" style="1" customWidth="1"/>
    <col min="10516" max="10516" width="3.140625" style="1" customWidth="1"/>
    <col min="10517" max="10517" width="21.42578125" style="1" customWidth="1"/>
    <col min="10518" max="10518" width="9.140625" style="1"/>
    <col min="10519" max="10519" width="10" style="1" bestFit="1" customWidth="1"/>
    <col min="10520" max="10520" width="9.85546875" style="1" bestFit="1" customWidth="1"/>
    <col min="10521" max="10752" width="9.140625" style="1"/>
    <col min="10753" max="10753" width="10.28515625" style="1" customWidth="1"/>
    <col min="10754" max="10754" width="34.28515625" style="1" customWidth="1"/>
    <col min="10755" max="10755" width="16.42578125" style="1" customWidth="1"/>
    <col min="10756" max="10756" width="6.7109375" style="1" customWidth="1"/>
    <col min="10757" max="10757" width="14.5703125" style="1" customWidth="1"/>
    <col min="10758" max="10758" width="8" style="1" customWidth="1"/>
    <col min="10759" max="10759" width="15.42578125" style="1" customWidth="1"/>
    <col min="10760" max="10760" width="21.42578125" style="1" customWidth="1"/>
    <col min="10761" max="10761" width="29.140625" style="1" bestFit="1" customWidth="1"/>
    <col min="10762" max="10762" width="22.85546875" style="1" customWidth="1"/>
    <col min="10763" max="10763" width="15.5703125" style="1" customWidth="1"/>
    <col min="10764" max="10764" width="2" style="1" customWidth="1"/>
    <col min="10765" max="10765" width="7.28515625" style="1" customWidth="1"/>
    <col min="10766" max="10766" width="1.5703125" style="1" customWidth="1"/>
    <col min="10767" max="10767" width="1" style="1" customWidth="1"/>
    <col min="10768" max="10768" width="16.42578125" style="1" customWidth="1"/>
    <col min="10769" max="10769" width="1.42578125" style="1" customWidth="1"/>
    <col min="10770" max="10770" width="2.42578125" style="1" customWidth="1"/>
    <col min="10771" max="10771" width="13" style="1" customWidth="1"/>
    <col min="10772" max="10772" width="3.140625" style="1" customWidth="1"/>
    <col min="10773" max="10773" width="21.42578125" style="1" customWidth="1"/>
    <col min="10774" max="10774" width="9.140625" style="1"/>
    <col min="10775" max="10775" width="10" style="1" bestFit="1" customWidth="1"/>
    <col min="10776" max="10776" width="9.85546875" style="1" bestFit="1" customWidth="1"/>
    <col min="10777" max="11008" width="9.140625" style="1"/>
    <col min="11009" max="11009" width="10.28515625" style="1" customWidth="1"/>
    <col min="11010" max="11010" width="34.28515625" style="1" customWidth="1"/>
    <col min="11011" max="11011" width="16.42578125" style="1" customWidth="1"/>
    <col min="11012" max="11012" width="6.7109375" style="1" customWidth="1"/>
    <col min="11013" max="11013" width="14.5703125" style="1" customWidth="1"/>
    <col min="11014" max="11014" width="8" style="1" customWidth="1"/>
    <col min="11015" max="11015" width="15.42578125" style="1" customWidth="1"/>
    <col min="11016" max="11016" width="21.42578125" style="1" customWidth="1"/>
    <col min="11017" max="11017" width="29.140625" style="1" bestFit="1" customWidth="1"/>
    <col min="11018" max="11018" width="22.85546875" style="1" customWidth="1"/>
    <col min="11019" max="11019" width="15.5703125" style="1" customWidth="1"/>
    <col min="11020" max="11020" width="2" style="1" customWidth="1"/>
    <col min="11021" max="11021" width="7.28515625" style="1" customWidth="1"/>
    <col min="11022" max="11022" width="1.5703125" style="1" customWidth="1"/>
    <col min="11023" max="11023" width="1" style="1" customWidth="1"/>
    <col min="11024" max="11024" width="16.42578125" style="1" customWidth="1"/>
    <col min="11025" max="11025" width="1.42578125" style="1" customWidth="1"/>
    <col min="11026" max="11026" width="2.42578125" style="1" customWidth="1"/>
    <col min="11027" max="11027" width="13" style="1" customWidth="1"/>
    <col min="11028" max="11028" width="3.140625" style="1" customWidth="1"/>
    <col min="11029" max="11029" width="21.42578125" style="1" customWidth="1"/>
    <col min="11030" max="11030" width="9.140625" style="1"/>
    <col min="11031" max="11031" width="10" style="1" bestFit="1" customWidth="1"/>
    <col min="11032" max="11032" width="9.85546875" style="1" bestFit="1" customWidth="1"/>
    <col min="11033" max="11264" width="9.140625" style="1"/>
    <col min="11265" max="11265" width="10.28515625" style="1" customWidth="1"/>
    <col min="11266" max="11266" width="34.28515625" style="1" customWidth="1"/>
    <col min="11267" max="11267" width="16.42578125" style="1" customWidth="1"/>
    <col min="11268" max="11268" width="6.7109375" style="1" customWidth="1"/>
    <col min="11269" max="11269" width="14.5703125" style="1" customWidth="1"/>
    <col min="11270" max="11270" width="8" style="1" customWidth="1"/>
    <col min="11271" max="11271" width="15.42578125" style="1" customWidth="1"/>
    <col min="11272" max="11272" width="21.42578125" style="1" customWidth="1"/>
    <col min="11273" max="11273" width="29.140625" style="1" bestFit="1" customWidth="1"/>
    <col min="11274" max="11274" width="22.85546875" style="1" customWidth="1"/>
    <col min="11275" max="11275" width="15.5703125" style="1" customWidth="1"/>
    <col min="11276" max="11276" width="2" style="1" customWidth="1"/>
    <col min="11277" max="11277" width="7.28515625" style="1" customWidth="1"/>
    <col min="11278" max="11278" width="1.5703125" style="1" customWidth="1"/>
    <col min="11279" max="11279" width="1" style="1" customWidth="1"/>
    <col min="11280" max="11280" width="16.42578125" style="1" customWidth="1"/>
    <col min="11281" max="11281" width="1.42578125" style="1" customWidth="1"/>
    <col min="11282" max="11282" width="2.42578125" style="1" customWidth="1"/>
    <col min="11283" max="11283" width="13" style="1" customWidth="1"/>
    <col min="11284" max="11284" width="3.140625" style="1" customWidth="1"/>
    <col min="11285" max="11285" width="21.42578125" style="1" customWidth="1"/>
    <col min="11286" max="11286" width="9.140625" style="1"/>
    <col min="11287" max="11287" width="10" style="1" bestFit="1" customWidth="1"/>
    <col min="11288" max="11288" width="9.85546875" style="1" bestFit="1" customWidth="1"/>
    <col min="11289" max="11520" width="9.140625" style="1"/>
    <col min="11521" max="11521" width="10.28515625" style="1" customWidth="1"/>
    <col min="11522" max="11522" width="34.28515625" style="1" customWidth="1"/>
    <col min="11523" max="11523" width="16.42578125" style="1" customWidth="1"/>
    <col min="11524" max="11524" width="6.7109375" style="1" customWidth="1"/>
    <col min="11525" max="11525" width="14.5703125" style="1" customWidth="1"/>
    <col min="11526" max="11526" width="8" style="1" customWidth="1"/>
    <col min="11527" max="11527" width="15.42578125" style="1" customWidth="1"/>
    <col min="11528" max="11528" width="21.42578125" style="1" customWidth="1"/>
    <col min="11529" max="11529" width="29.140625" style="1" bestFit="1" customWidth="1"/>
    <col min="11530" max="11530" width="22.85546875" style="1" customWidth="1"/>
    <col min="11531" max="11531" width="15.5703125" style="1" customWidth="1"/>
    <col min="11532" max="11532" width="2" style="1" customWidth="1"/>
    <col min="11533" max="11533" width="7.28515625" style="1" customWidth="1"/>
    <col min="11534" max="11534" width="1.5703125" style="1" customWidth="1"/>
    <col min="11535" max="11535" width="1" style="1" customWidth="1"/>
    <col min="11536" max="11536" width="16.42578125" style="1" customWidth="1"/>
    <col min="11537" max="11537" width="1.42578125" style="1" customWidth="1"/>
    <col min="11538" max="11538" width="2.42578125" style="1" customWidth="1"/>
    <col min="11539" max="11539" width="13" style="1" customWidth="1"/>
    <col min="11540" max="11540" width="3.140625" style="1" customWidth="1"/>
    <col min="11541" max="11541" width="21.42578125" style="1" customWidth="1"/>
    <col min="11542" max="11542" width="9.140625" style="1"/>
    <col min="11543" max="11543" width="10" style="1" bestFit="1" customWidth="1"/>
    <col min="11544" max="11544" width="9.85546875" style="1" bestFit="1" customWidth="1"/>
    <col min="11545" max="11776" width="9.140625" style="1"/>
    <col min="11777" max="11777" width="10.28515625" style="1" customWidth="1"/>
    <col min="11778" max="11778" width="34.28515625" style="1" customWidth="1"/>
    <col min="11779" max="11779" width="16.42578125" style="1" customWidth="1"/>
    <col min="11780" max="11780" width="6.7109375" style="1" customWidth="1"/>
    <col min="11781" max="11781" width="14.5703125" style="1" customWidth="1"/>
    <col min="11782" max="11782" width="8" style="1" customWidth="1"/>
    <col min="11783" max="11783" width="15.42578125" style="1" customWidth="1"/>
    <col min="11784" max="11784" width="21.42578125" style="1" customWidth="1"/>
    <col min="11785" max="11785" width="29.140625" style="1" bestFit="1" customWidth="1"/>
    <col min="11786" max="11786" width="22.85546875" style="1" customWidth="1"/>
    <col min="11787" max="11787" width="15.5703125" style="1" customWidth="1"/>
    <col min="11788" max="11788" width="2" style="1" customWidth="1"/>
    <col min="11789" max="11789" width="7.28515625" style="1" customWidth="1"/>
    <col min="11790" max="11790" width="1.5703125" style="1" customWidth="1"/>
    <col min="11791" max="11791" width="1" style="1" customWidth="1"/>
    <col min="11792" max="11792" width="16.42578125" style="1" customWidth="1"/>
    <col min="11793" max="11793" width="1.42578125" style="1" customWidth="1"/>
    <col min="11794" max="11794" width="2.42578125" style="1" customWidth="1"/>
    <col min="11795" max="11795" width="13" style="1" customWidth="1"/>
    <col min="11796" max="11796" width="3.140625" style="1" customWidth="1"/>
    <col min="11797" max="11797" width="21.42578125" style="1" customWidth="1"/>
    <col min="11798" max="11798" width="9.140625" style="1"/>
    <col min="11799" max="11799" width="10" style="1" bestFit="1" customWidth="1"/>
    <col min="11800" max="11800" width="9.85546875" style="1" bestFit="1" customWidth="1"/>
    <col min="11801" max="12032" width="9.140625" style="1"/>
    <col min="12033" max="12033" width="10.28515625" style="1" customWidth="1"/>
    <col min="12034" max="12034" width="34.28515625" style="1" customWidth="1"/>
    <col min="12035" max="12035" width="16.42578125" style="1" customWidth="1"/>
    <col min="12036" max="12036" width="6.7109375" style="1" customWidth="1"/>
    <col min="12037" max="12037" width="14.5703125" style="1" customWidth="1"/>
    <col min="12038" max="12038" width="8" style="1" customWidth="1"/>
    <col min="12039" max="12039" width="15.42578125" style="1" customWidth="1"/>
    <col min="12040" max="12040" width="21.42578125" style="1" customWidth="1"/>
    <col min="12041" max="12041" width="29.140625" style="1" bestFit="1" customWidth="1"/>
    <col min="12042" max="12042" width="22.85546875" style="1" customWidth="1"/>
    <col min="12043" max="12043" width="15.5703125" style="1" customWidth="1"/>
    <col min="12044" max="12044" width="2" style="1" customWidth="1"/>
    <col min="12045" max="12045" width="7.28515625" style="1" customWidth="1"/>
    <col min="12046" max="12046" width="1.5703125" style="1" customWidth="1"/>
    <col min="12047" max="12047" width="1" style="1" customWidth="1"/>
    <col min="12048" max="12048" width="16.42578125" style="1" customWidth="1"/>
    <col min="12049" max="12049" width="1.42578125" style="1" customWidth="1"/>
    <col min="12050" max="12050" width="2.42578125" style="1" customWidth="1"/>
    <col min="12051" max="12051" width="13" style="1" customWidth="1"/>
    <col min="12052" max="12052" width="3.140625" style="1" customWidth="1"/>
    <col min="12053" max="12053" width="21.42578125" style="1" customWidth="1"/>
    <col min="12054" max="12054" width="9.140625" style="1"/>
    <col min="12055" max="12055" width="10" style="1" bestFit="1" customWidth="1"/>
    <col min="12056" max="12056" width="9.85546875" style="1" bestFit="1" customWidth="1"/>
    <col min="12057" max="12288" width="9.140625" style="1"/>
    <col min="12289" max="12289" width="10.28515625" style="1" customWidth="1"/>
    <col min="12290" max="12290" width="34.28515625" style="1" customWidth="1"/>
    <col min="12291" max="12291" width="16.42578125" style="1" customWidth="1"/>
    <col min="12292" max="12292" width="6.7109375" style="1" customWidth="1"/>
    <col min="12293" max="12293" width="14.5703125" style="1" customWidth="1"/>
    <col min="12294" max="12294" width="8" style="1" customWidth="1"/>
    <col min="12295" max="12295" width="15.42578125" style="1" customWidth="1"/>
    <col min="12296" max="12296" width="21.42578125" style="1" customWidth="1"/>
    <col min="12297" max="12297" width="29.140625" style="1" bestFit="1" customWidth="1"/>
    <col min="12298" max="12298" width="22.85546875" style="1" customWidth="1"/>
    <col min="12299" max="12299" width="15.5703125" style="1" customWidth="1"/>
    <col min="12300" max="12300" width="2" style="1" customWidth="1"/>
    <col min="12301" max="12301" width="7.28515625" style="1" customWidth="1"/>
    <col min="12302" max="12302" width="1.5703125" style="1" customWidth="1"/>
    <col min="12303" max="12303" width="1" style="1" customWidth="1"/>
    <col min="12304" max="12304" width="16.42578125" style="1" customWidth="1"/>
    <col min="12305" max="12305" width="1.42578125" style="1" customWidth="1"/>
    <col min="12306" max="12306" width="2.42578125" style="1" customWidth="1"/>
    <col min="12307" max="12307" width="13" style="1" customWidth="1"/>
    <col min="12308" max="12308" width="3.140625" style="1" customWidth="1"/>
    <col min="12309" max="12309" width="21.42578125" style="1" customWidth="1"/>
    <col min="12310" max="12310" width="9.140625" style="1"/>
    <col min="12311" max="12311" width="10" style="1" bestFit="1" customWidth="1"/>
    <col min="12312" max="12312" width="9.85546875" style="1" bestFit="1" customWidth="1"/>
    <col min="12313" max="12544" width="9.140625" style="1"/>
    <col min="12545" max="12545" width="10.28515625" style="1" customWidth="1"/>
    <col min="12546" max="12546" width="34.28515625" style="1" customWidth="1"/>
    <col min="12547" max="12547" width="16.42578125" style="1" customWidth="1"/>
    <col min="12548" max="12548" width="6.7109375" style="1" customWidth="1"/>
    <col min="12549" max="12549" width="14.5703125" style="1" customWidth="1"/>
    <col min="12550" max="12550" width="8" style="1" customWidth="1"/>
    <col min="12551" max="12551" width="15.42578125" style="1" customWidth="1"/>
    <col min="12552" max="12552" width="21.42578125" style="1" customWidth="1"/>
    <col min="12553" max="12553" width="29.140625" style="1" bestFit="1" customWidth="1"/>
    <col min="12554" max="12554" width="22.85546875" style="1" customWidth="1"/>
    <col min="12555" max="12555" width="15.5703125" style="1" customWidth="1"/>
    <col min="12556" max="12556" width="2" style="1" customWidth="1"/>
    <col min="12557" max="12557" width="7.28515625" style="1" customWidth="1"/>
    <col min="12558" max="12558" width="1.5703125" style="1" customWidth="1"/>
    <col min="12559" max="12559" width="1" style="1" customWidth="1"/>
    <col min="12560" max="12560" width="16.42578125" style="1" customWidth="1"/>
    <col min="12561" max="12561" width="1.42578125" style="1" customWidth="1"/>
    <col min="12562" max="12562" width="2.42578125" style="1" customWidth="1"/>
    <col min="12563" max="12563" width="13" style="1" customWidth="1"/>
    <col min="12564" max="12564" width="3.140625" style="1" customWidth="1"/>
    <col min="12565" max="12565" width="21.42578125" style="1" customWidth="1"/>
    <col min="12566" max="12566" width="9.140625" style="1"/>
    <col min="12567" max="12567" width="10" style="1" bestFit="1" customWidth="1"/>
    <col min="12568" max="12568" width="9.85546875" style="1" bestFit="1" customWidth="1"/>
    <col min="12569" max="12800" width="9.140625" style="1"/>
    <col min="12801" max="12801" width="10.28515625" style="1" customWidth="1"/>
    <col min="12802" max="12802" width="34.28515625" style="1" customWidth="1"/>
    <col min="12803" max="12803" width="16.42578125" style="1" customWidth="1"/>
    <col min="12804" max="12804" width="6.7109375" style="1" customWidth="1"/>
    <col min="12805" max="12805" width="14.5703125" style="1" customWidth="1"/>
    <col min="12806" max="12806" width="8" style="1" customWidth="1"/>
    <col min="12807" max="12807" width="15.42578125" style="1" customWidth="1"/>
    <col min="12808" max="12808" width="21.42578125" style="1" customWidth="1"/>
    <col min="12809" max="12809" width="29.140625" style="1" bestFit="1" customWidth="1"/>
    <col min="12810" max="12810" width="22.85546875" style="1" customWidth="1"/>
    <col min="12811" max="12811" width="15.5703125" style="1" customWidth="1"/>
    <col min="12812" max="12812" width="2" style="1" customWidth="1"/>
    <col min="12813" max="12813" width="7.28515625" style="1" customWidth="1"/>
    <col min="12814" max="12814" width="1.5703125" style="1" customWidth="1"/>
    <col min="12815" max="12815" width="1" style="1" customWidth="1"/>
    <col min="12816" max="12816" width="16.42578125" style="1" customWidth="1"/>
    <col min="12817" max="12817" width="1.42578125" style="1" customWidth="1"/>
    <col min="12818" max="12818" width="2.42578125" style="1" customWidth="1"/>
    <col min="12819" max="12819" width="13" style="1" customWidth="1"/>
    <col min="12820" max="12820" width="3.140625" style="1" customWidth="1"/>
    <col min="12821" max="12821" width="21.42578125" style="1" customWidth="1"/>
    <col min="12822" max="12822" width="9.140625" style="1"/>
    <col min="12823" max="12823" width="10" style="1" bestFit="1" customWidth="1"/>
    <col min="12824" max="12824" width="9.85546875" style="1" bestFit="1" customWidth="1"/>
    <col min="12825" max="13056" width="9.140625" style="1"/>
    <col min="13057" max="13057" width="10.28515625" style="1" customWidth="1"/>
    <col min="13058" max="13058" width="34.28515625" style="1" customWidth="1"/>
    <col min="13059" max="13059" width="16.42578125" style="1" customWidth="1"/>
    <col min="13060" max="13060" width="6.7109375" style="1" customWidth="1"/>
    <col min="13061" max="13061" width="14.5703125" style="1" customWidth="1"/>
    <col min="13062" max="13062" width="8" style="1" customWidth="1"/>
    <col min="13063" max="13063" width="15.42578125" style="1" customWidth="1"/>
    <col min="13064" max="13064" width="21.42578125" style="1" customWidth="1"/>
    <col min="13065" max="13065" width="29.140625" style="1" bestFit="1" customWidth="1"/>
    <col min="13066" max="13066" width="22.85546875" style="1" customWidth="1"/>
    <col min="13067" max="13067" width="15.5703125" style="1" customWidth="1"/>
    <col min="13068" max="13068" width="2" style="1" customWidth="1"/>
    <col min="13069" max="13069" width="7.28515625" style="1" customWidth="1"/>
    <col min="13070" max="13070" width="1.5703125" style="1" customWidth="1"/>
    <col min="13071" max="13071" width="1" style="1" customWidth="1"/>
    <col min="13072" max="13072" width="16.42578125" style="1" customWidth="1"/>
    <col min="13073" max="13073" width="1.42578125" style="1" customWidth="1"/>
    <col min="13074" max="13074" width="2.42578125" style="1" customWidth="1"/>
    <col min="13075" max="13075" width="13" style="1" customWidth="1"/>
    <col min="13076" max="13076" width="3.140625" style="1" customWidth="1"/>
    <col min="13077" max="13077" width="21.42578125" style="1" customWidth="1"/>
    <col min="13078" max="13078" width="9.140625" style="1"/>
    <col min="13079" max="13079" width="10" style="1" bestFit="1" customWidth="1"/>
    <col min="13080" max="13080" width="9.85546875" style="1" bestFit="1" customWidth="1"/>
    <col min="13081" max="13312" width="9.140625" style="1"/>
    <col min="13313" max="13313" width="10.28515625" style="1" customWidth="1"/>
    <col min="13314" max="13314" width="34.28515625" style="1" customWidth="1"/>
    <col min="13315" max="13315" width="16.42578125" style="1" customWidth="1"/>
    <col min="13316" max="13316" width="6.7109375" style="1" customWidth="1"/>
    <col min="13317" max="13317" width="14.5703125" style="1" customWidth="1"/>
    <col min="13318" max="13318" width="8" style="1" customWidth="1"/>
    <col min="13319" max="13319" width="15.42578125" style="1" customWidth="1"/>
    <col min="13320" max="13320" width="21.42578125" style="1" customWidth="1"/>
    <col min="13321" max="13321" width="29.140625" style="1" bestFit="1" customWidth="1"/>
    <col min="13322" max="13322" width="22.85546875" style="1" customWidth="1"/>
    <col min="13323" max="13323" width="15.5703125" style="1" customWidth="1"/>
    <col min="13324" max="13324" width="2" style="1" customWidth="1"/>
    <col min="13325" max="13325" width="7.28515625" style="1" customWidth="1"/>
    <col min="13326" max="13326" width="1.5703125" style="1" customWidth="1"/>
    <col min="13327" max="13327" width="1" style="1" customWidth="1"/>
    <col min="13328" max="13328" width="16.42578125" style="1" customWidth="1"/>
    <col min="13329" max="13329" width="1.42578125" style="1" customWidth="1"/>
    <col min="13330" max="13330" width="2.42578125" style="1" customWidth="1"/>
    <col min="13331" max="13331" width="13" style="1" customWidth="1"/>
    <col min="13332" max="13332" width="3.140625" style="1" customWidth="1"/>
    <col min="13333" max="13333" width="21.42578125" style="1" customWidth="1"/>
    <col min="13334" max="13334" width="9.140625" style="1"/>
    <col min="13335" max="13335" width="10" style="1" bestFit="1" customWidth="1"/>
    <col min="13336" max="13336" width="9.85546875" style="1" bestFit="1" customWidth="1"/>
    <col min="13337" max="13568" width="9.140625" style="1"/>
    <col min="13569" max="13569" width="10.28515625" style="1" customWidth="1"/>
    <col min="13570" max="13570" width="34.28515625" style="1" customWidth="1"/>
    <col min="13571" max="13571" width="16.42578125" style="1" customWidth="1"/>
    <col min="13572" max="13572" width="6.7109375" style="1" customWidth="1"/>
    <col min="13573" max="13573" width="14.5703125" style="1" customWidth="1"/>
    <col min="13574" max="13574" width="8" style="1" customWidth="1"/>
    <col min="13575" max="13575" width="15.42578125" style="1" customWidth="1"/>
    <col min="13576" max="13576" width="21.42578125" style="1" customWidth="1"/>
    <col min="13577" max="13577" width="29.140625" style="1" bestFit="1" customWidth="1"/>
    <col min="13578" max="13578" width="22.85546875" style="1" customWidth="1"/>
    <col min="13579" max="13579" width="15.5703125" style="1" customWidth="1"/>
    <col min="13580" max="13580" width="2" style="1" customWidth="1"/>
    <col min="13581" max="13581" width="7.28515625" style="1" customWidth="1"/>
    <col min="13582" max="13582" width="1.5703125" style="1" customWidth="1"/>
    <col min="13583" max="13583" width="1" style="1" customWidth="1"/>
    <col min="13584" max="13584" width="16.42578125" style="1" customWidth="1"/>
    <col min="13585" max="13585" width="1.42578125" style="1" customWidth="1"/>
    <col min="13586" max="13586" width="2.42578125" style="1" customWidth="1"/>
    <col min="13587" max="13587" width="13" style="1" customWidth="1"/>
    <col min="13588" max="13588" width="3.140625" style="1" customWidth="1"/>
    <col min="13589" max="13589" width="21.42578125" style="1" customWidth="1"/>
    <col min="13590" max="13590" width="9.140625" style="1"/>
    <col min="13591" max="13591" width="10" style="1" bestFit="1" customWidth="1"/>
    <col min="13592" max="13592" width="9.85546875" style="1" bestFit="1" customWidth="1"/>
    <col min="13593" max="13824" width="9.140625" style="1"/>
    <col min="13825" max="13825" width="10.28515625" style="1" customWidth="1"/>
    <col min="13826" max="13826" width="34.28515625" style="1" customWidth="1"/>
    <col min="13827" max="13827" width="16.42578125" style="1" customWidth="1"/>
    <col min="13828" max="13828" width="6.7109375" style="1" customWidth="1"/>
    <col min="13829" max="13829" width="14.5703125" style="1" customWidth="1"/>
    <col min="13830" max="13830" width="8" style="1" customWidth="1"/>
    <col min="13831" max="13831" width="15.42578125" style="1" customWidth="1"/>
    <col min="13832" max="13832" width="21.42578125" style="1" customWidth="1"/>
    <col min="13833" max="13833" width="29.140625" style="1" bestFit="1" customWidth="1"/>
    <col min="13834" max="13834" width="22.85546875" style="1" customWidth="1"/>
    <col min="13835" max="13835" width="15.5703125" style="1" customWidth="1"/>
    <col min="13836" max="13836" width="2" style="1" customWidth="1"/>
    <col min="13837" max="13837" width="7.28515625" style="1" customWidth="1"/>
    <col min="13838" max="13838" width="1.5703125" style="1" customWidth="1"/>
    <col min="13839" max="13839" width="1" style="1" customWidth="1"/>
    <col min="13840" max="13840" width="16.42578125" style="1" customWidth="1"/>
    <col min="13841" max="13841" width="1.42578125" style="1" customWidth="1"/>
    <col min="13842" max="13842" width="2.42578125" style="1" customWidth="1"/>
    <col min="13843" max="13843" width="13" style="1" customWidth="1"/>
    <col min="13844" max="13844" width="3.140625" style="1" customWidth="1"/>
    <col min="13845" max="13845" width="21.42578125" style="1" customWidth="1"/>
    <col min="13846" max="13846" width="9.140625" style="1"/>
    <col min="13847" max="13847" width="10" style="1" bestFit="1" customWidth="1"/>
    <col min="13848" max="13848" width="9.85546875" style="1" bestFit="1" customWidth="1"/>
    <col min="13849" max="14080" width="9.140625" style="1"/>
    <col min="14081" max="14081" width="10.28515625" style="1" customWidth="1"/>
    <col min="14082" max="14082" width="34.28515625" style="1" customWidth="1"/>
    <col min="14083" max="14083" width="16.42578125" style="1" customWidth="1"/>
    <col min="14084" max="14084" width="6.7109375" style="1" customWidth="1"/>
    <col min="14085" max="14085" width="14.5703125" style="1" customWidth="1"/>
    <col min="14086" max="14086" width="8" style="1" customWidth="1"/>
    <col min="14087" max="14087" width="15.42578125" style="1" customWidth="1"/>
    <col min="14088" max="14088" width="21.42578125" style="1" customWidth="1"/>
    <col min="14089" max="14089" width="29.140625" style="1" bestFit="1" customWidth="1"/>
    <col min="14090" max="14090" width="22.85546875" style="1" customWidth="1"/>
    <col min="14091" max="14091" width="15.5703125" style="1" customWidth="1"/>
    <col min="14092" max="14092" width="2" style="1" customWidth="1"/>
    <col min="14093" max="14093" width="7.28515625" style="1" customWidth="1"/>
    <col min="14094" max="14094" width="1.5703125" style="1" customWidth="1"/>
    <col min="14095" max="14095" width="1" style="1" customWidth="1"/>
    <col min="14096" max="14096" width="16.42578125" style="1" customWidth="1"/>
    <col min="14097" max="14097" width="1.42578125" style="1" customWidth="1"/>
    <col min="14098" max="14098" width="2.42578125" style="1" customWidth="1"/>
    <col min="14099" max="14099" width="13" style="1" customWidth="1"/>
    <col min="14100" max="14100" width="3.140625" style="1" customWidth="1"/>
    <col min="14101" max="14101" width="21.42578125" style="1" customWidth="1"/>
    <col min="14102" max="14102" width="9.140625" style="1"/>
    <col min="14103" max="14103" width="10" style="1" bestFit="1" customWidth="1"/>
    <col min="14104" max="14104" width="9.85546875" style="1" bestFit="1" customWidth="1"/>
    <col min="14105" max="14336" width="9.140625" style="1"/>
    <col min="14337" max="14337" width="10.28515625" style="1" customWidth="1"/>
    <col min="14338" max="14338" width="34.28515625" style="1" customWidth="1"/>
    <col min="14339" max="14339" width="16.42578125" style="1" customWidth="1"/>
    <col min="14340" max="14340" width="6.7109375" style="1" customWidth="1"/>
    <col min="14341" max="14341" width="14.5703125" style="1" customWidth="1"/>
    <col min="14342" max="14342" width="8" style="1" customWidth="1"/>
    <col min="14343" max="14343" width="15.42578125" style="1" customWidth="1"/>
    <col min="14344" max="14344" width="21.42578125" style="1" customWidth="1"/>
    <col min="14345" max="14345" width="29.140625" style="1" bestFit="1" customWidth="1"/>
    <col min="14346" max="14346" width="22.85546875" style="1" customWidth="1"/>
    <col min="14347" max="14347" width="15.5703125" style="1" customWidth="1"/>
    <col min="14348" max="14348" width="2" style="1" customWidth="1"/>
    <col min="14349" max="14349" width="7.28515625" style="1" customWidth="1"/>
    <col min="14350" max="14350" width="1.5703125" style="1" customWidth="1"/>
    <col min="14351" max="14351" width="1" style="1" customWidth="1"/>
    <col min="14352" max="14352" width="16.42578125" style="1" customWidth="1"/>
    <col min="14353" max="14353" width="1.42578125" style="1" customWidth="1"/>
    <col min="14354" max="14354" width="2.42578125" style="1" customWidth="1"/>
    <col min="14355" max="14355" width="13" style="1" customWidth="1"/>
    <col min="14356" max="14356" width="3.140625" style="1" customWidth="1"/>
    <col min="14357" max="14357" width="21.42578125" style="1" customWidth="1"/>
    <col min="14358" max="14358" width="9.140625" style="1"/>
    <col min="14359" max="14359" width="10" style="1" bestFit="1" customWidth="1"/>
    <col min="14360" max="14360" width="9.85546875" style="1" bestFit="1" customWidth="1"/>
    <col min="14361" max="14592" width="9.140625" style="1"/>
    <col min="14593" max="14593" width="10.28515625" style="1" customWidth="1"/>
    <col min="14594" max="14594" width="34.28515625" style="1" customWidth="1"/>
    <col min="14595" max="14595" width="16.42578125" style="1" customWidth="1"/>
    <col min="14596" max="14596" width="6.7109375" style="1" customWidth="1"/>
    <col min="14597" max="14597" width="14.5703125" style="1" customWidth="1"/>
    <col min="14598" max="14598" width="8" style="1" customWidth="1"/>
    <col min="14599" max="14599" width="15.42578125" style="1" customWidth="1"/>
    <col min="14600" max="14600" width="21.42578125" style="1" customWidth="1"/>
    <col min="14601" max="14601" width="29.140625" style="1" bestFit="1" customWidth="1"/>
    <col min="14602" max="14602" width="22.85546875" style="1" customWidth="1"/>
    <col min="14603" max="14603" width="15.5703125" style="1" customWidth="1"/>
    <col min="14604" max="14604" width="2" style="1" customWidth="1"/>
    <col min="14605" max="14605" width="7.28515625" style="1" customWidth="1"/>
    <col min="14606" max="14606" width="1.5703125" style="1" customWidth="1"/>
    <col min="14607" max="14607" width="1" style="1" customWidth="1"/>
    <col min="14608" max="14608" width="16.42578125" style="1" customWidth="1"/>
    <col min="14609" max="14609" width="1.42578125" style="1" customWidth="1"/>
    <col min="14610" max="14610" width="2.42578125" style="1" customWidth="1"/>
    <col min="14611" max="14611" width="13" style="1" customWidth="1"/>
    <col min="14612" max="14612" width="3.140625" style="1" customWidth="1"/>
    <col min="14613" max="14613" width="21.42578125" style="1" customWidth="1"/>
    <col min="14614" max="14614" width="9.140625" style="1"/>
    <col min="14615" max="14615" width="10" style="1" bestFit="1" customWidth="1"/>
    <col min="14616" max="14616" width="9.85546875" style="1" bestFit="1" customWidth="1"/>
    <col min="14617" max="14848" width="9.140625" style="1"/>
    <col min="14849" max="14849" width="10.28515625" style="1" customWidth="1"/>
    <col min="14850" max="14850" width="34.28515625" style="1" customWidth="1"/>
    <col min="14851" max="14851" width="16.42578125" style="1" customWidth="1"/>
    <col min="14852" max="14852" width="6.7109375" style="1" customWidth="1"/>
    <col min="14853" max="14853" width="14.5703125" style="1" customWidth="1"/>
    <col min="14854" max="14854" width="8" style="1" customWidth="1"/>
    <col min="14855" max="14855" width="15.42578125" style="1" customWidth="1"/>
    <col min="14856" max="14856" width="21.42578125" style="1" customWidth="1"/>
    <col min="14857" max="14857" width="29.140625" style="1" bestFit="1" customWidth="1"/>
    <col min="14858" max="14858" width="22.85546875" style="1" customWidth="1"/>
    <col min="14859" max="14859" width="15.5703125" style="1" customWidth="1"/>
    <col min="14860" max="14860" width="2" style="1" customWidth="1"/>
    <col min="14861" max="14861" width="7.28515625" style="1" customWidth="1"/>
    <col min="14862" max="14862" width="1.5703125" style="1" customWidth="1"/>
    <col min="14863" max="14863" width="1" style="1" customWidth="1"/>
    <col min="14864" max="14864" width="16.42578125" style="1" customWidth="1"/>
    <col min="14865" max="14865" width="1.42578125" style="1" customWidth="1"/>
    <col min="14866" max="14866" width="2.42578125" style="1" customWidth="1"/>
    <col min="14867" max="14867" width="13" style="1" customWidth="1"/>
    <col min="14868" max="14868" width="3.140625" style="1" customWidth="1"/>
    <col min="14869" max="14869" width="21.42578125" style="1" customWidth="1"/>
    <col min="14870" max="14870" width="9.140625" style="1"/>
    <col min="14871" max="14871" width="10" style="1" bestFit="1" customWidth="1"/>
    <col min="14872" max="14872" width="9.85546875" style="1" bestFit="1" customWidth="1"/>
    <col min="14873" max="15104" width="9.140625" style="1"/>
    <col min="15105" max="15105" width="10.28515625" style="1" customWidth="1"/>
    <col min="15106" max="15106" width="34.28515625" style="1" customWidth="1"/>
    <col min="15107" max="15107" width="16.42578125" style="1" customWidth="1"/>
    <col min="15108" max="15108" width="6.7109375" style="1" customWidth="1"/>
    <col min="15109" max="15109" width="14.5703125" style="1" customWidth="1"/>
    <col min="15110" max="15110" width="8" style="1" customWidth="1"/>
    <col min="15111" max="15111" width="15.42578125" style="1" customWidth="1"/>
    <col min="15112" max="15112" width="21.42578125" style="1" customWidth="1"/>
    <col min="15113" max="15113" width="29.140625" style="1" bestFit="1" customWidth="1"/>
    <col min="15114" max="15114" width="22.85546875" style="1" customWidth="1"/>
    <col min="15115" max="15115" width="15.5703125" style="1" customWidth="1"/>
    <col min="15116" max="15116" width="2" style="1" customWidth="1"/>
    <col min="15117" max="15117" width="7.28515625" style="1" customWidth="1"/>
    <col min="15118" max="15118" width="1.5703125" style="1" customWidth="1"/>
    <col min="15119" max="15119" width="1" style="1" customWidth="1"/>
    <col min="15120" max="15120" width="16.42578125" style="1" customWidth="1"/>
    <col min="15121" max="15121" width="1.42578125" style="1" customWidth="1"/>
    <col min="15122" max="15122" width="2.42578125" style="1" customWidth="1"/>
    <col min="15123" max="15123" width="13" style="1" customWidth="1"/>
    <col min="15124" max="15124" width="3.140625" style="1" customWidth="1"/>
    <col min="15125" max="15125" width="21.42578125" style="1" customWidth="1"/>
    <col min="15126" max="15126" width="9.140625" style="1"/>
    <col min="15127" max="15127" width="10" style="1" bestFit="1" customWidth="1"/>
    <col min="15128" max="15128" width="9.85546875" style="1" bestFit="1" customWidth="1"/>
    <col min="15129" max="15360" width="9.140625" style="1"/>
    <col min="15361" max="15361" width="10.28515625" style="1" customWidth="1"/>
    <col min="15362" max="15362" width="34.28515625" style="1" customWidth="1"/>
    <col min="15363" max="15363" width="16.42578125" style="1" customWidth="1"/>
    <col min="15364" max="15364" width="6.7109375" style="1" customWidth="1"/>
    <col min="15365" max="15365" width="14.5703125" style="1" customWidth="1"/>
    <col min="15366" max="15366" width="8" style="1" customWidth="1"/>
    <col min="15367" max="15367" width="15.42578125" style="1" customWidth="1"/>
    <col min="15368" max="15368" width="21.42578125" style="1" customWidth="1"/>
    <col min="15369" max="15369" width="29.140625" style="1" bestFit="1" customWidth="1"/>
    <col min="15370" max="15370" width="22.85546875" style="1" customWidth="1"/>
    <col min="15371" max="15371" width="15.5703125" style="1" customWidth="1"/>
    <col min="15372" max="15372" width="2" style="1" customWidth="1"/>
    <col min="15373" max="15373" width="7.28515625" style="1" customWidth="1"/>
    <col min="15374" max="15374" width="1.5703125" style="1" customWidth="1"/>
    <col min="15375" max="15375" width="1" style="1" customWidth="1"/>
    <col min="15376" max="15376" width="16.42578125" style="1" customWidth="1"/>
    <col min="15377" max="15377" width="1.42578125" style="1" customWidth="1"/>
    <col min="15378" max="15378" width="2.42578125" style="1" customWidth="1"/>
    <col min="15379" max="15379" width="13" style="1" customWidth="1"/>
    <col min="15380" max="15380" width="3.140625" style="1" customWidth="1"/>
    <col min="15381" max="15381" width="21.42578125" style="1" customWidth="1"/>
    <col min="15382" max="15382" width="9.140625" style="1"/>
    <col min="15383" max="15383" width="10" style="1" bestFit="1" customWidth="1"/>
    <col min="15384" max="15384" width="9.85546875" style="1" bestFit="1" customWidth="1"/>
    <col min="15385" max="15616" width="9.140625" style="1"/>
    <col min="15617" max="15617" width="10.28515625" style="1" customWidth="1"/>
    <col min="15618" max="15618" width="34.28515625" style="1" customWidth="1"/>
    <col min="15619" max="15619" width="16.42578125" style="1" customWidth="1"/>
    <col min="15620" max="15620" width="6.7109375" style="1" customWidth="1"/>
    <col min="15621" max="15621" width="14.5703125" style="1" customWidth="1"/>
    <col min="15622" max="15622" width="8" style="1" customWidth="1"/>
    <col min="15623" max="15623" width="15.42578125" style="1" customWidth="1"/>
    <col min="15624" max="15624" width="21.42578125" style="1" customWidth="1"/>
    <col min="15625" max="15625" width="29.140625" style="1" bestFit="1" customWidth="1"/>
    <col min="15626" max="15626" width="22.85546875" style="1" customWidth="1"/>
    <col min="15627" max="15627" width="15.5703125" style="1" customWidth="1"/>
    <col min="15628" max="15628" width="2" style="1" customWidth="1"/>
    <col min="15629" max="15629" width="7.28515625" style="1" customWidth="1"/>
    <col min="15630" max="15630" width="1.5703125" style="1" customWidth="1"/>
    <col min="15631" max="15631" width="1" style="1" customWidth="1"/>
    <col min="15632" max="15632" width="16.42578125" style="1" customWidth="1"/>
    <col min="15633" max="15633" width="1.42578125" style="1" customWidth="1"/>
    <col min="15634" max="15634" width="2.42578125" style="1" customWidth="1"/>
    <col min="15635" max="15635" width="13" style="1" customWidth="1"/>
    <col min="15636" max="15636" width="3.140625" style="1" customWidth="1"/>
    <col min="15637" max="15637" width="21.42578125" style="1" customWidth="1"/>
    <col min="15638" max="15638" width="9.140625" style="1"/>
    <col min="15639" max="15639" width="10" style="1" bestFit="1" customWidth="1"/>
    <col min="15640" max="15640" width="9.85546875" style="1" bestFit="1" customWidth="1"/>
    <col min="15641" max="15872" width="9.140625" style="1"/>
    <col min="15873" max="15873" width="10.28515625" style="1" customWidth="1"/>
    <col min="15874" max="15874" width="34.28515625" style="1" customWidth="1"/>
    <col min="15875" max="15875" width="16.42578125" style="1" customWidth="1"/>
    <col min="15876" max="15876" width="6.7109375" style="1" customWidth="1"/>
    <col min="15877" max="15877" width="14.5703125" style="1" customWidth="1"/>
    <col min="15878" max="15878" width="8" style="1" customWidth="1"/>
    <col min="15879" max="15879" width="15.42578125" style="1" customWidth="1"/>
    <col min="15880" max="15880" width="21.42578125" style="1" customWidth="1"/>
    <col min="15881" max="15881" width="29.140625" style="1" bestFit="1" customWidth="1"/>
    <col min="15882" max="15882" width="22.85546875" style="1" customWidth="1"/>
    <col min="15883" max="15883" width="15.5703125" style="1" customWidth="1"/>
    <col min="15884" max="15884" width="2" style="1" customWidth="1"/>
    <col min="15885" max="15885" width="7.28515625" style="1" customWidth="1"/>
    <col min="15886" max="15886" width="1.5703125" style="1" customWidth="1"/>
    <col min="15887" max="15887" width="1" style="1" customWidth="1"/>
    <col min="15888" max="15888" width="16.42578125" style="1" customWidth="1"/>
    <col min="15889" max="15889" width="1.42578125" style="1" customWidth="1"/>
    <col min="15890" max="15890" width="2.42578125" style="1" customWidth="1"/>
    <col min="15891" max="15891" width="13" style="1" customWidth="1"/>
    <col min="15892" max="15892" width="3.140625" style="1" customWidth="1"/>
    <col min="15893" max="15893" width="21.42578125" style="1" customWidth="1"/>
    <col min="15894" max="15894" width="9.140625" style="1"/>
    <col min="15895" max="15895" width="10" style="1" bestFit="1" customWidth="1"/>
    <col min="15896" max="15896" width="9.85546875" style="1" bestFit="1" customWidth="1"/>
    <col min="15897" max="16128" width="9.140625" style="1"/>
    <col min="16129" max="16129" width="10.28515625" style="1" customWidth="1"/>
    <col min="16130" max="16130" width="34.28515625" style="1" customWidth="1"/>
    <col min="16131" max="16131" width="16.42578125" style="1" customWidth="1"/>
    <col min="16132" max="16132" width="6.7109375" style="1" customWidth="1"/>
    <col min="16133" max="16133" width="14.5703125" style="1" customWidth="1"/>
    <col min="16134" max="16134" width="8" style="1" customWidth="1"/>
    <col min="16135" max="16135" width="15.42578125" style="1" customWidth="1"/>
    <col min="16136" max="16136" width="21.42578125" style="1" customWidth="1"/>
    <col min="16137" max="16137" width="29.140625" style="1" bestFit="1" customWidth="1"/>
    <col min="16138" max="16138" width="22.85546875" style="1" customWidth="1"/>
    <col min="16139" max="16139" width="15.5703125" style="1" customWidth="1"/>
    <col min="16140" max="16140" width="2" style="1" customWidth="1"/>
    <col min="16141" max="16141" width="7.28515625" style="1" customWidth="1"/>
    <col min="16142" max="16142" width="1.5703125" style="1" customWidth="1"/>
    <col min="16143" max="16143" width="1" style="1" customWidth="1"/>
    <col min="16144" max="16144" width="16.42578125" style="1" customWidth="1"/>
    <col min="16145" max="16145" width="1.42578125" style="1" customWidth="1"/>
    <col min="16146" max="16146" width="2.42578125" style="1" customWidth="1"/>
    <col min="16147" max="16147" width="13" style="1" customWidth="1"/>
    <col min="16148" max="16148" width="3.140625" style="1" customWidth="1"/>
    <col min="16149" max="16149" width="21.42578125" style="1" customWidth="1"/>
    <col min="16150" max="16150" width="9.140625" style="1"/>
    <col min="16151" max="16151" width="10" style="1" bestFit="1" customWidth="1"/>
    <col min="16152" max="16152" width="9.85546875" style="1" bestFit="1" customWidth="1"/>
    <col min="16153" max="16384" width="9.140625" style="1"/>
  </cols>
  <sheetData>
    <row r="1" spans="1:21" ht="16.5" thickBot="1" x14ac:dyDescent="0.3">
      <c r="A1" s="45">
        <f>'[8]All charter school calculator'!A1</f>
        <v>51</v>
      </c>
      <c r="B1" s="1404" t="s">
        <v>106</v>
      </c>
      <c r="C1" s="1405"/>
      <c r="D1" s="1405"/>
      <c r="E1" s="1405"/>
      <c r="F1" s="1405"/>
      <c r="G1" s="1405"/>
      <c r="H1" s="1405"/>
      <c r="J1" s="2"/>
      <c r="K1" s="1"/>
      <c r="O1" s="3"/>
      <c r="Q1" s="1"/>
      <c r="T1" s="4"/>
      <c r="U1" s="1"/>
    </row>
    <row r="2" spans="1:21" ht="42" customHeight="1" x14ac:dyDescent="0.3">
      <c r="A2" s="1350" t="s">
        <v>646</v>
      </c>
      <c r="B2" s="1350"/>
      <c r="C2" s="1350"/>
      <c r="D2" s="1350"/>
      <c r="E2" s="1350"/>
      <c r="F2" s="1350"/>
      <c r="G2" s="1350"/>
      <c r="H2" s="1350"/>
      <c r="I2" s="892"/>
      <c r="J2" s="892"/>
      <c r="K2" s="892"/>
      <c r="L2" s="892"/>
      <c r="M2" s="892"/>
      <c r="N2" s="892"/>
      <c r="O2" s="892"/>
      <c r="P2" s="892"/>
      <c r="Q2" s="892"/>
      <c r="R2" s="892"/>
      <c r="S2" s="892"/>
      <c r="T2" s="892"/>
      <c r="U2" s="892"/>
    </row>
    <row r="3" spans="1:21" ht="18.75" x14ac:dyDescent="0.3">
      <c r="A3" s="1303" t="s">
        <v>1488</v>
      </c>
      <c r="B3" s="1303"/>
      <c r="C3" s="1303"/>
      <c r="D3" s="1303"/>
      <c r="E3" s="1303"/>
      <c r="F3" s="1303"/>
      <c r="G3" s="1303"/>
      <c r="H3" s="1303"/>
      <c r="I3" s="121"/>
      <c r="J3" s="121"/>
      <c r="K3" s="121"/>
      <c r="L3" s="121"/>
      <c r="M3" s="121"/>
      <c r="N3" s="121"/>
      <c r="O3" s="121"/>
      <c r="P3" s="121"/>
      <c r="Q3" s="121"/>
      <c r="R3" s="121"/>
      <c r="S3" s="121"/>
      <c r="T3" s="121"/>
      <c r="U3" s="121"/>
    </row>
    <row r="4" spans="1:21" ht="18.75" customHeight="1" x14ac:dyDescent="0.25">
      <c r="A4" s="1348" t="s">
        <v>0</v>
      </c>
      <c r="B4" s="1348"/>
      <c r="C4" s="1351" t="str">
        <f>'[8]All charter school calculator'!C4:D4</f>
        <v>Pasco</v>
      </c>
      <c r="D4" s="1351"/>
      <c r="E4" s="204"/>
      <c r="F4" s="204"/>
      <c r="G4" s="204"/>
      <c r="H4" s="204"/>
      <c r="I4" s="3"/>
      <c r="J4" s="3"/>
      <c r="K4" s="3"/>
      <c r="L4" s="3"/>
      <c r="M4" s="3"/>
      <c r="N4" s="3"/>
      <c r="O4" s="3"/>
      <c r="P4" s="1"/>
      <c r="Q4" s="1"/>
      <c r="R4" s="4"/>
      <c r="U4" s="1"/>
    </row>
    <row r="5" spans="1:21" ht="21" customHeight="1" x14ac:dyDescent="0.25">
      <c r="A5" s="1344" t="s">
        <v>1489</v>
      </c>
      <c r="B5" s="1344"/>
      <c r="C5" s="1344"/>
      <c r="D5" s="1344"/>
      <c r="E5" s="1344"/>
      <c r="F5" s="1344"/>
      <c r="G5" s="1344"/>
      <c r="H5" s="1344"/>
      <c r="I5" s="3"/>
      <c r="J5" s="3"/>
      <c r="K5" s="3"/>
      <c r="L5" s="3"/>
      <c r="M5" s="3"/>
      <c r="N5" s="3"/>
      <c r="O5" s="3"/>
      <c r="R5" s="3"/>
      <c r="S5" s="3"/>
      <c r="U5" s="1"/>
    </row>
    <row r="6" spans="1:21" ht="18" customHeight="1" x14ac:dyDescent="0.25">
      <c r="A6" s="1347" t="s">
        <v>88</v>
      </c>
      <c r="B6" s="1347"/>
      <c r="C6" s="1406">
        <f>'[8]All charter school calculator'!C6:D6</f>
        <v>4587.3999999999996</v>
      </c>
      <c r="D6" s="1406"/>
      <c r="E6" s="1345" t="s">
        <v>90</v>
      </c>
      <c r="F6" s="1345"/>
      <c r="G6" s="1346">
        <f>'[8]All charter school calculator'!G6:H6</f>
        <v>0.98129999999999995</v>
      </c>
      <c r="H6" s="1346"/>
      <c r="K6" s="1"/>
      <c r="P6" s="1"/>
      <c r="Q6" s="1"/>
      <c r="U6" s="1"/>
    </row>
    <row r="7" spans="1:21" ht="18" customHeight="1" x14ac:dyDescent="0.25">
      <c r="A7" s="38"/>
      <c r="B7" s="38"/>
      <c r="C7" s="1235"/>
      <c r="D7" s="1235"/>
      <c r="E7" s="904"/>
      <c r="F7" s="904"/>
      <c r="G7" s="122"/>
      <c r="H7" s="902" t="str">
        <f>'[8]All charter school calculator'!H7</f>
        <v>2022-23</v>
      </c>
      <c r="K7" s="1"/>
      <c r="P7" s="1"/>
      <c r="Q7" s="1"/>
      <c r="U7" s="1"/>
    </row>
    <row r="8" spans="1:21" ht="15.75" customHeight="1" x14ac:dyDescent="0.25">
      <c r="A8" s="38"/>
      <c r="B8" s="38"/>
      <c r="C8" s="1235"/>
      <c r="D8" s="1235"/>
      <c r="E8" s="1337" t="s">
        <v>1</v>
      </c>
      <c r="F8" s="1337"/>
      <c r="G8" s="122" t="s">
        <v>587</v>
      </c>
      <c r="H8" s="902" t="s">
        <v>194</v>
      </c>
      <c r="K8" s="1"/>
      <c r="P8" s="1"/>
      <c r="Q8" s="1"/>
      <c r="U8" s="1"/>
    </row>
    <row r="9" spans="1:21" ht="15.75" customHeight="1" x14ac:dyDescent="0.25">
      <c r="A9" s="1327" t="s">
        <v>1</v>
      </c>
      <c r="B9" s="1327"/>
      <c r="C9" s="1355" t="s">
        <v>133</v>
      </c>
      <c r="D9" s="1355"/>
      <c r="E9" s="1352" t="s">
        <v>588</v>
      </c>
      <c r="F9" s="1352"/>
      <c r="G9" s="894" t="s">
        <v>589</v>
      </c>
      <c r="H9" s="803" t="s">
        <v>590</v>
      </c>
      <c r="K9" s="1"/>
      <c r="P9" s="1"/>
      <c r="Q9" s="1"/>
      <c r="U9" s="1"/>
    </row>
    <row r="10" spans="1:21" ht="14.25" customHeight="1" x14ac:dyDescent="0.25">
      <c r="A10" s="1354" t="s">
        <v>591</v>
      </c>
      <c r="B10" s="1354"/>
      <c r="C10" s="1356" t="s">
        <v>592</v>
      </c>
      <c r="D10" s="1356"/>
      <c r="E10" s="1353" t="s">
        <v>593</v>
      </c>
      <c r="F10" s="1353"/>
      <c r="G10" s="9" t="s">
        <v>594</v>
      </c>
      <c r="H10" s="10" t="s">
        <v>595</v>
      </c>
      <c r="K10" s="1"/>
      <c r="P10" s="1"/>
      <c r="Q10" s="1"/>
      <c r="U10" s="1"/>
    </row>
    <row r="11" spans="1:21" x14ac:dyDescent="0.25">
      <c r="A11" s="1358" t="s">
        <v>152</v>
      </c>
      <c r="B11" s="1358"/>
      <c r="C11" s="1403">
        <f>IF('[8]All charter school calculator'!$G$96=1,'[8]All charter school calculator'!C11:D11,0)</f>
        <v>0</v>
      </c>
      <c r="D11" s="1403"/>
      <c r="E11" s="1357">
        <v>1</v>
      </c>
      <c r="F11" s="1357"/>
      <c r="G11" s="22">
        <f>ROUND(C11*E11,4)</f>
        <v>0</v>
      </c>
      <c r="H11" s="11">
        <f t="shared" ref="H11:H26" si="0">ROUND(ROUND(G11*$C$6,4)*($G$6),0)</f>
        <v>0</v>
      </c>
      <c r="K11" s="1"/>
      <c r="P11" s="1"/>
      <c r="Q11" s="1"/>
      <c r="U11" s="1"/>
    </row>
    <row r="12" spans="1:21" x14ac:dyDescent="0.25">
      <c r="A12" s="1310" t="s">
        <v>153</v>
      </c>
      <c r="B12" s="1310"/>
      <c r="C12" s="1403">
        <f>IF('[8]All charter school calculator'!$G$96=1,'[8]All charter school calculator'!C12:D12,0)</f>
        <v>0</v>
      </c>
      <c r="D12" s="1403"/>
      <c r="E12" s="1341">
        <v>1</v>
      </c>
      <c r="F12" s="1341"/>
      <c r="G12" s="22">
        <f t="shared" ref="G12:G26" si="1">ROUND(C12*E12,4)</f>
        <v>0</v>
      </c>
      <c r="H12" s="11">
        <f t="shared" si="0"/>
        <v>0</v>
      </c>
      <c r="K12" s="1"/>
      <c r="P12" s="1"/>
      <c r="Q12" s="1"/>
      <c r="U12" s="1"/>
    </row>
    <row r="13" spans="1:21" x14ac:dyDescent="0.25">
      <c r="A13" s="1310" t="s">
        <v>154</v>
      </c>
      <c r="B13" s="1310"/>
      <c r="C13" s="1403">
        <f>IF('[8]All charter school calculator'!$G$96=1,'[8]All charter school calculator'!C13:D13,0)</f>
        <v>0</v>
      </c>
      <c r="D13" s="1403"/>
      <c r="E13" s="1341">
        <v>1</v>
      </c>
      <c r="F13" s="1341"/>
      <c r="G13" s="22">
        <f t="shared" si="1"/>
        <v>0</v>
      </c>
      <c r="H13" s="11">
        <f t="shared" si="0"/>
        <v>0</v>
      </c>
      <c r="K13" s="1"/>
      <c r="P13" s="1"/>
      <c r="Q13" s="1"/>
      <c r="U13" s="1"/>
    </row>
    <row r="14" spans="1:21" x14ac:dyDescent="0.25">
      <c r="A14" s="1310" t="s">
        <v>155</v>
      </c>
      <c r="B14" s="1310"/>
      <c r="C14" s="1403">
        <f>IF('[8]All charter school calculator'!$G$96=1,'[8]All charter school calculator'!C14:D14,0)</f>
        <v>0</v>
      </c>
      <c r="D14" s="1403"/>
      <c r="E14" s="1341">
        <v>1</v>
      </c>
      <c r="F14" s="1341"/>
      <c r="G14" s="22">
        <f t="shared" si="1"/>
        <v>0</v>
      </c>
      <c r="H14" s="11">
        <f t="shared" si="0"/>
        <v>0</v>
      </c>
      <c r="K14" s="1"/>
      <c r="P14" s="1"/>
      <c r="Q14" s="1"/>
      <c r="U14" s="1"/>
    </row>
    <row r="15" spans="1:21" x14ac:dyDescent="0.25">
      <c r="A15" s="1310" t="s">
        <v>156</v>
      </c>
      <c r="B15" s="1310"/>
      <c r="C15" s="1403">
        <f>IF('[8]All charter school calculator'!$G$96=1,'[8]All charter school calculator'!C15:D15,0)</f>
        <v>0</v>
      </c>
      <c r="D15" s="1403"/>
      <c r="E15" s="1341">
        <v>1</v>
      </c>
      <c r="F15" s="1341"/>
      <c r="G15" s="22">
        <f t="shared" si="1"/>
        <v>0</v>
      </c>
      <c r="H15" s="11">
        <f t="shared" si="0"/>
        <v>0</v>
      </c>
      <c r="K15" s="1"/>
      <c r="P15" s="1"/>
      <c r="Q15" s="1"/>
      <c r="U15" s="1"/>
    </row>
    <row r="16" spans="1:21" x14ac:dyDescent="0.25">
      <c r="A16" s="1310" t="s">
        <v>157</v>
      </c>
      <c r="B16" s="1310"/>
      <c r="C16" s="1403">
        <f>IF('[8]All charter school calculator'!$G$96=1,'[8]All charter school calculator'!C16:D16,0)</f>
        <v>0</v>
      </c>
      <c r="D16" s="1403"/>
      <c r="E16" s="1341">
        <v>1</v>
      </c>
      <c r="F16" s="1341"/>
      <c r="G16" s="22">
        <f t="shared" si="1"/>
        <v>0</v>
      </c>
      <c r="H16" s="42">
        <f t="shared" si="0"/>
        <v>0</v>
      </c>
      <c r="K16" s="1"/>
      <c r="P16" s="1"/>
      <c r="Q16" s="1"/>
      <c r="U16" s="1"/>
    </row>
    <row r="17" spans="1:21" x14ac:dyDescent="0.25">
      <c r="A17" s="1310" t="s">
        <v>158</v>
      </c>
      <c r="B17" s="1310"/>
      <c r="C17" s="1403">
        <f>IF('[8]All charter school calculator'!$G$96=1,'[8]All charter school calculator'!C17:D17,0)</f>
        <v>0</v>
      </c>
      <c r="D17" s="1403"/>
      <c r="E17" s="1341">
        <v>1</v>
      </c>
      <c r="F17" s="1341"/>
      <c r="G17" s="22">
        <f t="shared" si="1"/>
        <v>0</v>
      </c>
      <c r="H17" s="11">
        <f t="shared" si="0"/>
        <v>0</v>
      </c>
      <c r="K17" s="1"/>
      <c r="P17" s="1"/>
      <c r="Q17" s="1"/>
      <c r="U17" s="1"/>
    </row>
    <row r="18" spans="1:21" x14ac:dyDescent="0.25">
      <c r="A18" s="1310" t="s">
        <v>159</v>
      </c>
      <c r="B18" s="1310"/>
      <c r="C18" s="1403">
        <f>IF('[8]All charter school calculator'!$G$96=1,'[8]All charter school calculator'!C18:D18,0)</f>
        <v>0</v>
      </c>
      <c r="D18" s="1403"/>
      <c r="E18" s="1341">
        <v>1</v>
      </c>
      <c r="F18" s="1341"/>
      <c r="G18" s="22">
        <f t="shared" si="1"/>
        <v>0</v>
      </c>
      <c r="H18" s="11">
        <f t="shared" si="0"/>
        <v>0</v>
      </c>
      <c r="K18" s="1"/>
      <c r="P18" s="1"/>
      <c r="Q18" s="1"/>
      <c r="U18" s="1"/>
    </row>
    <row r="19" spans="1:21" x14ac:dyDescent="0.25">
      <c r="A19" s="1310" t="s">
        <v>160</v>
      </c>
      <c r="B19" s="1310"/>
      <c r="C19" s="1403">
        <f>IF('[8]All charter school calculator'!$G$96=1,'[8]All charter school calculator'!C19:D19,0)</f>
        <v>0</v>
      </c>
      <c r="D19" s="1403"/>
      <c r="E19" s="1341">
        <v>1</v>
      </c>
      <c r="F19" s="1341"/>
      <c r="G19" s="22">
        <f t="shared" si="1"/>
        <v>0</v>
      </c>
      <c r="H19" s="11">
        <f t="shared" si="0"/>
        <v>0</v>
      </c>
      <c r="K19" s="1"/>
      <c r="P19" s="1"/>
      <c r="Q19" s="1"/>
      <c r="U19" s="1"/>
    </row>
    <row r="20" spans="1:21" ht="15" customHeight="1" x14ac:dyDescent="0.25">
      <c r="A20" s="1310" t="s">
        <v>161</v>
      </c>
      <c r="B20" s="1310"/>
      <c r="C20" s="1403">
        <f>IF('[8]All charter school calculator'!$G$96=1,'[8]All charter school calculator'!C20:D20,0)</f>
        <v>0</v>
      </c>
      <c r="D20" s="1403"/>
      <c r="E20" s="1341">
        <v>1</v>
      </c>
      <c r="F20" s="1341"/>
      <c r="G20" s="22">
        <f t="shared" si="1"/>
        <v>0</v>
      </c>
      <c r="H20" s="11">
        <f t="shared" si="0"/>
        <v>0</v>
      </c>
      <c r="K20" s="1"/>
      <c r="P20" s="1"/>
      <c r="Q20" s="1"/>
      <c r="U20" s="1"/>
    </row>
    <row r="21" spans="1:21" ht="15" customHeight="1" x14ac:dyDescent="0.25">
      <c r="A21" s="1310" t="s">
        <v>162</v>
      </c>
      <c r="B21" s="1310"/>
      <c r="C21" s="1403">
        <f>IF('[8]All charter school calculator'!$G$96=1,'[8]All charter school calculator'!C21:D21,0)</f>
        <v>0</v>
      </c>
      <c r="D21" s="1403"/>
      <c r="E21" s="1341">
        <v>1</v>
      </c>
      <c r="F21" s="1341"/>
      <c r="G21" s="22">
        <f t="shared" si="1"/>
        <v>0</v>
      </c>
      <c r="H21" s="11">
        <f t="shared" si="0"/>
        <v>0</v>
      </c>
      <c r="K21" s="1"/>
      <c r="P21" s="1"/>
      <c r="Q21" s="1"/>
      <c r="U21" s="1"/>
    </row>
    <row r="22" spans="1:21" ht="15" customHeight="1" x14ac:dyDescent="0.25">
      <c r="A22" s="1310" t="s">
        <v>163</v>
      </c>
      <c r="B22" s="1310"/>
      <c r="C22" s="1403">
        <f>IF('[8]All charter school calculator'!$G$96=1,'[8]All charter school calculator'!C22:D22,0)</f>
        <v>0</v>
      </c>
      <c r="D22" s="1403"/>
      <c r="E22" s="1341">
        <v>1</v>
      </c>
      <c r="F22" s="1341"/>
      <c r="G22" s="22">
        <f t="shared" si="1"/>
        <v>0</v>
      </c>
      <c r="H22" s="11">
        <f t="shared" si="0"/>
        <v>0</v>
      </c>
      <c r="K22" s="1"/>
      <c r="P22" s="1"/>
      <c r="Q22" s="1"/>
      <c r="U22" s="1"/>
    </row>
    <row r="23" spans="1:21" x14ac:dyDescent="0.25">
      <c r="A23" s="1310" t="s">
        <v>164</v>
      </c>
      <c r="B23" s="1310"/>
      <c r="C23" s="1403">
        <f>IF('[8]All charter school calculator'!$G$96=1,'[8]All charter school calculator'!C23:D23,0)</f>
        <v>0</v>
      </c>
      <c r="D23" s="1403"/>
      <c r="E23" s="1341">
        <v>1</v>
      </c>
      <c r="F23" s="1341"/>
      <c r="G23" s="22">
        <f t="shared" si="1"/>
        <v>0</v>
      </c>
      <c r="H23" s="11">
        <f t="shared" si="0"/>
        <v>0</v>
      </c>
      <c r="K23" s="1"/>
      <c r="P23" s="1"/>
      <c r="Q23" s="1"/>
      <c r="U23" s="1"/>
    </row>
    <row r="24" spans="1:21" x14ac:dyDescent="0.25">
      <c r="A24" s="1310" t="s">
        <v>165</v>
      </c>
      <c r="B24" s="1310"/>
      <c r="C24" s="1403">
        <f>IF('[8]All charter school calculator'!$G$96=1,'[8]All charter school calculator'!C24:D24,0)</f>
        <v>0</v>
      </c>
      <c r="D24" s="1403"/>
      <c r="E24" s="1341">
        <v>1</v>
      </c>
      <c r="F24" s="1341"/>
      <c r="G24" s="22">
        <f t="shared" si="1"/>
        <v>0</v>
      </c>
      <c r="H24" s="11">
        <f t="shared" si="0"/>
        <v>0</v>
      </c>
      <c r="K24" s="1"/>
      <c r="P24" s="1"/>
      <c r="Q24" s="1"/>
      <c r="U24" s="1"/>
    </row>
    <row r="25" spans="1:21" x14ac:dyDescent="0.25">
      <c r="A25" s="1310" t="s">
        <v>166</v>
      </c>
      <c r="B25" s="1310"/>
      <c r="C25" s="1403">
        <f>IF('[8]All charter school calculator'!$G$96=1,'[8]All charter school calculator'!C25:D25,0)</f>
        <v>0</v>
      </c>
      <c r="D25" s="1403"/>
      <c r="E25" s="1341">
        <v>1</v>
      </c>
      <c r="F25" s="1341"/>
      <c r="G25" s="22">
        <f t="shared" si="1"/>
        <v>0</v>
      </c>
      <c r="H25" s="11">
        <f t="shared" si="0"/>
        <v>0</v>
      </c>
      <c r="K25" s="1"/>
      <c r="P25" s="1"/>
      <c r="Q25" s="1"/>
      <c r="U25" s="1"/>
    </row>
    <row r="26" spans="1:21" x14ac:dyDescent="0.25">
      <c r="A26" s="1300" t="s">
        <v>167</v>
      </c>
      <c r="B26" s="1300"/>
      <c r="C26" s="1403">
        <f>IF('[8]All charter school calculator'!$G$96=1,'[8]All charter school calculator'!C26:D26,0)</f>
        <v>0</v>
      </c>
      <c r="D26" s="1403"/>
      <c r="E26" s="1338">
        <v>1</v>
      </c>
      <c r="F26" s="1338"/>
      <c r="G26" s="22">
        <f t="shared" si="1"/>
        <v>0</v>
      </c>
      <c r="H26" s="11">
        <f t="shared" si="0"/>
        <v>0</v>
      </c>
      <c r="K26" s="1"/>
      <c r="P26" s="1"/>
      <c r="Q26" s="1"/>
      <c r="U26" s="1"/>
    </row>
    <row r="27" spans="1:21" ht="20.25" customHeight="1" x14ac:dyDescent="0.25">
      <c r="A27" s="1362" t="s">
        <v>8</v>
      </c>
      <c r="B27" s="1362"/>
      <c r="C27" s="1339">
        <f>SUM(C11:C26)</f>
        <v>0</v>
      </c>
      <c r="D27" s="1339"/>
      <c r="E27" s="1336"/>
      <c r="F27" s="1336"/>
      <c r="G27" s="905">
        <f>SUM(G11:G26)</f>
        <v>0</v>
      </c>
      <c r="H27" s="11">
        <f>SUM(H11:H26)</f>
        <v>0</v>
      </c>
      <c r="K27" s="1"/>
      <c r="P27" s="1"/>
      <c r="Q27" s="1"/>
      <c r="U27" s="1"/>
    </row>
    <row r="28" spans="1:21" ht="36" customHeight="1" x14ac:dyDescent="0.25">
      <c r="A28" s="1303"/>
      <c r="B28" s="1303"/>
      <c r="C28" s="1303"/>
      <c r="D28" s="1303"/>
      <c r="E28" s="1303"/>
      <c r="F28" s="1303"/>
      <c r="G28" s="1303"/>
      <c r="H28" s="903" t="str">
        <f>H7</f>
        <v>2022-23</v>
      </c>
      <c r="K28" s="1"/>
      <c r="P28" s="1"/>
      <c r="Q28" s="1"/>
      <c r="U28" s="1"/>
    </row>
    <row r="29" spans="1:21" ht="20.25" customHeight="1" x14ac:dyDescent="0.25">
      <c r="A29" s="35"/>
      <c r="B29" s="35"/>
      <c r="C29" s="655"/>
      <c r="D29" s="655"/>
      <c r="E29" s="43"/>
      <c r="F29" s="43"/>
      <c r="G29" s="21"/>
      <c r="H29" s="903" t="s">
        <v>194</v>
      </c>
      <c r="K29" s="1"/>
      <c r="P29" s="1"/>
      <c r="Q29" s="1"/>
      <c r="U29" s="1"/>
    </row>
    <row r="30" spans="1:21" ht="15.75" customHeight="1" x14ac:dyDescent="0.25">
      <c r="A30" s="1327" t="s">
        <v>597</v>
      </c>
      <c r="B30" s="1327"/>
      <c r="C30" s="1361" t="s">
        <v>133</v>
      </c>
      <c r="D30" s="1361"/>
      <c r="E30" s="1361"/>
      <c r="F30" s="1361"/>
      <c r="G30" s="1361"/>
      <c r="H30" s="803" t="s">
        <v>590</v>
      </c>
      <c r="K30" s="1"/>
      <c r="P30" s="1"/>
      <c r="Q30" s="1"/>
      <c r="U30" s="1"/>
    </row>
    <row r="31" spans="1:21" ht="20.25" customHeight="1" x14ac:dyDescent="0.25">
      <c r="A31" s="1358" t="s">
        <v>599</v>
      </c>
      <c r="B31" s="1358"/>
      <c r="C31" s="1391"/>
      <c r="D31" s="1391"/>
      <c r="E31" s="1391"/>
      <c r="F31" s="1391"/>
      <c r="G31" s="1391"/>
      <c r="H31" s="42">
        <f t="shared" ref="H31:H37" si="2">ROUND(ROUND(C31*$C$6,4)*($G$6),0)</f>
        <v>0</v>
      </c>
      <c r="K31" s="1"/>
      <c r="P31" s="1"/>
      <c r="Q31" s="1"/>
      <c r="U31" s="1"/>
    </row>
    <row r="32" spans="1:21" ht="20.25" customHeight="1" x14ac:dyDescent="0.25">
      <c r="A32" s="1310" t="s">
        <v>600</v>
      </c>
      <c r="B32" s="1310"/>
      <c r="C32" s="1391"/>
      <c r="D32" s="1391"/>
      <c r="E32" s="1391"/>
      <c r="F32" s="1391"/>
      <c r="G32" s="1391"/>
      <c r="H32" s="42">
        <f t="shared" si="2"/>
        <v>0</v>
      </c>
      <c r="K32" s="1"/>
      <c r="P32" s="1"/>
      <c r="Q32" s="1"/>
      <c r="U32" s="1"/>
    </row>
    <row r="33" spans="1:21" ht="20.25" customHeight="1" x14ac:dyDescent="0.25">
      <c r="A33" s="1366" t="s">
        <v>601</v>
      </c>
      <c r="B33" s="1366"/>
      <c r="C33" s="1402"/>
      <c r="D33" s="1402"/>
      <c r="E33" s="1402"/>
      <c r="F33" s="1402"/>
      <c r="G33" s="1402"/>
      <c r="H33" s="42">
        <f t="shared" si="2"/>
        <v>0</v>
      </c>
      <c r="K33" s="1"/>
      <c r="P33" s="1"/>
      <c r="Q33" s="1"/>
      <c r="U33" s="1"/>
    </row>
    <row r="34" spans="1:21" ht="20.25" customHeight="1" x14ac:dyDescent="0.25">
      <c r="A34" s="1310" t="s">
        <v>602</v>
      </c>
      <c r="B34" s="1310"/>
      <c r="C34" s="1391"/>
      <c r="D34" s="1391"/>
      <c r="E34" s="1391"/>
      <c r="F34" s="1391"/>
      <c r="G34" s="1391"/>
      <c r="H34" s="42">
        <f t="shared" si="2"/>
        <v>0</v>
      </c>
      <c r="K34" s="1"/>
      <c r="P34" s="1"/>
      <c r="Q34" s="1"/>
      <c r="U34" s="1"/>
    </row>
    <row r="35" spans="1:21" ht="20.25" customHeight="1" x14ac:dyDescent="0.25">
      <c r="A35" s="1310" t="s">
        <v>603</v>
      </c>
      <c r="B35" s="1310"/>
      <c r="C35" s="1391"/>
      <c r="D35" s="1391"/>
      <c r="E35" s="1391"/>
      <c r="F35" s="1391"/>
      <c r="G35" s="1391"/>
      <c r="H35" s="42">
        <f t="shared" si="2"/>
        <v>0</v>
      </c>
      <c r="K35" s="1"/>
      <c r="P35" s="1"/>
      <c r="Q35" s="1"/>
      <c r="U35" s="1"/>
    </row>
    <row r="36" spans="1:21" ht="20.25" customHeight="1" x14ac:dyDescent="0.25">
      <c r="A36" s="1310" t="s">
        <v>604</v>
      </c>
      <c r="B36" s="1310"/>
      <c r="C36" s="1391"/>
      <c r="D36" s="1391"/>
      <c r="E36" s="1391"/>
      <c r="F36" s="1391"/>
      <c r="G36" s="1391"/>
      <c r="H36" s="42">
        <f t="shared" si="2"/>
        <v>0</v>
      </c>
      <c r="K36" s="1"/>
      <c r="P36" s="1"/>
      <c r="Q36" s="1"/>
      <c r="U36" s="1"/>
    </row>
    <row r="37" spans="1:21" ht="20.25" customHeight="1" x14ac:dyDescent="0.25">
      <c r="A37" s="1310" t="s">
        <v>1376</v>
      </c>
      <c r="B37" s="1310"/>
      <c r="C37" s="1391"/>
      <c r="D37" s="1391"/>
      <c r="E37" s="1391"/>
      <c r="F37" s="1391"/>
      <c r="G37" s="1391"/>
      <c r="H37" s="42">
        <f t="shared" si="2"/>
        <v>0</v>
      </c>
      <c r="K37" s="1"/>
      <c r="P37" s="1"/>
      <c r="Q37" s="1"/>
      <c r="U37" s="1"/>
    </row>
    <row r="38" spans="1:21" ht="20.25" customHeight="1" thickBot="1" x14ac:dyDescent="0.3">
      <c r="A38" s="1305" t="s">
        <v>605</v>
      </c>
      <c r="B38" s="1305"/>
      <c r="C38" s="1305"/>
      <c r="D38" s="1305"/>
      <c r="E38" s="896">
        <f>SUM(C31:E37)</f>
        <v>0</v>
      </c>
      <c r="F38" s="1336" t="s">
        <v>606</v>
      </c>
      <c r="G38" s="1336"/>
      <c r="H38" s="15">
        <f>SUM(H31:H37)</f>
        <v>0</v>
      </c>
      <c r="K38" s="1"/>
      <c r="P38" s="1"/>
      <c r="Q38" s="1"/>
      <c r="U38" s="1"/>
    </row>
    <row r="39" spans="1:21" ht="20.25" customHeight="1" thickBot="1" x14ac:dyDescent="0.3">
      <c r="A39" s="1305" t="s">
        <v>607</v>
      </c>
      <c r="B39" s="1305"/>
      <c r="C39" s="1305"/>
      <c r="D39" s="1305"/>
      <c r="E39" s="897">
        <f>E38+G27</f>
        <v>0</v>
      </c>
      <c r="F39" s="1336" t="s">
        <v>608</v>
      </c>
      <c r="G39" s="1336"/>
      <c r="H39" s="898">
        <f>SUM(H38,H27)</f>
        <v>0</v>
      </c>
      <c r="K39" s="1"/>
      <c r="P39" s="1"/>
      <c r="Q39" s="1"/>
      <c r="U39" s="1"/>
    </row>
    <row r="40" spans="1:21" ht="59.25" customHeight="1" x14ac:dyDescent="0.25">
      <c r="A40" s="1359" t="s">
        <v>609</v>
      </c>
      <c r="B40" s="1359"/>
      <c r="C40" s="1365" t="s">
        <v>2</v>
      </c>
      <c r="D40" s="1365"/>
      <c r="E40" s="124" t="s">
        <v>144</v>
      </c>
      <c r="F40" s="130" t="s">
        <v>145</v>
      </c>
      <c r="G40" s="126" t="s">
        <v>146</v>
      </c>
      <c r="H40" s="124"/>
      <c r="K40" s="1"/>
      <c r="P40" s="1"/>
      <c r="Q40" s="1"/>
      <c r="U40" s="1"/>
    </row>
    <row r="41" spans="1:21" ht="15.75" customHeight="1" x14ac:dyDescent="0.25">
      <c r="A41" s="1397" t="s">
        <v>151</v>
      </c>
      <c r="B41" s="1397"/>
      <c r="C41" s="1394"/>
      <c r="D41" s="1394"/>
      <c r="E41" s="6" t="s">
        <v>115</v>
      </c>
      <c r="F41" s="6">
        <v>251</v>
      </c>
      <c r="G41" s="41">
        <f>'[8]All charter school calculator'!G40</f>
        <v>974</v>
      </c>
      <c r="H41" s="28">
        <f>ROUND(C41*G41,0)</f>
        <v>0</v>
      </c>
      <c r="K41" s="1"/>
      <c r="P41" s="1"/>
      <c r="Q41" s="1"/>
      <c r="U41" s="1"/>
    </row>
    <row r="42" spans="1:21" x14ac:dyDescent="0.25">
      <c r="A42" s="1397"/>
      <c r="B42" s="1397"/>
      <c r="C42" s="1395"/>
      <c r="D42" s="1395"/>
      <c r="E42" s="6" t="s">
        <v>115</v>
      </c>
      <c r="F42" s="6">
        <v>252</v>
      </c>
      <c r="G42" s="41">
        <f>'[8]All charter school calculator'!G41</f>
        <v>3145</v>
      </c>
      <c r="H42" s="28">
        <f t="shared" ref="H42:H49" si="3">ROUND(C42*G42,0)</f>
        <v>0</v>
      </c>
      <c r="K42" s="1"/>
      <c r="P42" s="1"/>
      <c r="Q42" s="1"/>
      <c r="U42" s="1"/>
    </row>
    <row r="43" spans="1:21" x14ac:dyDescent="0.25">
      <c r="A43" s="1397"/>
      <c r="B43" s="1397"/>
      <c r="C43" s="1395"/>
      <c r="D43" s="1395"/>
      <c r="E43" s="6" t="s">
        <v>115</v>
      </c>
      <c r="F43" s="6">
        <v>253</v>
      </c>
      <c r="G43" s="41">
        <f>'[8]All charter school calculator'!G42</f>
        <v>6418</v>
      </c>
      <c r="H43" s="28">
        <f t="shared" si="3"/>
        <v>0</v>
      </c>
      <c r="K43" s="1"/>
      <c r="P43" s="1"/>
      <c r="Q43" s="1"/>
      <c r="U43" s="1"/>
    </row>
    <row r="44" spans="1:21" x14ac:dyDescent="0.25">
      <c r="A44" s="1397"/>
      <c r="B44" s="1397"/>
      <c r="C44" s="1395"/>
      <c r="D44" s="1395"/>
      <c r="E44" s="8" t="s">
        <v>101</v>
      </c>
      <c r="F44" s="6">
        <v>251</v>
      </c>
      <c r="G44" s="41">
        <f>'[8]All charter school calculator'!G43</f>
        <v>1092</v>
      </c>
      <c r="H44" s="28">
        <f t="shared" si="3"/>
        <v>0</v>
      </c>
      <c r="K44" s="1"/>
      <c r="P44" s="1"/>
      <c r="Q44" s="1"/>
      <c r="U44" s="1"/>
    </row>
    <row r="45" spans="1:21" x14ac:dyDescent="0.25">
      <c r="A45" s="1397"/>
      <c r="B45" s="1397"/>
      <c r="C45" s="1395"/>
      <c r="D45" s="1395"/>
      <c r="E45" s="8" t="s">
        <v>101</v>
      </c>
      <c r="F45" s="6">
        <v>252</v>
      </c>
      <c r="G45" s="41">
        <f>'[8]All charter school calculator'!G44</f>
        <v>3263</v>
      </c>
      <c r="H45" s="28">
        <f t="shared" si="3"/>
        <v>0</v>
      </c>
      <c r="K45" s="1"/>
      <c r="P45" s="1"/>
      <c r="Q45" s="1"/>
      <c r="U45" s="1"/>
    </row>
    <row r="46" spans="1:21" x14ac:dyDescent="0.25">
      <c r="A46" s="1397"/>
      <c r="B46" s="1397"/>
      <c r="C46" s="1395"/>
      <c r="D46" s="1395"/>
      <c r="E46" s="8" t="s">
        <v>101</v>
      </c>
      <c r="F46" s="6">
        <v>253</v>
      </c>
      <c r="G46" s="41">
        <f>'[8]All charter school calculator'!G45</f>
        <v>6536</v>
      </c>
      <c r="H46" s="28">
        <f t="shared" si="3"/>
        <v>0</v>
      </c>
      <c r="K46" s="1"/>
      <c r="P46" s="1"/>
      <c r="Q46" s="1"/>
      <c r="U46" s="1"/>
    </row>
    <row r="47" spans="1:21" x14ac:dyDescent="0.25">
      <c r="A47" s="1397"/>
      <c r="B47" s="1397"/>
      <c r="C47" s="1395"/>
      <c r="D47" s="1395"/>
      <c r="E47" s="8" t="s">
        <v>102</v>
      </c>
      <c r="F47" s="6">
        <v>251</v>
      </c>
      <c r="G47" s="41">
        <f>'[8]All charter school calculator'!G46</f>
        <v>777</v>
      </c>
      <c r="H47" s="28">
        <f t="shared" si="3"/>
        <v>0</v>
      </c>
      <c r="K47" s="1"/>
      <c r="P47" s="1"/>
      <c r="Q47" s="1"/>
      <c r="U47" s="1"/>
    </row>
    <row r="48" spans="1:21" x14ac:dyDescent="0.25">
      <c r="A48" s="1397"/>
      <c r="B48" s="1397"/>
      <c r="C48" s="1395"/>
      <c r="D48" s="1395"/>
      <c r="E48" s="8" t="s">
        <v>102</v>
      </c>
      <c r="F48" s="6">
        <v>252</v>
      </c>
      <c r="G48" s="41">
        <f>'[8]All charter school calculator'!G47</f>
        <v>2948</v>
      </c>
      <c r="H48" s="28">
        <f t="shared" si="3"/>
        <v>0</v>
      </c>
      <c r="K48" s="1"/>
      <c r="P48" s="1"/>
      <c r="Q48" s="1"/>
      <c r="U48" s="1"/>
    </row>
    <row r="49" spans="1:21" ht="16.5" thickBot="1" x14ac:dyDescent="0.3">
      <c r="A49" s="1397"/>
      <c r="B49" s="1397"/>
      <c r="C49" s="1396"/>
      <c r="D49" s="1396"/>
      <c r="E49" s="8" t="s">
        <v>102</v>
      </c>
      <c r="F49" s="6">
        <v>253</v>
      </c>
      <c r="G49" s="41">
        <f>'[8]All charter school calculator'!G48</f>
        <v>6221</v>
      </c>
      <c r="H49" s="895">
        <f t="shared" si="3"/>
        <v>0</v>
      </c>
      <c r="K49" s="1"/>
      <c r="P49" s="1"/>
      <c r="Q49" s="1"/>
      <c r="U49" s="1"/>
    </row>
    <row r="50" spans="1:21" ht="18.75" customHeight="1" thickBot="1" x14ac:dyDescent="0.3">
      <c r="A50" s="1305" t="s">
        <v>105</v>
      </c>
      <c r="B50" s="1305"/>
      <c r="C50" s="1331">
        <f>SUM(C41:C49)</f>
        <v>0</v>
      </c>
      <c r="D50" s="1331"/>
      <c r="E50" s="1305" t="s">
        <v>611</v>
      </c>
      <c r="F50" s="1305"/>
      <c r="G50" s="1305"/>
      <c r="H50" s="898">
        <f>SUM(H41:H49)</f>
        <v>0</v>
      </c>
      <c r="J50" s="40"/>
      <c r="K50" s="1"/>
      <c r="P50" s="1"/>
      <c r="Q50" s="1"/>
      <c r="U50" s="1"/>
    </row>
    <row r="51" spans="1:21" ht="42.75" customHeight="1" x14ac:dyDescent="0.25">
      <c r="A51" s="1297" t="s">
        <v>647</v>
      </c>
      <c r="B51" s="1297"/>
      <c r="C51" s="1297"/>
      <c r="D51" s="1297"/>
      <c r="E51" s="1297"/>
      <c r="F51" s="1297"/>
      <c r="G51" s="1297"/>
      <c r="H51" s="1297"/>
      <c r="J51" s="2"/>
      <c r="K51" s="1"/>
      <c r="O51" s="3"/>
      <c r="Q51" s="1"/>
      <c r="U51" s="1"/>
    </row>
    <row r="52" spans="1:21" x14ac:dyDescent="0.25">
      <c r="A52" s="1398" t="s">
        <v>648</v>
      </c>
      <c r="B52" s="1398"/>
      <c r="C52" s="656">
        <f>C27</f>
        <v>0</v>
      </c>
      <c r="D52" s="1399" t="s">
        <v>649</v>
      </c>
      <c r="E52" s="1399"/>
      <c r="F52" s="1399"/>
      <c r="G52" s="1328">
        <f>'[8]All charter school calculator'!G51:H51</f>
        <v>85045.62</v>
      </c>
      <c r="H52" s="1328"/>
      <c r="K52" s="1"/>
      <c r="P52" s="1"/>
      <c r="Q52" s="1"/>
      <c r="U52" s="1"/>
    </row>
    <row r="53" spans="1:21" x14ac:dyDescent="0.25">
      <c r="A53" s="1398" t="s">
        <v>110</v>
      </c>
      <c r="B53" s="1398"/>
      <c r="C53" s="1398"/>
      <c r="D53" s="1398"/>
      <c r="E53" s="1398"/>
      <c r="F53" s="1398"/>
      <c r="G53" s="1332">
        <f>ROUND(C52/G52,6)</f>
        <v>0</v>
      </c>
      <c r="H53" s="1332"/>
      <c r="K53" s="1"/>
      <c r="P53" s="1"/>
      <c r="Q53" s="1"/>
      <c r="U53" s="1"/>
    </row>
    <row r="54" spans="1:21" ht="49.5" customHeight="1" x14ac:dyDescent="0.25">
      <c r="A54" s="1297" t="s">
        <v>650</v>
      </c>
      <c r="B54" s="1297"/>
      <c r="C54" s="1297"/>
      <c r="D54" s="1297"/>
      <c r="E54" s="1297"/>
      <c r="F54" s="1297"/>
      <c r="G54" s="1297"/>
      <c r="H54" s="1297"/>
      <c r="J54" s="2"/>
      <c r="K54" s="1"/>
      <c r="O54" s="3"/>
      <c r="Q54" s="1"/>
      <c r="U54" s="1"/>
    </row>
    <row r="55" spans="1:21" x14ac:dyDescent="0.25">
      <c r="A55" s="1398" t="s">
        <v>651</v>
      </c>
      <c r="B55" s="1398"/>
      <c r="C55" s="657">
        <f>E39</f>
        <v>0</v>
      </c>
      <c r="D55" s="1399" t="s">
        <v>652</v>
      </c>
      <c r="E55" s="1399"/>
      <c r="F55" s="1399"/>
      <c r="G55" s="1328">
        <f>'[8]All charter school calculator'!G54:H54</f>
        <v>93972.22</v>
      </c>
      <c r="H55" s="1328"/>
      <c r="K55" s="1"/>
      <c r="P55" s="1"/>
      <c r="Q55" s="1"/>
      <c r="U55" s="1"/>
    </row>
    <row r="56" spans="1:21" s="124" customFormat="1" x14ac:dyDescent="0.25">
      <c r="A56" s="1401" t="s">
        <v>111</v>
      </c>
      <c r="B56" s="1401"/>
      <c r="C56" s="1401"/>
      <c r="D56" s="1401"/>
      <c r="E56" s="1401"/>
      <c r="F56" s="1401"/>
      <c r="G56" s="1330">
        <f>ROUND(C55/G55,6)</f>
        <v>0</v>
      </c>
      <c r="H56" s="1330"/>
      <c r="I56" s="1"/>
    </row>
    <row r="57" spans="1:21" ht="26.25" customHeight="1" x14ac:dyDescent="0.25">
      <c r="A57" s="1297" t="s">
        <v>618</v>
      </c>
      <c r="B57" s="1297"/>
      <c r="C57" s="1297"/>
      <c r="D57" s="7"/>
      <c r="E57" s="891">
        <f>'[8]All charter school calculator'!E56</f>
        <v>21867547</v>
      </c>
      <c r="F57" s="6" t="s">
        <v>13</v>
      </c>
      <c r="G57" s="14">
        <f>G53</f>
        <v>0</v>
      </c>
      <c r="H57" s="11">
        <f>ROUND(E57*G57,0)</f>
        <v>0</v>
      </c>
      <c r="K57" s="1"/>
      <c r="P57" s="1"/>
      <c r="Q57" s="1"/>
      <c r="U57" s="1"/>
    </row>
    <row r="58" spans="1:21" ht="24" customHeight="1" x14ac:dyDescent="0.25">
      <c r="A58" s="1297" t="s">
        <v>653</v>
      </c>
      <c r="B58" s="1297"/>
      <c r="C58" s="1297"/>
      <c r="D58" s="7"/>
      <c r="E58" s="891">
        <f>'[8]All charter school calculator'!E58</f>
        <v>27840534</v>
      </c>
      <c r="F58" s="6" t="s">
        <v>13</v>
      </c>
      <c r="G58" s="14">
        <f>G53</f>
        <v>0</v>
      </c>
      <c r="H58" s="11">
        <f>ROUND(E58*G58,0)</f>
        <v>0</v>
      </c>
      <c r="K58" s="1"/>
      <c r="P58" s="1"/>
      <c r="Q58" s="1"/>
      <c r="U58" s="1"/>
    </row>
    <row r="59" spans="1:21" ht="26.25" customHeight="1" x14ac:dyDescent="0.25">
      <c r="A59" s="1297" t="s">
        <v>1492</v>
      </c>
      <c r="B59" s="1297"/>
      <c r="C59" s="1297"/>
      <c r="D59" s="7"/>
      <c r="E59" s="891">
        <f>'[8]All charter school calculator'!E59</f>
        <v>5121702</v>
      </c>
      <c r="F59" s="6" t="s">
        <v>13</v>
      </c>
      <c r="G59" s="14">
        <f>G53</f>
        <v>0</v>
      </c>
      <c r="H59" s="11">
        <f>ROUND(E59*G59,0)</f>
        <v>0</v>
      </c>
      <c r="K59" s="1"/>
      <c r="P59" s="1"/>
      <c r="Q59" s="1"/>
      <c r="U59" s="1"/>
    </row>
    <row r="60" spans="1:21" ht="21" customHeight="1" x14ac:dyDescent="0.25">
      <c r="A60" s="1297" t="s">
        <v>1493</v>
      </c>
      <c r="B60" s="1297"/>
      <c r="C60" s="1297"/>
      <c r="D60" s="7"/>
      <c r="E60" s="891">
        <f>'[8]All charter school calculator'!E60</f>
        <v>7022395</v>
      </c>
      <c r="F60" s="6" t="s">
        <v>13</v>
      </c>
      <c r="G60" s="14">
        <f>G53</f>
        <v>0</v>
      </c>
      <c r="H60" s="11">
        <f>ROUND(E60*G60,0)</f>
        <v>0</v>
      </c>
      <c r="K60" s="1"/>
      <c r="P60" s="1"/>
      <c r="Q60" s="1"/>
      <c r="U60" s="1"/>
    </row>
    <row r="61" spans="1:21" ht="17.25" customHeight="1" x14ac:dyDescent="0.25">
      <c r="A61" s="1310" t="s">
        <v>621</v>
      </c>
      <c r="B61" s="1310"/>
      <c r="C61" s="1310"/>
      <c r="D61" s="1310"/>
      <c r="E61" s="1310"/>
      <c r="F61" s="1310"/>
      <c r="G61" s="1310"/>
      <c r="H61" s="804">
        <f>IF('[8]All charter school calculator'!$G$96=1,'[8]All charter school calculator'!H61,0)</f>
        <v>0</v>
      </c>
      <c r="J61" s="40"/>
      <c r="K61" s="1"/>
      <c r="P61" s="1"/>
      <c r="Q61" s="1"/>
      <c r="U61" s="1"/>
    </row>
    <row r="62" spans="1:21" ht="17.25" customHeight="1" x14ac:dyDescent="0.25">
      <c r="A62" s="1310" t="s">
        <v>585</v>
      </c>
      <c r="B62" s="1310"/>
      <c r="C62" s="1310"/>
      <c r="D62" s="1310"/>
      <c r="E62" s="1310"/>
      <c r="F62" s="1310"/>
      <c r="G62" s="1310"/>
      <c r="H62" s="804">
        <f>IF('[8]All charter school calculator'!$G$96=1,'[8]All charter school calculator'!H62,0)</f>
        <v>0</v>
      </c>
      <c r="K62" s="1"/>
      <c r="P62" s="1"/>
      <c r="Q62" s="1"/>
      <c r="U62" s="1"/>
    </row>
    <row r="63" spans="1:21" ht="20.25" customHeight="1" x14ac:dyDescent="0.25">
      <c r="A63" s="1297" t="s">
        <v>1494</v>
      </c>
      <c r="B63" s="1297"/>
      <c r="C63" s="1297"/>
      <c r="D63" s="7"/>
      <c r="E63" s="20">
        <f>'[8]All charter school calculator'!E64</f>
        <v>3891756</v>
      </c>
      <c r="F63" s="6" t="s">
        <v>13</v>
      </c>
      <c r="G63" s="14">
        <f>G53</f>
        <v>0</v>
      </c>
      <c r="H63" s="11">
        <f t="shared" ref="H63:H68" si="4">ROUND(E63*G63,0)</f>
        <v>0</v>
      </c>
      <c r="K63" s="1"/>
      <c r="P63" s="1"/>
      <c r="Q63" s="1"/>
      <c r="U63" s="1"/>
    </row>
    <row r="64" spans="1:21" ht="20.25" customHeight="1" x14ac:dyDescent="0.25">
      <c r="A64" s="1297" t="s">
        <v>1521</v>
      </c>
      <c r="B64" s="1297"/>
      <c r="C64" s="1297"/>
      <c r="D64" s="7"/>
      <c r="E64" s="20">
        <f>'[8]All charter school calculator'!E65</f>
        <v>1796984</v>
      </c>
      <c r="F64" s="6" t="s">
        <v>13</v>
      </c>
      <c r="G64" s="14">
        <f>G53</f>
        <v>0</v>
      </c>
      <c r="H64" s="11">
        <f t="shared" si="4"/>
        <v>0</v>
      </c>
      <c r="K64" s="1"/>
      <c r="P64" s="1"/>
      <c r="Q64" s="1"/>
      <c r="U64" s="1"/>
    </row>
    <row r="65" spans="1:21" ht="24" customHeight="1" x14ac:dyDescent="0.25">
      <c r="A65" s="1297" t="s">
        <v>1496</v>
      </c>
      <c r="B65" s="1297"/>
      <c r="C65" s="1297"/>
      <c r="D65" s="7"/>
      <c r="E65" s="20">
        <f>'[8]All charter school calculator'!E66</f>
        <v>0</v>
      </c>
      <c r="F65" s="6" t="s">
        <v>13</v>
      </c>
      <c r="G65" s="14">
        <f>G56</f>
        <v>0</v>
      </c>
      <c r="H65" s="11">
        <f t="shared" si="4"/>
        <v>0</v>
      </c>
      <c r="K65" s="1"/>
      <c r="P65" s="1"/>
      <c r="Q65" s="1"/>
      <c r="U65" s="1"/>
    </row>
    <row r="66" spans="1:21" ht="24" customHeight="1" x14ac:dyDescent="0.25">
      <c r="A66" s="1297" t="s">
        <v>1497</v>
      </c>
      <c r="B66" s="1297"/>
      <c r="C66" s="1297"/>
      <c r="D66" s="7"/>
      <c r="E66" s="20">
        <f>'[8]All charter school calculator'!E67</f>
        <v>4663210</v>
      </c>
      <c r="F66" s="6" t="s">
        <v>13</v>
      </c>
      <c r="G66" s="14">
        <f>G56</f>
        <v>0</v>
      </c>
      <c r="H66" s="11">
        <f t="shared" si="4"/>
        <v>0</v>
      </c>
      <c r="K66" s="1"/>
      <c r="P66" s="1"/>
      <c r="Q66" s="1"/>
      <c r="U66" s="1"/>
    </row>
    <row r="67" spans="1:21" ht="20.25" customHeight="1" x14ac:dyDescent="0.25">
      <c r="A67" s="1297" t="s">
        <v>1498</v>
      </c>
      <c r="B67" s="1297"/>
      <c r="C67" s="1297"/>
      <c r="D67" s="7"/>
      <c r="E67" s="20">
        <f>'[8]All charter school calculator'!E68</f>
        <v>33490989</v>
      </c>
      <c r="F67" s="6" t="s">
        <v>13</v>
      </c>
      <c r="G67" s="14">
        <f>G56</f>
        <v>0</v>
      </c>
      <c r="H67" s="11">
        <f t="shared" si="4"/>
        <v>0</v>
      </c>
      <c r="K67" s="1"/>
      <c r="P67" s="1"/>
      <c r="Q67" s="1"/>
      <c r="U67" s="1"/>
    </row>
    <row r="68" spans="1:21" ht="20.25" customHeight="1" x14ac:dyDescent="0.25">
      <c r="A68" s="1297" t="s">
        <v>1522</v>
      </c>
      <c r="B68" s="1297"/>
      <c r="C68" s="1297"/>
      <c r="D68" s="7"/>
      <c r="E68" s="20">
        <f>'[8]All charter school calculator'!E73</f>
        <v>0</v>
      </c>
      <c r="F68" s="6" t="s">
        <v>13</v>
      </c>
      <c r="G68" s="14">
        <f>G56</f>
        <v>0</v>
      </c>
      <c r="H68" s="11">
        <f t="shared" si="4"/>
        <v>0</v>
      </c>
      <c r="K68" s="1"/>
      <c r="P68" s="1"/>
      <c r="Q68" s="1"/>
      <c r="U68" s="1"/>
    </row>
    <row r="69" spans="1:21" ht="18.75" customHeight="1" x14ac:dyDescent="0.25">
      <c r="A69" s="1297" t="s">
        <v>1523</v>
      </c>
      <c r="B69" s="1297"/>
      <c r="C69" s="1297"/>
      <c r="D69" s="1297"/>
      <c r="E69" s="1297"/>
      <c r="F69" s="1297"/>
      <c r="G69" s="1297"/>
      <c r="H69" s="1297"/>
      <c r="K69" s="1"/>
      <c r="P69" s="1"/>
      <c r="Q69" s="1"/>
      <c r="U69" s="1"/>
    </row>
    <row r="70" spans="1:21" ht="18.75" customHeight="1" x14ac:dyDescent="0.25">
      <c r="A70" s="1317" t="s">
        <v>623</v>
      </c>
      <c r="B70" s="1317"/>
      <c r="C70" s="1315" t="s">
        <v>149</v>
      </c>
      <c r="D70" s="1315"/>
      <c r="E70" s="1318" t="s">
        <v>220</v>
      </c>
      <c r="F70" s="1318"/>
      <c r="G70" s="1318"/>
      <c r="H70" s="1318"/>
      <c r="K70" s="1"/>
      <c r="P70" s="1"/>
      <c r="Q70" s="1"/>
      <c r="U70" s="1"/>
    </row>
    <row r="71" spans="1:21" ht="18" customHeight="1" x14ac:dyDescent="0.25">
      <c r="A71" s="35" t="s">
        <v>119</v>
      </c>
      <c r="B71" s="81">
        <f>G11+G12+G17+G20+G23</f>
        <v>0</v>
      </c>
      <c r="C71" s="1392">
        <f>G6</f>
        <v>0.98129999999999995</v>
      </c>
      <c r="D71" s="1392"/>
      <c r="E71" s="899">
        <f>'[8] Detail 2022-23 FEFP Third'!AE3</f>
        <v>957.94</v>
      </c>
      <c r="F71" s="8" t="s">
        <v>98</v>
      </c>
      <c r="G71" s="20">
        <f>ROUND(B71*C71*E71,0)</f>
        <v>0</v>
      </c>
      <c r="H71" s="21"/>
      <c r="K71" s="1"/>
      <c r="P71" s="1"/>
      <c r="Q71" s="1"/>
      <c r="U71" s="1"/>
    </row>
    <row r="72" spans="1:21" ht="19.5" customHeight="1" x14ac:dyDescent="0.25">
      <c r="A72" s="127" t="s">
        <v>101</v>
      </c>
      <c r="B72" s="81">
        <f>G13+G14+G18+G21+G24</f>
        <v>0</v>
      </c>
      <c r="C72" s="1392">
        <f>G6</f>
        <v>0.98129999999999995</v>
      </c>
      <c r="D72" s="1392"/>
      <c r="E72" s="899">
        <f>'[8] Detail 2022-23 FEFP Third'!AF3</f>
        <v>914.63</v>
      </c>
      <c r="F72" s="8" t="s">
        <v>98</v>
      </c>
      <c r="G72" s="20">
        <f>ROUND(B72*C72*E72,0)</f>
        <v>0</v>
      </c>
      <c r="K72" s="1"/>
      <c r="P72" s="1"/>
      <c r="Q72" s="1"/>
      <c r="U72" s="1"/>
    </row>
    <row r="73" spans="1:21" ht="24" customHeight="1" thickBot="1" x14ac:dyDescent="0.3">
      <c r="A73" s="128" t="s">
        <v>102</v>
      </c>
      <c r="B73" s="80">
        <f>G15+G16+G19+G22+G25+G26</f>
        <v>0</v>
      </c>
      <c r="C73" s="1392">
        <f>G6</f>
        <v>0.98129999999999995</v>
      </c>
      <c r="D73" s="1392"/>
      <c r="E73" s="899">
        <f>'[8] Detail 2022-23 FEFP Third'!AG3</f>
        <v>916.84</v>
      </c>
      <c r="F73" s="8" t="s">
        <v>98</v>
      </c>
      <c r="G73" s="20">
        <f>ROUND(B73*C73*E73,0)</f>
        <v>0</v>
      </c>
      <c r="K73" s="1"/>
      <c r="P73" s="1"/>
      <c r="Q73" s="1"/>
      <c r="U73" s="1"/>
    </row>
    <row r="74" spans="1:21" ht="19.5" customHeight="1" thickBot="1" x14ac:dyDescent="0.3">
      <c r="A74" s="46" t="s">
        <v>148</v>
      </c>
      <c r="B74" s="907">
        <f>SUM(B71:B73)</f>
        <v>0</v>
      </c>
      <c r="C74" s="1319" t="s">
        <v>107</v>
      </c>
      <c r="D74" s="1320"/>
      <c r="E74" s="1320"/>
      <c r="F74" s="1320"/>
      <c r="G74" s="1320"/>
      <c r="H74" s="11">
        <f>IF(A1=75,0,G73+G72+G71)</f>
        <v>0</v>
      </c>
      <c r="J74" s="44"/>
      <c r="K74" s="12"/>
      <c r="M74" s="13"/>
      <c r="N74" s="29"/>
      <c r="P74" s="1"/>
      <c r="Q74" s="1"/>
      <c r="R74" s="15"/>
      <c r="U74" s="1"/>
    </row>
    <row r="75" spans="1:21" ht="27" customHeight="1" x14ac:dyDescent="0.25">
      <c r="A75" s="1321" t="s">
        <v>624</v>
      </c>
      <c r="B75" s="1321"/>
      <c r="C75" s="1321"/>
      <c r="D75" s="1321"/>
      <c r="E75" s="1321"/>
      <c r="F75" s="1321"/>
      <c r="G75" s="1321"/>
      <c r="H75" s="1321"/>
      <c r="K75" s="1"/>
      <c r="P75" s="1"/>
      <c r="Q75" s="1"/>
      <c r="U75" s="1"/>
    </row>
    <row r="76" spans="1:21" ht="19.5" customHeight="1" x14ac:dyDescent="0.25">
      <c r="A76" s="1297" t="s">
        <v>1524</v>
      </c>
      <c r="B76" s="1297"/>
      <c r="C76" s="1297"/>
      <c r="D76" s="1393"/>
      <c r="E76" s="1393"/>
      <c r="F76" s="1393"/>
      <c r="G76" s="1393"/>
      <c r="H76" s="15"/>
      <c r="K76" s="1"/>
      <c r="P76" s="1"/>
      <c r="Q76" s="1"/>
      <c r="U76" s="1"/>
    </row>
    <row r="77" spans="1:21" ht="19.5" customHeight="1" x14ac:dyDescent="0.25">
      <c r="A77" s="1314" t="s">
        <v>625</v>
      </c>
      <c r="B77" s="1314"/>
      <c r="C77" s="1390">
        <f>IF('[8]All charter school calculator'!G96=1,'[8]All charter school calculator'!C82:E82,0)</f>
        <v>0</v>
      </c>
      <c r="D77" s="1390"/>
      <c r="E77" s="1390"/>
      <c r="F77" s="147" t="s">
        <v>215</v>
      </c>
      <c r="G77" s="893">
        <f>IF(A1&gt;67,0,INDEX('[8]Transportation Per Student'!F10:F76,A1))</f>
        <v>553</v>
      </c>
      <c r="H77" s="11">
        <f>ROUND(G77*C77,0)</f>
        <v>0</v>
      </c>
      <c r="K77" s="1"/>
      <c r="P77" s="1"/>
      <c r="Q77" s="1"/>
      <c r="U77" s="1"/>
    </row>
    <row r="78" spans="1:21" ht="34.5" customHeight="1" x14ac:dyDescent="0.25">
      <c r="A78" s="1314" t="s">
        <v>626</v>
      </c>
      <c r="B78" s="1314"/>
      <c r="C78" s="1391"/>
      <c r="D78" s="1391"/>
      <c r="E78" s="1391"/>
      <c r="F78" s="147" t="s">
        <v>215</v>
      </c>
      <c r="G78" s="893">
        <f>IF(A1&gt;67,0,INDEX('[8]Transportation Per Student'!J10:J76,A1))</f>
        <v>1694</v>
      </c>
      <c r="H78" s="11">
        <f>ROUND(G78*C78,0)</f>
        <v>0</v>
      </c>
      <c r="K78" s="1"/>
      <c r="P78" s="1"/>
      <c r="Q78" s="1"/>
      <c r="U78" s="1"/>
    </row>
    <row r="79" spans="1:21" ht="50.25" customHeight="1" x14ac:dyDescent="0.25">
      <c r="A79" s="1297" t="s">
        <v>1525</v>
      </c>
      <c r="B79" s="1297"/>
      <c r="C79" s="1297"/>
      <c r="D79" s="1297"/>
      <c r="E79" s="1297"/>
      <c r="F79" s="1297"/>
      <c r="G79" s="1297"/>
      <c r="H79" s="1297"/>
      <c r="K79" s="1"/>
      <c r="P79" s="1"/>
      <c r="Q79" s="1"/>
      <c r="U79" s="1"/>
    </row>
    <row r="80" spans="1:21" ht="32.25" customHeight="1" x14ac:dyDescent="0.25">
      <c r="A80" s="1311" t="s">
        <v>654</v>
      </c>
      <c r="B80" s="1311"/>
      <c r="C80" s="1324" t="s">
        <v>628</v>
      </c>
      <c r="D80" s="1324"/>
      <c r="E80" s="1312" t="s">
        <v>629</v>
      </c>
      <c r="F80" s="1312"/>
      <c r="G80" s="130" t="s">
        <v>630</v>
      </c>
      <c r="H80" s="1233" t="s">
        <v>16</v>
      </c>
      <c r="K80" s="1"/>
      <c r="P80" s="1"/>
      <c r="Q80" s="1"/>
      <c r="U80" s="1"/>
    </row>
    <row r="81" spans="1:21" ht="19.5" customHeight="1" x14ac:dyDescent="0.25">
      <c r="A81" s="1310" t="s">
        <v>631</v>
      </c>
      <c r="B81" s="1310"/>
      <c r="C81" s="1391">
        <f>IF('[8]All charter school calculator'!G96=1,'[8]All charter school calculator'!C86:D86,0)</f>
        <v>0</v>
      </c>
      <c r="D81" s="1391"/>
      <c r="E81" s="1313">
        <f>'[8]All charter school calculator'!E86:F86</f>
        <v>0</v>
      </c>
      <c r="F81" s="1313"/>
      <c r="G81" s="908">
        <f>IF(C81=0,0,'[8] Detail 2022-23 FEFP Third'!AO3)</f>
        <v>0</v>
      </c>
      <c r="H81" s="11">
        <f>ROUND((G81+E81)*C81,0)</f>
        <v>0</v>
      </c>
      <c r="K81" s="1"/>
      <c r="P81" s="1"/>
      <c r="Q81" s="1"/>
      <c r="U81" s="1"/>
    </row>
    <row r="82" spans="1:21" ht="19.5" customHeight="1" x14ac:dyDescent="0.25">
      <c r="A82" s="1310" t="s">
        <v>632</v>
      </c>
      <c r="B82" s="1310"/>
      <c r="C82" s="1391">
        <f>IF('[8]All charter school calculator'!G96=1,'[8]All charter school calculator'!C87:D87,0)</f>
        <v>0</v>
      </c>
      <c r="D82" s="1391"/>
      <c r="E82" s="1323">
        <f>ROUND(E81/2,2)</f>
        <v>0</v>
      </c>
      <c r="F82" s="1323"/>
      <c r="G82" s="908">
        <f>IF(C82=0,0,ROUND('[8] Detail 2022-23 FEFP Third'!AO3/2,2))</f>
        <v>0</v>
      </c>
      <c r="H82" s="11">
        <f>ROUND((G82+E82)*C82,0)</f>
        <v>0</v>
      </c>
      <c r="K82" s="1"/>
      <c r="P82" s="1"/>
      <c r="Q82" s="1"/>
      <c r="U82" s="1"/>
    </row>
    <row r="83" spans="1:21" ht="19.5" customHeight="1" thickBot="1" x14ac:dyDescent="0.3">
      <c r="A83" s="1300" t="s">
        <v>633</v>
      </c>
      <c r="B83" s="1300"/>
      <c r="C83" s="1391">
        <f>IF('[8]All charter school calculator'!G96=1,'[8]All charter school calculator'!C88:D88,0)</f>
        <v>0</v>
      </c>
      <c r="D83" s="1391"/>
      <c r="E83" s="1302"/>
      <c r="F83" s="1302"/>
      <c r="G83" s="909">
        <f>IF(G81&gt;0,'[8] Detail 2022-23 FEFP Third'!AP3,0)</f>
        <v>0</v>
      </c>
      <c r="H83" s="15">
        <f>ROUND(G83*C83,0)</f>
        <v>0</v>
      </c>
      <c r="K83" s="1"/>
      <c r="P83" s="1"/>
      <c r="Q83" s="1"/>
      <c r="U83" s="1"/>
    </row>
    <row r="84" spans="1:21" ht="29.25" customHeight="1" thickBot="1" x14ac:dyDescent="0.3">
      <c r="A84" s="1303" t="s">
        <v>16</v>
      </c>
      <c r="B84" s="1303"/>
      <c r="C84" s="900"/>
      <c r="D84" s="900"/>
      <c r="E84" s="900"/>
      <c r="F84" s="900"/>
      <c r="G84" s="900"/>
      <c r="H84" s="901">
        <f>SUM(H81:H83)</f>
        <v>0</v>
      </c>
      <c r="K84" s="1"/>
      <c r="P84" s="1"/>
      <c r="Q84" s="1"/>
      <c r="U84" s="1"/>
    </row>
    <row r="85" spans="1:21" ht="28.5" customHeight="1" x14ac:dyDescent="0.25">
      <c r="A85" s="1297" t="s">
        <v>1526</v>
      </c>
      <c r="B85" s="1297"/>
      <c r="C85" s="1297"/>
      <c r="D85" s="1400"/>
      <c r="E85" s="1400"/>
      <c r="F85" s="1400"/>
      <c r="G85" s="1400"/>
      <c r="H85" s="804">
        <f>IF('[8]All charter school calculator'!$G$96=1,'[8]All charter school calculator'!H90,0)</f>
        <v>0</v>
      </c>
      <c r="J85" s="35"/>
      <c r="K85" s="35"/>
      <c r="L85" s="35"/>
      <c r="M85" s="35"/>
      <c r="N85" s="3"/>
      <c r="O85" s="3"/>
      <c r="P85" s="1"/>
      <c r="Q85" s="6"/>
      <c r="U85" s="1"/>
    </row>
    <row r="86" spans="1:21" ht="29.25" customHeight="1" x14ac:dyDescent="0.25">
      <c r="A86" s="1297" t="s">
        <v>1527</v>
      </c>
      <c r="B86" s="1297"/>
      <c r="C86" s="1297"/>
      <c r="D86" s="1400"/>
      <c r="E86" s="1400"/>
      <c r="F86" s="1400"/>
      <c r="G86" s="1400"/>
      <c r="H86" s="804">
        <f>IF('[8]All charter school calculator'!$G$96=1,'[8]All charter school calculator'!H91,0)</f>
        <v>0</v>
      </c>
      <c r="J86" s="202"/>
      <c r="K86" s="1"/>
      <c r="M86" s="7"/>
      <c r="N86" s="7"/>
      <c r="P86" s="198"/>
      <c r="Q86" s="5"/>
      <c r="S86" s="6"/>
      <c r="T86" s="15"/>
      <c r="U86" s="1"/>
    </row>
    <row r="87" spans="1:21" ht="30.75" customHeight="1" thickBot="1" x14ac:dyDescent="0.3">
      <c r="A87" s="1305" t="s">
        <v>229</v>
      </c>
      <c r="B87" s="1305"/>
      <c r="C87" s="1305"/>
      <c r="D87" s="1305"/>
      <c r="E87" s="1305"/>
      <c r="F87" s="1305"/>
      <c r="G87" s="1305"/>
      <c r="H87" s="82">
        <f>SUM(H85,H84,H77,H74,H62,H61,H60,H59,H58,H57,H50,H39,H65,H67,H68,H86,H66,H63,H64)</f>
        <v>0</v>
      </c>
      <c r="U87" s="1"/>
    </row>
    <row r="88" spans="1:21" ht="15.75" customHeight="1" thickTop="1" x14ac:dyDescent="0.25">
      <c r="A88" s="1308" t="s">
        <v>14</v>
      </c>
      <c r="B88" s="1308"/>
      <c r="C88" s="1308"/>
      <c r="D88" s="1308"/>
      <c r="E88" s="1308"/>
      <c r="F88" s="1308"/>
      <c r="G88" s="1308"/>
      <c r="H88" s="1308"/>
      <c r="U88" s="1"/>
    </row>
    <row r="89" spans="1:21" ht="15.75" customHeight="1" x14ac:dyDescent="0.25">
      <c r="A89" s="1308" t="s">
        <v>1528</v>
      </c>
      <c r="B89" s="1308"/>
      <c r="C89" s="1308"/>
      <c r="D89" s="1308"/>
      <c r="E89" s="1308"/>
      <c r="F89" s="1308"/>
      <c r="G89" s="1308"/>
      <c r="H89" s="1308"/>
      <c r="U89" s="1"/>
    </row>
    <row r="90" spans="1:21" ht="15.75" customHeight="1" x14ac:dyDescent="0.25">
      <c r="A90" s="1308" t="s">
        <v>227</v>
      </c>
      <c r="B90" s="1308"/>
      <c r="C90" s="1308"/>
      <c r="D90" s="1308"/>
      <c r="E90" s="1308"/>
      <c r="F90" s="1308"/>
      <c r="G90" s="1308"/>
      <c r="H90" s="1308"/>
      <c r="J90" s="30"/>
      <c r="K90" s="30"/>
      <c r="L90" s="30"/>
      <c r="M90" s="30"/>
      <c r="N90" s="30"/>
      <c r="O90" s="30"/>
      <c r="P90" s="36"/>
      <c r="Q90" s="36"/>
      <c r="R90" s="30"/>
      <c r="S90" s="30"/>
      <c r="T90" s="30"/>
      <c r="U90" s="30"/>
    </row>
    <row r="91" spans="1:21" ht="15.75" customHeight="1" x14ac:dyDescent="0.25">
      <c r="A91" s="890"/>
      <c r="B91" s="30"/>
      <c r="C91" s="30"/>
      <c r="D91" s="30"/>
      <c r="E91" s="30"/>
      <c r="F91" s="30"/>
      <c r="G91" s="30"/>
      <c r="H91" s="30"/>
      <c r="I91" s="30"/>
      <c r="U91" s="1"/>
    </row>
    <row r="92" spans="1:21" ht="15.75" customHeight="1" x14ac:dyDescent="0.25">
      <c r="A92" s="890"/>
    </row>
    <row r="93" spans="1:21" ht="15.75" customHeight="1" x14ac:dyDescent="0.25">
      <c r="A93" s="890"/>
    </row>
    <row r="94" spans="1:21" ht="15.75" customHeight="1" x14ac:dyDescent="0.25">
      <c r="A94" s="890"/>
    </row>
    <row r="95" spans="1:21" ht="15.75" customHeight="1" x14ac:dyDescent="0.25">
      <c r="A95" s="890"/>
    </row>
    <row r="96" spans="1:21" ht="15.75" customHeight="1" x14ac:dyDescent="0.25">
      <c r="A96" s="890"/>
    </row>
    <row r="97" spans="1:1" ht="15.75" customHeight="1" x14ac:dyDescent="0.25">
      <c r="A97" s="890"/>
    </row>
    <row r="98" spans="1:1" ht="15.75" customHeight="1" x14ac:dyDescent="0.25">
      <c r="A98" s="890"/>
    </row>
    <row r="99" spans="1:1" ht="15.75" customHeight="1" x14ac:dyDescent="0.25">
      <c r="A99" s="890"/>
    </row>
    <row r="100" spans="1:1" x14ac:dyDescent="0.25">
      <c r="A100" s="890"/>
    </row>
    <row r="101" spans="1:1" x14ac:dyDescent="0.25">
      <c r="A101" s="890"/>
    </row>
    <row r="102" spans="1:1" x14ac:dyDescent="0.25">
      <c r="A102" s="890"/>
    </row>
    <row r="103" spans="1:1" x14ac:dyDescent="0.25">
      <c r="A103" s="890"/>
    </row>
    <row r="104" spans="1:1" x14ac:dyDescent="0.25">
      <c r="A104" s="890"/>
    </row>
    <row r="105" spans="1:1" x14ac:dyDescent="0.25">
      <c r="A105" s="890"/>
    </row>
    <row r="106" spans="1:1" x14ac:dyDescent="0.25">
      <c r="A106" s="890"/>
    </row>
    <row r="107" spans="1:1" x14ac:dyDescent="0.25">
      <c r="A107" s="890"/>
    </row>
    <row r="108" spans="1:1" x14ac:dyDescent="0.25">
      <c r="A108" s="890"/>
    </row>
    <row r="109" spans="1:1" x14ac:dyDescent="0.25">
      <c r="A109" s="890"/>
    </row>
    <row r="110" spans="1:1" x14ac:dyDescent="0.25">
      <c r="A110" s="890"/>
    </row>
    <row r="111" spans="1:1" x14ac:dyDescent="0.25">
      <c r="A111" s="890"/>
    </row>
    <row r="112" spans="1:1" x14ac:dyDescent="0.25">
      <c r="A112" s="890"/>
    </row>
    <row r="113" spans="1:1" x14ac:dyDescent="0.25">
      <c r="A113" s="890"/>
    </row>
    <row r="114" spans="1:1" x14ac:dyDescent="0.25">
      <c r="A114" s="890"/>
    </row>
    <row r="115" spans="1:1" x14ac:dyDescent="0.25">
      <c r="A115" s="890"/>
    </row>
    <row r="116" spans="1:1" x14ac:dyDescent="0.25">
      <c r="A116" s="890"/>
    </row>
    <row r="117" spans="1:1" x14ac:dyDescent="0.25">
      <c r="A117" s="890"/>
    </row>
    <row r="118" spans="1:1" x14ac:dyDescent="0.25">
      <c r="A118" s="890"/>
    </row>
    <row r="119" spans="1:1" x14ac:dyDescent="0.25">
      <c r="A119" s="890"/>
    </row>
    <row r="120" spans="1:1" x14ac:dyDescent="0.25">
      <c r="A120" s="890"/>
    </row>
    <row r="121" spans="1:1" x14ac:dyDescent="0.25">
      <c r="A121" s="890"/>
    </row>
    <row r="122" spans="1:1" x14ac:dyDescent="0.25">
      <c r="A122" s="890"/>
    </row>
    <row r="123" spans="1:1" x14ac:dyDescent="0.25">
      <c r="A123" s="890"/>
    </row>
    <row r="124" spans="1:1" x14ac:dyDescent="0.25">
      <c r="A124" s="890"/>
    </row>
    <row r="125" spans="1:1" x14ac:dyDescent="0.25">
      <c r="A125" s="890"/>
    </row>
    <row r="126" spans="1:1" x14ac:dyDescent="0.25">
      <c r="A126" s="890"/>
    </row>
    <row r="127" spans="1:1" x14ac:dyDescent="0.25">
      <c r="A127" s="890"/>
    </row>
    <row r="128" spans="1:1" x14ac:dyDescent="0.25">
      <c r="A128" s="890"/>
    </row>
    <row r="129" spans="1:1" x14ac:dyDescent="0.25">
      <c r="A129" s="890"/>
    </row>
    <row r="130" spans="1:1" x14ac:dyDescent="0.25">
      <c r="A130" s="890"/>
    </row>
    <row r="131" spans="1:1" x14ac:dyDescent="0.25">
      <c r="A131" s="890"/>
    </row>
    <row r="132" spans="1:1" x14ac:dyDescent="0.25">
      <c r="A132" s="890"/>
    </row>
    <row r="133" spans="1:1" x14ac:dyDescent="0.25">
      <c r="A133" s="890"/>
    </row>
    <row r="134" spans="1:1" x14ac:dyDescent="0.25">
      <c r="A134" s="890"/>
    </row>
    <row r="135" spans="1:1" x14ac:dyDescent="0.25">
      <c r="A135" s="890"/>
    </row>
    <row r="136" spans="1:1" x14ac:dyDescent="0.25">
      <c r="A136" s="890"/>
    </row>
    <row r="137" spans="1:1" x14ac:dyDescent="0.25">
      <c r="A137" s="890"/>
    </row>
    <row r="138" spans="1:1" x14ac:dyDescent="0.25">
      <c r="A138" s="890"/>
    </row>
    <row r="139" spans="1:1" x14ac:dyDescent="0.25">
      <c r="A139" s="890"/>
    </row>
    <row r="140" spans="1:1" x14ac:dyDescent="0.25">
      <c r="A140" s="890"/>
    </row>
    <row r="141" spans="1:1" x14ac:dyDescent="0.25">
      <c r="A141" s="890"/>
    </row>
    <row r="142" spans="1:1" x14ac:dyDescent="0.25">
      <c r="A142" s="890"/>
    </row>
    <row r="143" spans="1:1" x14ac:dyDescent="0.25">
      <c r="A143" s="890"/>
    </row>
    <row r="144" spans="1:1" x14ac:dyDescent="0.25">
      <c r="A144" s="890"/>
    </row>
    <row r="145" spans="1:1" x14ac:dyDescent="0.25">
      <c r="A145" s="890"/>
    </row>
    <row r="146" spans="1:1" x14ac:dyDescent="0.25">
      <c r="A146" s="890"/>
    </row>
    <row r="147" spans="1:1" x14ac:dyDescent="0.25">
      <c r="A147" s="890"/>
    </row>
  </sheetData>
  <mergeCells count="165">
    <mergeCell ref="B1:H1"/>
    <mergeCell ref="A2:H2"/>
    <mergeCell ref="A3:H3"/>
    <mergeCell ref="A4:B4"/>
    <mergeCell ref="C4:D4"/>
    <mergeCell ref="A5:H5"/>
    <mergeCell ref="A6:B6"/>
    <mergeCell ref="C6:D6"/>
    <mergeCell ref="E6:F6"/>
    <mergeCell ref="G6:H6"/>
    <mergeCell ref="E8:F8"/>
    <mergeCell ref="A9:B9"/>
    <mergeCell ref="C9:D9"/>
    <mergeCell ref="E9:F9"/>
    <mergeCell ref="A10:B10"/>
    <mergeCell ref="C10:D10"/>
    <mergeCell ref="E10:F10"/>
    <mergeCell ref="A11:B11"/>
    <mergeCell ref="C11:D11"/>
    <mergeCell ref="E11:F11"/>
    <mergeCell ref="A12:B12"/>
    <mergeCell ref="C12:D12"/>
    <mergeCell ref="E12:F12"/>
    <mergeCell ref="A13:B13"/>
    <mergeCell ref="C13:D13"/>
    <mergeCell ref="E13:F13"/>
    <mergeCell ref="A14:B14"/>
    <mergeCell ref="C14:D14"/>
    <mergeCell ref="E14:F14"/>
    <mergeCell ref="A15:B15"/>
    <mergeCell ref="C15:D15"/>
    <mergeCell ref="E15:F15"/>
    <mergeCell ref="A16:B16"/>
    <mergeCell ref="C16:D16"/>
    <mergeCell ref="E16:F16"/>
    <mergeCell ref="A17:B17"/>
    <mergeCell ref="C17:D17"/>
    <mergeCell ref="E17:F17"/>
    <mergeCell ref="A18:B18"/>
    <mergeCell ref="C18:D18"/>
    <mergeCell ref="E18:F18"/>
    <mergeCell ref="A19:B19"/>
    <mergeCell ref="C19:D19"/>
    <mergeCell ref="E19:F19"/>
    <mergeCell ref="A20:B20"/>
    <mergeCell ref="C20:D20"/>
    <mergeCell ref="E20:F20"/>
    <mergeCell ref="A21:B21"/>
    <mergeCell ref="C21:D21"/>
    <mergeCell ref="E21:F21"/>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C27:D27"/>
    <mergeCell ref="E26:F26"/>
    <mergeCell ref="A27:B27"/>
    <mergeCell ref="E27:F27"/>
    <mergeCell ref="A53:F53"/>
    <mergeCell ref="G53:H53"/>
    <mergeCell ref="A28:G28"/>
    <mergeCell ref="A30:B30"/>
    <mergeCell ref="C30:G30"/>
    <mergeCell ref="A31:B31"/>
    <mergeCell ref="C31:G31"/>
    <mergeCell ref="A32:B32"/>
    <mergeCell ref="A36:B36"/>
    <mergeCell ref="A38:D38"/>
    <mergeCell ref="F38:G38"/>
    <mergeCell ref="C32:G32"/>
    <mergeCell ref="A33:B33"/>
    <mergeCell ref="C33:G33"/>
    <mergeCell ref="A34:B34"/>
    <mergeCell ref="C34:G34"/>
    <mergeCell ref="A35:B35"/>
    <mergeCell ref="C35:G35"/>
    <mergeCell ref="C36:G36"/>
    <mergeCell ref="A37:B37"/>
    <mergeCell ref="C37:G37"/>
    <mergeCell ref="A39:D39"/>
    <mergeCell ref="F39:G39"/>
    <mergeCell ref="A40:B40"/>
    <mergeCell ref="A66:C66"/>
    <mergeCell ref="A61:G61"/>
    <mergeCell ref="A63:C63"/>
    <mergeCell ref="A64:C64"/>
    <mergeCell ref="A57:C57"/>
    <mergeCell ref="G55:H55"/>
    <mergeCell ref="A58:C58"/>
    <mergeCell ref="A59:C59"/>
    <mergeCell ref="A54:H54"/>
    <mergeCell ref="A55:B55"/>
    <mergeCell ref="D55:F55"/>
    <mergeCell ref="A56:F56"/>
    <mergeCell ref="G56:H56"/>
    <mergeCell ref="A90:H90"/>
    <mergeCell ref="A82:B82"/>
    <mergeCell ref="C82:D82"/>
    <mergeCell ref="E82:F82"/>
    <mergeCell ref="A83:B83"/>
    <mergeCell ref="C83:D83"/>
    <mergeCell ref="E83:F83"/>
    <mergeCell ref="A84:B84"/>
    <mergeCell ref="A80:B80"/>
    <mergeCell ref="A85:C85"/>
    <mergeCell ref="D85:G85"/>
    <mergeCell ref="A86:C86"/>
    <mergeCell ref="D86:G86"/>
    <mergeCell ref="A87:G87"/>
    <mergeCell ref="A88:H88"/>
    <mergeCell ref="A89:H89"/>
    <mergeCell ref="C40:D40"/>
    <mergeCell ref="C41:D41"/>
    <mergeCell ref="C42:D42"/>
    <mergeCell ref="C43:D43"/>
    <mergeCell ref="C44:D44"/>
    <mergeCell ref="C48:D48"/>
    <mergeCell ref="C49:D49"/>
    <mergeCell ref="G52:H52"/>
    <mergeCell ref="A69:H69"/>
    <mergeCell ref="A41:B49"/>
    <mergeCell ref="A50:B50"/>
    <mergeCell ref="C50:D50"/>
    <mergeCell ref="E50:G50"/>
    <mergeCell ref="A51:H51"/>
    <mergeCell ref="A52:B52"/>
    <mergeCell ref="D52:F52"/>
    <mergeCell ref="C45:D45"/>
    <mergeCell ref="C46:D46"/>
    <mergeCell ref="C47:D47"/>
    <mergeCell ref="A60:C60"/>
    <mergeCell ref="A62:G62"/>
    <mergeCell ref="A65:C65"/>
    <mergeCell ref="A67:C67"/>
    <mergeCell ref="A68:C68"/>
    <mergeCell ref="A70:B70"/>
    <mergeCell ref="C70:D70"/>
    <mergeCell ref="E70:H70"/>
    <mergeCell ref="C71:D71"/>
    <mergeCell ref="C74:G74"/>
    <mergeCell ref="A75:H75"/>
    <mergeCell ref="A76:C76"/>
    <mergeCell ref="D76:G76"/>
    <mergeCell ref="C72:D72"/>
    <mergeCell ref="C73:D73"/>
    <mergeCell ref="A77:B77"/>
    <mergeCell ref="C77:E77"/>
    <mergeCell ref="A78:B78"/>
    <mergeCell ref="C78:E78"/>
    <mergeCell ref="A79:H79"/>
    <mergeCell ref="C80:D80"/>
    <mergeCell ref="E80:F80"/>
    <mergeCell ref="A81:B81"/>
    <mergeCell ref="C81:D81"/>
    <mergeCell ref="E81:F81"/>
  </mergeCells>
  <printOptions horizontalCentered="1"/>
  <pageMargins left="0" right="0" top="0.67" bottom="0.2" header="0.25" footer="0.196850393700787"/>
  <pageSetup scale="72" orientation="portrait" r:id="rId1"/>
  <headerFooter alignWithMargins="0">
    <oddFooter>&amp;C&amp;P</oddFooter>
  </headerFooter>
  <rowBreaks count="1" manualBreakCount="1">
    <brk id="5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0"/>
  <sheetViews>
    <sheetView topLeftCell="A19" zoomScaleNormal="100" workbookViewId="0">
      <selection activeCell="A84" sqref="A84:H84"/>
    </sheetView>
  </sheetViews>
  <sheetFormatPr defaultColWidth="9.28515625" defaultRowHeight="12" x14ac:dyDescent="0.2"/>
  <cols>
    <col min="1" max="1" width="3.7109375" style="50" customWidth="1"/>
    <col min="2" max="2" width="19.28515625" style="50" customWidth="1"/>
    <col min="3" max="3" width="11.28515625" style="51" customWidth="1"/>
    <col min="4" max="4" width="11.28515625" style="52" customWidth="1"/>
    <col min="5" max="5" width="11" style="52" customWidth="1"/>
    <col min="6" max="6" width="12.28515625" style="53" customWidth="1"/>
    <col min="7" max="7" width="11" style="53" customWidth="1"/>
    <col min="8" max="8" width="12.42578125" style="53" customWidth="1"/>
    <col min="9" max="9" width="11.7109375" style="53" customWidth="1"/>
    <col min="10" max="10" width="12.28515625" style="53" customWidth="1"/>
    <col min="11" max="11" width="13" style="53" customWidth="1"/>
    <col min="12" max="12" width="10.7109375" style="59" hidden="1" customWidth="1"/>
    <col min="13" max="13" width="12.7109375" style="54" bestFit="1" customWidth="1"/>
    <col min="14" max="14" width="13.28515625" style="141" bestFit="1" customWidth="1"/>
    <col min="15" max="15" width="12.7109375" style="94" bestFit="1" customWidth="1"/>
    <col min="16" max="17" width="12.7109375" style="110" customWidth="1"/>
    <col min="18" max="18" width="12.7109375" style="94" customWidth="1"/>
    <col min="19" max="19" width="12.5703125" style="53" customWidth="1"/>
    <col min="20" max="20" width="15.5703125" style="53" customWidth="1"/>
    <col min="21" max="22" width="12.5703125" style="53" customWidth="1"/>
    <col min="23" max="23" width="17.28515625" style="94" bestFit="1" customWidth="1"/>
    <col min="24" max="25" width="17.28515625" style="94" customWidth="1"/>
    <col min="26" max="26" width="10.7109375" style="50" customWidth="1"/>
    <col min="27" max="27" width="17.28515625" style="50" customWidth="1"/>
    <col min="28" max="16384" width="9.28515625" style="50"/>
  </cols>
  <sheetData>
    <row r="1" spans="1:56" x14ac:dyDescent="0.2">
      <c r="A1" s="1367" t="s">
        <v>15</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row>
    <row r="2" spans="1:56" ht="62.25" customHeight="1" x14ac:dyDescent="0.2">
      <c r="A2" s="55"/>
      <c r="B2" s="55" t="s">
        <v>17</v>
      </c>
      <c r="C2" s="132" t="s">
        <v>176</v>
      </c>
      <c r="D2" s="133" t="s">
        <v>230</v>
      </c>
      <c r="E2" s="133" t="s">
        <v>177</v>
      </c>
      <c r="F2" s="134" t="s">
        <v>178</v>
      </c>
      <c r="G2" s="134" t="s">
        <v>94</v>
      </c>
      <c r="H2" s="134" t="s">
        <v>223</v>
      </c>
      <c r="I2" s="134" t="s">
        <v>179</v>
      </c>
      <c r="J2" s="134" t="s">
        <v>180</v>
      </c>
      <c r="K2" s="135" t="s">
        <v>181</v>
      </c>
      <c r="L2" s="134" t="s">
        <v>182</v>
      </c>
      <c r="M2" s="134" t="s">
        <v>183</v>
      </c>
      <c r="N2" s="134" t="s">
        <v>225</v>
      </c>
      <c r="O2" s="136" t="s">
        <v>224</v>
      </c>
      <c r="P2" s="134" t="s">
        <v>184</v>
      </c>
      <c r="Q2" s="134" t="s">
        <v>185</v>
      </c>
      <c r="R2" s="136" t="s">
        <v>186</v>
      </c>
      <c r="S2" s="134" t="s">
        <v>187</v>
      </c>
      <c r="T2" s="134" t="s">
        <v>188</v>
      </c>
      <c r="U2" s="134" t="s">
        <v>189</v>
      </c>
      <c r="V2" s="134" t="s">
        <v>231</v>
      </c>
      <c r="W2" s="136" t="s">
        <v>232</v>
      </c>
      <c r="X2" s="205" t="s">
        <v>236</v>
      </c>
      <c r="Y2" s="205"/>
      <c r="Z2" s="56"/>
      <c r="AA2" s="56"/>
      <c r="AB2" s="207" t="s">
        <v>127</v>
      </c>
      <c r="AC2" s="208" t="s">
        <v>101</v>
      </c>
      <c r="AD2" s="208" t="s">
        <v>102</v>
      </c>
      <c r="AF2" s="56"/>
      <c r="AG2" s="207" t="s">
        <v>127</v>
      </c>
      <c r="AH2" s="208" t="s">
        <v>101</v>
      </c>
      <c r="AI2" s="208" t="s">
        <v>102</v>
      </c>
    </row>
    <row r="3" spans="1:56" ht="12.75" customHeight="1" x14ac:dyDescent="0.2">
      <c r="A3" s="56">
        <v>1</v>
      </c>
      <c r="B3" s="56" t="s">
        <v>18</v>
      </c>
      <c r="C3" s="86">
        <v>0.98299999999999998</v>
      </c>
      <c r="D3" s="89">
        <v>27379.229999999996</v>
      </c>
      <c r="E3" s="89">
        <v>29664.93</v>
      </c>
      <c r="F3" s="99">
        <v>0</v>
      </c>
      <c r="G3" s="99">
        <v>0</v>
      </c>
      <c r="H3" s="99">
        <v>0</v>
      </c>
      <c r="I3" s="99">
        <v>1641111</v>
      </c>
      <c r="J3" s="87">
        <v>796455</v>
      </c>
      <c r="K3" s="93">
        <v>7606744</v>
      </c>
      <c r="L3" s="93">
        <v>0</v>
      </c>
      <c r="M3" s="93">
        <v>10910610</v>
      </c>
      <c r="N3" s="34">
        <v>9307440</v>
      </c>
      <c r="O3" s="143">
        <f>N3</f>
        <v>9307440</v>
      </c>
      <c r="P3" s="111"/>
      <c r="Q3" s="111">
        <v>0</v>
      </c>
      <c r="R3" s="115">
        <f>SUM(P3,Q3)</f>
        <v>0</v>
      </c>
      <c r="S3" s="93">
        <v>266971</v>
      </c>
      <c r="T3" s="93">
        <v>2363992</v>
      </c>
      <c r="U3" s="93">
        <v>217533</v>
      </c>
      <c r="V3" s="206">
        <v>30783</v>
      </c>
      <c r="W3" s="137">
        <f>T3-U3-V3</f>
        <v>2115676</v>
      </c>
      <c r="X3" s="137">
        <v>471441</v>
      </c>
      <c r="Y3" s="137"/>
      <c r="AA3" s="1368" t="s">
        <v>221</v>
      </c>
      <c r="AB3" s="140">
        <f>ROUND(AG3*(1-$AB7),2)</f>
        <v>1325.01</v>
      </c>
      <c r="AC3" s="140">
        <f>ROUND(AH3*(1-$AB7),2)</f>
        <v>903.8</v>
      </c>
      <c r="AD3" s="140">
        <f>ROUND(AI3*(1-$AB7),2)</f>
        <v>905.98</v>
      </c>
      <c r="AF3" s="1368" t="s">
        <v>175</v>
      </c>
      <c r="AG3" s="140">
        <v>1325.01</v>
      </c>
      <c r="AH3" s="140">
        <v>903.8</v>
      </c>
      <c r="AI3" s="140">
        <v>905.98</v>
      </c>
    </row>
    <row r="4" spans="1:56" ht="12.75" x14ac:dyDescent="0.2">
      <c r="A4" s="56">
        <v>2</v>
      </c>
      <c r="B4" s="56" t="s">
        <v>19</v>
      </c>
      <c r="C4" s="86">
        <v>0.97689999999999999</v>
      </c>
      <c r="D4" s="90">
        <v>4736.46</v>
      </c>
      <c r="E4" s="90">
        <v>5012.8499999999995</v>
      </c>
      <c r="F4" s="34">
        <v>84643</v>
      </c>
      <c r="G4" s="34">
        <v>700112</v>
      </c>
      <c r="H4" s="34">
        <v>0</v>
      </c>
      <c r="I4" s="34">
        <v>1269608</v>
      </c>
      <c r="J4" s="33">
        <v>124112</v>
      </c>
      <c r="K4" s="31">
        <v>1807308</v>
      </c>
      <c r="L4" s="31">
        <v>0</v>
      </c>
      <c r="M4" s="31">
        <v>1018118</v>
      </c>
      <c r="N4" s="34">
        <v>624438</v>
      </c>
      <c r="O4" s="144">
        <f t="shared" ref="O4:O67" si="0">N4</f>
        <v>624438</v>
      </c>
      <c r="P4" s="112"/>
      <c r="Q4" s="112">
        <v>0</v>
      </c>
      <c r="R4" s="116">
        <f t="shared" ref="R4:R67" si="1">SUM(P4,Q4)</f>
        <v>0</v>
      </c>
      <c r="S4" s="31">
        <v>44833</v>
      </c>
      <c r="T4" s="31">
        <v>387305</v>
      </c>
      <c r="U4" s="31">
        <v>18217</v>
      </c>
      <c r="V4" s="103">
        <v>4090</v>
      </c>
      <c r="W4" s="138">
        <f t="shared" ref="W4:W67" si="2">T4-U4-V4</f>
        <v>364998</v>
      </c>
      <c r="X4" s="138">
        <v>288308</v>
      </c>
      <c r="Y4" s="138"/>
      <c r="Z4" s="56"/>
      <c r="AA4" s="1368"/>
      <c r="AF4" s="1368"/>
    </row>
    <row r="5" spans="1:56" ht="12.75" x14ac:dyDescent="0.2">
      <c r="A5" s="56">
        <v>3</v>
      </c>
      <c r="B5" s="56" t="s">
        <v>20</v>
      </c>
      <c r="C5" s="86">
        <v>0.96440000000000003</v>
      </c>
      <c r="D5" s="90">
        <v>26782.16</v>
      </c>
      <c r="E5" s="90">
        <v>29968.080000000002</v>
      </c>
      <c r="F5" s="34">
        <v>0</v>
      </c>
      <c r="G5" s="34">
        <v>0</v>
      </c>
      <c r="H5" s="34">
        <v>0</v>
      </c>
      <c r="I5" s="34">
        <v>0</v>
      </c>
      <c r="J5" s="33">
        <v>709656</v>
      </c>
      <c r="K5" s="31">
        <v>7455216</v>
      </c>
      <c r="L5" s="31">
        <v>0</v>
      </c>
      <c r="M5" s="31">
        <v>8043430</v>
      </c>
      <c r="N5" s="34">
        <v>11224912</v>
      </c>
      <c r="O5" s="144">
        <f t="shared" si="0"/>
        <v>11224912</v>
      </c>
      <c r="P5" s="112"/>
      <c r="Q5" s="112">
        <v>0</v>
      </c>
      <c r="R5" s="116">
        <f t="shared" si="1"/>
        <v>0</v>
      </c>
      <c r="S5" s="31">
        <v>264596</v>
      </c>
      <c r="T5" s="31">
        <v>2327697</v>
      </c>
      <c r="U5" s="31">
        <v>151332</v>
      </c>
      <c r="V5" s="103">
        <v>37457</v>
      </c>
      <c r="W5" s="138">
        <f t="shared" si="2"/>
        <v>2138908</v>
      </c>
      <c r="X5" s="138">
        <v>466612</v>
      </c>
      <c r="Y5" s="138"/>
      <c r="Z5" s="56"/>
      <c r="AA5" s="1368"/>
      <c r="AF5" s="1368"/>
    </row>
    <row r="6" spans="1:56" ht="12.75" x14ac:dyDescent="0.2">
      <c r="A6" s="56">
        <v>4</v>
      </c>
      <c r="B6" s="56" t="s">
        <v>21</v>
      </c>
      <c r="C6" s="86">
        <v>0.97230000000000005</v>
      </c>
      <c r="D6" s="90">
        <v>2911.18</v>
      </c>
      <c r="E6" s="90">
        <v>3098.1400000000008</v>
      </c>
      <c r="F6" s="34">
        <v>95624</v>
      </c>
      <c r="G6" s="34">
        <v>980385</v>
      </c>
      <c r="H6" s="34">
        <v>0</v>
      </c>
      <c r="I6" s="34">
        <v>503867</v>
      </c>
      <c r="J6" s="33">
        <v>113686</v>
      </c>
      <c r="K6" s="31">
        <v>955486</v>
      </c>
      <c r="L6" s="31">
        <v>0</v>
      </c>
      <c r="M6" s="31">
        <v>1202153</v>
      </c>
      <c r="N6" s="34">
        <v>660291</v>
      </c>
      <c r="O6" s="144">
        <f t="shared" si="0"/>
        <v>660291</v>
      </c>
      <c r="P6" s="112"/>
      <c r="Q6" s="112">
        <v>0</v>
      </c>
      <c r="R6" s="116">
        <f t="shared" si="1"/>
        <v>0</v>
      </c>
      <c r="S6" s="31">
        <v>27578</v>
      </c>
      <c r="T6" s="31">
        <v>243546</v>
      </c>
      <c r="U6" s="31">
        <v>10551</v>
      </c>
      <c r="V6" s="103">
        <v>5231</v>
      </c>
      <c r="W6" s="138">
        <f t="shared" si="2"/>
        <v>227764</v>
      </c>
      <c r="X6" s="138">
        <v>273545</v>
      </c>
      <c r="Y6" s="138"/>
      <c r="Z6" s="56"/>
      <c r="AA6" s="56"/>
    </row>
    <row r="7" spans="1:56" s="58" customFormat="1" ht="12.75" x14ac:dyDescent="0.2">
      <c r="A7" s="55">
        <v>5</v>
      </c>
      <c r="B7" s="55" t="s">
        <v>22</v>
      </c>
      <c r="C7" s="86">
        <v>1.0065999999999999</v>
      </c>
      <c r="D7" s="90">
        <v>70288.84</v>
      </c>
      <c r="E7" s="90">
        <v>77136.06</v>
      </c>
      <c r="F7" s="34">
        <v>0</v>
      </c>
      <c r="G7" s="34">
        <v>0</v>
      </c>
      <c r="H7" s="34">
        <v>0</v>
      </c>
      <c r="I7" s="34">
        <v>6510855</v>
      </c>
      <c r="J7" s="33">
        <v>1629095</v>
      </c>
      <c r="K7" s="31">
        <v>18708765</v>
      </c>
      <c r="L7" s="31">
        <v>0</v>
      </c>
      <c r="M7" s="31">
        <v>26743489</v>
      </c>
      <c r="N7" s="98">
        <v>21596691</v>
      </c>
      <c r="O7" s="145">
        <f t="shared" si="0"/>
        <v>21596691</v>
      </c>
      <c r="P7" s="113"/>
      <c r="Q7" s="113">
        <v>0</v>
      </c>
      <c r="R7" s="117">
        <f t="shared" si="1"/>
        <v>0</v>
      </c>
      <c r="S7" s="32">
        <v>710856</v>
      </c>
      <c r="T7" s="32">
        <v>6124694</v>
      </c>
      <c r="U7" s="32">
        <v>681362</v>
      </c>
      <c r="V7" s="105">
        <v>95699</v>
      </c>
      <c r="W7" s="139">
        <f t="shared" si="2"/>
        <v>5347633</v>
      </c>
      <c r="X7" s="139">
        <v>818492</v>
      </c>
      <c r="Y7" s="139"/>
      <c r="Z7" s="56"/>
      <c r="AA7" s="56" t="s">
        <v>222</v>
      </c>
      <c r="AB7" s="203"/>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row>
    <row r="8" spans="1:56" ht="12.75" x14ac:dyDescent="0.2">
      <c r="A8" s="56">
        <v>6</v>
      </c>
      <c r="B8" s="56" t="s">
        <v>23</v>
      </c>
      <c r="C8" s="92">
        <v>1.0233000000000001</v>
      </c>
      <c r="D8" s="89">
        <v>261831.03</v>
      </c>
      <c r="E8" s="89">
        <v>283801.89999999997</v>
      </c>
      <c r="F8" s="99">
        <v>0</v>
      </c>
      <c r="G8" s="99">
        <v>0</v>
      </c>
      <c r="H8" s="99">
        <v>0</v>
      </c>
      <c r="I8" s="99">
        <v>0</v>
      </c>
      <c r="J8" s="87">
        <v>6109616</v>
      </c>
      <c r="K8" s="93">
        <v>53302026</v>
      </c>
      <c r="L8" s="93">
        <v>0</v>
      </c>
      <c r="M8" s="93">
        <v>85782345</v>
      </c>
      <c r="N8" s="34">
        <v>107660042</v>
      </c>
      <c r="O8" s="144">
        <f t="shared" si="0"/>
        <v>107660042</v>
      </c>
      <c r="P8" s="112"/>
      <c r="Q8" s="112">
        <v>0</v>
      </c>
      <c r="R8" s="116">
        <f t="shared" si="1"/>
        <v>0</v>
      </c>
      <c r="S8" s="31">
        <v>2658799</v>
      </c>
      <c r="T8" s="31">
        <v>21054887</v>
      </c>
      <c r="U8" s="31">
        <v>744989</v>
      </c>
      <c r="V8" s="103">
        <v>283334</v>
      </c>
      <c r="W8" s="138">
        <f t="shared" si="2"/>
        <v>20026564</v>
      </c>
      <c r="X8" s="138">
        <v>2367673</v>
      </c>
      <c r="Y8" s="138"/>
      <c r="Z8" s="56"/>
      <c r="AA8" s="56"/>
    </row>
    <row r="9" spans="1:56" ht="12.75" x14ac:dyDescent="0.2">
      <c r="A9" s="56">
        <v>7</v>
      </c>
      <c r="B9" s="56" t="s">
        <v>24</v>
      </c>
      <c r="C9" s="86">
        <v>0.93069999999999997</v>
      </c>
      <c r="D9" s="90">
        <v>2190.4199999999996</v>
      </c>
      <c r="E9" s="90">
        <v>2366.58</v>
      </c>
      <c r="F9" s="34">
        <v>0</v>
      </c>
      <c r="G9" s="34">
        <v>1564524</v>
      </c>
      <c r="H9" s="34">
        <v>0</v>
      </c>
      <c r="I9" s="34">
        <v>563376</v>
      </c>
      <c r="J9" s="33">
        <v>83580</v>
      </c>
      <c r="K9" s="31">
        <v>499646</v>
      </c>
      <c r="L9" s="31">
        <v>0</v>
      </c>
      <c r="M9" s="31">
        <v>802475</v>
      </c>
      <c r="N9" s="34">
        <v>312558</v>
      </c>
      <c r="O9" s="144">
        <f t="shared" si="0"/>
        <v>312558</v>
      </c>
      <c r="P9" s="112"/>
      <c r="Q9" s="112">
        <v>0</v>
      </c>
      <c r="R9" s="116">
        <f t="shared" si="1"/>
        <v>0</v>
      </c>
      <c r="S9" s="31">
        <v>20165</v>
      </c>
      <c r="T9" s="31">
        <v>190101</v>
      </c>
      <c r="U9" s="31">
        <v>13621</v>
      </c>
      <c r="V9" s="103">
        <v>4127</v>
      </c>
      <c r="W9" s="138">
        <f t="shared" si="2"/>
        <v>172353</v>
      </c>
      <c r="X9" s="138">
        <v>267716</v>
      </c>
      <c r="Y9" s="138"/>
      <c r="Z9" s="56"/>
      <c r="AA9" s="56"/>
    </row>
    <row r="10" spans="1:56" ht="12.75" x14ac:dyDescent="0.2">
      <c r="A10" s="56">
        <v>8</v>
      </c>
      <c r="B10" s="56" t="s">
        <v>25</v>
      </c>
      <c r="C10" s="86">
        <v>0.98550000000000004</v>
      </c>
      <c r="D10" s="90">
        <v>15502.81</v>
      </c>
      <c r="E10" s="90">
        <v>16609.09</v>
      </c>
      <c r="F10" s="34">
        <v>339753</v>
      </c>
      <c r="G10" s="34">
        <v>0</v>
      </c>
      <c r="H10" s="34">
        <v>0</v>
      </c>
      <c r="I10" s="34">
        <v>0</v>
      </c>
      <c r="J10" s="33">
        <v>394755</v>
      </c>
      <c r="K10" s="31">
        <v>3489022</v>
      </c>
      <c r="L10" s="31">
        <v>0</v>
      </c>
      <c r="M10" s="31">
        <v>5836877</v>
      </c>
      <c r="N10" s="34">
        <v>9964551</v>
      </c>
      <c r="O10" s="144">
        <f t="shared" si="0"/>
        <v>9964551</v>
      </c>
      <c r="P10" s="112"/>
      <c r="Q10" s="112">
        <v>0</v>
      </c>
      <c r="R10" s="116">
        <f t="shared" si="1"/>
        <v>0</v>
      </c>
      <c r="S10" s="31">
        <v>149854</v>
      </c>
      <c r="T10" s="31">
        <v>1352004</v>
      </c>
      <c r="U10" s="31">
        <v>130386</v>
      </c>
      <c r="V10" s="103">
        <v>22702</v>
      </c>
      <c r="W10" s="138">
        <f t="shared" si="2"/>
        <v>1198916</v>
      </c>
      <c r="X10" s="138">
        <v>375386</v>
      </c>
      <c r="Y10" s="138"/>
      <c r="Z10" s="56"/>
      <c r="AA10" s="56"/>
    </row>
    <row r="11" spans="1:56" ht="12.75" x14ac:dyDescent="0.2">
      <c r="A11" s="56">
        <v>9</v>
      </c>
      <c r="B11" s="56" t="s">
        <v>26</v>
      </c>
      <c r="C11" s="86">
        <v>0.95379999999999998</v>
      </c>
      <c r="D11" s="90">
        <v>14425</v>
      </c>
      <c r="E11" s="90">
        <v>15496.41</v>
      </c>
      <c r="F11" s="34">
        <v>241858</v>
      </c>
      <c r="G11" s="34">
        <v>1597004</v>
      </c>
      <c r="H11" s="34">
        <v>0</v>
      </c>
      <c r="I11" s="34">
        <v>0</v>
      </c>
      <c r="J11" s="33">
        <v>351113</v>
      </c>
      <c r="K11" s="31">
        <v>3267446</v>
      </c>
      <c r="L11" s="31">
        <v>0</v>
      </c>
      <c r="M11" s="31">
        <v>6480965</v>
      </c>
      <c r="N11" s="34">
        <v>6444296</v>
      </c>
      <c r="O11" s="144">
        <f t="shared" si="0"/>
        <v>6444296</v>
      </c>
      <c r="P11" s="112"/>
      <c r="Q11" s="112">
        <v>0</v>
      </c>
      <c r="R11" s="116">
        <f t="shared" si="1"/>
        <v>0</v>
      </c>
      <c r="S11" s="31">
        <v>135318</v>
      </c>
      <c r="T11" s="31">
        <v>1163209</v>
      </c>
      <c r="U11" s="31">
        <v>38277</v>
      </c>
      <c r="V11" s="103">
        <v>14374</v>
      </c>
      <c r="W11" s="138">
        <f t="shared" si="2"/>
        <v>1110558</v>
      </c>
      <c r="X11" s="138">
        <v>366668</v>
      </c>
      <c r="Y11" s="138"/>
      <c r="Z11" s="56"/>
      <c r="AA11" s="56"/>
    </row>
    <row r="12" spans="1:56" s="58" customFormat="1" ht="12.75" customHeight="1" x14ac:dyDescent="0.2">
      <c r="A12" s="55">
        <v>10</v>
      </c>
      <c r="B12" s="55" t="s">
        <v>27</v>
      </c>
      <c r="C12" s="85">
        <v>0.99319999999999997</v>
      </c>
      <c r="D12" s="91">
        <v>34817.649999999994</v>
      </c>
      <c r="E12" s="91">
        <v>37789.82</v>
      </c>
      <c r="F12" s="98">
        <v>433685</v>
      </c>
      <c r="G12" s="98">
        <v>0</v>
      </c>
      <c r="H12" s="98">
        <v>0</v>
      </c>
      <c r="I12" s="98">
        <v>7136226</v>
      </c>
      <c r="J12" s="88">
        <v>586823</v>
      </c>
      <c r="K12" s="32">
        <v>9437502</v>
      </c>
      <c r="L12" s="32">
        <v>0</v>
      </c>
      <c r="M12" s="32">
        <v>10894904</v>
      </c>
      <c r="N12" s="98">
        <v>6787122</v>
      </c>
      <c r="O12" s="145">
        <f t="shared" si="0"/>
        <v>6787122</v>
      </c>
      <c r="P12" s="113"/>
      <c r="Q12" s="113">
        <v>0</v>
      </c>
      <c r="R12" s="117">
        <f t="shared" si="1"/>
        <v>0</v>
      </c>
      <c r="S12" s="32">
        <v>343620</v>
      </c>
      <c r="T12" s="32">
        <v>2883575</v>
      </c>
      <c r="U12" s="32">
        <v>162655</v>
      </c>
      <c r="V12" s="105">
        <v>53986</v>
      </c>
      <c r="W12" s="139">
        <f t="shared" si="2"/>
        <v>2666934</v>
      </c>
      <c r="X12" s="139">
        <v>531603</v>
      </c>
      <c r="Y12" s="139"/>
      <c r="Z12" s="56"/>
      <c r="AA12" s="56"/>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row>
    <row r="13" spans="1:56" ht="12.75" x14ac:dyDescent="0.2">
      <c r="A13" s="56">
        <v>11</v>
      </c>
      <c r="B13" s="56" t="s">
        <v>28</v>
      </c>
      <c r="C13" s="86">
        <v>1.0163</v>
      </c>
      <c r="D13" s="90">
        <v>44306.6</v>
      </c>
      <c r="E13" s="90">
        <v>48196.590000000011</v>
      </c>
      <c r="F13" s="34">
        <v>0</v>
      </c>
      <c r="G13" s="34">
        <v>0</v>
      </c>
      <c r="H13" s="34">
        <v>0</v>
      </c>
      <c r="I13" s="34">
        <v>0</v>
      </c>
      <c r="J13" s="33">
        <v>734024</v>
      </c>
      <c r="K13" s="31">
        <v>8695439</v>
      </c>
      <c r="L13" s="31">
        <v>0</v>
      </c>
      <c r="M13" s="31">
        <v>19669803</v>
      </c>
      <c r="N13" s="34">
        <v>49100997</v>
      </c>
      <c r="O13" s="144">
        <f t="shared" si="0"/>
        <v>49100997</v>
      </c>
      <c r="P13" s="112"/>
      <c r="Q13" s="112">
        <v>0</v>
      </c>
      <c r="R13" s="116">
        <f t="shared" si="1"/>
        <v>0</v>
      </c>
      <c r="S13" s="31">
        <v>448441</v>
      </c>
      <c r="T13" s="31">
        <v>3775429</v>
      </c>
      <c r="U13" s="31">
        <v>267283</v>
      </c>
      <c r="V13" s="103">
        <v>46565</v>
      </c>
      <c r="W13" s="138">
        <f t="shared" si="2"/>
        <v>3461581</v>
      </c>
      <c r="X13" s="138">
        <v>608349</v>
      </c>
      <c r="Y13" s="138"/>
      <c r="Z13" s="56"/>
      <c r="AA13" s="56"/>
    </row>
    <row r="14" spans="1:56" ht="12.75" x14ac:dyDescent="0.2">
      <c r="A14" s="56">
        <v>12</v>
      </c>
      <c r="B14" s="56" t="s">
        <v>29</v>
      </c>
      <c r="C14" s="86">
        <v>0.96079999999999999</v>
      </c>
      <c r="D14" s="90">
        <v>10043.750000000002</v>
      </c>
      <c r="E14" s="90">
        <v>10681.990000000002</v>
      </c>
      <c r="F14" s="34">
        <v>14239</v>
      </c>
      <c r="G14" s="34">
        <v>1277190</v>
      </c>
      <c r="H14" s="34">
        <v>0</v>
      </c>
      <c r="I14" s="34">
        <v>2112803</v>
      </c>
      <c r="J14" s="33">
        <v>294799</v>
      </c>
      <c r="K14" s="31">
        <v>3855448</v>
      </c>
      <c r="L14" s="31">
        <v>0</v>
      </c>
      <c r="M14" s="31">
        <v>3845212</v>
      </c>
      <c r="N14" s="34">
        <v>1903582</v>
      </c>
      <c r="O14" s="144">
        <f t="shared" si="0"/>
        <v>1903582</v>
      </c>
      <c r="P14" s="112"/>
      <c r="Q14" s="112">
        <v>0</v>
      </c>
      <c r="R14" s="116">
        <f t="shared" si="1"/>
        <v>0</v>
      </c>
      <c r="S14" s="31">
        <v>93962</v>
      </c>
      <c r="T14" s="31">
        <v>833993</v>
      </c>
      <c r="U14" s="31">
        <v>58870</v>
      </c>
      <c r="V14" s="103">
        <v>13998</v>
      </c>
      <c r="W14" s="138">
        <f t="shared" si="2"/>
        <v>761125</v>
      </c>
      <c r="X14" s="138">
        <v>331233</v>
      </c>
      <c r="Y14" s="138"/>
      <c r="Z14" s="56"/>
      <c r="AA14" s="56"/>
    </row>
    <row r="15" spans="1:56" ht="12.75" x14ac:dyDescent="0.2">
      <c r="A15" s="56">
        <v>13</v>
      </c>
      <c r="B15" s="56" t="s">
        <v>103</v>
      </c>
      <c r="C15" s="86">
        <v>1.0148999999999999</v>
      </c>
      <c r="D15" s="90">
        <v>352465.97</v>
      </c>
      <c r="E15" s="90">
        <v>381444.63</v>
      </c>
      <c r="F15" s="34">
        <v>0</v>
      </c>
      <c r="G15" s="34">
        <v>0</v>
      </c>
      <c r="H15" s="34">
        <v>0</v>
      </c>
      <c r="I15" s="34">
        <v>0</v>
      </c>
      <c r="J15" s="33">
        <v>9948222</v>
      </c>
      <c r="K15" s="31">
        <v>117666569</v>
      </c>
      <c r="L15" s="31">
        <v>0</v>
      </c>
      <c r="M15" s="31">
        <v>127062971</v>
      </c>
      <c r="N15" s="34">
        <v>148702874</v>
      </c>
      <c r="O15" s="144">
        <f t="shared" si="0"/>
        <v>148702874</v>
      </c>
      <c r="P15" s="112"/>
      <c r="Q15" s="112">
        <v>0</v>
      </c>
      <c r="R15" s="116">
        <f t="shared" si="1"/>
        <v>0</v>
      </c>
      <c r="S15" s="31">
        <v>3544230</v>
      </c>
      <c r="T15" s="31">
        <v>28547210</v>
      </c>
      <c r="U15" s="31">
        <v>1133753</v>
      </c>
      <c r="V15" s="103">
        <v>321717</v>
      </c>
      <c r="W15" s="138">
        <f t="shared" si="2"/>
        <v>27091740</v>
      </c>
      <c r="X15" s="138">
        <v>3100722</v>
      </c>
      <c r="Y15" s="138"/>
      <c r="Z15" s="56"/>
      <c r="AA15" s="56"/>
    </row>
    <row r="16" spans="1:56" ht="12.75" x14ac:dyDescent="0.2">
      <c r="A16" s="56">
        <v>14</v>
      </c>
      <c r="B16" s="56" t="s">
        <v>30</v>
      </c>
      <c r="C16" s="86">
        <v>0.97419999999999995</v>
      </c>
      <c r="D16" s="90">
        <v>4722.24</v>
      </c>
      <c r="E16" s="90">
        <v>5017.92</v>
      </c>
      <c r="F16" s="34">
        <v>0</v>
      </c>
      <c r="G16" s="34">
        <v>705973</v>
      </c>
      <c r="H16" s="34">
        <v>0</v>
      </c>
      <c r="I16" s="34">
        <v>783184</v>
      </c>
      <c r="J16" s="33">
        <v>153183</v>
      </c>
      <c r="K16" s="31">
        <v>1604008</v>
      </c>
      <c r="L16" s="31">
        <v>0</v>
      </c>
      <c r="M16" s="31">
        <v>2013480</v>
      </c>
      <c r="N16" s="34">
        <v>1105179</v>
      </c>
      <c r="O16" s="144">
        <f t="shared" si="0"/>
        <v>1105179</v>
      </c>
      <c r="P16" s="112"/>
      <c r="Q16" s="112">
        <v>0</v>
      </c>
      <c r="R16" s="116">
        <f t="shared" si="1"/>
        <v>0</v>
      </c>
      <c r="S16" s="31">
        <v>44755</v>
      </c>
      <c r="T16" s="31">
        <v>386199</v>
      </c>
      <c r="U16" s="31">
        <v>19324</v>
      </c>
      <c r="V16" s="103">
        <v>5425</v>
      </c>
      <c r="W16" s="138">
        <f t="shared" si="2"/>
        <v>361450</v>
      </c>
      <c r="X16" s="138">
        <v>288193</v>
      </c>
      <c r="Y16" s="138"/>
      <c r="Z16" s="56"/>
      <c r="AA16" s="56"/>
    </row>
    <row r="17" spans="1:56" s="58" customFormat="1" ht="12.75" x14ac:dyDescent="0.2">
      <c r="A17" s="55">
        <v>15</v>
      </c>
      <c r="B17" s="55" t="s">
        <v>31</v>
      </c>
      <c r="C17" s="86">
        <v>0.94</v>
      </c>
      <c r="D17" s="90">
        <v>2066.88</v>
      </c>
      <c r="E17" s="90">
        <v>2242.2599999999998</v>
      </c>
      <c r="F17" s="34">
        <v>0</v>
      </c>
      <c r="G17" s="34">
        <v>995488</v>
      </c>
      <c r="H17" s="34">
        <v>0</v>
      </c>
      <c r="I17" s="34">
        <v>458661</v>
      </c>
      <c r="J17" s="33">
        <v>107941</v>
      </c>
      <c r="K17" s="31">
        <v>462282</v>
      </c>
      <c r="L17" s="31">
        <v>0</v>
      </c>
      <c r="M17" s="31">
        <v>522779</v>
      </c>
      <c r="N17" s="98">
        <v>367853</v>
      </c>
      <c r="O17" s="145">
        <f t="shared" si="0"/>
        <v>367853</v>
      </c>
      <c r="P17" s="113"/>
      <c r="Q17" s="113">
        <v>0</v>
      </c>
      <c r="R17" s="117">
        <f t="shared" si="1"/>
        <v>0</v>
      </c>
      <c r="S17" s="32">
        <v>19297</v>
      </c>
      <c r="T17" s="32">
        <v>184400</v>
      </c>
      <c r="U17" s="32">
        <v>17451</v>
      </c>
      <c r="V17" s="105">
        <v>3970</v>
      </c>
      <c r="W17" s="139">
        <f t="shared" si="2"/>
        <v>162979</v>
      </c>
      <c r="X17" s="139">
        <v>266717</v>
      </c>
      <c r="Y17" s="139"/>
      <c r="Z17" s="56"/>
      <c r="AA17" s="56"/>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row>
    <row r="18" spans="1:56" ht="12.75" x14ac:dyDescent="0.2">
      <c r="A18" s="56">
        <v>16</v>
      </c>
      <c r="B18" s="56" t="s">
        <v>32</v>
      </c>
      <c r="C18" s="92">
        <v>1.0121</v>
      </c>
      <c r="D18" s="89">
        <v>127359.90000000002</v>
      </c>
      <c r="E18" s="89">
        <v>137900.22999999998</v>
      </c>
      <c r="F18" s="99">
        <v>226578</v>
      </c>
      <c r="G18" s="99">
        <v>0</v>
      </c>
      <c r="H18" s="99">
        <v>0</v>
      </c>
      <c r="I18" s="99">
        <v>12207446</v>
      </c>
      <c r="J18" s="87">
        <v>3337712</v>
      </c>
      <c r="K18" s="93">
        <v>29060798</v>
      </c>
      <c r="L18" s="93">
        <v>0</v>
      </c>
      <c r="M18" s="93">
        <v>44234324</v>
      </c>
      <c r="N18" s="34">
        <v>38722589</v>
      </c>
      <c r="O18" s="144">
        <f t="shared" si="0"/>
        <v>38722589</v>
      </c>
      <c r="P18" s="112"/>
      <c r="Q18" s="112">
        <v>0</v>
      </c>
      <c r="R18" s="116">
        <f t="shared" si="1"/>
        <v>0</v>
      </c>
      <c r="S18" s="31">
        <v>1277779</v>
      </c>
      <c r="T18" s="31">
        <v>10234603</v>
      </c>
      <c r="U18" s="31">
        <v>428723</v>
      </c>
      <c r="V18" s="103">
        <v>152010</v>
      </c>
      <c r="W18" s="138">
        <f t="shared" si="2"/>
        <v>9653870</v>
      </c>
      <c r="X18" s="138">
        <v>1280079</v>
      </c>
      <c r="Y18" s="138"/>
      <c r="Z18" s="56"/>
      <c r="AA18" s="56"/>
    </row>
    <row r="19" spans="1:56" ht="12.75" x14ac:dyDescent="0.2">
      <c r="A19" s="56">
        <v>17</v>
      </c>
      <c r="B19" s="56" t="s">
        <v>33</v>
      </c>
      <c r="C19" s="86">
        <v>0.97030000000000005</v>
      </c>
      <c r="D19" s="90">
        <v>40147.29</v>
      </c>
      <c r="E19" s="90">
        <v>43661.890000000014</v>
      </c>
      <c r="F19" s="34">
        <v>19279</v>
      </c>
      <c r="G19" s="34">
        <v>0</v>
      </c>
      <c r="H19" s="34">
        <v>0</v>
      </c>
      <c r="I19" s="34">
        <v>4891144</v>
      </c>
      <c r="J19" s="33">
        <v>1271612</v>
      </c>
      <c r="K19" s="31">
        <v>9299252</v>
      </c>
      <c r="L19" s="31">
        <v>0</v>
      </c>
      <c r="M19" s="31">
        <v>13850153</v>
      </c>
      <c r="N19" s="34">
        <v>11163264</v>
      </c>
      <c r="O19" s="144">
        <f t="shared" si="0"/>
        <v>11163264</v>
      </c>
      <c r="P19" s="112"/>
      <c r="Q19" s="112">
        <v>0</v>
      </c>
      <c r="R19" s="116">
        <f t="shared" si="1"/>
        <v>0</v>
      </c>
      <c r="S19" s="31">
        <v>387861</v>
      </c>
      <c r="T19" s="31">
        <v>3180447</v>
      </c>
      <c r="U19" s="31">
        <v>90912</v>
      </c>
      <c r="V19" s="103">
        <v>50145</v>
      </c>
      <c r="W19" s="138">
        <f t="shared" si="2"/>
        <v>3039390</v>
      </c>
      <c r="X19" s="138">
        <v>574709</v>
      </c>
      <c r="Y19" s="138"/>
      <c r="Z19" s="56"/>
      <c r="AA19" s="56"/>
    </row>
    <row r="20" spans="1:56" ht="12.75" x14ac:dyDescent="0.2">
      <c r="A20" s="56">
        <v>18</v>
      </c>
      <c r="B20" s="56" t="s">
        <v>34</v>
      </c>
      <c r="C20" s="86">
        <v>0.9556</v>
      </c>
      <c r="D20" s="90">
        <v>12444.43</v>
      </c>
      <c r="E20" s="90">
        <v>13187.960000000001</v>
      </c>
      <c r="F20" s="34">
        <v>65117</v>
      </c>
      <c r="G20" s="34">
        <v>1132089</v>
      </c>
      <c r="H20" s="34">
        <v>0</v>
      </c>
      <c r="I20" s="34">
        <v>0</v>
      </c>
      <c r="J20" s="33">
        <v>279877</v>
      </c>
      <c r="K20" s="31">
        <v>2752181</v>
      </c>
      <c r="L20" s="31">
        <v>0</v>
      </c>
      <c r="M20" s="31">
        <v>5625805</v>
      </c>
      <c r="N20" s="34">
        <v>5224937</v>
      </c>
      <c r="O20" s="144">
        <f t="shared" si="0"/>
        <v>5224937</v>
      </c>
      <c r="P20" s="112"/>
      <c r="Q20" s="112">
        <v>0</v>
      </c>
      <c r="R20" s="116">
        <f t="shared" si="1"/>
        <v>0</v>
      </c>
      <c r="S20" s="31">
        <v>115377</v>
      </c>
      <c r="T20" s="31">
        <v>986871</v>
      </c>
      <c r="U20" s="31">
        <v>26392</v>
      </c>
      <c r="V20" s="103">
        <v>13663</v>
      </c>
      <c r="W20" s="138">
        <f t="shared" si="2"/>
        <v>946816</v>
      </c>
      <c r="X20" s="138">
        <v>350650</v>
      </c>
      <c r="Y20" s="138"/>
      <c r="Z20" s="56"/>
      <c r="AA20" s="56"/>
    </row>
    <row r="21" spans="1:56" ht="12.75" x14ac:dyDescent="0.2">
      <c r="A21" s="56">
        <v>19</v>
      </c>
      <c r="B21" s="56" t="s">
        <v>35</v>
      </c>
      <c r="C21" s="86">
        <v>0.93049999999999999</v>
      </c>
      <c r="D21" s="90">
        <v>1179.6600000000001</v>
      </c>
      <c r="E21" s="90">
        <v>1263.97</v>
      </c>
      <c r="F21" s="34">
        <v>42706</v>
      </c>
      <c r="G21" s="34">
        <v>75302</v>
      </c>
      <c r="H21" s="34">
        <v>0</v>
      </c>
      <c r="I21" s="34">
        <v>0</v>
      </c>
      <c r="J21" s="33">
        <v>84538</v>
      </c>
      <c r="K21" s="31">
        <v>284634</v>
      </c>
      <c r="L21" s="31">
        <v>0</v>
      </c>
      <c r="M21" s="31">
        <v>444619</v>
      </c>
      <c r="N21" s="34">
        <v>1275091</v>
      </c>
      <c r="O21" s="144">
        <f t="shared" si="0"/>
        <v>1275091</v>
      </c>
      <c r="P21" s="112"/>
      <c r="Q21" s="112">
        <v>0</v>
      </c>
      <c r="R21" s="116">
        <f t="shared" si="1"/>
        <v>0</v>
      </c>
      <c r="S21" s="31">
        <v>10768</v>
      </c>
      <c r="T21" s="31">
        <v>104822</v>
      </c>
      <c r="U21" s="31">
        <v>10545</v>
      </c>
      <c r="V21" s="103">
        <v>1557</v>
      </c>
      <c r="W21" s="138">
        <f t="shared" si="2"/>
        <v>92720</v>
      </c>
      <c r="X21" s="138">
        <v>259541</v>
      </c>
      <c r="Y21" s="138"/>
      <c r="Z21" s="56"/>
      <c r="AA21" s="56"/>
    </row>
    <row r="22" spans="1:56" s="58" customFormat="1" ht="12.75" x14ac:dyDescent="0.2">
      <c r="A22" s="55">
        <v>20</v>
      </c>
      <c r="B22" s="55" t="s">
        <v>36</v>
      </c>
      <c r="C22" s="85">
        <v>0.94899999999999995</v>
      </c>
      <c r="D22" s="91">
        <v>5276.4299999999994</v>
      </c>
      <c r="E22" s="91">
        <v>5608.1900000000005</v>
      </c>
      <c r="F22" s="98">
        <v>220295</v>
      </c>
      <c r="G22" s="98">
        <v>1981184</v>
      </c>
      <c r="H22" s="98">
        <v>0</v>
      </c>
      <c r="I22" s="98">
        <v>1014974</v>
      </c>
      <c r="J22" s="88">
        <v>168396</v>
      </c>
      <c r="K22" s="32">
        <v>1157950</v>
      </c>
      <c r="L22" s="32">
        <v>0</v>
      </c>
      <c r="M22" s="32">
        <v>1633930</v>
      </c>
      <c r="N22" s="98">
        <v>1094994</v>
      </c>
      <c r="O22" s="145">
        <f t="shared" si="0"/>
        <v>1094994</v>
      </c>
      <c r="P22" s="113"/>
      <c r="Q22" s="113">
        <v>0</v>
      </c>
      <c r="R22" s="117">
        <f t="shared" si="1"/>
        <v>0</v>
      </c>
      <c r="S22" s="32">
        <v>48725</v>
      </c>
      <c r="T22" s="32">
        <v>429141</v>
      </c>
      <c r="U22" s="32">
        <v>7307</v>
      </c>
      <c r="V22" s="105">
        <v>4970</v>
      </c>
      <c r="W22" s="139">
        <f t="shared" si="2"/>
        <v>416864</v>
      </c>
      <c r="X22" s="139">
        <v>292675</v>
      </c>
      <c r="Y22" s="139"/>
      <c r="Z22" s="56"/>
      <c r="AA22" s="56"/>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row>
    <row r="23" spans="1:56" ht="12.75" x14ac:dyDescent="0.2">
      <c r="A23" s="56">
        <v>21</v>
      </c>
      <c r="B23" s="56" t="s">
        <v>37</v>
      </c>
      <c r="C23" s="86">
        <v>0.95709999999999995</v>
      </c>
      <c r="D23" s="90">
        <v>2501.83</v>
      </c>
      <c r="E23" s="90">
        <v>2736.0299999999993</v>
      </c>
      <c r="F23" s="34">
        <v>0</v>
      </c>
      <c r="G23" s="34">
        <v>1693765</v>
      </c>
      <c r="H23" s="34">
        <v>0</v>
      </c>
      <c r="I23" s="34">
        <v>525484</v>
      </c>
      <c r="J23" s="33">
        <v>92587</v>
      </c>
      <c r="K23" s="31">
        <v>569213</v>
      </c>
      <c r="L23" s="31">
        <v>0</v>
      </c>
      <c r="M23" s="31">
        <v>945837</v>
      </c>
      <c r="N23" s="34">
        <v>474980</v>
      </c>
      <c r="O23" s="144">
        <f t="shared" si="0"/>
        <v>474980</v>
      </c>
      <c r="P23" s="112"/>
      <c r="Q23" s="112">
        <v>0</v>
      </c>
      <c r="R23" s="116">
        <f t="shared" si="1"/>
        <v>0</v>
      </c>
      <c r="S23" s="31">
        <v>23974</v>
      </c>
      <c r="T23" s="31">
        <v>232487</v>
      </c>
      <c r="U23" s="31">
        <v>37194</v>
      </c>
      <c r="V23" s="103">
        <v>3868</v>
      </c>
      <c r="W23" s="138">
        <f t="shared" si="2"/>
        <v>191425</v>
      </c>
      <c r="X23" s="138">
        <v>270235</v>
      </c>
      <c r="Y23" s="138"/>
      <c r="Z23" s="56"/>
      <c r="AA23" s="56"/>
    </row>
    <row r="24" spans="1:56" ht="12.75" x14ac:dyDescent="0.2">
      <c r="A24" s="56">
        <v>22</v>
      </c>
      <c r="B24" s="56" t="s">
        <v>38</v>
      </c>
      <c r="C24" s="86">
        <v>0.96870000000000001</v>
      </c>
      <c r="D24" s="90">
        <v>1506.88</v>
      </c>
      <c r="E24" s="90">
        <v>1630.1000000000001</v>
      </c>
      <c r="F24" s="34">
        <v>9099</v>
      </c>
      <c r="G24" s="34">
        <v>907672</v>
      </c>
      <c r="H24" s="34">
        <v>0</v>
      </c>
      <c r="I24" s="34">
        <v>178595</v>
      </c>
      <c r="J24" s="33">
        <v>85276</v>
      </c>
      <c r="K24" s="31">
        <v>297755</v>
      </c>
      <c r="L24" s="31">
        <v>0</v>
      </c>
      <c r="M24" s="31">
        <v>525241</v>
      </c>
      <c r="N24" s="34">
        <v>423984</v>
      </c>
      <c r="O24" s="144">
        <f t="shared" si="0"/>
        <v>423984</v>
      </c>
      <c r="P24" s="112"/>
      <c r="Q24" s="112">
        <v>0</v>
      </c>
      <c r="R24" s="116">
        <f t="shared" si="1"/>
        <v>0</v>
      </c>
      <c r="S24" s="31">
        <v>14457</v>
      </c>
      <c r="T24" s="31">
        <v>120924</v>
      </c>
      <c r="U24" s="31">
        <v>4129</v>
      </c>
      <c r="V24" s="103">
        <v>2066</v>
      </c>
      <c r="W24" s="138">
        <f t="shared" si="2"/>
        <v>114729</v>
      </c>
      <c r="X24" s="138">
        <v>262188</v>
      </c>
      <c r="Y24" s="138"/>
      <c r="Z24" s="56"/>
      <c r="AA24" s="56"/>
    </row>
    <row r="25" spans="1:56" ht="12.75" x14ac:dyDescent="0.2">
      <c r="A25" s="56">
        <v>23</v>
      </c>
      <c r="B25" s="56" t="s">
        <v>39</v>
      </c>
      <c r="C25" s="86">
        <v>0.94169999999999998</v>
      </c>
      <c r="D25" s="90">
        <v>1783.1999999999998</v>
      </c>
      <c r="E25" s="90">
        <v>1943.4900000000002</v>
      </c>
      <c r="F25" s="34">
        <v>11014</v>
      </c>
      <c r="G25" s="34">
        <v>1041063</v>
      </c>
      <c r="H25" s="34">
        <v>0</v>
      </c>
      <c r="I25" s="34">
        <v>0</v>
      </c>
      <c r="J25" s="33">
        <v>101263</v>
      </c>
      <c r="K25" s="31">
        <v>381212</v>
      </c>
      <c r="L25" s="31">
        <v>0</v>
      </c>
      <c r="M25" s="31">
        <v>164571</v>
      </c>
      <c r="N25" s="34">
        <v>1039480</v>
      </c>
      <c r="O25" s="144">
        <f t="shared" si="0"/>
        <v>1039480</v>
      </c>
      <c r="P25" s="112"/>
      <c r="Q25" s="112">
        <v>0</v>
      </c>
      <c r="R25" s="116">
        <f t="shared" si="1"/>
        <v>0</v>
      </c>
      <c r="S25" s="31">
        <v>16756</v>
      </c>
      <c r="T25" s="31">
        <v>145343</v>
      </c>
      <c r="U25" s="31">
        <v>7570</v>
      </c>
      <c r="V25" s="103">
        <v>1979</v>
      </c>
      <c r="W25" s="138">
        <f t="shared" si="2"/>
        <v>135794</v>
      </c>
      <c r="X25" s="138">
        <v>264422</v>
      </c>
      <c r="Y25" s="138"/>
      <c r="Z25" s="56"/>
      <c r="AA25" s="56"/>
    </row>
    <row r="26" spans="1:56" ht="12.75" x14ac:dyDescent="0.2">
      <c r="A26" s="56">
        <v>24</v>
      </c>
      <c r="B26" s="56" t="s">
        <v>40</v>
      </c>
      <c r="C26" s="86">
        <v>0.93210000000000004</v>
      </c>
      <c r="D26" s="90">
        <v>1618.1799999999998</v>
      </c>
      <c r="E26" s="90">
        <v>1761.3999999999999</v>
      </c>
      <c r="F26" s="34">
        <v>10023</v>
      </c>
      <c r="G26" s="34">
        <v>937305</v>
      </c>
      <c r="H26" s="34">
        <v>0</v>
      </c>
      <c r="I26" s="34">
        <v>62947</v>
      </c>
      <c r="J26" s="33">
        <v>98269</v>
      </c>
      <c r="K26" s="31">
        <v>344870</v>
      </c>
      <c r="L26" s="31">
        <v>0</v>
      </c>
      <c r="M26" s="31">
        <v>470015</v>
      </c>
      <c r="N26" s="34">
        <v>584141</v>
      </c>
      <c r="O26" s="144">
        <f t="shared" si="0"/>
        <v>584141</v>
      </c>
      <c r="P26" s="112"/>
      <c r="Q26" s="112">
        <v>0</v>
      </c>
      <c r="R26" s="116">
        <f t="shared" si="1"/>
        <v>0</v>
      </c>
      <c r="S26" s="31">
        <v>15031</v>
      </c>
      <c r="T26" s="31">
        <v>129938</v>
      </c>
      <c r="U26" s="31">
        <v>4776</v>
      </c>
      <c r="V26" s="103">
        <v>1921</v>
      </c>
      <c r="W26" s="138">
        <f t="shared" si="2"/>
        <v>123241</v>
      </c>
      <c r="X26" s="138">
        <v>263088</v>
      </c>
      <c r="Y26" s="138"/>
      <c r="Z26" s="56"/>
      <c r="AA26" s="56"/>
    </row>
    <row r="27" spans="1:56" s="58" customFormat="1" ht="12.75" x14ac:dyDescent="0.2">
      <c r="A27" s="55">
        <v>25</v>
      </c>
      <c r="B27" s="55" t="s">
        <v>41</v>
      </c>
      <c r="C27" s="86">
        <v>0.96679999999999999</v>
      </c>
      <c r="D27" s="90">
        <v>5227.1499999999996</v>
      </c>
      <c r="E27" s="90">
        <v>5540.82</v>
      </c>
      <c r="F27" s="34">
        <v>0</v>
      </c>
      <c r="G27" s="34">
        <v>587296</v>
      </c>
      <c r="H27" s="34">
        <v>0</v>
      </c>
      <c r="I27" s="34">
        <v>942455</v>
      </c>
      <c r="J27" s="33">
        <v>144775</v>
      </c>
      <c r="K27" s="31">
        <v>1156725</v>
      </c>
      <c r="L27" s="31">
        <v>0</v>
      </c>
      <c r="M27" s="31">
        <v>1731091</v>
      </c>
      <c r="N27" s="98">
        <v>1147815</v>
      </c>
      <c r="O27" s="145">
        <f t="shared" si="0"/>
        <v>1147815</v>
      </c>
      <c r="P27" s="113"/>
      <c r="Q27" s="113">
        <v>0</v>
      </c>
      <c r="R27" s="117">
        <f t="shared" si="1"/>
        <v>0</v>
      </c>
      <c r="S27" s="32">
        <v>49043</v>
      </c>
      <c r="T27" s="32">
        <v>418442</v>
      </c>
      <c r="U27" s="32">
        <v>17463</v>
      </c>
      <c r="V27" s="105">
        <v>4980</v>
      </c>
      <c r="W27" s="139">
        <f t="shared" si="2"/>
        <v>395999</v>
      </c>
      <c r="X27" s="139">
        <v>292277</v>
      </c>
      <c r="Y27" s="139"/>
      <c r="Z27" s="56"/>
      <c r="AA27" s="56"/>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row>
    <row r="28" spans="1:56" ht="12.75" x14ac:dyDescent="0.2">
      <c r="A28" s="56">
        <v>26</v>
      </c>
      <c r="B28" s="56" t="s">
        <v>42</v>
      </c>
      <c r="C28" s="92">
        <v>0.97419999999999995</v>
      </c>
      <c r="D28" s="89">
        <v>6819.1800000000012</v>
      </c>
      <c r="E28" s="89">
        <v>7242.2800000000016</v>
      </c>
      <c r="F28" s="99">
        <v>87292</v>
      </c>
      <c r="G28" s="99">
        <v>1865715</v>
      </c>
      <c r="H28" s="99">
        <v>0</v>
      </c>
      <c r="I28" s="99">
        <v>1383066</v>
      </c>
      <c r="J28" s="87">
        <v>196961</v>
      </c>
      <c r="K28" s="93">
        <v>1502910</v>
      </c>
      <c r="L28" s="93">
        <v>0</v>
      </c>
      <c r="M28" s="93">
        <v>2246935</v>
      </c>
      <c r="N28" s="34">
        <v>1343850</v>
      </c>
      <c r="O28" s="144">
        <f t="shared" si="0"/>
        <v>1343850</v>
      </c>
      <c r="P28" s="112"/>
      <c r="Q28" s="112">
        <v>0</v>
      </c>
      <c r="R28" s="116">
        <f t="shared" si="1"/>
        <v>0</v>
      </c>
      <c r="S28" s="31">
        <v>64594</v>
      </c>
      <c r="T28" s="31">
        <v>536411</v>
      </c>
      <c r="U28" s="31">
        <v>5859</v>
      </c>
      <c r="V28" s="103">
        <v>7761</v>
      </c>
      <c r="W28" s="138">
        <f t="shared" si="2"/>
        <v>522791</v>
      </c>
      <c r="X28" s="138">
        <v>305153</v>
      </c>
      <c r="Y28" s="138"/>
      <c r="Z28" s="56"/>
      <c r="AA28" s="56"/>
    </row>
    <row r="29" spans="1:56" ht="12.75" x14ac:dyDescent="0.2">
      <c r="A29" s="56">
        <v>27</v>
      </c>
      <c r="B29" s="56" t="s">
        <v>43</v>
      </c>
      <c r="C29" s="86">
        <v>0.97460000000000002</v>
      </c>
      <c r="D29" s="90">
        <v>21612.65</v>
      </c>
      <c r="E29" s="90">
        <v>23172.36</v>
      </c>
      <c r="F29" s="34">
        <v>231995</v>
      </c>
      <c r="G29" s="34">
        <v>1966151</v>
      </c>
      <c r="H29" s="34">
        <v>0</v>
      </c>
      <c r="I29" s="34">
        <v>2692936</v>
      </c>
      <c r="J29" s="33">
        <v>476866</v>
      </c>
      <c r="K29" s="31">
        <v>5121624</v>
      </c>
      <c r="L29" s="31">
        <v>0</v>
      </c>
      <c r="M29" s="31">
        <v>8425328</v>
      </c>
      <c r="N29" s="34">
        <v>5949781</v>
      </c>
      <c r="O29" s="144">
        <f t="shared" si="0"/>
        <v>5949781</v>
      </c>
      <c r="P29" s="112"/>
      <c r="Q29" s="112">
        <v>0</v>
      </c>
      <c r="R29" s="116">
        <f t="shared" si="1"/>
        <v>0</v>
      </c>
      <c r="S29" s="31">
        <v>206759</v>
      </c>
      <c r="T29" s="31">
        <v>1759500</v>
      </c>
      <c r="U29" s="31">
        <v>85047</v>
      </c>
      <c r="V29" s="103">
        <v>21152</v>
      </c>
      <c r="W29" s="138">
        <f t="shared" si="2"/>
        <v>1653301</v>
      </c>
      <c r="X29" s="138">
        <v>424802</v>
      </c>
      <c r="Y29" s="138"/>
      <c r="Z29" s="56"/>
      <c r="AA29" s="56"/>
    </row>
    <row r="30" spans="1:56" ht="12.75" x14ac:dyDescent="0.2">
      <c r="A30" s="56">
        <v>28</v>
      </c>
      <c r="B30" s="56" t="s">
        <v>44</v>
      </c>
      <c r="C30" s="86">
        <v>0.95199999999999996</v>
      </c>
      <c r="D30" s="90">
        <v>12066.94</v>
      </c>
      <c r="E30" s="90">
        <v>12829.810000000001</v>
      </c>
      <c r="F30" s="34">
        <v>7178</v>
      </c>
      <c r="G30" s="34">
        <v>2532500</v>
      </c>
      <c r="H30" s="34">
        <v>0</v>
      </c>
      <c r="I30" s="34">
        <v>1230104</v>
      </c>
      <c r="J30" s="33">
        <v>341367</v>
      </c>
      <c r="K30" s="31">
        <v>2481103</v>
      </c>
      <c r="L30" s="31">
        <v>0</v>
      </c>
      <c r="M30" s="31">
        <v>3802214</v>
      </c>
      <c r="N30" s="34">
        <v>3595342</v>
      </c>
      <c r="O30" s="144">
        <f t="shared" si="0"/>
        <v>3595342</v>
      </c>
      <c r="P30" s="112"/>
      <c r="Q30" s="112">
        <v>0</v>
      </c>
      <c r="R30" s="116">
        <f t="shared" si="1"/>
        <v>0</v>
      </c>
      <c r="S30" s="31">
        <v>111821</v>
      </c>
      <c r="T30" s="31">
        <v>991474</v>
      </c>
      <c r="U30" s="31">
        <v>65453</v>
      </c>
      <c r="V30" s="103">
        <v>12355</v>
      </c>
      <c r="W30" s="138">
        <f t="shared" si="2"/>
        <v>913666</v>
      </c>
      <c r="X30" s="138">
        <v>347597</v>
      </c>
      <c r="Y30" s="138"/>
      <c r="Z30" s="56"/>
      <c r="AA30" s="56"/>
    </row>
    <row r="31" spans="1:56" ht="12.75" x14ac:dyDescent="0.2">
      <c r="A31" s="56">
        <v>29</v>
      </c>
      <c r="B31" s="56" t="s">
        <v>45</v>
      </c>
      <c r="C31" s="86">
        <v>1.0101</v>
      </c>
      <c r="D31" s="90">
        <v>202504.39</v>
      </c>
      <c r="E31" s="90">
        <v>219854.52000000002</v>
      </c>
      <c r="F31" s="34">
        <v>0</v>
      </c>
      <c r="G31" s="34">
        <v>0</v>
      </c>
      <c r="H31" s="34">
        <v>0</v>
      </c>
      <c r="I31" s="34">
        <v>28937877</v>
      </c>
      <c r="J31" s="33">
        <v>3435570</v>
      </c>
      <c r="K31" s="31">
        <v>39528422</v>
      </c>
      <c r="L31" s="31">
        <v>0</v>
      </c>
      <c r="M31" s="31">
        <v>74329679</v>
      </c>
      <c r="N31" s="34">
        <v>52041605</v>
      </c>
      <c r="O31" s="144">
        <f t="shared" si="0"/>
        <v>52041605</v>
      </c>
      <c r="P31" s="112"/>
      <c r="Q31" s="112">
        <v>0</v>
      </c>
      <c r="R31" s="116">
        <f t="shared" si="1"/>
        <v>0</v>
      </c>
      <c r="S31" s="31">
        <v>2033139</v>
      </c>
      <c r="T31" s="31">
        <v>16074513</v>
      </c>
      <c r="U31" s="31">
        <v>126514</v>
      </c>
      <c r="V31" s="103">
        <v>243268</v>
      </c>
      <c r="W31" s="138">
        <f t="shared" si="2"/>
        <v>15704731</v>
      </c>
      <c r="X31" s="138">
        <v>1887843</v>
      </c>
      <c r="Y31" s="138"/>
      <c r="Z31" s="56"/>
      <c r="AA31" s="56"/>
    </row>
    <row r="32" spans="1:56" s="58" customFormat="1" ht="12.75" x14ac:dyDescent="0.2">
      <c r="A32" s="55">
        <v>30</v>
      </c>
      <c r="B32" s="55" t="s">
        <v>46</v>
      </c>
      <c r="C32" s="85">
        <v>0.93330000000000002</v>
      </c>
      <c r="D32" s="91">
        <v>3206.54</v>
      </c>
      <c r="E32" s="91">
        <v>3382.1499999999996</v>
      </c>
      <c r="F32" s="98">
        <v>11636</v>
      </c>
      <c r="G32" s="98">
        <v>2260840</v>
      </c>
      <c r="H32" s="98">
        <v>0</v>
      </c>
      <c r="I32" s="98">
        <v>940478</v>
      </c>
      <c r="J32" s="88">
        <v>106323</v>
      </c>
      <c r="K32" s="32">
        <v>696063</v>
      </c>
      <c r="L32" s="32">
        <v>0</v>
      </c>
      <c r="M32" s="32">
        <v>1000924</v>
      </c>
      <c r="N32" s="98">
        <v>341796</v>
      </c>
      <c r="O32" s="145">
        <f t="shared" si="0"/>
        <v>341796</v>
      </c>
      <c r="P32" s="113"/>
      <c r="Q32" s="113">
        <v>0</v>
      </c>
      <c r="R32" s="117">
        <f t="shared" si="1"/>
        <v>0</v>
      </c>
      <c r="S32" s="32">
        <v>28899</v>
      </c>
      <c r="T32" s="32">
        <v>260400</v>
      </c>
      <c r="U32" s="32">
        <v>13148</v>
      </c>
      <c r="V32" s="105">
        <v>3659</v>
      </c>
      <c r="W32" s="139">
        <f t="shared" si="2"/>
        <v>243593</v>
      </c>
      <c r="X32" s="139">
        <v>275934</v>
      </c>
      <c r="Y32" s="139"/>
      <c r="Z32" s="56"/>
      <c r="AA32" s="56"/>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row>
    <row r="33" spans="1:56" ht="12.75" x14ac:dyDescent="0.2">
      <c r="A33" s="56">
        <v>31</v>
      </c>
      <c r="B33" s="56" t="s">
        <v>47</v>
      </c>
      <c r="C33" s="86">
        <v>0.99280000000000002</v>
      </c>
      <c r="D33" s="90">
        <v>17710.39</v>
      </c>
      <c r="E33" s="90">
        <v>19139.749999999996</v>
      </c>
      <c r="F33" s="34">
        <v>0</v>
      </c>
      <c r="G33" s="34">
        <v>0</v>
      </c>
      <c r="H33" s="34">
        <v>0</v>
      </c>
      <c r="I33" s="34">
        <v>0</v>
      </c>
      <c r="J33" s="33">
        <v>388177</v>
      </c>
      <c r="K33" s="31">
        <v>3576353</v>
      </c>
      <c r="L33" s="31">
        <v>0</v>
      </c>
      <c r="M33" s="31">
        <v>4817505</v>
      </c>
      <c r="N33" s="34">
        <v>10036751</v>
      </c>
      <c r="O33" s="144">
        <f t="shared" si="0"/>
        <v>10036751</v>
      </c>
      <c r="P33" s="112"/>
      <c r="Q33" s="112">
        <v>0</v>
      </c>
      <c r="R33" s="116">
        <f t="shared" si="1"/>
        <v>0</v>
      </c>
      <c r="S33" s="31">
        <v>173966</v>
      </c>
      <c r="T33" s="31">
        <v>1457901</v>
      </c>
      <c r="U33" s="31">
        <v>78482</v>
      </c>
      <c r="V33" s="103">
        <v>18261</v>
      </c>
      <c r="W33" s="138">
        <f t="shared" si="2"/>
        <v>1361158</v>
      </c>
      <c r="X33" s="138">
        <v>393240</v>
      </c>
      <c r="Y33" s="138"/>
      <c r="Z33" s="56"/>
      <c r="AA33" s="56"/>
    </row>
    <row r="34" spans="1:56" ht="12.75" x14ac:dyDescent="0.2">
      <c r="A34" s="56">
        <v>32</v>
      </c>
      <c r="B34" s="56" t="s">
        <v>48</v>
      </c>
      <c r="C34" s="86">
        <v>0.93720000000000003</v>
      </c>
      <c r="D34" s="90">
        <v>6233.23</v>
      </c>
      <c r="E34" s="90">
        <v>6741.38</v>
      </c>
      <c r="F34" s="34">
        <v>264436</v>
      </c>
      <c r="G34" s="34">
        <v>2979844</v>
      </c>
      <c r="H34" s="34">
        <v>0</v>
      </c>
      <c r="I34" s="34">
        <v>1322317</v>
      </c>
      <c r="J34" s="33">
        <v>165492</v>
      </c>
      <c r="K34" s="31">
        <v>1324559</v>
      </c>
      <c r="L34" s="31">
        <v>0</v>
      </c>
      <c r="M34" s="31">
        <v>2140062</v>
      </c>
      <c r="N34" s="34">
        <v>1170261</v>
      </c>
      <c r="O34" s="144">
        <f t="shared" si="0"/>
        <v>1170261</v>
      </c>
      <c r="P34" s="112"/>
      <c r="Q34" s="112">
        <v>0</v>
      </c>
      <c r="R34" s="116">
        <f t="shared" si="1"/>
        <v>0</v>
      </c>
      <c r="S34" s="31">
        <v>57843</v>
      </c>
      <c r="T34" s="31">
        <v>536262</v>
      </c>
      <c r="U34" s="31">
        <v>36602</v>
      </c>
      <c r="V34" s="103">
        <v>7073</v>
      </c>
      <c r="W34" s="138">
        <f t="shared" si="2"/>
        <v>492587</v>
      </c>
      <c r="X34" s="138">
        <v>300414</v>
      </c>
      <c r="Y34" s="138"/>
      <c r="Z34" s="56"/>
      <c r="AA34" s="56"/>
    </row>
    <row r="35" spans="1:56" ht="12.75" x14ac:dyDescent="0.2">
      <c r="A35" s="56">
        <v>33</v>
      </c>
      <c r="B35" s="56" t="s">
        <v>49</v>
      </c>
      <c r="C35" s="86">
        <v>0.93730000000000002</v>
      </c>
      <c r="D35" s="90">
        <v>908.3</v>
      </c>
      <c r="E35" s="90">
        <v>959.6</v>
      </c>
      <c r="F35" s="34">
        <v>12999</v>
      </c>
      <c r="G35" s="34">
        <v>566617</v>
      </c>
      <c r="H35" s="34">
        <v>0</v>
      </c>
      <c r="I35" s="34">
        <v>0</v>
      </c>
      <c r="J35" s="33">
        <v>82485</v>
      </c>
      <c r="K35" s="31">
        <v>292831</v>
      </c>
      <c r="L35" s="31">
        <v>0</v>
      </c>
      <c r="M35" s="31">
        <v>558518</v>
      </c>
      <c r="N35" s="34">
        <v>466571</v>
      </c>
      <c r="O35" s="144">
        <f t="shared" si="0"/>
        <v>466571</v>
      </c>
      <c r="P35" s="112"/>
      <c r="Q35" s="112">
        <v>0</v>
      </c>
      <c r="R35" s="116">
        <f t="shared" si="1"/>
        <v>0</v>
      </c>
      <c r="S35" s="31">
        <v>8234</v>
      </c>
      <c r="T35" s="31">
        <v>71124</v>
      </c>
      <c r="U35" s="31">
        <v>144</v>
      </c>
      <c r="V35" s="103">
        <v>1189</v>
      </c>
      <c r="W35" s="138">
        <f t="shared" si="2"/>
        <v>69791</v>
      </c>
      <c r="X35" s="138">
        <v>257346</v>
      </c>
      <c r="Y35" s="138"/>
      <c r="Z35" s="56"/>
      <c r="AA35" s="56"/>
    </row>
    <row r="36" spans="1:56" ht="12.75" x14ac:dyDescent="0.2">
      <c r="A36" s="56">
        <v>34</v>
      </c>
      <c r="B36" s="56" t="s">
        <v>50</v>
      </c>
      <c r="C36" s="86">
        <v>0.92849999999999999</v>
      </c>
      <c r="D36" s="90">
        <v>1180.29</v>
      </c>
      <c r="E36" s="90">
        <v>1242.49</v>
      </c>
      <c r="F36" s="34">
        <v>12162</v>
      </c>
      <c r="G36" s="34">
        <v>792415</v>
      </c>
      <c r="H36" s="34">
        <v>0</v>
      </c>
      <c r="I36" s="34">
        <v>277899</v>
      </c>
      <c r="J36" s="33">
        <v>74434</v>
      </c>
      <c r="K36" s="31">
        <v>207703</v>
      </c>
      <c r="L36" s="31">
        <v>0</v>
      </c>
      <c r="M36" s="31">
        <v>261045</v>
      </c>
      <c r="N36" s="34">
        <v>194085</v>
      </c>
      <c r="O36" s="144">
        <f t="shared" si="0"/>
        <v>194085</v>
      </c>
      <c r="P36" s="112"/>
      <c r="Q36" s="112">
        <v>0</v>
      </c>
      <c r="R36" s="116">
        <f t="shared" si="1"/>
        <v>0</v>
      </c>
      <c r="S36" s="31">
        <v>10562</v>
      </c>
      <c r="T36" s="31">
        <v>95878</v>
      </c>
      <c r="U36" s="31">
        <v>4111</v>
      </c>
      <c r="V36" s="103">
        <v>1457</v>
      </c>
      <c r="W36" s="138">
        <f t="shared" si="2"/>
        <v>90310</v>
      </c>
      <c r="X36" s="138">
        <v>259546</v>
      </c>
      <c r="Y36" s="138"/>
      <c r="Z36" s="56"/>
      <c r="AA36" s="56"/>
    </row>
    <row r="37" spans="1:56" s="58" customFormat="1" ht="12.75" x14ac:dyDescent="0.2">
      <c r="A37" s="55">
        <v>35</v>
      </c>
      <c r="B37" s="55" t="s">
        <v>51</v>
      </c>
      <c r="C37" s="86">
        <v>0.97440000000000004</v>
      </c>
      <c r="D37" s="90">
        <v>40976.9</v>
      </c>
      <c r="E37" s="90">
        <v>43925.429999999993</v>
      </c>
      <c r="F37" s="34">
        <v>24173</v>
      </c>
      <c r="G37" s="34">
        <v>0</v>
      </c>
      <c r="H37" s="34">
        <v>0</v>
      </c>
      <c r="I37" s="34">
        <v>4005082</v>
      </c>
      <c r="J37" s="33">
        <v>809139</v>
      </c>
      <c r="K37" s="31">
        <v>9548805</v>
      </c>
      <c r="L37" s="31">
        <v>0</v>
      </c>
      <c r="M37" s="31">
        <v>12311766</v>
      </c>
      <c r="N37" s="98">
        <v>12381109</v>
      </c>
      <c r="O37" s="145">
        <f t="shared" si="0"/>
        <v>12381109</v>
      </c>
      <c r="P37" s="113"/>
      <c r="Q37" s="113">
        <v>0</v>
      </c>
      <c r="R37" s="117">
        <f t="shared" si="1"/>
        <v>0</v>
      </c>
      <c r="S37" s="32">
        <v>391851</v>
      </c>
      <c r="T37" s="32">
        <v>3231903</v>
      </c>
      <c r="U37" s="32">
        <v>84700</v>
      </c>
      <c r="V37" s="105">
        <v>44653</v>
      </c>
      <c r="W37" s="139">
        <f t="shared" si="2"/>
        <v>3102550</v>
      </c>
      <c r="X37" s="139">
        <v>581419</v>
      </c>
      <c r="Y37" s="139"/>
      <c r="Z37" s="56"/>
      <c r="AA37" s="56"/>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row>
    <row r="38" spans="1:56" ht="12.75" x14ac:dyDescent="0.2">
      <c r="A38" s="56">
        <v>36</v>
      </c>
      <c r="B38" s="56" t="s">
        <v>52</v>
      </c>
      <c r="C38" s="92">
        <v>1.0152000000000001</v>
      </c>
      <c r="D38" s="89">
        <v>87427.42</v>
      </c>
      <c r="E38" s="89">
        <v>94169.96</v>
      </c>
      <c r="F38" s="99">
        <v>0</v>
      </c>
      <c r="G38" s="99">
        <v>0</v>
      </c>
      <c r="H38" s="99">
        <v>0</v>
      </c>
      <c r="I38" s="99">
        <v>0</v>
      </c>
      <c r="J38" s="87">
        <v>1657519</v>
      </c>
      <c r="K38" s="93">
        <v>18496067</v>
      </c>
      <c r="L38" s="93">
        <v>0</v>
      </c>
      <c r="M38" s="93">
        <v>37792729</v>
      </c>
      <c r="N38" s="34">
        <v>45692106</v>
      </c>
      <c r="O38" s="144">
        <f t="shared" si="0"/>
        <v>45692106</v>
      </c>
      <c r="P38" s="112"/>
      <c r="Q38" s="112">
        <v>0</v>
      </c>
      <c r="R38" s="116">
        <f t="shared" si="1"/>
        <v>0</v>
      </c>
      <c r="S38" s="31">
        <v>875248</v>
      </c>
      <c r="T38" s="31">
        <v>7284773</v>
      </c>
      <c r="U38" s="31">
        <v>298463</v>
      </c>
      <c r="V38" s="103">
        <v>97029</v>
      </c>
      <c r="W38" s="138">
        <f t="shared" si="2"/>
        <v>6889281</v>
      </c>
      <c r="X38" s="138">
        <v>957107</v>
      </c>
      <c r="Y38" s="138"/>
      <c r="Z38" s="56"/>
      <c r="AA38" s="56"/>
    </row>
    <row r="39" spans="1:56" ht="12.75" x14ac:dyDescent="0.2">
      <c r="A39" s="56">
        <v>37</v>
      </c>
      <c r="B39" s="56" t="s">
        <v>53</v>
      </c>
      <c r="C39" s="86">
        <v>0.95920000000000005</v>
      </c>
      <c r="D39" s="90">
        <v>33326.82</v>
      </c>
      <c r="E39" s="90">
        <v>36423.160000000003</v>
      </c>
      <c r="F39" s="34">
        <v>3678</v>
      </c>
      <c r="G39" s="34">
        <v>0</v>
      </c>
      <c r="H39" s="34">
        <v>0</v>
      </c>
      <c r="I39" s="34">
        <v>2466518</v>
      </c>
      <c r="J39" s="33">
        <v>1062183</v>
      </c>
      <c r="K39" s="31">
        <v>9181074</v>
      </c>
      <c r="L39" s="31">
        <v>0</v>
      </c>
      <c r="M39" s="31">
        <v>16410791</v>
      </c>
      <c r="N39" s="34">
        <v>10860620</v>
      </c>
      <c r="O39" s="144">
        <f t="shared" si="0"/>
        <v>10860620</v>
      </c>
      <c r="P39" s="112"/>
      <c r="Q39" s="112">
        <v>0</v>
      </c>
      <c r="R39" s="116">
        <f t="shared" si="1"/>
        <v>0</v>
      </c>
      <c r="S39" s="31">
        <v>319856</v>
      </c>
      <c r="T39" s="31">
        <v>2623727</v>
      </c>
      <c r="U39" s="31">
        <v>56536</v>
      </c>
      <c r="V39" s="103">
        <v>45095</v>
      </c>
      <c r="W39" s="138">
        <f t="shared" si="2"/>
        <v>2522096</v>
      </c>
      <c r="X39" s="138">
        <v>519545</v>
      </c>
      <c r="Y39" s="138"/>
      <c r="Z39" s="56"/>
      <c r="AA39" s="56"/>
    </row>
    <row r="40" spans="1:56" ht="12.75" x14ac:dyDescent="0.2">
      <c r="A40" s="56">
        <v>38</v>
      </c>
      <c r="B40" s="56" t="s">
        <v>54</v>
      </c>
      <c r="C40" s="86">
        <v>0.95579999999999998</v>
      </c>
      <c r="D40" s="90">
        <v>5334.5300000000007</v>
      </c>
      <c r="E40" s="90">
        <v>5780.5300000000007</v>
      </c>
      <c r="F40" s="34">
        <v>72636</v>
      </c>
      <c r="G40" s="34">
        <v>2882679</v>
      </c>
      <c r="H40" s="34">
        <v>0</v>
      </c>
      <c r="I40" s="34">
        <v>866061</v>
      </c>
      <c r="J40" s="33">
        <v>124487</v>
      </c>
      <c r="K40" s="31">
        <v>1257383</v>
      </c>
      <c r="L40" s="31">
        <v>0</v>
      </c>
      <c r="M40" s="31">
        <v>1980276</v>
      </c>
      <c r="N40" s="34">
        <v>1267168</v>
      </c>
      <c r="O40" s="144">
        <f t="shared" si="0"/>
        <v>1267168</v>
      </c>
      <c r="P40" s="112"/>
      <c r="Q40" s="112">
        <v>0</v>
      </c>
      <c r="R40" s="116">
        <f t="shared" si="1"/>
        <v>0</v>
      </c>
      <c r="S40" s="31">
        <v>50583</v>
      </c>
      <c r="T40" s="31">
        <v>434142</v>
      </c>
      <c r="U40" s="31">
        <v>14949</v>
      </c>
      <c r="V40" s="103">
        <v>9890</v>
      </c>
      <c r="W40" s="138">
        <f t="shared" si="2"/>
        <v>409303</v>
      </c>
      <c r="X40" s="138">
        <v>293145</v>
      </c>
      <c r="Y40" s="138"/>
      <c r="Z40" s="56"/>
      <c r="AA40" s="56"/>
    </row>
    <row r="41" spans="1:56" ht="12.75" x14ac:dyDescent="0.2">
      <c r="A41" s="56">
        <v>39</v>
      </c>
      <c r="B41" s="56" t="s">
        <v>55</v>
      </c>
      <c r="C41" s="86">
        <v>0.94010000000000005</v>
      </c>
      <c r="D41" s="90">
        <v>1378.34</v>
      </c>
      <c r="E41" s="90">
        <v>1563.29</v>
      </c>
      <c r="F41" s="34">
        <v>45524</v>
      </c>
      <c r="G41" s="34">
        <v>917944</v>
      </c>
      <c r="H41" s="34">
        <v>0</v>
      </c>
      <c r="I41" s="34">
        <v>381593</v>
      </c>
      <c r="J41" s="33">
        <v>76521</v>
      </c>
      <c r="K41" s="31">
        <v>288173</v>
      </c>
      <c r="L41" s="31">
        <v>0</v>
      </c>
      <c r="M41" s="31">
        <v>468103</v>
      </c>
      <c r="N41" s="34">
        <v>169597</v>
      </c>
      <c r="O41" s="144">
        <f t="shared" si="0"/>
        <v>169597</v>
      </c>
      <c r="P41" s="112"/>
      <c r="Q41" s="112">
        <v>0</v>
      </c>
      <c r="R41" s="116">
        <f t="shared" si="1"/>
        <v>0</v>
      </c>
      <c r="S41" s="31">
        <v>13455</v>
      </c>
      <c r="T41" s="31">
        <v>116091</v>
      </c>
      <c r="U41" s="31">
        <v>6260</v>
      </c>
      <c r="V41" s="103">
        <v>2091</v>
      </c>
      <c r="W41" s="138">
        <f t="shared" si="2"/>
        <v>107740</v>
      </c>
      <c r="X41" s="138">
        <v>261148</v>
      </c>
      <c r="Y41" s="138"/>
      <c r="Z41" s="56"/>
      <c r="AA41" s="56"/>
    </row>
    <row r="42" spans="1:56" s="58" customFormat="1" ht="12.75" x14ac:dyDescent="0.2">
      <c r="A42" s="55">
        <v>40</v>
      </c>
      <c r="B42" s="55" t="s">
        <v>56</v>
      </c>
      <c r="C42" s="85">
        <v>0.92610000000000003</v>
      </c>
      <c r="D42" s="91">
        <v>2419.0100000000002</v>
      </c>
      <c r="E42" s="91">
        <v>2562.2800000000002</v>
      </c>
      <c r="F42" s="98">
        <v>62314</v>
      </c>
      <c r="G42" s="98">
        <v>988241</v>
      </c>
      <c r="H42" s="98">
        <v>0</v>
      </c>
      <c r="I42" s="98">
        <v>469989</v>
      </c>
      <c r="J42" s="88">
        <v>114492</v>
      </c>
      <c r="K42" s="32">
        <v>692143</v>
      </c>
      <c r="L42" s="32">
        <v>0</v>
      </c>
      <c r="M42" s="32">
        <v>1161826</v>
      </c>
      <c r="N42" s="98">
        <v>497343</v>
      </c>
      <c r="O42" s="145">
        <f t="shared" si="0"/>
        <v>497343</v>
      </c>
      <c r="P42" s="113"/>
      <c r="Q42" s="113">
        <v>0</v>
      </c>
      <c r="R42" s="117">
        <f t="shared" si="1"/>
        <v>0</v>
      </c>
      <c r="S42" s="32">
        <v>21725</v>
      </c>
      <c r="T42" s="32">
        <v>201760</v>
      </c>
      <c r="U42" s="32">
        <v>9743</v>
      </c>
      <c r="V42" s="105">
        <v>3834</v>
      </c>
      <c r="W42" s="139">
        <f t="shared" si="2"/>
        <v>188183</v>
      </c>
      <c r="X42" s="139">
        <v>269565</v>
      </c>
      <c r="Y42" s="139"/>
      <c r="Z42" s="56"/>
      <c r="AA42" s="56"/>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row>
    <row r="43" spans="1:56" ht="12.75" x14ac:dyDescent="0.2">
      <c r="A43" s="56">
        <v>41</v>
      </c>
      <c r="B43" s="56" t="s">
        <v>57</v>
      </c>
      <c r="C43" s="86">
        <v>1.0105</v>
      </c>
      <c r="D43" s="90">
        <v>45931.079999999994</v>
      </c>
      <c r="E43" s="90">
        <v>49507.93</v>
      </c>
      <c r="F43" s="34">
        <v>0</v>
      </c>
      <c r="G43" s="34">
        <v>0</v>
      </c>
      <c r="H43" s="34">
        <v>0</v>
      </c>
      <c r="I43" s="34">
        <v>0</v>
      </c>
      <c r="J43" s="33">
        <v>1122413</v>
      </c>
      <c r="K43" s="31">
        <v>9222952</v>
      </c>
      <c r="L43" s="31">
        <v>0</v>
      </c>
      <c r="M43" s="31">
        <v>18625981</v>
      </c>
      <c r="N43" s="34">
        <v>19794857</v>
      </c>
      <c r="O43" s="144">
        <f t="shared" si="0"/>
        <v>19794857</v>
      </c>
      <c r="P43" s="112"/>
      <c r="Q43" s="112">
        <v>0</v>
      </c>
      <c r="R43" s="116">
        <f t="shared" si="1"/>
        <v>0</v>
      </c>
      <c r="S43" s="31">
        <v>458013</v>
      </c>
      <c r="T43" s="31">
        <v>3772117</v>
      </c>
      <c r="U43" s="31">
        <v>229245</v>
      </c>
      <c r="V43" s="103">
        <v>62052</v>
      </c>
      <c r="W43" s="138">
        <f t="shared" si="2"/>
        <v>3480820</v>
      </c>
      <c r="X43" s="138">
        <v>621488</v>
      </c>
      <c r="Y43" s="138"/>
      <c r="Z43" s="56"/>
      <c r="AA43" s="56"/>
    </row>
    <row r="44" spans="1:56" ht="12.75" x14ac:dyDescent="0.2">
      <c r="A44" s="56">
        <v>42</v>
      </c>
      <c r="B44" s="56" t="s">
        <v>58</v>
      </c>
      <c r="C44" s="86">
        <v>0.96350000000000002</v>
      </c>
      <c r="D44" s="90">
        <v>41096.1</v>
      </c>
      <c r="E44" s="90">
        <v>43904.67</v>
      </c>
      <c r="F44" s="34">
        <v>397208</v>
      </c>
      <c r="G44" s="34">
        <v>0</v>
      </c>
      <c r="H44" s="34">
        <v>0</v>
      </c>
      <c r="I44" s="34">
        <v>5123451</v>
      </c>
      <c r="J44" s="33">
        <v>851020</v>
      </c>
      <c r="K44" s="31">
        <v>12478081</v>
      </c>
      <c r="L44" s="31">
        <v>0</v>
      </c>
      <c r="M44" s="31">
        <v>14947445</v>
      </c>
      <c r="N44" s="34">
        <v>11310452</v>
      </c>
      <c r="O44" s="144">
        <f t="shared" si="0"/>
        <v>11310452</v>
      </c>
      <c r="P44" s="112"/>
      <c r="Q44" s="112">
        <v>0</v>
      </c>
      <c r="R44" s="116">
        <f t="shared" si="1"/>
        <v>0</v>
      </c>
      <c r="S44" s="31">
        <v>387284</v>
      </c>
      <c r="T44" s="31">
        <v>3336489</v>
      </c>
      <c r="U44" s="31">
        <v>144318</v>
      </c>
      <c r="V44" s="103">
        <v>51502</v>
      </c>
      <c r="W44" s="138">
        <f t="shared" si="2"/>
        <v>3140669</v>
      </c>
      <c r="X44" s="138">
        <v>582383</v>
      </c>
      <c r="Y44" s="138"/>
      <c r="Z44" s="56"/>
      <c r="AA44" s="56"/>
    </row>
    <row r="45" spans="1:56" ht="12.75" x14ac:dyDescent="0.2">
      <c r="A45" s="56">
        <v>43</v>
      </c>
      <c r="B45" s="56" t="s">
        <v>59</v>
      </c>
      <c r="C45" s="86">
        <v>1.0007999999999999</v>
      </c>
      <c r="D45" s="90">
        <v>18278.319999999996</v>
      </c>
      <c r="E45" s="90">
        <v>20026.810000000005</v>
      </c>
      <c r="F45" s="34">
        <v>18110</v>
      </c>
      <c r="G45" s="34">
        <v>0</v>
      </c>
      <c r="H45" s="34">
        <v>0</v>
      </c>
      <c r="I45" s="34">
        <v>0</v>
      </c>
      <c r="J45" s="33">
        <v>400219</v>
      </c>
      <c r="K45" s="31">
        <v>3703441</v>
      </c>
      <c r="L45" s="31">
        <v>0</v>
      </c>
      <c r="M45" s="31">
        <v>6619601</v>
      </c>
      <c r="N45" s="34">
        <v>13864706</v>
      </c>
      <c r="O45" s="144">
        <f t="shared" si="0"/>
        <v>13864706</v>
      </c>
      <c r="P45" s="112"/>
      <c r="Q45" s="112">
        <v>0</v>
      </c>
      <c r="R45" s="116">
        <f t="shared" si="1"/>
        <v>0</v>
      </c>
      <c r="S45" s="31">
        <v>183496</v>
      </c>
      <c r="T45" s="31">
        <v>1706473</v>
      </c>
      <c r="U45" s="31">
        <v>298834</v>
      </c>
      <c r="V45" s="103">
        <v>23211</v>
      </c>
      <c r="W45" s="138">
        <f t="shared" si="2"/>
        <v>1384428</v>
      </c>
      <c r="X45" s="138">
        <v>397834</v>
      </c>
      <c r="Y45" s="138"/>
      <c r="Z45" s="56"/>
      <c r="AA45" s="56"/>
    </row>
    <row r="46" spans="1:56" ht="12.75" x14ac:dyDescent="0.2">
      <c r="A46" s="56">
        <v>44</v>
      </c>
      <c r="B46" s="56" t="s">
        <v>60</v>
      </c>
      <c r="C46" s="86">
        <v>1.0193000000000001</v>
      </c>
      <c r="D46" s="90">
        <v>8097.76</v>
      </c>
      <c r="E46" s="90">
        <v>8695.6499999999978</v>
      </c>
      <c r="F46" s="34">
        <v>0</v>
      </c>
      <c r="G46" s="34">
        <v>0</v>
      </c>
      <c r="H46" s="34">
        <v>0</v>
      </c>
      <c r="I46" s="34">
        <v>0</v>
      </c>
      <c r="J46" s="33">
        <v>315933</v>
      </c>
      <c r="K46" s="31">
        <v>1798297</v>
      </c>
      <c r="L46" s="31">
        <v>0</v>
      </c>
      <c r="M46" s="31">
        <v>2968432</v>
      </c>
      <c r="N46" s="34">
        <v>15891657</v>
      </c>
      <c r="O46" s="144">
        <f t="shared" si="0"/>
        <v>15891657</v>
      </c>
      <c r="P46" s="112"/>
      <c r="Q46" s="112">
        <v>0</v>
      </c>
      <c r="R46" s="116">
        <f t="shared" si="1"/>
        <v>0</v>
      </c>
      <c r="S46" s="31">
        <v>81147</v>
      </c>
      <c r="T46" s="31">
        <v>651495</v>
      </c>
      <c r="U46" s="31">
        <v>8737</v>
      </c>
      <c r="V46" s="103">
        <v>10011</v>
      </c>
      <c r="W46" s="138">
        <f t="shared" si="2"/>
        <v>632747</v>
      </c>
      <c r="X46" s="138">
        <v>315494</v>
      </c>
      <c r="Y46" s="138"/>
      <c r="Z46" s="56"/>
      <c r="AA46" s="56"/>
    </row>
    <row r="47" spans="1:56" s="58" customFormat="1" ht="12.75" x14ac:dyDescent="0.2">
      <c r="A47" s="55">
        <v>45</v>
      </c>
      <c r="B47" s="55" t="s">
        <v>61</v>
      </c>
      <c r="C47" s="86">
        <v>0.99</v>
      </c>
      <c r="D47" s="90">
        <v>11031.060000000001</v>
      </c>
      <c r="E47" s="90">
        <v>11721.769999999999</v>
      </c>
      <c r="F47" s="34">
        <v>113490</v>
      </c>
      <c r="G47" s="34">
        <v>2077875</v>
      </c>
      <c r="H47" s="34">
        <v>0</v>
      </c>
      <c r="I47" s="34">
        <v>0</v>
      </c>
      <c r="J47" s="33">
        <v>217460</v>
      </c>
      <c r="K47" s="31">
        <v>2488304</v>
      </c>
      <c r="L47" s="31">
        <v>0</v>
      </c>
      <c r="M47" s="31">
        <v>2832583</v>
      </c>
      <c r="N47" s="98">
        <v>5089641</v>
      </c>
      <c r="O47" s="145">
        <f t="shared" si="0"/>
        <v>5089641</v>
      </c>
      <c r="P47" s="113"/>
      <c r="Q47" s="113">
        <v>0</v>
      </c>
      <c r="R47" s="117">
        <f t="shared" si="1"/>
        <v>0</v>
      </c>
      <c r="S47" s="32">
        <v>106242</v>
      </c>
      <c r="T47" s="32">
        <v>938037</v>
      </c>
      <c r="U47" s="32">
        <v>82204</v>
      </c>
      <c r="V47" s="105">
        <v>12449</v>
      </c>
      <c r="W47" s="139">
        <f t="shared" si="2"/>
        <v>843384</v>
      </c>
      <c r="X47" s="139">
        <v>339219</v>
      </c>
      <c r="Y47" s="139"/>
      <c r="Z47" s="56"/>
      <c r="AA47" s="56"/>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row>
    <row r="48" spans="1:56" ht="12.75" x14ac:dyDescent="0.2">
      <c r="A48" s="56">
        <v>46</v>
      </c>
      <c r="B48" s="56" t="s">
        <v>62</v>
      </c>
      <c r="C48" s="92">
        <v>0.98519999999999996</v>
      </c>
      <c r="D48" s="89">
        <v>30239.18</v>
      </c>
      <c r="E48" s="89">
        <v>33123.279999999999</v>
      </c>
      <c r="F48" s="99">
        <v>0</v>
      </c>
      <c r="G48" s="99">
        <v>0</v>
      </c>
      <c r="H48" s="99">
        <v>0</v>
      </c>
      <c r="I48" s="99">
        <v>1159370</v>
      </c>
      <c r="J48" s="87">
        <v>585684</v>
      </c>
      <c r="K48" s="93">
        <v>8504772</v>
      </c>
      <c r="L48" s="93">
        <v>0</v>
      </c>
      <c r="M48" s="93">
        <v>11006758</v>
      </c>
      <c r="N48" s="34">
        <v>10932835</v>
      </c>
      <c r="O48" s="144">
        <f t="shared" si="0"/>
        <v>10932835</v>
      </c>
      <c r="P48" s="112"/>
      <c r="Q48" s="112">
        <v>0</v>
      </c>
      <c r="R48" s="116">
        <f t="shared" si="1"/>
        <v>0</v>
      </c>
      <c r="S48" s="31">
        <v>298762</v>
      </c>
      <c r="T48" s="31">
        <v>2554185</v>
      </c>
      <c r="U48" s="31">
        <v>164917</v>
      </c>
      <c r="V48" s="103">
        <v>35177</v>
      </c>
      <c r="W48" s="138">
        <f t="shared" si="2"/>
        <v>2354091</v>
      </c>
      <c r="X48" s="138">
        <v>494573</v>
      </c>
      <c r="Y48" s="138"/>
      <c r="Z48" s="56"/>
      <c r="AA48" s="56"/>
    </row>
    <row r="49" spans="1:56" ht="12.75" x14ac:dyDescent="0.2">
      <c r="A49" s="56">
        <v>47</v>
      </c>
      <c r="B49" s="56" t="s">
        <v>63</v>
      </c>
      <c r="C49" s="86">
        <v>0.9667</v>
      </c>
      <c r="D49" s="90">
        <v>6317.41</v>
      </c>
      <c r="E49" s="90">
        <v>6677.55</v>
      </c>
      <c r="F49" s="34">
        <v>95798</v>
      </c>
      <c r="G49" s="34">
        <v>574657</v>
      </c>
      <c r="H49" s="34">
        <v>0</v>
      </c>
      <c r="I49" s="34">
        <v>1353442</v>
      </c>
      <c r="J49" s="33">
        <v>205679</v>
      </c>
      <c r="K49" s="31">
        <v>1599794</v>
      </c>
      <c r="L49" s="31">
        <v>0</v>
      </c>
      <c r="M49" s="31">
        <v>2701385</v>
      </c>
      <c r="N49" s="34">
        <v>1172855</v>
      </c>
      <c r="O49" s="144">
        <f t="shared" si="0"/>
        <v>1172855</v>
      </c>
      <c r="P49" s="112"/>
      <c r="Q49" s="112">
        <v>0</v>
      </c>
      <c r="R49" s="116">
        <f t="shared" si="1"/>
        <v>0</v>
      </c>
      <c r="S49" s="31">
        <v>59098</v>
      </c>
      <c r="T49" s="31">
        <v>519361</v>
      </c>
      <c r="U49" s="31">
        <v>23154</v>
      </c>
      <c r="V49" s="103">
        <v>10652</v>
      </c>
      <c r="W49" s="138">
        <f t="shared" si="2"/>
        <v>485555</v>
      </c>
      <c r="X49" s="138">
        <v>301095</v>
      </c>
      <c r="Y49" s="138"/>
      <c r="Z49" s="56"/>
      <c r="AA49" s="56"/>
    </row>
    <row r="50" spans="1:56" ht="12.75" x14ac:dyDescent="0.2">
      <c r="A50" s="56">
        <v>48</v>
      </c>
      <c r="B50" s="56" t="s">
        <v>64</v>
      </c>
      <c r="C50" s="86">
        <v>1.0021</v>
      </c>
      <c r="D50" s="90">
        <v>188528.46000000002</v>
      </c>
      <c r="E50" s="90">
        <v>208217.21000000002</v>
      </c>
      <c r="F50" s="34">
        <v>0</v>
      </c>
      <c r="G50" s="34">
        <v>0</v>
      </c>
      <c r="H50" s="34">
        <v>0</v>
      </c>
      <c r="I50" s="34">
        <v>7450645</v>
      </c>
      <c r="J50" s="33">
        <v>4823345</v>
      </c>
      <c r="K50" s="31">
        <v>40278408</v>
      </c>
      <c r="L50" s="31">
        <v>0</v>
      </c>
      <c r="M50" s="31">
        <v>51573416</v>
      </c>
      <c r="N50" s="34">
        <v>67940145</v>
      </c>
      <c r="O50" s="144">
        <f t="shared" si="0"/>
        <v>67940145</v>
      </c>
      <c r="P50" s="112"/>
      <c r="Q50" s="112">
        <v>0</v>
      </c>
      <c r="R50" s="116">
        <f t="shared" si="1"/>
        <v>0</v>
      </c>
      <c r="S50" s="31">
        <v>1910271</v>
      </c>
      <c r="T50" s="31">
        <v>15601903</v>
      </c>
      <c r="U50" s="31">
        <v>491680</v>
      </c>
      <c r="V50" s="103">
        <v>185477</v>
      </c>
      <c r="W50" s="138">
        <f t="shared" si="2"/>
        <v>14924746</v>
      </c>
      <c r="X50" s="138">
        <v>1774806</v>
      </c>
      <c r="Y50" s="138"/>
      <c r="Z50" s="56"/>
      <c r="AA50" s="56"/>
    </row>
    <row r="51" spans="1:56" ht="12.75" x14ac:dyDescent="0.2">
      <c r="A51" s="56">
        <v>49</v>
      </c>
      <c r="B51" s="56" t="s">
        <v>65</v>
      </c>
      <c r="C51" s="86">
        <v>0.98670000000000002</v>
      </c>
      <c r="D51" s="90">
        <v>58581.38</v>
      </c>
      <c r="E51" s="90">
        <v>63289.61</v>
      </c>
      <c r="F51" s="34">
        <v>0</v>
      </c>
      <c r="G51" s="34">
        <v>0</v>
      </c>
      <c r="H51" s="34">
        <v>0</v>
      </c>
      <c r="I51" s="34">
        <v>9523575</v>
      </c>
      <c r="J51" s="33">
        <v>1077367</v>
      </c>
      <c r="K51" s="31">
        <v>12770625</v>
      </c>
      <c r="L51" s="31">
        <v>0</v>
      </c>
      <c r="M51" s="31">
        <v>15493798</v>
      </c>
      <c r="N51" s="34">
        <v>13902707</v>
      </c>
      <c r="O51" s="144">
        <f t="shared" si="0"/>
        <v>13902707</v>
      </c>
      <c r="P51" s="112"/>
      <c r="Q51" s="112">
        <v>0</v>
      </c>
      <c r="R51" s="116">
        <f t="shared" si="1"/>
        <v>0</v>
      </c>
      <c r="S51" s="31">
        <v>571722</v>
      </c>
      <c r="T51" s="31">
        <v>5058627</v>
      </c>
      <c r="U51" s="31">
        <v>279922</v>
      </c>
      <c r="V51" s="103">
        <v>55687</v>
      </c>
      <c r="W51" s="138">
        <f t="shared" si="2"/>
        <v>4723018</v>
      </c>
      <c r="X51" s="138">
        <v>723802</v>
      </c>
      <c r="Y51" s="138"/>
      <c r="Z51" s="56"/>
      <c r="AA51" s="56"/>
    </row>
    <row r="52" spans="1:56" s="58" customFormat="1" ht="12.75" x14ac:dyDescent="0.2">
      <c r="A52" s="55">
        <v>50</v>
      </c>
      <c r="B52" s="55" t="s">
        <v>66</v>
      </c>
      <c r="C52" s="85">
        <v>1.0289999999999999</v>
      </c>
      <c r="D52" s="91">
        <v>181379.80000000002</v>
      </c>
      <c r="E52" s="91">
        <v>198050.23</v>
      </c>
      <c r="F52" s="98">
        <v>0</v>
      </c>
      <c r="G52" s="98">
        <v>0</v>
      </c>
      <c r="H52" s="98">
        <v>0</v>
      </c>
      <c r="I52" s="98">
        <v>0</v>
      </c>
      <c r="J52" s="88">
        <v>4230917</v>
      </c>
      <c r="K52" s="32">
        <v>34651002</v>
      </c>
      <c r="L52" s="32">
        <v>0</v>
      </c>
      <c r="M52" s="32">
        <v>65204545</v>
      </c>
      <c r="N52" s="98">
        <v>103698709</v>
      </c>
      <c r="O52" s="145">
        <f t="shared" si="0"/>
        <v>103698709</v>
      </c>
      <c r="P52" s="113"/>
      <c r="Q52" s="113">
        <v>0</v>
      </c>
      <c r="R52" s="117">
        <f t="shared" si="1"/>
        <v>0</v>
      </c>
      <c r="S52" s="32">
        <v>1865769</v>
      </c>
      <c r="T52" s="32">
        <v>14516518</v>
      </c>
      <c r="U52" s="32">
        <v>325226</v>
      </c>
      <c r="V52" s="105">
        <v>227365</v>
      </c>
      <c r="W52" s="139">
        <f t="shared" si="2"/>
        <v>13963927</v>
      </c>
      <c r="X52" s="139">
        <v>1716988</v>
      </c>
      <c r="Y52" s="139"/>
      <c r="Z52" s="56"/>
      <c r="AA52" s="56"/>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row>
    <row r="53" spans="1:56" ht="12.75" x14ac:dyDescent="0.2">
      <c r="A53" s="56">
        <v>51</v>
      </c>
      <c r="B53" s="56" t="s">
        <v>67</v>
      </c>
      <c r="C53" s="86">
        <v>0.99039999999999995</v>
      </c>
      <c r="D53" s="90">
        <v>67955.069999999992</v>
      </c>
      <c r="E53" s="90">
        <v>74328.72</v>
      </c>
      <c r="F53" s="34">
        <v>0</v>
      </c>
      <c r="G53" s="34">
        <v>0</v>
      </c>
      <c r="H53" s="34">
        <v>0</v>
      </c>
      <c r="I53" s="34">
        <v>10961832</v>
      </c>
      <c r="J53" s="33">
        <v>1363447</v>
      </c>
      <c r="K53" s="31">
        <v>18096564</v>
      </c>
      <c r="L53" s="31">
        <v>0</v>
      </c>
      <c r="M53" s="31">
        <v>26809737</v>
      </c>
      <c r="N53" s="34">
        <v>16212971</v>
      </c>
      <c r="O53" s="144">
        <f t="shared" si="0"/>
        <v>16212971</v>
      </c>
      <c r="P53" s="112"/>
      <c r="Q53" s="112">
        <v>0</v>
      </c>
      <c r="R53" s="116">
        <f t="shared" si="1"/>
        <v>0</v>
      </c>
      <c r="S53" s="31">
        <v>673961</v>
      </c>
      <c r="T53" s="31">
        <v>5608398</v>
      </c>
      <c r="U53" s="31">
        <v>183080</v>
      </c>
      <c r="V53" s="103">
        <v>81198</v>
      </c>
      <c r="W53" s="138">
        <f t="shared" si="2"/>
        <v>5344120</v>
      </c>
      <c r="X53" s="138">
        <v>799616</v>
      </c>
      <c r="Y53" s="138"/>
      <c r="Z53" s="56"/>
      <c r="AA53" s="56"/>
    </row>
    <row r="54" spans="1:56" ht="12.75" x14ac:dyDescent="0.2">
      <c r="A54" s="56">
        <v>52</v>
      </c>
      <c r="B54" s="56" t="s">
        <v>68</v>
      </c>
      <c r="C54" s="86">
        <v>1.0023</v>
      </c>
      <c r="D54" s="90">
        <v>102984.53</v>
      </c>
      <c r="E54" s="90">
        <v>111030.44999999998</v>
      </c>
      <c r="F54" s="34">
        <v>0</v>
      </c>
      <c r="G54" s="34">
        <v>0</v>
      </c>
      <c r="H54" s="34">
        <v>0</v>
      </c>
      <c r="I54" s="34">
        <v>0</v>
      </c>
      <c r="J54" s="33">
        <v>3034488</v>
      </c>
      <c r="K54" s="31">
        <v>20832564</v>
      </c>
      <c r="L54" s="31">
        <v>0</v>
      </c>
      <c r="M54" s="31">
        <v>42216876</v>
      </c>
      <c r="N54" s="34">
        <v>45351716</v>
      </c>
      <c r="O54" s="144">
        <f t="shared" si="0"/>
        <v>45351716</v>
      </c>
      <c r="P54" s="112"/>
      <c r="Q54" s="112">
        <v>0</v>
      </c>
      <c r="R54" s="116">
        <f t="shared" si="1"/>
        <v>0</v>
      </c>
      <c r="S54" s="31">
        <v>1018842</v>
      </c>
      <c r="T54" s="31">
        <v>8608837</v>
      </c>
      <c r="U54" s="31">
        <v>554830</v>
      </c>
      <c r="V54" s="103">
        <v>110719</v>
      </c>
      <c r="W54" s="138">
        <f t="shared" si="2"/>
        <v>7943288</v>
      </c>
      <c r="X54" s="138">
        <v>1082932</v>
      </c>
      <c r="Y54" s="138"/>
      <c r="Z54" s="56"/>
      <c r="AA54" s="56"/>
    </row>
    <row r="55" spans="1:56" ht="12.75" x14ac:dyDescent="0.2">
      <c r="A55" s="56">
        <v>53</v>
      </c>
      <c r="B55" s="56" t="s">
        <v>69</v>
      </c>
      <c r="C55" s="86">
        <v>0.98540000000000005</v>
      </c>
      <c r="D55" s="90">
        <v>96333.32</v>
      </c>
      <c r="E55" s="90">
        <v>103426.59999999998</v>
      </c>
      <c r="F55" s="34">
        <v>0</v>
      </c>
      <c r="G55" s="34">
        <v>0</v>
      </c>
      <c r="H55" s="34">
        <v>0</v>
      </c>
      <c r="I55" s="34">
        <v>18732977</v>
      </c>
      <c r="J55" s="33">
        <v>1942229</v>
      </c>
      <c r="K55" s="31">
        <v>22548786</v>
      </c>
      <c r="L55" s="31">
        <v>0</v>
      </c>
      <c r="M55" s="31">
        <v>33062301</v>
      </c>
      <c r="N55" s="34">
        <v>19789701</v>
      </c>
      <c r="O55" s="144">
        <f t="shared" si="0"/>
        <v>19789701</v>
      </c>
      <c r="P55" s="112"/>
      <c r="Q55" s="112">
        <v>0</v>
      </c>
      <c r="R55" s="116">
        <f t="shared" si="1"/>
        <v>0</v>
      </c>
      <c r="S55" s="31">
        <v>933065</v>
      </c>
      <c r="T55" s="31">
        <v>7783530</v>
      </c>
      <c r="U55" s="31">
        <v>395054</v>
      </c>
      <c r="V55" s="103">
        <v>92869</v>
      </c>
      <c r="W55" s="138">
        <f t="shared" si="2"/>
        <v>7295607</v>
      </c>
      <c r="X55" s="138">
        <v>1029138</v>
      </c>
      <c r="Y55" s="138"/>
      <c r="Z55" s="56"/>
      <c r="AA55" s="56"/>
    </row>
    <row r="56" spans="1:56" ht="12.75" x14ac:dyDescent="0.2">
      <c r="A56" s="56">
        <v>54</v>
      </c>
      <c r="B56" s="56" t="s">
        <v>70</v>
      </c>
      <c r="C56" s="86">
        <v>0.96299999999999997</v>
      </c>
      <c r="D56" s="90">
        <v>10655.810000000001</v>
      </c>
      <c r="E56" s="90">
        <v>11272.23</v>
      </c>
      <c r="F56" s="34">
        <v>73227</v>
      </c>
      <c r="G56" s="34">
        <v>2734798</v>
      </c>
      <c r="H56" s="34">
        <v>0</v>
      </c>
      <c r="I56" s="34">
        <v>1582388</v>
      </c>
      <c r="J56" s="33">
        <v>311528</v>
      </c>
      <c r="K56" s="31">
        <v>2765345</v>
      </c>
      <c r="L56" s="31">
        <v>0</v>
      </c>
      <c r="M56" s="31">
        <v>3283996</v>
      </c>
      <c r="N56" s="34">
        <v>2678806</v>
      </c>
      <c r="O56" s="144">
        <f t="shared" si="0"/>
        <v>2678806</v>
      </c>
      <c r="P56" s="112"/>
      <c r="Q56" s="112">
        <v>0</v>
      </c>
      <c r="R56" s="116">
        <f t="shared" si="1"/>
        <v>0</v>
      </c>
      <c r="S56" s="31">
        <v>99381</v>
      </c>
      <c r="T56" s="31">
        <v>853488</v>
      </c>
      <c r="U56" s="31">
        <v>26823</v>
      </c>
      <c r="V56" s="103">
        <v>14565</v>
      </c>
      <c r="W56" s="138">
        <f t="shared" si="2"/>
        <v>812100</v>
      </c>
      <c r="X56" s="138">
        <v>336184</v>
      </c>
      <c r="Y56" s="138"/>
      <c r="Z56" s="56"/>
      <c r="AA56" s="56"/>
    </row>
    <row r="57" spans="1:56" s="58" customFormat="1" ht="12.75" x14ac:dyDescent="0.2">
      <c r="A57" s="55">
        <v>55</v>
      </c>
      <c r="B57" s="55" t="s">
        <v>71</v>
      </c>
      <c r="C57" s="86">
        <v>0.98480000000000001</v>
      </c>
      <c r="D57" s="90">
        <v>33869.449999999997</v>
      </c>
      <c r="E57" s="90">
        <v>36851.160000000003</v>
      </c>
      <c r="F57" s="34">
        <v>0</v>
      </c>
      <c r="G57" s="34">
        <v>0</v>
      </c>
      <c r="H57" s="34">
        <v>0</v>
      </c>
      <c r="I57" s="34">
        <v>0</v>
      </c>
      <c r="J57" s="33">
        <v>583013</v>
      </c>
      <c r="K57" s="31">
        <v>6510859</v>
      </c>
      <c r="L57" s="31">
        <v>0</v>
      </c>
      <c r="M57" s="31">
        <v>9835690</v>
      </c>
      <c r="N57" s="98">
        <v>14257886</v>
      </c>
      <c r="O57" s="145">
        <f t="shared" si="0"/>
        <v>14257886</v>
      </c>
      <c r="P57" s="113"/>
      <c r="Q57" s="113">
        <v>0</v>
      </c>
      <c r="R57" s="117">
        <f t="shared" si="1"/>
        <v>0</v>
      </c>
      <c r="S57" s="32">
        <v>332251</v>
      </c>
      <c r="T57" s="32">
        <v>2846431</v>
      </c>
      <c r="U57" s="32">
        <v>115161</v>
      </c>
      <c r="V57" s="105">
        <v>40143</v>
      </c>
      <c r="W57" s="139">
        <f t="shared" si="2"/>
        <v>2691127</v>
      </c>
      <c r="X57" s="139">
        <v>523934</v>
      </c>
      <c r="Y57" s="139"/>
      <c r="Z57" s="56"/>
      <c r="AA57" s="56"/>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row>
    <row r="58" spans="1:56" ht="12.75" x14ac:dyDescent="0.2">
      <c r="A58" s="56">
        <v>56</v>
      </c>
      <c r="B58" s="56" t="s">
        <v>72</v>
      </c>
      <c r="C58" s="92">
        <v>0.99139999999999995</v>
      </c>
      <c r="D58" s="89">
        <v>38165.75</v>
      </c>
      <c r="E58" s="89">
        <v>40498.32</v>
      </c>
      <c r="F58" s="99">
        <v>594938</v>
      </c>
      <c r="G58" s="99">
        <v>0</v>
      </c>
      <c r="H58" s="99">
        <v>0</v>
      </c>
      <c r="I58" s="99">
        <v>2719691</v>
      </c>
      <c r="J58" s="87">
        <v>783371</v>
      </c>
      <c r="K58" s="93">
        <v>9150643</v>
      </c>
      <c r="L58" s="93">
        <v>0</v>
      </c>
      <c r="M58" s="93">
        <v>15164573</v>
      </c>
      <c r="N58" s="34">
        <v>12542571</v>
      </c>
      <c r="O58" s="144">
        <f t="shared" si="0"/>
        <v>12542571</v>
      </c>
      <c r="P58" s="112"/>
      <c r="Q58" s="112">
        <v>0</v>
      </c>
      <c r="R58" s="116">
        <f t="shared" si="1"/>
        <v>0</v>
      </c>
      <c r="S58" s="31">
        <v>367581</v>
      </c>
      <c r="T58" s="31">
        <v>3215222</v>
      </c>
      <c r="U58" s="31">
        <v>246385</v>
      </c>
      <c r="V58" s="103">
        <v>35496</v>
      </c>
      <c r="W58" s="138">
        <f t="shared" si="2"/>
        <v>2933341</v>
      </c>
      <c r="X58" s="138">
        <v>558682</v>
      </c>
      <c r="Y58" s="138"/>
      <c r="Z58" s="56"/>
      <c r="AA58" s="56"/>
    </row>
    <row r="59" spans="1:56" ht="12.75" x14ac:dyDescent="0.2">
      <c r="A59" s="56">
        <v>57</v>
      </c>
      <c r="B59" s="56" t="s">
        <v>73</v>
      </c>
      <c r="C59" s="86">
        <v>0.96020000000000005</v>
      </c>
      <c r="D59" s="90">
        <v>25335.26</v>
      </c>
      <c r="E59" s="90">
        <v>27212.219999999998</v>
      </c>
      <c r="F59" s="34">
        <v>57673</v>
      </c>
      <c r="G59" s="34">
        <v>0</v>
      </c>
      <c r="H59" s="34">
        <v>0</v>
      </c>
      <c r="I59" s="34">
        <v>4013865</v>
      </c>
      <c r="J59" s="33">
        <v>380977</v>
      </c>
      <c r="K59" s="31">
        <v>7628436</v>
      </c>
      <c r="L59" s="31">
        <v>0</v>
      </c>
      <c r="M59" s="31">
        <v>8230038</v>
      </c>
      <c r="N59" s="34">
        <v>6117565</v>
      </c>
      <c r="O59" s="144">
        <f t="shared" si="0"/>
        <v>6117565</v>
      </c>
      <c r="P59" s="112"/>
      <c r="Q59" s="112">
        <v>0</v>
      </c>
      <c r="R59" s="116">
        <f t="shared" si="1"/>
        <v>0</v>
      </c>
      <c r="S59" s="31">
        <v>239217</v>
      </c>
      <c r="T59" s="31">
        <v>2253912</v>
      </c>
      <c r="U59" s="31">
        <v>307775</v>
      </c>
      <c r="V59" s="103">
        <v>24515</v>
      </c>
      <c r="W59" s="138">
        <f t="shared" si="2"/>
        <v>1921622</v>
      </c>
      <c r="X59" s="138">
        <v>454910</v>
      </c>
      <c r="Y59" s="138"/>
      <c r="Z59" s="56"/>
      <c r="AA59" s="56"/>
    </row>
    <row r="60" spans="1:56" ht="12.75" x14ac:dyDescent="0.2">
      <c r="A60" s="56">
        <v>58</v>
      </c>
      <c r="B60" s="56" t="s">
        <v>74</v>
      </c>
      <c r="C60" s="86">
        <v>1.0048999999999999</v>
      </c>
      <c r="D60" s="90">
        <v>41317.270000000004</v>
      </c>
      <c r="E60" s="90">
        <v>45220.08</v>
      </c>
      <c r="F60" s="34">
        <v>0</v>
      </c>
      <c r="G60" s="34">
        <v>0</v>
      </c>
      <c r="H60" s="34">
        <v>0</v>
      </c>
      <c r="I60" s="34">
        <v>0</v>
      </c>
      <c r="J60" s="33">
        <v>1004546</v>
      </c>
      <c r="K60" s="31">
        <v>8387902</v>
      </c>
      <c r="L60" s="31">
        <v>0</v>
      </c>
      <c r="M60" s="31">
        <v>21042028</v>
      </c>
      <c r="N60" s="34">
        <v>33468143</v>
      </c>
      <c r="O60" s="144">
        <f t="shared" si="0"/>
        <v>33468143</v>
      </c>
      <c r="P60" s="112"/>
      <c r="Q60" s="112">
        <v>0</v>
      </c>
      <c r="R60" s="116">
        <f t="shared" si="1"/>
        <v>0</v>
      </c>
      <c r="S60" s="31">
        <v>416027</v>
      </c>
      <c r="T60" s="31">
        <v>3422376</v>
      </c>
      <c r="U60" s="31">
        <v>211890</v>
      </c>
      <c r="V60" s="103">
        <v>48215</v>
      </c>
      <c r="W60" s="138">
        <f t="shared" si="2"/>
        <v>3162271</v>
      </c>
      <c r="X60" s="138">
        <v>584171</v>
      </c>
      <c r="Y60" s="138"/>
      <c r="Z60" s="56"/>
      <c r="AA60" s="56"/>
    </row>
    <row r="61" spans="1:56" ht="12.75" x14ac:dyDescent="0.2">
      <c r="A61" s="56">
        <v>59</v>
      </c>
      <c r="B61" s="56" t="s">
        <v>75</v>
      </c>
      <c r="C61" s="86">
        <v>0.99429999999999996</v>
      </c>
      <c r="D61" s="90">
        <v>63877.440000000002</v>
      </c>
      <c r="E61" s="90">
        <v>68930.099999999991</v>
      </c>
      <c r="F61" s="34">
        <v>213336</v>
      </c>
      <c r="G61" s="34">
        <v>0</v>
      </c>
      <c r="H61" s="34">
        <v>0</v>
      </c>
      <c r="I61" s="34">
        <v>5403393</v>
      </c>
      <c r="J61" s="33">
        <v>1248717</v>
      </c>
      <c r="K61" s="31">
        <v>15251564</v>
      </c>
      <c r="L61" s="31">
        <v>0</v>
      </c>
      <c r="M61" s="31">
        <v>18019723</v>
      </c>
      <c r="N61" s="34">
        <v>20140827</v>
      </c>
      <c r="O61" s="144">
        <f t="shared" si="0"/>
        <v>20140827</v>
      </c>
      <c r="P61" s="112"/>
      <c r="Q61" s="112">
        <v>0</v>
      </c>
      <c r="R61" s="116">
        <f t="shared" si="1"/>
        <v>0</v>
      </c>
      <c r="S61" s="31">
        <v>627471</v>
      </c>
      <c r="T61" s="31">
        <v>5017217</v>
      </c>
      <c r="U61" s="31">
        <v>100164</v>
      </c>
      <c r="V61" s="103">
        <v>67507</v>
      </c>
      <c r="W61" s="138">
        <f t="shared" si="2"/>
        <v>4849546</v>
      </c>
      <c r="X61" s="138">
        <v>766637</v>
      </c>
      <c r="Y61" s="138"/>
      <c r="Z61" s="56"/>
      <c r="AA61" s="56"/>
    </row>
    <row r="62" spans="1:56" s="58" customFormat="1" ht="12.75" x14ac:dyDescent="0.2">
      <c r="A62" s="55">
        <v>60</v>
      </c>
      <c r="B62" s="55" t="s">
        <v>76</v>
      </c>
      <c r="C62" s="85">
        <v>0.96419999999999995</v>
      </c>
      <c r="D62" s="91">
        <v>8156.1999999999989</v>
      </c>
      <c r="E62" s="91">
        <v>8665.48</v>
      </c>
      <c r="F62" s="98">
        <v>0</v>
      </c>
      <c r="G62" s="98">
        <v>0</v>
      </c>
      <c r="H62" s="98">
        <v>0</v>
      </c>
      <c r="I62" s="98">
        <v>0</v>
      </c>
      <c r="J62" s="88">
        <v>189040</v>
      </c>
      <c r="K62" s="32">
        <v>1609191</v>
      </c>
      <c r="L62" s="32">
        <v>0</v>
      </c>
      <c r="M62" s="32">
        <v>2948447</v>
      </c>
      <c r="N62" s="98">
        <v>6696960</v>
      </c>
      <c r="O62" s="145">
        <f t="shared" si="0"/>
        <v>6696960</v>
      </c>
      <c r="P62" s="113"/>
      <c r="Q62" s="113">
        <v>0</v>
      </c>
      <c r="R62" s="117">
        <f t="shared" si="1"/>
        <v>0</v>
      </c>
      <c r="S62" s="32">
        <v>76494</v>
      </c>
      <c r="T62" s="32">
        <v>696700</v>
      </c>
      <c r="U62" s="32">
        <v>40629</v>
      </c>
      <c r="V62" s="105">
        <v>9205</v>
      </c>
      <c r="W62" s="139">
        <f t="shared" si="2"/>
        <v>646866</v>
      </c>
      <c r="X62" s="139">
        <v>315967</v>
      </c>
      <c r="Y62" s="139"/>
      <c r="Z62" s="56"/>
      <c r="AA62" s="56"/>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row>
    <row r="63" spans="1:56" ht="12.75" x14ac:dyDescent="0.2">
      <c r="A63" s="56">
        <v>61</v>
      </c>
      <c r="B63" s="56" t="s">
        <v>77</v>
      </c>
      <c r="C63" s="86">
        <v>0.93930000000000002</v>
      </c>
      <c r="D63" s="90">
        <v>5798.7400000000007</v>
      </c>
      <c r="E63" s="90">
        <v>6121.67</v>
      </c>
      <c r="F63" s="34">
        <v>51072</v>
      </c>
      <c r="G63" s="34">
        <v>1946590</v>
      </c>
      <c r="H63" s="34">
        <v>0</v>
      </c>
      <c r="I63" s="34">
        <v>1121592</v>
      </c>
      <c r="J63" s="33">
        <v>161322</v>
      </c>
      <c r="K63" s="31">
        <v>1239910</v>
      </c>
      <c r="L63" s="31">
        <v>0</v>
      </c>
      <c r="M63" s="31">
        <v>397769</v>
      </c>
      <c r="N63" s="34">
        <v>1197248</v>
      </c>
      <c r="O63" s="144">
        <f t="shared" si="0"/>
        <v>1197248</v>
      </c>
      <c r="P63" s="112"/>
      <c r="Q63" s="112">
        <v>0</v>
      </c>
      <c r="R63" s="116">
        <f t="shared" si="1"/>
        <v>0</v>
      </c>
      <c r="S63" s="31">
        <v>52643</v>
      </c>
      <c r="T63" s="31">
        <v>463771</v>
      </c>
      <c r="U63" s="31">
        <v>15662</v>
      </c>
      <c r="V63" s="103">
        <v>5197</v>
      </c>
      <c r="W63" s="138">
        <f t="shared" si="2"/>
        <v>442912</v>
      </c>
      <c r="X63" s="138">
        <v>296900</v>
      </c>
      <c r="Y63" s="138"/>
      <c r="Z63" s="56"/>
      <c r="AA63" s="56"/>
    </row>
    <row r="64" spans="1:56" ht="12.75" x14ac:dyDescent="0.2">
      <c r="A64" s="56">
        <v>62</v>
      </c>
      <c r="B64" s="56" t="s">
        <v>78</v>
      </c>
      <c r="C64" s="86">
        <v>0.93379999999999996</v>
      </c>
      <c r="D64" s="90">
        <v>2655.46</v>
      </c>
      <c r="E64" s="90">
        <v>2847.1100000000006</v>
      </c>
      <c r="F64" s="34">
        <v>29866</v>
      </c>
      <c r="G64" s="34">
        <v>999000</v>
      </c>
      <c r="H64" s="34">
        <v>0</v>
      </c>
      <c r="I64" s="34">
        <v>114238</v>
      </c>
      <c r="J64" s="33">
        <v>113415</v>
      </c>
      <c r="K64" s="31">
        <v>608634</v>
      </c>
      <c r="L64" s="31">
        <v>0</v>
      </c>
      <c r="M64" s="31">
        <v>963837</v>
      </c>
      <c r="N64" s="34">
        <v>947659</v>
      </c>
      <c r="O64" s="144">
        <f t="shared" si="0"/>
        <v>947659</v>
      </c>
      <c r="P64" s="112"/>
      <c r="Q64" s="112">
        <v>0</v>
      </c>
      <c r="R64" s="116">
        <f t="shared" si="1"/>
        <v>0</v>
      </c>
      <c r="S64" s="31">
        <v>24340</v>
      </c>
      <c r="T64" s="31">
        <v>223774</v>
      </c>
      <c r="U64" s="31">
        <v>16745</v>
      </c>
      <c r="V64" s="103">
        <v>3682</v>
      </c>
      <c r="W64" s="138">
        <f t="shared" si="2"/>
        <v>203347</v>
      </c>
      <c r="X64" s="138">
        <v>271477</v>
      </c>
      <c r="Y64" s="138"/>
      <c r="Z64" s="56"/>
      <c r="AA64" s="56"/>
    </row>
    <row r="65" spans="1:56" ht="12.75" x14ac:dyDescent="0.2">
      <c r="A65" s="56">
        <v>63</v>
      </c>
      <c r="B65" s="56" t="s">
        <v>79</v>
      </c>
      <c r="C65" s="86">
        <v>0.9637</v>
      </c>
      <c r="D65" s="90">
        <v>2287.8699999999994</v>
      </c>
      <c r="E65" s="90">
        <v>2431.9500000000003</v>
      </c>
      <c r="F65" s="34">
        <v>0</v>
      </c>
      <c r="G65" s="34">
        <v>988369</v>
      </c>
      <c r="H65" s="34">
        <v>0</v>
      </c>
      <c r="I65" s="34">
        <v>730036</v>
      </c>
      <c r="J65" s="33">
        <v>88718</v>
      </c>
      <c r="K65" s="31">
        <v>500460</v>
      </c>
      <c r="L65" s="31">
        <v>0</v>
      </c>
      <c r="M65" s="31">
        <v>537866</v>
      </c>
      <c r="N65" s="34">
        <v>184857</v>
      </c>
      <c r="O65" s="144">
        <f t="shared" si="0"/>
        <v>184857</v>
      </c>
      <c r="P65" s="112"/>
      <c r="Q65" s="112">
        <v>0</v>
      </c>
      <c r="R65" s="116">
        <f t="shared" si="1"/>
        <v>0</v>
      </c>
      <c r="S65" s="31">
        <v>21457</v>
      </c>
      <c r="T65" s="31">
        <v>187869</v>
      </c>
      <c r="U65" s="31">
        <v>8504</v>
      </c>
      <c r="V65" s="103">
        <v>2960</v>
      </c>
      <c r="W65" s="138">
        <f t="shared" si="2"/>
        <v>176405</v>
      </c>
      <c r="X65" s="138">
        <v>268504</v>
      </c>
      <c r="Y65" s="138"/>
      <c r="Z65" s="56"/>
      <c r="AA65" s="56"/>
    </row>
    <row r="66" spans="1:56" ht="12.75" x14ac:dyDescent="0.2">
      <c r="A66" s="56">
        <v>64</v>
      </c>
      <c r="B66" s="56" t="s">
        <v>80</v>
      </c>
      <c r="C66" s="86">
        <v>0.97389999999999999</v>
      </c>
      <c r="D66" s="90">
        <v>61012.69</v>
      </c>
      <c r="E66" s="90">
        <v>66415.759999999995</v>
      </c>
      <c r="F66" s="34">
        <v>0</v>
      </c>
      <c r="G66" s="34">
        <v>0</v>
      </c>
      <c r="H66" s="34">
        <v>0</v>
      </c>
      <c r="I66" s="34">
        <v>3950572</v>
      </c>
      <c r="J66" s="33">
        <v>1615202</v>
      </c>
      <c r="K66" s="31">
        <v>16098814</v>
      </c>
      <c r="L66" s="31">
        <v>0</v>
      </c>
      <c r="M66" s="31">
        <v>22103900</v>
      </c>
      <c r="N66" s="34">
        <v>20447962</v>
      </c>
      <c r="O66" s="144">
        <f t="shared" si="0"/>
        <v>20447962</v>
      </c>
      <c r="P66" s="112"/>
      <c r="Q66" s="112">
        <v>0</v>
      </c>
      <c r="R66" s="116">
        <f t="shared" si="1"/>
        <v>0</v>
      </c>
      <c r="S66" s="31">
        <v>592179</v>
      </c>
      <c r="T66" s="31">
        <v>4974395</v>
      </c>
      <c r="U66" s="31">
        <v>256589</v>
      </c>
      <c r="V66" s="103">
        <v>80884</v>
      </c>
      <c r="W66" s="138">
        <f t="shared" si="2"/>
        <v>4636922</v>
      </c>
      <c r="X66" s="138">
        <v>743467</v>
      </c>
      <c r="Y66" s="138"/>
      <c r="Z66" s="56"/>
      <c r="AA66" s="56"/>
    </row>
    <row r="67" spans="1:56" s="58" customFormat="1" ht="12.75" x14ac:dyDescent="0.2">
      <c r="A67" s="55">
        <v>65</v>
      </c>
      <c r="B67" s="55" t="s">
        <v>81</v>
      </c>
      <c r="C67" s="86">
        <v>0.95450000000000002</v>
      </c>
      <c r="D67" s="90">
        <v>4949.54</v>
      </c>
      <c r="E67" s="90">
        <v>5310.3399999999992</v>
      </c>
      <c r="F67" s="34">
        <v>40750</v>
      </c>
      <c r="G67" s="34">
        <v>661028</v>
      </c>
      <c r="H67" s="34">
        <v>0</v>
      </c>
      <c r="I67" s="34">
        <v>1111667</v>
      </c>
      <c r="J67" s="33">
        <v>135614</v>
      </c>
      <c r="K67" s="31">
        <v>952704</v>
      </c>
      <c r="L67" s="31">
        <v>0</v>
      </c>
      <c r="M67" s="31">
        <v>1478829</v>
      </c>
      <c r="N67" s="98">
        <v>867595</v>
      </c>
      <c r="O67" s="145">
        <f t="shared" si="0"/>
        <v>867595</v>
      </c>
      <c r="P67" s="113"/>
      <c r="Q67" s="113">
        <v>0</v>
      </c>
      <c r="R67" s="117">
        <f t="shared" si="1"/>
        <v>0</v>
      </c>
      <c r="S67" s="32">
        <v>46405</v>
      </c>
      <c r="T67" s="32">
        <v>401716</v>
      </c>
      <c r="U67" s="32">
        <v>15901</v>
      </c>
      <c r="V67" s="105">
        <v>8051</v>
      </c>
      <c r="W67" s="139">
        <f t="shared" si="2"/>
        <v>377764</v>
      </c>
      <c r="X67" s="139">
        <v>290032</v>
      </c>
      <c r="Y67" s="139"/>
      <c r="Z67" s="56"/>
      <c r="AA67" s="56"/>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row>
    <row r="68" spans="1:56" ht="12.75" x14ac:dyDescent="0.2">
      <c r="A68" s="56">
        <v>66</v>
      </c>
      <c r="B68" s="56" t="s">
        <v>82</v>
      </c>
      <c r="C68" s="92">
        <v>0.97260000000000002</v>
      </c>
      <c r="D68" s="89">
        <v>8011.3300000000008</v>
      </c>
      <c r="E68" s="89">
        <v>8469.64</v>
      </c>
      <c r="F68" s="99">
        <v>0</v>
      </c>
      <c r="G68" s="99">
        <v>0</v>
      </c>
      <c r="H68" s="99">
        <v>0</v>
      </c>
      <c r="I68" s="99">
        <v>0</v>
      </c>
      <c r="J68" s="87">
        <v>221171</v>
      </c>
      <c r="K68" s="93">
        <v>1384969</v>
      </c>
      <c r="L68" s="93">
        <v>0</v>
      </c>
      <c r="M68" s="93">
        <v>2240427</v>
      </c>
      <c r="N68" s="34">
        <v>8828155</v>
      </c>
      <c r="O68" s="144">
        <f t="shared" ref="O68:O77" si="3">N68</f>
        <v>8828155</v>
      </c>
      <c r="P68" s="112"/>
      <c r="Q68" s="112">
        <v>0</v>
      </c>
      <c r="R68" s="116">
        <f t="shared" ref="R68:R77" si="4">SUM(P68,Q68)</f>
        <v>0</v>
      </c>
      <c r="S68" s="31">
        <v>75416</v>
      </c>
      <c r="T68" s="31">
        <v>701794</v>
      </c>
      <c r="U68" s="31">
        <v>40599</v>
      </c>
      <c r="V68" s="103">
        <v>6494</v>
      </c>
      <c r="W68" s="138">
        <f t="shared" ref="W68:W77" si="5">T68-U68-V68</f>
        <v>654701</v>
      </c>
      <c r="X68" s="138">
        <v>314795</v>
      </c>
      <c r="Y68" s="138"/>
      <c r="Z68" s="56"/>
      <c r="AA68" s="56"/>
    </row>
    <row r="69" spans="1:56" s="58" customFormat="1" ht="12.75" x14ac:dyDescent="0.2">
      <c r="A69" s="56">
        <v>67</v>
      </c>
      <c r="B69" s="56" t="s">
        <v>83</v>
      </c>
      <c r="C69" s="86">
        <v>0.93620000000000003</v>
      </c>
      <c r="D69" s="90">
        <v>3286.44</v>
      </c>
      <c r="E69" s="90">
        <v>3527.77</v>
      </c>
      <c r="F69" s="34">
        <v>0</v>
      </c>
      <c r="G69" s="34">
        <v>1858235</v>
      </c>
      <c r="H69" s="34">
        <v>0</v>
      </c>
      <c r="I69" s="34">
        <v>637142</v>
      </c>
      <c r="J69" s="33">
        <v>112539</v>
      </c>
      <c r="K69" s="31">
        <v>891941</v>
      </c>
      <c r="L69" s="31">
        <v>0</v>
      </c>
      <c r="M69" s="31">
        <v>723752</v>
      </c>
      <c r="N69" s="34">
        <v>677061</v>
      </c>
      <c r="O69" s="144">
        <f t="shared" si="3"/>
        <v>677061</v>
      </c>
      <c r="P69" s="112"/>
      <c r="Q69" s="112">
        <v>0</v>
      </c>
      <c r="R69" s="116">
        <f t="shared" si="4"/>
        <v>0</v>
      </c>
      <c r="S69" s="31">
        <v>30237</v>
      </c>
      <c r="T69" s="31">
        <v>297631</v>
      </c>
      <c r="U69" s="31">
        <v>32867</v>
      </c>
      <c r="V69" s="103">
        <v>4724</v>
      </c>
      <c r="W69" s="138">
        <f t="shared" si="5"/>
        <v>260040</v>
      </c>
      <c r="X69" s="138">
        <v>276581</v>
      </c>
      <c r="Y69" s="138"/>
      <c r="Z69" s="56"/>
      <c r="AA69" s="56"/>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row>
    <row r="70" spans="1:56" ht="12.75" x14ac:dyDescent="0.2">
      <c r="A70" s="56">
        <v>68</v>
      </c>
      <c r="B70" s="56" t="s">
        <v>84</v>
      </c>
      <c r="C70" s="86">
        <v>0.93620000000000003</v>
      </c>
      <c r="D70" s="90">
        <v>91.96</v>
      </c>
      <c r="E70" s="90">
        <v>92.3</v>
      </c>
      <c r="F70" s="34">
        <v>0</v>
      </c>
      <c r="G70" s="34">
        <v>0</v>
      </c>
      <c r="H70" s="34">
        <v>0</v>
      </c>
      <c r="I70" s="34">
        <v>0</v>
      </c>
      <c r="J70" s="33">
        <v>676</v>
      </c>
      <c r="K70" s="31">
        <v>99771</v>
      </c>
      <c r="L70" s="31">
        <v>0</v>
      </c>
      <c r="M70" s="31">
        <v>139636</v>
      </c>
      <c r="N70" s="34">
        <v>0</v>
      </c>
      <c r="O70" s="144">
        <f t="shared" si="3"/>
        <v>0</v>
      </c>
      <c r="P70" s="112"/>
      <c r="Q70" s="112">
        <v>0</v>
      </c>
      <c r="R70" s="116">
        <f t="shared" si="4"/>
        <v>0</v>
      </c>
      <c r="S70" s="31">
        <v>791</v>
      </c>
      <c r="T70" s="31">
        <v>7845</v>
      </c>
      <c r="U70" s="31">
        <v>0</v>
      </c>
      <c r="V70" s="103">
        <v>262</v>
      </c>
      <c r="W70" s="138">
        <f t="shared" si="5"/>
        <v>7583</v>
      </c>
      <c r="X70" s="138">
        <v>744</v>
      </c>
      <c r="Y70" s="138"/>
      <c r="Z70" s="56"/>
      <c r="AA70" s="56"/>
    </row>
    <row r="71" spans="1:56" ht="12.75" x14ac:dyDescent="0.2">
      <c r="A71" s="56">
        <v>69</v>
      </c>
      <c r="B71" s="56" t="s">
        <v>85</v>
      </c>
      <c r="C71" s="86">
        <v>0.95920000000000005</v>
      </c>
      <c r="D71" s="90">
        <v>479.06000000000006</v>
      </c>
      <c r="E71" s="90">
        <v>500.56000000000006</v>
      </c>
      <c r="F71" s="34">
        <v>0</v>
      </c>
      <c r="G71" s="34">
        <v>344611</v>
      </c>
      <c r="H71" s="34">
        <v>156116</v>
      </c>
      <c r="I71" s="34">
        <v>35455</v>
      </c>
      <c r="J71" s="33">
        <v>66180</v>
      </c>
      <c r="K71" s="31">
        <v>305439</v>
      </c>
      <c r="L71" s="31">
        <v>0</v>
      </c>
      <c r="M71" s="31">
        <v>17629</v>
      </c>
      <c r="N71" s="34">
        <v>0</v>
      </c>
      <c r="O71" s="144">
        <f t="shared" si="3"/>
        <v>0</v>
      </c>
      <c r="P71" s="112"/>
      <c r="Q71" s="112">
        <v>0</v>
      </c>
      <c r="R71" s="116">
        <f t="shared" si="4"/>
        <v>0</v>
      </c>
      <c r="S71" s="31">
        <v>4396</v>
      </c>
      <c r="T71" s="31">
        <v>39459</v>
      </c>
      <c r="U71" s="31">
        <v>736</v>
      </c>
      <c r="V71" s="103">
        <v>139</v>
      </c>
      <c r="W71" s="138">
        <f t="shared" si="5"/>
        <v>38584</v>
      </c>
      <c r="X71" s="138">
        <v>253875</v>
      </c>
      <c r="Y71" s="138"/>
      <c r="Z71" s="56"/>
      <c r="AA71" s="56"/>
    </row>
    <row r="72" spans="1:56" ht="12.75" x14ac:dyDescent="0.2">
      <c r="A72" s="56">
        <v>70</v>
      </c>
      <c r="B72" s="55" t="s">
        <v>86</v>
      </c>
      <c r="C72" s="85">
        <v>1.0289999999999999</v>
      </c>
      <c r="D72" s="91">
        <v>969.90000000000009</v>
      </c>
      <c r="E72" s="91">
        <v>999.68000000000006</v>
      </c>
      <c r="F72" s="98">
        <v>0</v>
      </c>
      <c r="G72" s="98">
        <v>522040</v>
      </c>
      <c r="H72" s="98">
        <v>570534</v>
      </c>
      <c r="I72" s="98">
        <v>0</v>
      </c>
      <c r="J72" s="88">
        <v>69787</v>
      </c>
      <c r="K72" s="32">
        <v>273635</v>
      </c>
      <c r="L72" s="32">
        <v>0</v>
      </c>
      <c r="M72" s="32">
        <v>90647</v>
      </c>
      <c r="N72" s="98">
        <v>0</v>
      </c>
      <c r="O72" s="145">
        <f t="shared" si="3"/>
        <v>0</v>
      </c>
      <c r="P72" s="113"/>
      <c r="Q72" s="113">
        <v>0</v>
      </c>
      <c r="R72" s="117">
        <f t="shared" si="4"/>
        <v>0</v>
      </c>
      <c r="S72" s="32">
        <v>9418</v>
      </c>
      <c r="T72" s="32">
        <v>241068</v>
      </c>
      <c r="U72" s="32">
        <v>156634</v>
      </c>
      <c r="V72" s="105">
        <v>523</v>
      </c>
      <c r="W72" s="139">
        <f t="shared" si="5"/>
        <v>83911</v>
      </c>
      <c r="X72" s="139">
        <v>257844</v>
      </c>
      <c r="Y72" s="139"/>
      <c r="Z72" s="56"/>
      <c r="AA72" s="56"/>
    </row>
    <row r="73" spans="1:56" ht="12.75" x14ac:dyDescent="0.2">
      <c r="A73" s="56">
        <v>71</v>
      </c>
      <c r="B73" s="56" t="s">
        <v>128</v>
      </c>
      <c r="C73" s="86">
        <v>0.99139999999999995</v>
      </c>
      <c r="D73" s="90">
        <v>1433.53</v>
      </c>
      <c r="E73" s="90">
        <v>1524.7600000000002</v>
      </c>
      <c r="F73" s="34">
        <v>0</v>
      </c>
      <c r="G73" s="34">
        <v>0</v>
      </c>
      <c r="H73" s="34">
        <v>471101</v>
      </c>
      <c r="I73" s="34">
        <v>102153</v>
      </c>
      <c r="J73" s="33">
        <v>73194</v>
      </c>
      <c r="K73" s="31">
        <v>423515</v>
      </c>
      <c r="L73" s="31">
        <v>0</v>
      </c>
      <c r="M73" s="31">
        <v>152895</v>
      </c>
      <c r="N73" s="34">
        <v>0</v>
      </c>
      <c r="O73" s="144">
        <f t="shared" si="3"/>
        <v>0</v>
      </c>
      <c r="P73" s="112"/>
      <c r="Q73" s="112">
        <v>0</v>
      </c>
      <c r="R73" s="116">
        <f t="shared" si="4"/>
        <v>0</v>
      </c>
      <c r="S73" s="31">
        <v>13839</v>
      </c>
      <c r="T73" s="31">
        <v>117235</v>
      </c>
      <c r="U73" s="31">
        <v>0</v>
      </c>
      <c r="V73" s="103">
        <v>1015</v>
      </c>
      <c r="W73" s="138">
        <f t="shared" si="5"/>
        <v>116220</v>
      </c>
      <c r="X73" s="138">
        <v>261594</v>
      </c>
      <c r="Y73" s="138"/>
      <c r="Z73" s="56"/>
      <c r="AA73" s="56"/>
    </row>
    <row r="74" spans="1:56" ht="12.75" x14ac:dyDescent="0.2">
      <c r="A74" s="56">
        <v>72</v>
      </c>
      <c r="B74" s="56" t="s">
        <v>113</v>
      </c>
      <c r="C74" s="86">
        <v>1.0233000000000001</v>
      </c>
      <c r="D74" s="90">
        <v>684.17000000000007</v>
      </c>
      <c r="E74" s="90">
        <v>738.07</v>
      </c>
      <c r="F74" s="34">
        <v>621</v>
      </c>
      <c r="G74" s="34">
        <v>0</v>
      </c>
      <c r="H74" s="34">
        <v>281317</v>
      </c>
      <c r="I74" s="34">
        <v>0</v>
      </c>
      <c r="J74" s="33">
        <v>67688</v>
      </c>
      <c r="K74" s="31">
        <v>141452</v>
      </c>
      <c r="L74" s="31">
        <v>0</v>
      </c>
      <c r="M74" s="31">
        <v>156096</v>
      </c>
      <c r="N74" s="34">
        <v>0</v>
      </c>
      <c r="O74" s="144">
        <f t="shared" si="3"/>
        <v>0</v>
      </c>
      <c r="P74" s="112"/>
      <c r="Q74" s="112">
        <v>0</v>
      </c>
      <c r="R74" s="116">
        <f t="shared" si="4"/>
        <v>0</v>
      </c>
      <c r="S74" s="31">
        <v>6915</v>
      </c>
      <c r="T74" s="31">
        <v>52402</v>
      </c>
      <c r="U74" s="31">
        <v>0</v>
      </c>
      <c r="V74" s="103">
        <v>585</v>
      </c>
      <c r="W74" s="138">
        <f t="shared" si="5"/>
        <v>51817</v>
      </c>
      <c r="X74" s="138">
        <v>255534</v>
      </c>
      <c r="Y74" s="138"/>
      <c r="Z74" s="56"/>
      <c r="AA74" s="56"/>
    </row>
    <row r="75" spans="1:56" ht="12.75" x14ac:dyDescent="0.2">
      <c r="A75" s="56">
        <v>73</v>
      </c>
      <c r="B75" s="56" t="s">
        <v>114</v>
      </c>
      <c r="C75" s="86">
        <v>0.95920000000000005</v>
      </c>
      <c r="D75" s="90">
        <v>1675.74</v>
      </c>
      <c r="E75" s="90">
        <v>1762.1399999999999</v>
      </c>
      <c r="F75" s="34">
        <v>3242</v>
      </c>
      <c r="G75" s="34">
        <v>915790</v>
      </c>
      <c r="H75" s="34">
        <v>546090</v>
      </c>
      <c r="I75" s="34">
        <v>124022</v>
      </c>
      <c r="J75" s="33">
        <v>74974</v>
      </c>
      <c r="K75" s="31">
        <v>284667</v>
      </c>
      <c r="L75" s="31">
        <v>0</v>
      </c>
      <c r="M75" s="31">
        <v>279504</v>
      </c>
      <c r="N75" s="34">
        <v>0</v>
      </c>
      <c r="O75" s="144">
        <f t="shared" si="3"/>
        <v>0</v>
      </c>
      <c r="P75" s="112"/>
      <c r="Q75" s="112">
        <v>0</v>
      </c>
      <c r="R75" s="116">
        <f t="shared" si="4"/>
        <v>0</v>
      </c>
      <c r="S75" s="31">
        <v>15474</v>
      </c>
      <c r="T75" s="31">
        <v>136763</v>
      </c>
      <c r="U75" s="31">
        <v>8833</v>
      </c>
      <c r="V75" s="103">
        <v>869</v>
      </c>
      <c r="W75" s="138">
        <f t="shared" si="5"/>
        <v>127061</v>
      </c>
      <c r="X75" s="138">
        <v>263553</v>
      </c>
      <c r="Y75" s="138"/>
      <c r="Z75" s="56"/>
      <c r="AA75" s="56"/>
    </row>
    <row r="76" spans="1:56" ht="12.75" x14ac:dyDescent="0.2">
      <c r="A76" s="56">
        <v>74</v>
      </c>
      <c r="B76" s="56" t="s">
        <v>87</v>
      </c>
      <c r="C76" s="86">
        <v>0.98299999999999998</v>
      </c>
      <c r="D76" s="90">
        <v>1102.96</v>
      </c>
      <c r="E76" s="90">
        <v>1163.6400000000001</v>
      </c>
      <c r="F76" s="34">
        <v>17847</v>
      </c>
      <c r="G76" s="34">
        <v>766668</v>
      </c>
      <c r="H76" s="34">
        <v>374951</v>
      </c>
      <c r="I76" s="34">
        <v>66111</v>
      </c>
      <c r="J76" s="33">
        <v>70765</v>
      </c>
      <c r="K76" s="31">
        <v>293191</v>
      </c>
      <c r="L76" s="31">
        <v>0</v>
      </c>
      <c r="M76" s="31">
        <v>294815</v>
      </c>
      <c r="N76" s="34">
        <v>0</v>
      </c>
      <c r="O76" s="144">
        <f t="shared" si="3"/>
        <v>0</v>
      </c>
      <c r="P76" s="112"/>
      <c r="Q76" s="112">
        <v>0</v>
      </c>
      <c r="R76" s="116">
        <f t="shared" si="4"/>
        <v>0</v>
      </c>
      <c r="S76" s="31">
        <v>10472</v>
      </c>
      <c r="T76" s="31">
        <v>114104</v>
      </c>
      <c r="U76" s="31">
        <v>28612</v>
      </c>
      <c r="V76" s="103">
        <v>643</v>
      </c>
      <c r="W76" s="138">
        <f t="shared" si="5"/>
        <v>84849</v>
      </c>
      <c r="X76" s="138">
        <v>258921</v>
      </c>
      <c r="Y76" s="138"/>
      <c r="Z76" s="56"/>
      <c r="AA76" s="56"/>
    </row>
    <row r="77" spans="1:56" s="58" customFormat="1" ht="12.75" x14ac:dyDescent="0.2">
      <c r="A77" s="55">
        <v>75</v>
      </c>
      <c r="B77" s="55" t="s">
        <v>108</v>
      </c>
      <c r="C77" s="85">
        <v>1</v>
      </c>
      <c r="D77" s="91">
        <v>32944.39</v>
      </c>
      <c r="E77" s="91">
        <v>33596.81</v>
      </c>
      <c r="F77" s="98">
        <v>0</v>
      </c>
      <c r="G77" s="98">
        <v>0</v>
      </c>
      <c r="H77" s="98">
        <v>12987337</v>
      </c>
      <c r="I77" s="98">
        <v>186795</v>
      </c>
      <c r="J77" s="88">
        <v>0</v>
      </c>
      <c r="K77" s="32">
        <v>0</v>
      </c>
      <c r="L77" s="32"/>
      <c r="M77" s="32">
        <v>453835</v>
      </c>
      <c r="N77" s="98">
        <v>0</v>
      </c>
      <c r="O77" s="145">
        <f t="shared" si="3"/>
        <v>0</v>
      </c>
      <c r="P77" s="113"/>
      <c r="Q77" s="113">
        <v>0</v>
      </c>
      <c r="R77" s="117">
        <f t="shared" si="4"/>
        <v>0</v>
      </c>
      <c r="S77" s="32">
        <v>307585</v>
      </c>
      <c r="T77" s="32">
        <v>2984651</v>
      </c>
      <c r="U77" s="32">
        <v>1664</v>
      </c>
      <c r="V77" s="105">
        <v>2197</v>
      </c>
      <c r="W77" s="139">
        <f t="shared" si="5"/>
        <v>2980790</v>
      </c>
      <c r="X77" s="139">
        <v>0</v>
      </c>
      <c r="Y77" s="139"/>
      <c r="Z77" s="56"/>
      <c r="AA77" s="56"/>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row>
    <row r="78" spans="1:56" ht="12.75" x14ac:dyDescent="0.2">
      <c r="F78" s="73"/>
      <c r="G78" s="73"/>
      <c r="H78" s="73"/>
      <c r="I78" s="34"/>
      <c r="J78" s="34"/>
      <c r="K78" s="50"/>
      <c r="L78" s="73"/>
      <c r="O78" s="95"/>
      <c r="P78" s="108"/>
      <c r="Q78" s="108"/>
      <c r="R78" s="95"/>
      <c r="W78" s="95"/>
      <c r="X78" s="95"/>
      <c r="Y78" s="95"/>
      <c r="AA78" s="56"/>
    </row>
    <row r="79" spans="1:56" s="63" customFormat="1" ht="12.75" x14ac:dyDescent="0.2">
      <c r="A79" s="60"/>
      <c r="B79" s="60" t="s">
        <v>16</v>
      </c>
      <c r="C79" s="61"/>
      <c r="D79" s="62">
        <f>SUM(D3:D77)</f>
        <v>2722134.5299999993</v>
      </c>
      <c r="E79" s="62">
        <f>SUM(E3:E77)</f>
        <v>2948902.5900000008</v>
      </c>
      <c r="F79" s="72">
        <f>SUM(F3:F77)</f>
        <v>4357114</v>
      </c>
      <c r="G79" s="72">
        <f>SUM(G3:G77)</f>
        <v>48318959</v>
      </c>
      <c r="H79" s="72">
        <f t="shared" ref="H79:W79" si="6">SUM(H3:H77)</f>
        <v>15387446</v>
      </c>
      <c r="I79" s="72">
        <f t="shared" si="6"/>
        <v>161981068</v>
      </c>
      <c r="J79" s="72">
        <f t="shared" si="6"/>
        <v>64456019</v>
      </c>
      <c r="K79" s="72">
        <f t="shared" si="6"/>
        <v>642089342</v>
      </c>
      <c r="L79" s="72">
        <f t="shared" si="6"/>
        <v>0</v>
      </c>
      <c r="M79" s="72">
        <f t="shared" si="6"/>
        <v>950781688</v>
      </c>
      <c r="N79" s="72">
        <f t="shared" si="6"/>
        <v>1056928333</v>
      </c>
      <c r="O79" s="96">
        <f t="shared" si="6"/>
        <v>1056928333</v>
      </c>
      <c r="P79" s="114">
        <f t="shared" si="6"/>
        <v>0</v>
      </c>
      <c r="Q79" s="114">
        <f t="shared" si="6"/>
        <v>0</v>
      </c>
      <c r="R79" s="118">
        <f t="shared" si="6"/>
        <v>0</v>
      </c>
      <c r="S79" s="72">
        <f t="shared" si="6"/>
        <v>27019242</v>
      </c>
      <c r="T79" s="72">
        <f t="shared" si="6"/>
        <v>223382911</v>
      </c>
      <c r="U79" s="72">
        <f>SUM(U3:U77)</f>
        <v>10000000</v>
      </c>
      <c r="V79" s="72">
        <f>SUM(V3:V77)</f>
        <v>3015624</v>
      </c>
      <c r="W79" s="96">
        <f t="shared" si="6"/>
        <v>210367287</v>
      </c>
      <c r="X79" s="96">
        <f>SUM(X3:X77)</f>
        <v>40000000</v>
      </c>
      <c r="Y79" s="96">
        <f>SUM(Y3:Y77)</f>
        <v>0</v>
      </c>
      <c r="Z79" s="60"/>
      <c r="AA79" s="56"/>
      <c r="AB79" s="50"/>
      <c r="AC79" s="50"/>
      <c r="AD79" s="50"/>
    </row>
    <row r="80" spans="1:56" x14ac:dyDescent="0.2">
      <c r="A80" s="64"/>
      <c r="B80" s="64"/>
      <c r="C80" s="65"/>
      <c r="D80" s="66"/>
      <c r="E80" s="66"/>
      <c r="F80" s="67"/>
      <c r="G80" s="67"/>
      <c r="H80" s="67"/>
      <c r="I80" s="67"/>
      <c r="J80" s="67"/>
      <c r="K80" s="67"/>
      <c r="L80" s="68"/>
      <c r="M80" s="69"/>
      <c r="N80" s="142"/>
      <c r="O80" s="97"/>
      <c r="P80" s="109"/>
      <c r="Q80" s="109"/>
      <c r="R80" s="97"/>
      <c r="S80" s="67"/>
      <c r="T80" s="67"/>
      <c r="U80" s="67"/>
      <c r="V80" s="67"/>
      <c r="W80" s="97"/>
      <c r="X80" s="97"/>
      <c r="Y80" s="97"/>
      <c r="Z80" s="56"/>
      <c r="AA80" s="56"/>
    </row>
    <row r="81" spans="1:30" x14ac:dyDescent="0.2">
      <c r="A81" s="56"/>
      <c r="B81" s="56"/>
      <c r="C81" s="61"/>
      <c r="D81" s="62"/>
      <c r="E81" s="62"/>
      <c r="F81" s="57"/>
      <c r="G81" s="57"/>
      <c r="H81" s="57"/>
      <c r="I81" s="57"/>
      <c r="J81" s="57"/>
      <c r="K81" s="57"/>
      <c r="L81" s="70"/>
      <c r="M81" s="69"/>
      <c r="Z81" s="56"/>
      <c r="AA81" s="56"/>
    </row>
    <row r="82" spans="1:30" x14ac:dyDescent="0.2">
      <c r="A82" s="56"/>
      <c r="B82" s="56"/>
      <c r="C82" s="61"/>
      <c r="D82" s="62"/>
      <c r="E82" s="62"/>
      <c r="G82" s="57"/>
      <c r="H82" s="57"/>
      <c r="I82" s="57"/>
      <c r="J82" s="57"/>
      <c r="K82" s="57"/>
      <c r="L82" s="53"/>
      <c r="M82" s="71"/>
      <c r="Z82" s="56"/>
      <c r="AA82" s="56"/>
    </row>
    <row r="83" spans="1:30" x14ac:dyDescent="0.2">
      <c r="A83" s="56"/>
      <c r="B83" s="56"/>
      <c r="C83" s="61"/>
      <c r="D83" s="62"/>
      <c r="E83" s="62"/>
      <c r="G83" s="57"/>
      <c r="H83" s="57"/>
      <c r="I83" s="57"/>
      <c r="J83" s="57"/>
      <c r="K83" s="57"/>
      <c r="L83" s="53"/>
      <c r="M83" s="71"/>
      <c r="W83" s="59"/>
      <c r="X83" s="59"/>
      <c r="Y83" s="59"/>
      <c r="Z83" s="56"/>
      <c r="AA83" s="56"/>
    </row>
    <row r="84" spans="1:30" x14ac:dyDescent="0.2">
      <c r="L84" s="53"/>
      <c r="M84" s="71"/>
      <c r="AA84" s="56"/>
    </row>
    <row r="85" spans="1:30" x14ac:dyDescent="0.2">
      <c r="L85" s="53"/>
      <c r="M85" s="71"/>
    </row>
    <row r="86" spans="1:30" x14ac:dyDescent="0.2">
      <c r="L86" s="53"/>
      <c r="M86" s="71"/>
      <c r="AA86" s="60"/>
      <c r="AB86" s="63"/>
      <c r="AC86" s="63"/>
      <c r="AD86" s="63"/>
    </row>
    <row r="87" spans="1:30" x14ac:dyDescent="0.2">
      <c r="AA87" s="56"/>
    </row>
    <row r="88" spans="1:30" x14ac:dyDescent="0.2">
      <c r="AA88" s="56"/>
    </row>
    <row r="89" spans="1:30" x14ac:dyDescent="0.2">
      <c r="AA89" s="56"/>
    </row>
    <row r="90" spans="1:30" x14ac:dyDescent="0.2">
      <c r="AA90" s="56"/>
    </row>
  </sheetData>
  <mergeCells count="3">
    <mergeCell ref="AA3:AA5"/>
    <mergeCell ref="A1:AD1"/>
    <mergeCell ref="AF3:AF5"/>
  </mergeCells>
  <phoneticPr fontId="28" type="noConversion"/>
  <printOptions horizontalCentered="1"/>
  <pageMargins left="0" right="0" top="0.9" bottom="0" header="0.4" footer="0"/>
  <pageSetup scale="62" orientation="portrait" r:id="rId1"/>
  <headerFooter alignWithMargins="0">
    <oddHeader xml:space="preserve">&amp;L&amp;"Arial,Bold"&amp;F
&amp;A
&amp;D &amp;T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9"/>
  <sheetViews>
    <sheetView workbookViewId="0">
      <pane xSplit="2" ySplit="5" topLeftCell="C6" activePane="bottomRight" state="frozen"/>
      <selection activeCell="A84" sqref="A84:H84"/>
      <selection pane="topRight" activeCell="A84" sqref="A84:H84"/>
      <selection pane="bottomLeft" activeCell="A84" sqref="A84:H84"/>
      <selection pane="bottomRight" activeCell="A84" sqref="A84:H84"/>
    </sheetView>
  </sheetViews>
  <sheetFormatPr defaultRowHeight="12.75" x14ac:dyDescent="0.2"/>
  <cols>
    <col min="1" max="1" width="3" bestFit="1" customWidth="1"/>
    <col min="2" max="2" width="17.5703125" bestFit="1" customWidth="1"/>
    <col min="3" max="3" width="9.5703125" bestFit="1" customWidth="1"/>
    <col min="4" max="12" width="8.7109375" bestFit="1" customWidth="1"/>
    <col min="13" max="13" width="1.7109375" customWidth="1"/>
  </cols>
  <sheetData>
    <row r="1" spans="1:12" ht="25.5" customHeight="1" x14ac:dyDescent="0.2">
      <c r="A1" s="1369" t="s">
        <v>190</v>
      </c>
      <c r="B1" s="1369"/>
      <c r="C1" s="1369"/>
      <c r="D1" s="1369"/>
      <c r="E1" s="1369"/>
      <c r="F1" s="1369"/>
      <c r="G1" s="1369"/>
      <c r="H1" s="1369"/>
      <c r="I1" s="1369"/>
      <c r="J1" s="1369"/>
      <c r="K1" s="1369"/>
      <c r="L1" s="1369"/>
    </row>
    <row r="2" spans="1:12" x14ac:dyDescent="0.2">
      <c r="A2" s="1370"/>
      <c r="B2" s="1373" t="s">
        <v>124</v>
      </c>
      <c r="C2" s="1376" t="s">
        <v>169</v>
      </c>
      <c r="D2" s="1378" t="s">
        <v>121</v>
      </c>
      <c r="E2" s="1379"/>
      <c r="F2" s="1380"/>
      <c r="G2" s="1378" t="s">
        <v>122</v>
      </c>
      <c r="H2" s="1379"/>
      <c r="I2" s="1380"/>
      <c r="J2" s="1378" t="s">
        <v>123</v>
      </c>
      <c r="K2" s="1379"/>
      <c r="L2" s="1380"/>
    </row>
    <row r="3" spans="1:12" x14ac:dyDescent="0.2">
      <c r="A3" s="1371"/>
      <c r="B3" s="1374"/>
      <c r="C3" s="1377"/>
      <c r="D3" s="1376" t="s">
        <v>170</v>
      </c>
      <c r="E3" s="1376" t="s">
        <v>171</v>
      </c>
      <c r="F3" s="1382" t="s">
        <v>172</v>
      </c>
      <c r="G3" s="1382" t="s">
        <v>173</v>
      </c>
      <c r="H3" s="1382" t="s">
        <v>174</v>
      </c>
      <c r="I3" s="1382" t="s">
        <v>172</v>
      </c>
      <c r="J3" s="1382" t="s">
        <v>173</v>
      </c>
      <c r="K3" s="1382" t="s">
        <v>174</v>
      </c>
      <c r="L3" s="1382" t="s">
        <v>172</v>
      </c>
    </row>
    <row r="4" spans="1:12" x14ac:dyDescent="0.2">
      <c r="A4" s="1371"/>
      <c r="B4" s="1374"/>
      <c r="C4" s="1377"/>
      <c r="D4" s="1377"/>
      <c r="E4" s="1377"/>
      <c r="F4" s="1383"/>
      <c r="G4" s="1383"/>
      <c r="H4" s="1383"/>
      <c r="I4" s="1383"/>
      <c r="J4" s="1383"/>
      <c r="K4" s="1383"/>
      <c r="L4" s="1383"/>
    </row>
    <row r="5" spans="1:12" x14ac:dyDescent="0.2">
      <c r="A5" s="1372"/>
      <c r="B5" s="1375"/>
      <c r="C5" s="1377"/>
      <c r="D5" s="1381"/>
      <c r="E5" s="1381"/>
      <c r="F5" s="1384"/>
      <c r="G5" s="1384"/>
      <c r="H5" s="1384"/>
      <c r="I5" s="1384"/>
      <c r="J5" s="1384"/>
      <c r="K5" s="1384"/>
      <c r="L5" s="1384"/>
    </row>
    <row r="6" spans="1:12" x14ac:dyDescent="0.2">
      <c r="A6" s="102">
        <v>1</v>
      </c>
      <c r="B6" s="100" t="s">
        <v>18</v>
      </c>
      <c r="C6" s="100">
        <v>0.96040000000000003</v>
      </c>
      <c r="D6" s="31">
        <v>975</v>
      </c>
      <c r="E6" s="31">
        <v>3147</v>
      </c>
      <c r="F6" s="31">
        <v>6422</v>
      </c>
      <c r="G6" s="31">
        <v>1093</v>
      </c>
      <c r="H6" s="31">
        <v>3265</v>
      </c>
      <c r="I6" s="31">
        <v>6540</v>
      </c>
      <c r="J6" s="31">
        <v>778</v>
      </c>
      <c r="K6" s="31">
        <v>2950</v>
      </c>
      <c r="L6" s="103">
        <v>6225</v>
      </c>
    </row>
    <row r="7" spans="1:12" x14ac:dyDescent="0.2">
      <c r="A7" s="102">
        <v>2</v>
      </c>
      <c r="B7" s="100" t="s">
        <v>19</v>
      </c>
      <c r="C7" s="100">
        <v>0.93340000000000001</v>
      </c>
      <c r="D7" s="31">
        <v>947</v>
      </c>
      <c r="E7" s="31">
        <v>3058</v>
      </c>
      <c r="F7" s="31">
        <v>6241</v>
      </c>
      <c r="G7" s="31">
        <v>1062</v>
      </c>
      <c r="H7" s="31">
        <v>3173</v>
      </c>
      <c r="I7" s="31">
        <v>6356</v>
      </c>
      <c r="J7" s="31">
        <v>756</v>
      </c>
      <c r="K7" s="31">
        <v>2867</v>
      </c>
      <c r="L7" s="103">
        <v>6050</v>
      </c>
    </row>
    <row r="8" spans="1:12" x14ac:dyDescent="0.2">
      <c r="A8" s="102">
        <v>3</v>
      </c>
      <c r="B8" s="100" t="s">
        <v>20</v>
      </c>
      <c r="C8" s="100">
        <v>0.95920000000000005</v>
      </c>
      <c r="D8" s="31">
        <v>973</v>
      </c>
      <c r="E8" s="31">
        <v>3143</v>
      </c>
      <c r="F8" s="31">
        <v>6414</v>
      </c>
      <c r="G8" s="31">
        <v>1091</v>
      </c>
      <c r="H8" s="31">
        <v>3261</v>
      </c>
      <c r="I8" s="31">
        <v>6532</v>
      </c>
      <c r="J8" s="31">
        <v>777</v>
      </c>
      <c r="K8" s="31">
        <v>2946</v>
      </c>
      <c r="L8" s="103">
        <v>6217</v>
      </c>
    </row>
    <row r="9" spans="1:12" x14ac:dyDescent="0.2">
      <c r="A9" s="102">
        <v>4</v>
      </c>
      <c r="B9" s="100" t="s">
        <v>21</v>
      </c>
      <c r="C9" s="100">
        <v>0.92949999999999999</v>
      </c>
      <c r="D9" s="31">
        <v>943</v>
      </c>
      <c r="E9" s="31">
        <v>3046</v>
      </c>
      <c r="F9" s="31">
        <v>6215</v>
      </c>
      <c r="G9" s="31">
        <v>1058</v>
      </c>
      <c r="H9" s="31">
        <v>3160</v>
      </c>
      <c r="I9" s="31">
        <v>6329</v>
      </c>
      <c r="J9" s="31">
        <v>753</v>
      </c>
      <c r="K9" s="31">
        <v>2855</v>
      </c>
      <c r="L9" s="103">
        <v>6025</v>
      </c>
    </row>
    <row r="10" spans="1:12" x14ac:dyDescent="0.2">
      <c r="A10" s="104">
        <v>5</v>
      </c>
      <c r="B10" s="101" t="s">
        <v>22</v>
      </c>
      <c r="C10" s="101">
        <v>0.98180000000000001</v>
      </c>
      <c r="D10" s="32">
        <v>996</v>
      </c>
      <c r="E10" s="32">
        <v>3217</v>
      </c>
      <c r="F10" s="32">
        <v>6565</v>
      </c>
      <c r="G10" s="32">
        <v>1117</v>
      </c>
      <c r="H10" s="32">
        <v>3338</v>
      </c>
      <c r="I10" s="32">
        <v>6686</v>
      </c>
      <c r="J10" s="32">
        <v>795</v>
      </c>
      <c r="K10" s="32">
        <v>3016</v>
      </c>
      <c r="L10" s="105">
        <v>6364</v>
      </c>
    </row>
    <row r="11" spans="1:12" x14ac:dyDescent="0.2">
      <c r="A11" s="102">
        <v>6</v>
      </c>
      <c r="B11" s="100" t="s">
        <v>23</v>
      </c>
      <c r="C11" s="106">
        <v>1.0429999999999999</v>
      </c>
      <c r="D11" s="31">
        <v>1058</v>
      </c>
      <c r="E11" s="31">
        <v>3418</v>
      </c>
      <c r="F11" s="31">
        <v>6974</v>
      </c>
      <c r="G11" s="31">
        <v>1187</v>
      </c>
      <c r="H11" s="103">
        <v>3546</v>
      </c>
      <c r="I11" s="31">
        <v>7102</v>
      </c>
      <c r="J11" s="33">
        <v>845</v>
      </c>
      <c r="K11" s="31">
        <v>3204</v>
      </c>
      <c r="L11" s="103">
        <v>6760</v>
      </c>
    </row>
    <row r="12" spans="1:12" x14ac:dyDescent="0.2">
      <c r="A12" s="102">
        <v>7</v>
      </c>
      <c r="B12" s="100" t="s">
        <v>24</v>
      </c>
      <c r="C12" s="100">
        <v>0.91310000000000002</v>
      </c>
      <c r="D12" s="31">
        <v>927</v>
      </c>
      <c r="E12" s="31">
        <v>2992</v>
      </c>
      <c r="F12" s="31">
        <v>6105</v>
      </c>
      <c r="G12" s="31">
        <v>1039</v>
      </c>
      <c r="H12" s="31">
        <v>3104</v>
      </c>
      <c r="I12" s="31">
        <v>6218</v>
      </c>
      <c r="J12" s="31">
        <v>739</v>
      </c>
      <c r="K12" s="31">
        <v>2805</v>
      </c>
      <c r="L12" s="103">
        <v>5918</v>
      </c>
    </row>
    <row r="13" spans="1:12" x14ac:dyDescent="0.2">
      <c r="A13" s="102">
        <v>8</v>
      </c>
      <c r="B13" s="100" t="s">
        <v>25</v>
      </c>
      <c r="C13" s="100">
        <v>0.96950000000000003</v>
      </c>
      <c r="D13" s="31">
        <v>984</v>
      </c>
      <c r="E13" s="31">
        <v>3177</v>
      </c>
      <c r="F13" s="31">
        <v>6483</v>
      </c>
      <c r="G13" s="31">
        <v>1103</v>
      </c>
      <c r="H13" s="31">
        <v>3296</v>
      </c>
      <c r="I13" s="31">
        <v>6602</v>
      </c>
      <c r="J13" s="31">
        <v>785</v>
      </c>
      <c r="K13" s="31">
        <v>2978</v>
      </c>
      <c r="L13" s="103">
        <v>6284</v>
      </c>
    </row>
    <row r="14" spans="1:12" x14ac:dyDescent="0.2">
      <c r="A14" s="102">
        <v>9</v>
      </c>
      <c r="B14" s="100" t="s">
        <v>26</v>
      </c>
      <c r="C14" s="100">
        <v>0.9345</v>
      </c>
      <c r="D14" s="31">
        <v>948</v>
      </c>
      <c r="E14" s="31">
        <v>3062</v>
      </c>
      <c r="F14" s="31">
        <v>6249</v>
      </c>
      <c r="G14" s="31">
        <v>1063</v>
      </c>
      <c r="H14" s="31">
        <v>3177</v>
      </c>
      <c r="I14" s="31">
        <v>6364</v>
      </c>
      <c r="J14" s="31">
        <v>757</v>
      </c>
      <c r="K14" s="31">
        <v>2870</v>
      </c>
      <c r="L14" s="103">
        <v>6057</v>
      </c>
    </row>
    <row r="15" spans="1:12" x14ac:dyDescent="0.2">
      <c r="A15" s="104">
        <v>10</v>
      </c>
      <c r="B15" s="101" t="s">
        <v>27</v>
      </c>
      <c r="C15" s="101">
        <v>0.96760000000000002</v>
      </c>
      <c r="D15" s="32">
        <v>982</v>
      </c>
      <c r="E15" s="32">
        <v>3170</v>
      </c>
      <c r="F15" s="32">
        <v>6470</v>
      </c>
      <c r="G15" s="32">
        <v>1101</v>
      </c>
      <c r="H15" s="32">
        <v>3290</v>
      </c>
      <c r="I15" s="32">
        <v>6589</v>
      </c>
      <c r="J15" s="32">
        <v>784</v>
      </c>
      <c r="K15" s="32">
        <v>2972</v>
      </c>
      <c r="L15" s="105">
        <v>6272</v>
      </c>
    </row>
    <row r="16" spans="1:12" x14ac:dyDescent="0.2">
      <c r="A16" s="102">
        <v>11</v>
      </c>
      <c r="B16" s="100" t="s">
        <v>28</v>
      </c>
      <c r="C16" s="100">
        <v>1.0088999999999999</v>
      </c>
      <c r="D16" s="31">
        <v>1024</v>
      </c>
      <c r="E16" s="31">
        <v>3306</v>
      </c>
      <c r="F16" s="31">
        <v>6746</v>
      </c>
      <c r="G16" s="31">
        <v>1148</v>
      </c>
      <c r="H16" s="31">
        <v>3430</v>
      </c>
      <c r="I16" s="31">
        <v>6870</v>
      </c>
      <c r="J16" s="31">
        <v>817</v>
      </c>
      <c r="K16" s="31">
        <v>3099</v>
      </c>
      <c r="L16" s="103">
        <v>6539</v>
      </c>
    </row>
    <row r="17" spans="1:12" x14ac:dyDescent="0.2">
      <c r="A17" s="102">
        <v>12</v>
      </c>
      <c r="B17" s="100" t="s">
        <v>29</v>
      </c>
      <c r="C17" s="100">
        <v>0.93359999999999999</v>
      </c>
      <c r="D17" s="31">
        <v>947</v>
      </c>
      <c r="E17" s="31">
        <v>3059</v>
      </c>
      <c r="F17" s="31">
        <v>6243</v>
      </c>
      <c r="G17" s="31">
        <v>1062</v>
      </c>
      <c r="H17" s="31">
        <v>3174</v>
      </c>
      <c r="I17" s="31">
        <v>6357</v>
      </c>
      <c r="J17" s="31">
        <v>756</v>
      </c>
      <c r="K17" s="31">
        <v>2868</v>
      </c>
      <c r="L17" s="103">
        <v>6051</v>
      </c>
    </row>
    <row r="18" spans="1:12" x14ac:dyDescent="0.2">
      <c r="A18" s="102">
        <v>13</v>
      </c>
      <c r="B18" s="100" t="s">
        <v>103</v>
      </c>
      <c r="C18" s="100">
        <v>1.0543</v>
      </c>
      <c r="D18" s="31">
        <v>1070</v>
      </c>
      <c r="E18" s="31">
        <v>3455</v>
      </c>
      <c r="F18" s="31">
        <v>7050</v>
      </c>
      <c r="G18" s="31">
        <v>1200</v>
      </c>
      <c r="H18" s="31">
        <v>3584</v>
      </c>
      <c r="I18" s="31">
        <v>7179</v>
      </c>
      <c r="J18" s="31">
        <v>854</v>
      </c>
      <c r="K18" s="31">
        <v>3238</v>
      </c>
      <c r="L18" s="103">
        <v>6833</v>
      </c>
    </row>
    <row r="19" spans="1:12" x14ac:dyDescent="0.2">
      <c r="A19" s="102">
        <v>14</v>
      </c>
      <c r="B19" s="100" t="s">
        <v>125</v>
      </c>
      <c r="C19" s="100">
        <v>0.93689999999999996</v>
      </c>
      <c r="D19" s="31">
        <v>951</v>
      </c>
      <c r="E19" s="31">
        <v>3070</v>
      </c>
      <c r="F19" s="31">
        <v>6265</v>
      </c>
      <c r="G19" s="31">
        <v>1066</v>
      </c>
      <c r="H19" s="31">
        <v>3185</v>
      </c>
      <c r="I19" s="31">
        <v>6380</v>
      </c>
      <c r="J19" s="31">
        <v>759</v>
      </c>
      <c r="K19" s="31">
        <v>2878</v>
      </c>
      <c r="L19" s="103">
        <v>6073</v>
      </c>
    </row>
    <row r="20" spans="1:12" x14ac:dyDescent="0.2">
      <c r="A20" s="104">
        <v>15</v>
      </c>
      <c r="B20" s="101" t="s">
        <v>31</v>
      </c>
      <c r="C20" s="101">
        <v>0.9355</v>
      </c>
      <c r="D20" s="32">
        <v>949</v>
      </c>
      <c r="E20" s="32">
        <v>3065</v>
      </c>
      <c r="F20" s="32">
        <v>6255</v>
      </c>
      <c r="G20" s="32">
        <v>1064</v>
      </c>
      <c r="H20" s="32">
        <v>3180</v>
      </c>
      <c r="I20" s="32">
        <v>6370</v>
      </c>
      <c r="J20" s="32">
        <v>758</v>
      </c>
      <c r="K20" s="32">
        <v>2874</v>
      </c>
      <c r="L20" s="105">
        <v>6063</v>
      </c>
    </row>
    <row r="21" spans="1:12" x14ac:dyDescent="0.2">
      <c r="A21" s="102">
        <v>16</v>
      </c>
      <c r="B21" s="100" t="s">
        <v>32</v>
      </c>
      <c r="C21" s="100">
        <v>0.97940000000000005</v>
      </c>
      <c r="D21" s="31">
        <v>994</v>
      </c>
      <c r="E21" s="31">
        <v>3209</v>
      </c>
      <c r="F21" s="31">
        <v>6549</v>
      </c>
      <c r="G21" s="31">
        <v>1114</v>
      </c>
      <c r="H21" s="31">
        <v>3330</v>
      </c>
      <c r="I21" s="31">
        <v>6669</v>
      </c>
      <c r="J21" s="31">
        <v>793</v>
      </c>
      <c r="K21" s="31">
        <v>3008</v>
      </c>
      <c r="L21" s="103">
        <v>6348</v>
      </c>
    </row>
    <row r="22" spans="1:12" x14ac:dyDescent="0.2">
      <c r="A22" s="102">
        <v>17</v>
      </c>
      <c r="B22" s="100" t="s">
        <v>33</v>
      </c>
      <c r="C22" s="100">
        <v>0.9516</v>
      </c>
      <c r="D22" s="31">
        <v>966</v>
      </c>
      <c r="E22" s="31">
        <v>3118</v>
      </c>
      <c r="F22" s="31">
        <v>6363</v>
      </c>
      <c r="G22" s="31">
        <v>1083</v>
      </c>
      <c r="H22" s="31">
        <v>3235</v>
      </c>
      <c r="I22" s="31">
        <v>6480</v>
      </c>
      <c r="J22" s="31">
        <v>771</v>
      </c>
      <c r="K22" s="31">
        <v>2923</v>
      </c>
      <c r="L22" s="103">
        <v>6168</v>
      </c>
    </row>
    <row r="23" spans="1:12" x14ac:dyDescent="0.2">
      <c r="A23" s="102">
        <v>18</v>
      </c>
      <c r="B23" s="100" t="s">
        <v>34</v>
      </c>
      <c r="C23" s="100">
        <v>0.9607</v>
      </c>
      <c r="D23" s="31">
        <v>975</v>
      </c>
      <c r="E23" s="31">
        <v>3148</v>
      </c>
      <c r="F23" s="31">
        <v>6424</v>
      </c>
      <c r="G23" s="31">
        <v>1093</v>
      </c>
      <c r="H23" s="31">
        <v>3266</v>
      </c>
      <c r="I23" s="31">
        <v>6542</v>
      </c>
      <c r="J23" s="31">
        <v>778</v>
      </c>
      <c r="K23" s="31">
        <v>2951</v>
      </c>
      <c r="L23" s="103">
        <v>6227</v>
      </c>
    </row>
    <row r="24" spans="1:12" x14ac:dyDescent="0.2">
      <c r="A24" s="102">
        <v>19</v>
      </c>
      <c r="B24" s="100" t="s">
        <v>35</v>
      </c>
      <c r="C24" s="100">
        <v>0.96109999999999995</v>
      </c>
      <c r="D24" s="31">
        <v>975</v>
      </c>
      <c r="E24" s="31">
        <v>3149</v>
      </c>
      <c r="F24" s="31">
        <v>6426</v>
      </c>
      <c r="G24" s="31">
        <v>1094</v>
      </c>
      <c r="H24" s="31">
        <v>3267</v>
      </c>
      <c r="I24" s="31">
        <v>6545</v>
      </c>
      <c r="J24" s="31">
        <v>778</v>
      </c>
      <c r="K24" s="31">
        <v>2952</v>
      </c>
      <c r="L24" s="103">
        <v>6229</v>
      </c>
    </row>
    <row r="25" spans="1:12" x14ac:dyDescent="0.2">
      <c r="A25" s="104">
        <v>20</v>
      </c>
      <c r="B25" s="101" t="s">
        <v>36</v>
      </c>
      <c r="C25" s="101">
        <v>0.94010000000000005</v>
      </c>
      <c r="D25" s="32">
        <v>954</v>
      </c>
      <c r="E25" s="32">
        <v>3080</v>
      </c>
      <c r="F25" s="32">
        <v>6286</v>
      </c>
      <c r="G25" s="32">
        <v>1070</v>
      </c>
      <c r="H25" s="32">
        <v>3196</v>
      </c>
      <c r="I25" s="32">
        <v>6402</v>
      </c>
      <c r="J25" s="32">
        <v>761</v>
      </c>
      <c r="K25" s="32">
        <v>2888</v>
      </c>
      <c r="L25" s="105">
        <v>6093</v>
      </c>
    </row>
    <row r="26" spans="1:12" x14ac:dyDescent="0.2">
      <c r="A26" s="102">
        <v>21</v>
      </c>
      <c r="B26" s="100" t="s">
        <v>37</v>
      </c>
      <c r="C26" s="100">
        <v>0.93630000000000002</v>
      </c>
      <c r="D26" s="31">
        <v>950</v>
      </c>
      <c r="E26" s="31">
        <v>3068</v>
      </c>
      <c r="F26" s="31">
        <v>6261</v>
      </c>
      <c r="G26" s="31">
        <v>1065</v>
      </c>
      <c r="H26" s="31">
        <v>3183</v>
      </c>
      <c r="I26" s="31">
        <v>6376</v>
      </c>
      <c r="J26" s="31">
        <v>758</v>
      </c>
      <c r="K26" s="31">
        <v>2876</v>
      </c>
      <c r="L26" s="103">
        <v>6069</v>
      </c>
    </row>
    <row r="27" spans="1:12" x14ac:dyDescent="0.2">
      <c r="A27" s="102">
        <v>22</v>
      </c>
      <c r="B27" s="100" t="s">
        <v>38</v>
      </c>
      <c r="C27" s="100">
        <v>0.96109999999999995</v>
      </c>
      <c r="D27" s="31">
        <v>975</v>
      </c>
      <c r="E27" s="31">
        <v>3149</v>
      </c>
      <c r="F27" s="31">
        <v>6426</v>
      </c>
      <c r="G27" s="31">
        <v>1094</v>
      </c>
      <c r="H27" s="31">
        <v>3267</v>
      </c>
      <c r="I27" s="31">
        <v>6545</v>
      </c>
      <c r="J27" s="31">
        <v>778</v>
      </c>
      <c r="K27" s="31">
        <v>2952</v>
      </c>
      <c r="L27" s="103">
        <v>6229</v>
      </c>
    </row>
    <row r="28" spans="1:12" x14ac:dyDescent="0.2">
      <c r="A28" s="102">
        <v>23</v>
      </c>
      <c r="B28" s="100" t="s">
        <v>39</v>
      </c>
      <c r="C28" s="100">
        <v>0.93840000000000001</v>
      </c>
      <c r="D28" s="31">
        <v>952</v>
      </c>
      <c r="E28" s="31">
        <v>3075</v>
      </c>
      <c r="F28" s="31">
        <v>6275</v>
      </c>
      <c r="G28" s="31">
        <v>1068</v>
      </c>
      <c r="H28" s="31">
        <v>3190</v>
      </c>
      <c r="I28" s="31">
        <v>6390</v>
      </c>
      <c r="J28" s="31">
        <v>760</v>
      </c>
      <c r="K28" s="31">
        <v>2882</v>
      </c>
      <c r="L28" s="103">
        <v>6082</v>
      </c>
    </row>
    <row r="29" spans="1:12" x14ac:dyDescent="0.2">
      <c r="A29" s="102">
        <v>24</v>
      </c>
      <c r="B29" s="100" t="s">
        <v>40</v>
      </c>
      <c r="C29" s="100">
        <v>0.93359999999999999</v>
      </c>
      <c r="D29" s="31">
        <v>947</v>
      </c>
      <c r="E29" s="31">
        <v>3059</v>
      </c>
      <c r="F29" s="31">
        <v>6243</v>
      </c>
      <c r="G29" s="31">
        <v>1062</v>
      </c>
      <c r="H29" s="31">
        <v>3174</v>
      </c>
      <c r="I29" s="31">
        <v>6357</v>
      </c>
      <c r="J29" s="31">
        <v>756</v>
      </c>
      <c r="K29" s="31">
        <v>2868</v>
      </c>
      <c r="L29" s="103">
        <v>6051</v>
      </c>
    </row>
    <row r="30" spans="1:12" x14ac:dyDescent="0.2">
      <c r="A30" s="104">
        <v>25</v>
      </c>
      <c r="B30" s="101" t="s">
        <v>41</v>
      </c>
      <c r="C30" s="101">
        <v>0.93220000000000003</v>
      </c>
      <c r="D30" s="32">
        <v>946</v>
      </c>
      <c r="E30" s="32">
        <v>3054</v>
      </c>
      <c r="F30" s="32">
        <v>6233</v>
      </c>
      <c r="G30" s="32">
        <v>1061</v>
      </c>
      <c r="H30" s="32">
        <v>3169</v>
      </c>
      <c r="I30" s="32">
        <v>6348</v>
      </c>
      <c r="J30" s="32">
        <v>755</v>
      </c>
      <c r="K30" s="32">
        <v>2863</v>
      </c>
      <c r="L30" s="105">
        <v>6042</v>
      </c>
    </row>
    <row r="31" spans="1:12" x14ac:dyDescent="0.2">
      <c r="A31" s="102">
        <v>26</v>
      </c>
      <c r="B31" s="100" t="s">
        <v>42</v>
      </c>
      <c r="C31" s="100">
        <v>0.9536</v>
      </c>
      <c r="D31" s="31">
        <v>968</v>
      </c>
      <c r="E31" s="31">
        <v>3125</v>
      </c>
      <c r="F31" s="31">
        <v>6376</v>
      </c>
      <c r="G31" s="31">
        <v>1085</v>
      </c>
      <c r="H31" s="31">
        <v>3242</v>
      </c>
      <c r="I31" s="31">
        <v>6494</v>
      </c>
      <c r="J31" s="31">
        <v>772</v>
      </c>
      <c r="K31" s="31">
        <v>2929</v>
      </c>
      <c r="L31" s="103">
        <v>6181</v>
      </c>
    </row>
    <row r="32" spans="1:12" x14ac:dyDescent="0.2">
      <c r="A32" s="102">
        <v>27</v>
      </c>
      <c r="B32" s="100" t="s">
        <v>43</v>
      </c>
      <c r="C32" s="100">
        <v>0.94669999999999999</v>
      </c>
      <c r="D32" s="31">
        <v>961</v>
      </c>
      <c r="E32" s="31">
        <v>3102</v>
      </c>
      <c r="F32" s="31">
        <v>6330</v>
      </c>
      <c r="G32" s="31">
        <v>1077</v>
      </c>
      <c r="H32" s="31">
        <v>3218</v>
      </c>
      <c r="I32" s="31">
        <v>6447</v>
      </c>
      <c r="J32" s="31">
        <v>767</v>
      </c>
      <c r="K32" s="31">
        <v>2908</v>
      </c>
      <c r="L32" s="103">
        <v>6136</v>
      </c>
    </row>
    <row r="33" spans="1:12" x14ac:dyDescent="0.2">
      <c r="A33" s="102">
        <v>28</v>
      </c>
      <c r="B33" s="100" t="s">
        <v>44</v>
      </c>
      <c r="C33" s="100">
        <v>0.95040000000000002</v>
      </c>
      <c r="D33" s="31">
        <v>964</v>
      </c>
      <c r="E33" s="31">
        <v>3114</v>
      </c>
      <c r="F33" s="31">
        <v>6355</v>
      </c>
      <c r="G33" s="31">
        <v>1081</v>
      </c>
      <c r="H33" s="31">
        <v>3231</v>
      </c>
      <c r="I33" s="31">
        <v>6472</v>
      </c>
      <c r="J33" s="31">
        <v>770</v>
      </c>
      <c r="K33" s="31">
        <v>2919</v>
      </c>
      <c r="L33" s="103">
        <v>6160</v>
      </c>
    </row>
    <row r="34" spans="1:12" x14ac:dyDescent="0.2">
      <c r="A34" s="102">
        <v>29</v>
      </c>
      <c r="B34" s="100" t="s">
        <v>45</v>
      </c>
      <c r="C34" s="100">
        <v>1.0015000000000001</v>
      </c>
      <c r="D34" s="31">
        <v>1016</v>
      </c>
      <c r="E34" s="31">
        <v>3282</v>
      </c>
      <c r="F34" s="31">
        <v>6697</v>
      </c>
      <c r="G34" s="31">
        <v>1139</v>
      </c>
      <c r="H34" s="31">
        <v>3405</v>
      </c>
      <c r="I34" s="31">
        <v>6820</v>
      </c>
      <c r="J34" s="31">
        <v>811</v>
      </c>
      <c r="K34" s="31">
        <v>3076</v>
      </c>
      <c r="L34" s="103">
        <v>6491</v>
      </c>
    </row>
    <row r="35" spans="1:12" x14ac:dyDescent="0.2">
      <c r="A35" s="104">
        <v>30</v>
      </c>
      <c r="B35" s="101" t="s">
        <v>46</v>
      </c>
      <c r="C35" s="101">
        <v>0.93269999999999997</v>
      </c>
      <c r="D35" s="32">
        <v>946</v>
      </c>
      <c r="E35" s="32">
        <v>3056</v>
      </c>
      <c r="F35" s="32">
        <v>6237</v>
      </c>
      <c r="G35" s="32">
        <v>1061</v>
      </c>
      <c r="H35" s="32">
        <v>3171</v>
      </c>
      <c r="I35" s="32">
        <v>6351</v>
      </c>
      <c r="J35" s="32">
        <v>755</v>
      </c>
      <c r="K35" s="32">
        <v>2865</v>
      </c>
      <c r="L35" s="105">
        <v>6045</v>
      </c>
    </row>
    <row r="36" spans="1:12" x14ac:dyDescent="0.2">
      <c r="A36" s="102">
        <v>31</v>
      </c>
      <c r="B36" s="100" t="s">
        <v>47</v>
      </c>
      <c r="C36" s="100">
        <v>0.9849</v>
      </c>
      <c r="D36" s="31">
        <v>999</v>
      </c>
      <c r="E36" s="31">
        <v>3227</v>
      </c>
      <c r="F36" s="31">
        <v>6586</v>
      </c>
      <c r="G36" s="31">
        <v>1121</v>
      </c>
      <c r="H36" s="31">
        <v>3348</v>
      </c>
      <c r="I36" s="31">
        <v>6707</v>
      </c>
      <c r="J36" s="31">
        <v>798</v>
      </c>
      <c r="K36" s="31">
        <v>3025</v>
      </c>
      <c r="L36" s="103">
        <v>6384</v>
      </c>
    </row>
    <row r="37" spans="1:12" x14ac:dyDescent="0.2">
      <c r="A37" s="102">
        <v>32</v>
      </c>
      <c r="B37" s="100" t="s">
        <v>48</v>
      </c>
      <c r="C37" s="100">
        <v>0.92030000000000001</v>
      </c>
      <c r="D37" s="31">
        <v>934</v>
      </c>
      <c r="E37" s="31">
        <v>3015</v>
      </c>
      <c r="F37" s="31">
        <v>6154</v>
      </c>
      <c r="G37" s="31">
        <v>1047</v>
      </c>
      <c r="H37" s="31">
        <v>3129</v>
      </c>
      <c r="I37" s="31">
        <v>6267</v>
      </c>
      <c r="J37" s="31">
        <v>745</v>
      </c>
      <c r="K37" s="31">
        <v>2827</v>
      </c>
      <c r="L37" s="103">
        <v>5965</v>
      </c>
    </row>
    <row r="38" spans="1:12" x14ac:dyDescent="0.2">
      <c r="A38" s="102">
        <v>33</v>
      </c>
      <c r="B38" s="100" t="s">
        <v>49</v>
      </c>
      <c r="C38" s="100">
        <v>0.95489999999999997</v>
      </c>
      <c r="D38" s="31">
        <v>969</v>
      </c>
      <c r="E38" s="31">
        <v>3129</v>
      </c>
      <c r="F38" s="31">
        <v>6385</v>
      </c>
      <c r="G38" s="31">
        <v>1086</v>
      </c>
      <c r="H38" s="31">
        <v>3246</v>
      </c>
      <c r="I38" s="31">
        <v>6502</v>
      </c>
      <c r="J38" s="31">
        <v>773</v>
      </c>
      <c r="K38" s="31">
        <v>2933</v>
      </c>
      <c r="L38" s="103">
        <v>6189</v>
      </c>
    </row>
    <row r="39" spans="1:12" x14ac:dyDescent="0.2">
      <c r="A39" s="102">
        <v>34</v>
      </c>
      <c r="B39" s="100" t="s">
        <v>50</v>
      </c>
      <c r="C39" s="100">
        <v>0.93820000000000003</v>
      </c>
      <c r="D39" s="31">
        <v>952</v>
      </c>
      <c r="E39" s="31">
        <v>3074</v>
      </c>
      <c r="F39" s="31">
        <v>6273</v>
      </c>
      <c r="G39" s="31">
        <v>1067</v>
      </c>
      <c r="H39" s="31">
        <v>3190</v>
      </c>
      <c r="I39" s="31">
        <v>6389</v>
      </c>
      <c r="J39" s="31">
        <v>760</v>
      </c>
      <c r="K39" s="31">
        <v>2882</v>
      </c>
      <c r="L39" s="103">
        <v>6081</v>
      </c>
    </row>
    <row r="40" spans="1:12" x14ac:dyDescent="0.2">
      <c r="A40" s="104">
        <v>35</v>
      </c>
      <c r="B40" s="101" t="s">
        <v>51</v>
      </c>
      <c r="C40" s="101">
        <v>0.95950000000000002</v>
      </c>
      <c r="D40" s="32">
        <v>974</v>
      </c>
      <c r="E40" s="32">
        <v>3144</v>
      </c>
      <c r="F40" s="32">
        <v>6416</v>
      </c>
      <c r="G40" s="32">
        <v>1092</v>
      </c>
      <c r="H40" s="32">
        <v>3262</v>
      </c>
      <c r="I40" s="32">
        <v>6534</v>
      </c>
      <c r="J40" s="32">
        <v>777</v>
      </c>
      <c r="K40" s="32">
        <v>2947</v>
      </c>
      <c r="L40" s="105">
        <v>6219</v>
      </c>
    </row>
    <row r="41" spans="1:12" x14ac:dyDescent="0.2">
      <c r="A41" s="102">
        <v>36</v>
      </c>
      <c r="B41" s="100" t="s">
        <v>52</v>
      </c>
      <c r="C41" s="100">
        <v>0.97740000000000005</v>
      </c>
      <c r="D41" s="31">
        <v>992</v>
      </c>
      <c r="E41" s="31">
        <v>3203</v>
      </c>
      <c r="F41" s="31">
        <v>6535</v>
      </c>
      <c r="G41" s="31">
        <v>1112</v>
      </c>
      <c r="H41" s="31">
        <v>3323</v>
      </c>
      <c r="I41" s="31">
        <v>6656</v>
      </c>
      <c r="J41" s="31">
        <v>791</v>
      </c>
      <c r="K41" s="31">
        <v>3002</v>
      </c>
      <c r="L41" s="103">
        <v>6335</v>
      </c>
    </row>
    <row r="42" spans="1:12" x14ac:dyDescent="0.2">
      <c r="A42" s="102">
        <v>37</v>
      </c>
      <c r="B42" s="100" t="s">
        <v>53</v>
      </c>
      <c r="C42" s="100">
        <v>0.9718</v>
      </c>
      <c r="D42" s="31">
        <v>986</v>
      </c>
      <c r="E42" s="31">
        <v>3184</v>
      </c>
      <c r="F42" s="31">
        <v>6498</v>
      </c>
      <c r="G42" s="31">
        <v>1106</v>
      </c>
      <c r="H42" s="31">
        <v>3304</v>
      </c>
      <c r="I42" s="31">
        <v>6618</v>
      </c>
      <c r="J42" s="31">
        <v>787</v>
      </c>
      <c r="K42" s="31">
        <v>2985</v>
      </c>
      <c r="L42" s="103">
        <v>6299</v>
      </c>
    </row>
    <row r="43" spans="1:12" x14ac:dyDescent="0.2">
      <c r="A43" s="102">
        <v>38</v>
      </c>
      <c r="B43" s="100" t="s">
        <v>54</v>
      </c>
      <c r="C43" s="100">
        <v>0.93189999999999995</v>
      </c>
      <c r="D43" s="31">
        <v>946</v>
      </c>
      <c r="E43" s="31">
        <v>3054</v>
      </c>
      <c r="F43" s="31">
        <v>6231</v>
      </c>
      <c r="G43" s="31">
        <v>1060</v>
      </c>
      <c r="H43" s="31">
        <v>3168</v>
      </c>
      <c r="I43" s="31">
        <v>6346</v>
      </c>
      <c r="J43" s="31">
        <v>755</v>
      </c>
      <c r="K43" s="31">
        <v>2862</v>
      </c>
      <c r="L43" s="103">
        <v>6040</v>
      </c>
    </row>
    <row r="44" spans="1:12" x14ac:dyDescent="0.2">
      <c r="A44" s="102">
        <v>39</v>
      </c>
      <c r="B44" s="100" t="s">
        <v>55</v>
      </c>
      <c r="C44" s="100">
        <v>0.9284</v>
      </c>
      <c r="D44" s="31">
        <v>942</v>
      </c>
      <c r="E44" s="31">
        <v>3042</v>
      </c>
      <c r="F44" s="31">
        <v>6208</v>
      </c>
      <c r="G44" s="31">
        <v>1056</v>
      </c>
      <c r="H44" s="31">
        <v>3156</v>
      </c>
      <c r="I44" s="31">
        <v>6322</v>
      </c>
      <c r="J44" s="31">
        <v>752</v>
      </c>
      <c r="K44" s="31">
        <v>2852</v>
      </c>
      <c r="L44" s="103">
        <v>6017</v>
      </c>
    </row>
    <row r="45" spans="1:12" x14ac:dyDescent="0.2">
      <c r="A45" s="104">
        <v>40</v>
      </c>
      <c r="B45" s="101" t="s">
        <v>56</v>
      </c>
      <c r="C45" s="101">
        <v>0.93640000000000001</v>
      </c>
      <c r="D45" s="32">
        <v>950</v>
      </c>
      <c r="E45" s="32">
        <v>3068</v>
      </c>
      <c r="F45" s="32">
        <v>6261</v>
      </c>
      <c r="G45" s="32">
        <v>1065</v>
      </c>
      <c r="H45" s="32">
        <v>3183</v>
      </c>
      <c r="I45" s="32">
        <v>6376</v>
      </c>
      <c r="J45" s="32">
        <v>758</v>
      </c>
      <c r="K45" s="32">
        <v>2876</v>
      </c>
      <c r="L45" s="105">
        <v>6069</v>
      </c>
    </row>
    <row r="46" spans="1:12" x14ac:dyDescent="0.2">
      <c r="A46" s="102">
        <v>41</v>
      </c>
      <c r="B46" s="100" t="s">
        <v>57</v>
      </c>
      <c r="C46" s="100">
        <v>0.99670000000000003</v>
      </c>
      <c r="D46" s="31">
        <v>1011</v>
      </c>
      <c r="E46" s="31">
        <v>3266</v>
      </c>
      <c r="F46" s="31">
        <v>6664</v>
      </c>
      <c r="G46" s="31">
        <v>1134</v>
      </c>
      <c r="H46" s="31">
        <v>3388</v>
      </c>
      <c r="I46" s="31">
        <v>6787</v>
      </c>
      <c r="J46" s="31">
        <v>807</v>
      </c>
      <c r="K46" s="31">
        <v>3062</v>
      </c>
      <c r="L46" s="103">
        <v>6460</v>
      </c>
    </row>
    <row r="47" spans="1:12" x14ac:dyDescent="0.2">
      <c r="A47" s="102">
        <v>42</v>
      </c>
      <c r="B47" s="100" t="s">
        <v>58</v>
      </c>
      <c r="C47" s="100">
        <v>0.94830000000000003</v>
      </c>
      <c r="D47" s="31">
        <v>962</v>
      </c>
      <c r="E47" s="31">
        <v>3107</v>
      </c>
      <c r="F47" s="31">
        <v>6341</v>
      </c>
      <c r="G47" s="31">
        <v>1079</v>
      </c>
      <c r="H47" s="31">
        <v>3224</v>
      </c>
      <c r="I47" s="31">
        <v>6457</v>
      </c>
      <c r="J47" s="31">
        <v>768</v>
      </c>
      <c r="K47" s="31">
        <v>2913</v>
      </c>
      <c r="L47" s="103">
        <v>6146</v>
      </c>
    </row>
    <row r="48" spans="1:12" x14ac:dyDescent="0.2">
      <c r="A48" s="102">
        <v>43</v>
      </c>
      <c r="B48" s="100" t="s">
        <v>59</v>
      </c>
      <c r="C48" s="100">
        <v>0.99350000000000005</v>
      </c>
      <c r="D48" s="31">
        <v>1008</v>
      </c>
      <c r="E48" s="31">
        <v>3255</v>
      </c>
      <c r="F48" s="31">
        <v>6643</v>
      </c>
      <c r="G48" s="31">
        <v>1130</v>
      </c>
      <c r="H48" s="31">
        <v>3378</v>
      </c>
      <c r="I48" s="31">
        <v>6765</v>
      </c>
      <c r="J48" s="31">
        <v>805</v>
      </c>
      <c r="K48" s="31">
        <v>3052</v>
      </c>
      <c r="L48" s="103">
        <v>6439</v>
      </c>
    </row>
    <row r="49" spans="1:12" x14ac:dyDescent="0.2">
      <c r="A49" s="102">
        <v>44</v>
      </c>
      <c r="B49" s="100" t="s">
        <v>60</v>
      </c>
      <c r="C49" s="100">
        <v>1.0818000000000001</v>
      </c>
      <c r="D49" s="31">
        <v>1098</v>
      </c>
      <c r="E49" s="31">
        <v>3545</v>
      </c>
      <c r="F49" s="31">
        <v>7233</v>
      </c>
      <c r="G49" s="31">
        <v>1231</v>
      </c>
      <c r="H49" s="31">
        <v>3678</v>
      </c>
      <c r="I49" s="31">
        <v>7367</v>
      </c>
      <c r="J49" s="31">
        <v>876</v>
      </c>
      <c r="K49" s="31">
        <v>3323</v>
      </c>
      <c r="L49" s="103">
        <v>7012</v>
      </c>
    </row>
    <row r="50" spans="1:12" x14ac:dyDescent="0.2">
      <c r="A50" s="104">
        <v>45</v>
      </c>
      <c r="B50" s="101" t="s">
        <v>61</v>
      </c>
      <c r="C50" s="101">
        <v>0.94979999999999998</v>
      </c>
      <c r="D50" s="32">
        <v>964</v>
      </c>
      <c r="E50" s="32">
        <v>3112</v>
      </c>
      <c r="F50" s="32">
        <v>6351</v>
      </c>
      <c r="G50" s="32">
        <v>1081</v>
      </c>
      <c r="H50" s="32">
        <v>3229</v>
      </c>
      <c r="I50" s="32">
        <v>6468</v>
      </c>
      <c r="J50" s="32">
        <v>769</v>
      </c>
      <c r="K50" s="32">
        <v>2917</v>
      </c>
      <c r="L50" s="105">
        <v>6156</v>
      </c>
    </row>
    <row r="51" spans="1:12" x14ac:dyDescent="0.2">
      <c r="A51" s="102">
        <v>46</v>
      </c>
      <c r="B51" s="100" t="s">
        <v>62</v>
      </c>
      <c r="C51" s="100">
        <v>0.9627</v>
      </c>
      <c r="D51" s="31">
        <v>977</v>
      </c>
      <c r="E51" s="31">
        <v>3154</v>
      </c>
      <c r="F51" s="31">
        <v>6437</v>
      </c>
      <c r="G51" s="31">
        <v>1095</v>
      </c>
      <c r="H51" s="31">
        <v>3273</v>
      </c>
      <c r="I51" s="31">
        <v>6556</v>
      </c>
      <c r="J51" s="31">
        <v>780</v>
      </c>
      <c r="K51" s="31">
        <v>2957</v>
      </c>
      <c r="L51" s="103">
        <v>6240</v>
      </c>
    </row>
    <row r="52" spans="1:12" x14ac:dyDescent="0.2">
      <c r="A52" s="102">
        <v>47</v>
      </c>
      <c r="B52" s="100" t="s">
        <v>63</v>
      </c>
      <c r="C52" s="106">
        <v>0.95899999999999996</v>
      </c>
      <c r="D52" s="31">
        <v>973</v>
      </c>
      <c r="E52" s="31">
        <v>3142</v>
      </c>
      <c r="F52" s="31">
        <v>6412</v>
      </c>
      <c r="G52" s="31">
        <v>1091</v>
      </c>
      <c r="H52" s="31">
        <v>3260</v>
      </c>
      <c r="I52" s="31">
        <v>6530</v>
      </c>
      <c r="J52" s="31">
        <v>777</v>
      </c>
      <c r="K52" s="31">
        <v>2946</v>
      </c>
      <c r="L52" s="103">
        <v>6216</v>
      </c>
    </row>
    <row r="53" spans="1:12" x14ac:dyDescent="0.2">
      <c r="A53" s="102">
        <v>48</v>
      </c>
      <c r="B53" s="100" t="s">
        <v>64</v>
      </c>
      <c r="C53" s="100">
        <v>1.0003</v>
      </c>
      <c r="D53" s="31">
        <v>1015</v>
      </c>
      <c r="E53" s="31">
        <v>3278</v>
      </c>
      <c r="F53" s="31">
        <v>6689</v>
      </c>
      <c r="G53" s="31">
        <v>1138</v>
      </c>
      <c r="H53" s="31">
        <v>3401</v>
      </c>
      <c r="I53" s="31">
        <v>6812</v>
      </c>
      <c r="J53" s="31">
        <v>810</v>
      </c>
      <c r="K53" s="31">
        <v>3073</v>
      </c>
      <c r="L53" s="103">
        <v>6483</v>
      </c>
    </row>
    <row r="54" spans="1:12" x14ac:dyDescent="0.2">
      <c r="A54" s="102">
        <v>49</v>
      </c>
      <c r="B54" s="100" t="s">
        <v>65</v>
      </c>
      <c r="C54" s="100">
        <v>0.96760000000000002</v>
      </c>
      <c r="D54" s="31">
        <v>982</v>
      </c>
      <c r="E54" s="31">
        <v>3170</v>
      </c>
      <c r="F54" s="31">
        <v>6470</v>
      </c>
      <c r="G54" s="31">
        <v>1101</v>
      </c>
      <c r="H54" s="31">
        <v>3290</v>
      </c>
      <c r="I54" s="31">
        <v>6589</v>
      </c>
      <c r="J54" s="31">
        <v>784</v>
      </c>
      <c r="K54" s="31">
        <v>2972</v>
      </c>
      <c r="L54" s="103">
        <v>6272</v>
      </c>
    </row>
    <row r="55" spans="1:12" x14ac:dyDescent="0.2">
      <c r="A55" s="104">
        <v>50</v>
      </c>
      <c r="B55" s="101" t="s">
        <v>66</v>
      </c>
      <c r="C55" s="101">
        <v>1.0314000000000001</v>
      </c>
      <c r="D55" s="32">
        <v>1047</v>
      </c>
      <c r="E55" s="32">
        <v>3380</v>
      </c>
      <c r="F55" s="32">
        <v>6896</v>
      </c>
      <c r="G55" s="32">
        <v>1173</v>
      </c>
      <c r="H55" s="32">
        <v>3506</v>
      </c>
      <c r="I55" s="32">
        <v>7023</v>
      </c>
      <c r="J55" s="32">
        <v>835</v>
      </c>
      <c r="K55" s="32">
        <v>3168</v>
      </c>
      <c r="L55" s="105">
        <v>6685</v>
      </c>
    </row>
    <row r="56" spans="1:12" x14ac:dyDescent="0.2">
      <c r="A56" s="102">
        <v>51</v>
      </c>
      <c r="B56" s="100" t="s">
        <v>67</v>
      </c>
      <c r="C56" s="100">
        <v>0.95979999999999999</v>
      </c>
      <c r="D56" s="31">
        <v>974</v>
      </c>
      <c r="E56" s="31">
        <v>3145</v>
      </c>
      <c r="F56" s="31">
        <v>6418</v>
      </c>
      <c r="G56" s="31">
        <v>1092</v>
      </c>
      <c r="H56" s="31">
        <v>3263</v>
      </c>
      <c r="I56" s="31">
        <v>6536</v>
      </c>
      <c r="J56" s="31">
        <v>777</v>
      </c>
      <c r="K56" s="31">
        <v>2948</v>
      </c>
      <c r="L56" s="103">
        <v>6221</v>
      </c>
    </row>
    <row r="57" spans="1:12" x14ac:dyDescent="0.2">
      <c r="A57" s="102">
        <v>52</v>
      </c>
      <c r="B57" s="100" t="s">
        <v>68</v>
      </c>
      <c r="C57" s="106">
        <v>1.024</v>
      </c>
      <c r="D57" s="31">
        <v>1039</v>
      </c>
      <c r="E57" s="31">
        <v>3355</v>
      </c>
      <c r="F57" s="31">
        <v>6847</v>
      </c>
      <c r="G57" s="31">
        <v>1165</v>
      </c>
      <c r="H57" s="31">
        <v>3481</v>
      </c>
      <c r="I57" s="31">
        <v>6973</v>
      </c>
      <c r="J57" s="31">
        <v>829</v>
      </c>
      <c r="K57" s="31">
        <v>3145</v>
      </c>
      <c r="L57" s="103">
        <v>6637</v>
      </c>
    </row>
    <row r="58" spans="1:12" x14ac:dyDescent="0.2">
      <c r="A58" s="102">
        <v>53</v>
      </c>
      <c r="B58" s="100" t="s">
        <v>69</v>
      </c>
      <c r="C58" s="100">
        <v>0.96409999999999996</v>
      </c>
      <c r="D58" s="31">
        <v>978</v>
      </c>
      <c r="E58" s="31">
        <v>3159</v>
      </c>
      <c r="F58" s="31">
        <v>6446</v>
      </c>
      <c r="G58" s="31">
        <v>1097</v>
      </c>
      <c r="H58" s="31">
        <v>3278</v>
      </c>
      <c r="I58" s="31">
        <v>6565</v>
      </c>
      <c r="J58" s="31">
        <v>781</v>
      </c>
      <c r="K58" s="31">
        <v>2961</v>
      </c>
      <c r="L58" s="103">
        <v>6249</v>
      </c>
    </row>
    <row r="59" spans="1:12" x14ac:dyDescent="0.2">
      <c r="A59" s="102">
        <v>54</v>
      </c>
      <c r="B59" s="100" t="s">
        <v>70</v>
      </c>
      <c r="C59" s="100">
        <v>0.93969999999999998</v>
      </c>
      <c r="D59" s="31">
        <v>954</v>
      </c>
      <c r="E59" s="31">
        <v>3079</v>
      </c>
      <c r="F59" s="31">
        <v>6283</v>
      </c>
      <c r="G59" s="31">
        <v>1069</v>
      </c>
      <c r="H59" s="31">
        <v>3195</v>
      </c>
      <c r="I59" s="31">
        <v>6399</v>
      </c>
      <c r="J59" s="31">
        <v>761</v>
      </c>
      <c r="K59" s="31">
        <v>2886</v>
      </c>
      <c r="L59" s="103">
        <v>6091</v>
      </c>
    </row>
    <row r="60" spans="1:12" x14ac:dyDescent="0.2">
      <c r="A60" s="104">
        <v>55</v>
      </c>
      <c r="B60" s="101" t="s">
        <v>71</v>
      </c>
      <c r="C60" s="101">
        <v>0.97919999999999996</v>
      </c>
      <c r="D60" s="32">
        <v>994</v>
      </c>
      <c r="E60" s="32">
        <v>3208</v>
      </c>
      <c r="F60" s="32">
        <v>6547</v>
      </c>
      <c r="G60" s="32">
        <v>1114</v>
      </c>
      <c r="H60" s="32">
        <v>3329</v>
      </c>
      <c r="I60" s="32">
        <v>6668</v>
      </c>
      <c r="J60" s="32">
        <v>793</v>
      </c>
      <c r="K60" s="32">
        <v>3008</v>
      </c>
      <c r="L60" s="105">
        <v>6347</v>
      </c>
    </row>
    <row r="61" spans="1:12" x14ac:dyDescent="0.2">
      <c r="A61" s="102">
        <v>56</v>
      </c>
      <c r="B61" s="100" t="s">
        <v>72</v>
      </c>
      <c r="C61" s="100">
        <v>0.96379999999999999</v>
      </c>
      <c r="D61" s="31">
        <v>978</v>
      </c>
      <c r="E61" s="31">
        <v>3158</v>
      </c>
      <c r="F61" s="31">
        <v>6444</v>
      </c>
      <c r="G61" s="31">
        <v>1097</v>
      </c>
      <c r="H61" s="31">
        <v>3277</v>
      </c>
      <c r="I61" s="31">
        <v>6563</v>
      </c>
      <c r="J61" s="31">
        <v>780</v>
      </c>
      <c r="K61" s="31">
        <v>2960</v>
      </c>
      <c r="L61" s="103">
        <v>6247</v>
      </c>
    </row>
    <row r="62" spans="1:12" x14ac:dyDescent="0.2">
      <c r="A62" s="102">
        <v>57</v>
      </c>
      <c r="B62" s="100" t="s">
        <v>73</v>
      </c>
      <c r="C62" s="100">
        <v>0.93820000000000003</v>
      </c>
      <c r="D62" s="31">
        <v>952</v>
      </c>
      <c r="E62" s="31">
        <v>3074</v>
      </c>
      <c r="F62" s="31">
        <v>6273</v>
      </c>
      <c r="G62" s="31">
        <v>1067</v>
      </c>
      <c r="H62" s="31">
        <v>3190</v>
      </c>
      <c r="I62" s="31">
        <v>6389</v>
      </c>
      <c r="J62" s="31">
        <v>760</v>
      </c>
      <c r="K62" s="31">
        <v>2882</v>
      </c>
      <c r="L62" s="103">
        <v>6081</v>
      </c>
    </row>
    <row r="63" spans="1:12" x14ac:dyDescent="0.2">
      <c r="A63" s="102">
        <v>58</v>
      </c>
      <c r="B63" s="100" t="s">
        <v>74</v>
      </c>
      <c r="C63" s="100">
        <v>1.0125999999999999</v>
      </c>
      <c r="D63" s="31">
        <v>1028</v>
      </c>
      <c r="E63" s="31">
        <v>3318</v>
      </c>
      <c r="F63" s="31">
        <v>6771</v>
      </c>
      <c r="G63" s="31">
        <v>1152</v>
      </c>
      <c r="H63" s="31">
        <v>3442</v>
      </c>
      <c r="I63" s="31">
        <v>6895</v>
      </c>
      <c r="J63" s="31">
        <v>820</v>
      </c>
      <c r="K63" s="31">
        <v>3110</v>
      </c>
      <c r="L63" s="103">
        <v>6563</v>
      </c>
    </row>
    <row r="64" spans="1:12" x14ac:dyDescent="0.2">
      <c r="A64" s="102">
        <v>59</v>
      </c>
      <c r="B64" s="100" t="s">
        <v>75</v>
      </c>
      <c r="C64" s="100">
        <v>0.99429999999999996</v>
      </c>
      <c r="D64" s="31">
        <v>1009</v>
      </c>
      <c r="E64" s="31">
        <v>3258</v>
      </c>
      <c r="F64" s="31">
        <v>6648</v>
      </c>
      <c r="G64" s="31">
        <v>1131</v>
      </c>
      <c r="H64" s="31">
        <v>3380</v>
      </c>
      <c r="I64" s="31">
        <v>6771</v>
      </c>
      <c r="J64" s="31">
        <v>805</v>
      </c>
      <c r="K64" s="31">
        <v>3054</v>
      </c>
      <c r="L64" s="103">
        <v>6445</v>
      </c>
    </row>
    <row r="65" spans="1:12" x14ac:dyDescent="0.2">
      <c r="A65" s="104">
        <v>60</v>
      </c>
      <c r="B65" s="101" t="s">
        <v>76</v>
      </c>
      <c r="C65" s="101">
        <v>0.92190000000000005</v>
      </c>
      <c r="D65" s="32">
        <v>936</v>
      </c>
      <c r="E65" s="32">
        <v>3021</v>
      </c>
      <c r="F65" s="32">
        <v>6164</v>
      </c>
      <c r="G65" s="32">
        <v>1049</v>
      </c>
      <c r="H65" s="32">
        <v>3134</v>
      </c>
      <c r="I65" s="32">
        <v>6278</v>
      </c>
      <c r="J65" s="32">
        <v>747</v>
      </c>
      <c r="K65" s="32">
        <v>2832</v>
      </c>
      <c r="L65" s="105">
        <v>5975</v>
      </c>
    </row>
    <row r="66" spans="1:12" x14ac:dyDescent="0.2">
      <c r="A66" s="102">
        <v>61</v>
      </c>
      <c r="B66" s="100" t="s">
        <v>77</v>
      </c>
      <c r="C66" s="100">
        <v>0.92930000000000001</v>
      </c>
      <c r="D66" s="31">
        <v>943</v>
      </c>
      <c r="E66" s="31">
        <v>3045</v>
      </c>
      <c r="F66" s="31">
        <v>6214</v>
      </c>
      <c r="G66" s="31">
        <v>1057</v>
      </c>
      <c r="H66" s="31">
        <v>3159</v>
      </c>
      <c r="I66" s="31">
        <v>6328</v>
      </c>
      <c r="J66" s="31">
        <v>753</v>
      </c>
      <c r="K66" s="31">
        <v>2854</v>
      </c>
      <c r="L66" s="103">
        <v>6023</v>
      </c>
    </row>
    <row r="67" spans="1:12" x14ac:dyDescent="0.2">
      <c r="A67" s="102">
        <v>62</v>
      </c>
      <c r="B67" s="100" t="s">
        <v>78</v>
      </c>
      <c r="C67" s="100">
        <v>0.94989999999999997</v>
      </c>
      <c r="D67" s="31">
        <v>964</v>
      </c>
      <c r="E67" s="31">
        <v>3112</v>
      </c>
      <c r="F67" s="31">
        <v>6352</v>
      </c>
      <c r="G67" s="31">
        <v>1081</v>
      </c>
      <c r="H67" s="31">
        <v>3229</v>
      </c>
      <c r="I67" s="31">
        <v>6468</v>
      </c>
      <c r="J67" s="31">
        <v>769</v>
      </c>
      <c r="K67" s="31">
        <v>2918</v>
      </c>
      <c r="L67" s="103">
        <v>6157</v>
      </c>
    </row>
    <row r="68" spans="1:12" x14ac:dyDescent="0.2">
      <c r="A68" s="102">
        <v>63</v>
      </c>
      <c r="B68" s="100" t="s">
        <v>79</v>
      </c>
      <c r="C68" s="100">
        <v>0.93140000000000001</v>
      </c>
      <c r="D68" s="31">
        <v>945</v>
      </c>
      <c r="E68" s="31">
        <v>3052</v>
      </c>
      <c r="F68" s="31">
        <v>6228</v>
      </c>
      <c r="G68" s="31">
        <v>1060</v>
      </c>
      <c r="H68" s="31">
        <v>3166</v>
      </c>
      <c r="I68" s="31">
        <v>6342</v>
      </c>
      <c r="J68" s="31">
        <v>754</v>
      </c>
      <c r="K68" s="31">
        <v>2861</v>
      </c>
      <c r="L68" s="103">
        <v>6037</v>
      </c>
    </row>
    <row r="69" spans="1:12" x14ac:dyDescent="0.2">
      <c r="A69" s="102">
        <v>64</v>
      </c>
      <c r="B69" s="100" t="s">
        <v>80</v>
      </c>
      <c r="C69" s="100">
        <v>0.9647</v>
      </c>
      <c r="D69" s="31">
        <v>979</v>
      </c>
      <c r="E69" s="31">
        <v>3161</v>
      </c>
      <c r="F69" s="31">
        <v>6451</v>
      </c>
      <c r="G69" s="31">
        <v>1098</v>
      </c>
      <c r="H69" s="31">
        <v>3280</v>
      </c>
      <c r="I69" s="31">
        <v>6569</v>
      </c>
      <c r="J69" s="31">
        <v>781</v>
      </c>
      <c r="K69" s="31">
        <v>2963</v>
      </c>
      <c r="L69" s="103">
        <v>6253</v>
      </c>
    </row>
    <row r="70" spans="1:12" x14ac:dyDescent="0.2">
      <c r="A70" s="104">
        <v>65</v>
      </c>
      <c r="B70" s="101" t="s">
        <v>81</v>
      </c>
      <c r="C70" s="107">
        <v>0.94299999999999995</v>
      </c>
      <c r="D70" s="32">
        <v>957</v>
      </c>
      <c r="E70" s="32">
        <v>3090</v>
      </c>
      <c r="F70" s="32">
        <v>6305</v>
      </c>
      <c r="G70" s="32">
        <v>1073</v>
      </c>
      <c r="H70" s="32">
        <v>3206</v>
      </c>
      <c r="I70" s="32">
        <v>6421</v>
      </c>
      <c r="J70" s="32">
        <v>764</v>
      </c>
      <c r="K70" s="32">
        <v>2897</v>
      </c>
      <c r="L70" s="105">
        <v>6112</v>
      </c>
    </row>
    <row r="71" spans="1:12" x14ac:dyDescent="0.2">
      <c r="A71" s="102">
        <v>66</v>
      </c>
      <c r="B71" s="100" t="s">
        <v>82</v>
      </c>
      <c r="C71" s="100">
        <v>0.93720000000000003</v>
      </c>
      <c r="D71" s="31">
        <v>951</v>
      </c>
      <c r="E71" s="31">
        <v>3071</v>
      </c>
      <c r="F71" s="31">
        <v>6267</v>
      </c>
      <c r="G71" s="31">
        <v>1066</v>
      </c>
      <c r="H71" s="31">
        <v>3186</v>
      </c>
      <c r="I71" s="31">
        <v>6382</v>
      </c>
      <c r="J71" s="31">
        <v>759</v>
      </c>
      <c r="K71" s="31">
        <v>2879</v>
      </c>
      <c r="L71" s="103">
        <v>6074</v>
      </c>
    </row>
    <row r="72" spans="1:12" x14ac:dyDescent="0.2">
      <c r="A72" s="104">
        <v>67</v>
      </c>
      <c r="B72" s="101" t="s">
        <v>83</v>
      </c>
      <c r="C72" s="101">
        <v>0.90969999999999995</v>
      </c>
      <c r="D72" s="32">
        <v>923</v>
      </c>
      <c r="E72" s="32">
        <v>2981</v>
      </c>
      <c r="F72" s="32">
        <v>6083</v>
      </c>
      <c r="G72" s="32">
        <v>1035</v>
      </c>
      <c r="H72" s="32">
        <v>3093</v>
      </c>
      <c r="I72" s="32">
        <v>6195</v>
      </c>
      <c r="J72" s="32">
        <v>737</v>
      </c>
      <c r="K72" s="32">
        <v>2794</v>
      </c>
      <c r="L72" s="105">
        <v>5896</v>
      </c>
    </row>
    <row r="73" spans="1:12" x14ac:dyDescent="0.2">
      <c r="A73" s="102">
        <v>68</v>
      </c>
      <c r="B73" s="100" t="s">
        <v>84</v>
      </c>
      <c r="C73" s="100">
        <v>0.90969999999999995</v>
      </c>
      <c r="D73" s="31">
        <v>923</v>
      </c>
      <c r="E73" s="31">
        <v>2981</v>
      </c>
      <c r="F73" s="31">
        <v>6083</v>
      </c>
      <c r="G73" s="31">
        <v>1035</v>
      </c>
      <c r="H73" s="31">
        <v>3093</v>
      </c>
      <c r="I73" s="31">
        <v>6195</v>
      </c>
      <c r="J73" s="31">
        <v>737</v>
      </c>
      <c r="K73" s="31">
        <v>2794</v>
      </c>
      <c r="L73" s="103">
        <v>5896</v>
      </c>
    </row>
    <row r="74" spans="1:12" x14ac:dyDescent="0.2">
      <c r="A74" s="102">
        <v>69</v>
      </c>
      <c r="B74" s="100" t="s">
        <v>85</v>
      </c>
      <c r="C74" s="100">
        <v>0.9718</v>
      </c>
      <c r="D74" s="31">
        <v>986</v>
      </c>
      <c r="E74" s="31">
        <v>3184</v>
      </c>
      <c r="F74" s="31">
        <v>6498</v>
      </c>
      <c r="G74" s="31">
        <v>1106</v>
      </c>
      <c r="H74" s="31">
        <v>3304</v>
      </c>
      <c r="I74" s="31">
        <v>6618</v>
      </c>
      <c r="J74" s="31">
        <v>787</v>
      </c>
      <c r="K74" s="31">
        <v>2985</v>
      </c>
      <c r="L74" s="103">
        <v>6299</v>
      </c>
    </row>
    <row r="75" spans="1:12" x14ac:dyDescent="0.2">
      <c r="A75" s="102">
        <v>70</v>
      </c>
      <c r="B75" s="100" t="s">
        <v>86</v>
      </c>
      <c r="C75" s="100">
        <v>1.0314000000000001</v>
      </c>
      <c r="D75" s="31">
        <v>1047</v>
      </c>
      <c r="E75" s="31">
        <v>3380</v>
      </c>
      <c r="F75" s="31">
        <v>6896</v>
      </c>
      <c r="G75" s="31">
        <v>1173</v>
      </c>
      <c r="H75" s="31">
        <v>3506</v>
      </c>
      <c r="I75" s="31">
        <v>7023</v>
      </c>
      <c r="J75" s="31">
        <v>835</v>
      </c>
      <c r="K75" s="31">
        <v>3168</v>
      </c>
      <c r="L75" s="103">
        <v>6685</v>
      </c>
    </row>
    <row r="76" spans="1:12" x14ac:dyDescent="0.2">
      <c r="A76" s="102">
        <v>71</v>
      </c>
      <c r="B76" s="100" t="s">
        <v>128</v>
      </c>
      <c r="C76" s="100">
        <v>0.96379999999999999</v>
      </c>
      <c r="D76" s="31">
        <v>978</v>
      </c>
      <c r="E76" s="31">
        <v>3158</v>
      </c>
      <c r="F76" s="31">
        <v>6444</v>
      </c>
      <c r="G76" s="31">
        <v>1097</v>
      </c>
      <c r="H76" s="31">
        <v>3277</v>
      </c>
      <c r="I76" s="31">
        <v>6563</v>
      </c>
      <c r="J76" s="31">
        <v>780</v>
      </c>
      <c r="K76" s="31">
        <v>2960</v>
      </c>
      <c r="L76" s="103">
        <v>6247</v>
      </c>
    </row>
    <row r="77" spans="1:12" x14ac:dyDescent="0.2">
      <c r="A77" s="102">
        <v>72</v>
      </c>
      <c r="B77" s="100" t="s">
        <v>129</v>
      </c>
      <c r="C77" s="100">
        <v>1.0429999999999999</v>
      </c>
      <c r="D77" s="31">
        <v>1058</v>
      </c>
      <c r="E77" s="31">
        <v>3418</v>
      </c>
      <c r="F77" s="31">
        <v>6974</v>
      </c>
      <c r="G77" s="31">
        <v>1187</v>
      </c>
      <c r="H77" s="31">
        <v>3546</v>
      </c>
      <c r="I77" s="31">
        <v>7102</v>
      </c>
      <c r="J77" s="31">
        <v>845</v>
      </c>
      <c r="K77" s="31">
        <v>3204</v>
      </c>
      <c r="L77" s="103">
        <v>6760</v>
      </c>
    </row>
    <row r="78" spans="1:12" x14ac:dyDescent="0.2">
      <c r="A78" s="102">
        <v>73</v>
      </c>
      <c r="B78" s="100" t="s">
        <v>126</v>
      </c>
      <c r="C78" s="100">
        <v>0.9718</v>
      </c>
      <c r="D78" s="31">
        <v>986</v>
      </c>
      <c r="E78" s="31">
        <v>3184</v>
      </c>
      <c r="F78" s="31">
        <v>6498</v>
      </c>
      <c r="G78" s="31">
        <v>1106</v>
      </c>
      <c r="H78" s="31">
        <v>3304</v>
      </c>
      <c r="I78" s="31">
        <v>6618</v>
      </c>
      <c r="J78" s="31">
        <v>787</v>
      </c>
      <c r="K78" s="31">
        <v>2985</v>
      </c>
      <c r="L78" s="103">
        <v>6299</v>
      </c>
    </row>
    <row r="79" spans="1:12" x14ac:dyDescent="0.2">
      <c r="A79" s="102">
        <v>74</v>
      </c>
      <c r="B79" s="100" t="s">
        <v>87</v>
      </c>
      <c r="C79" s="100">
        <v>0.96040000000000003</v>
      </c>
      <c r="D79" s="31">
        <v>975</v>
      </c>
      <c r="E79" s="31">
        <v>3147</v>
      </c>
      <c r="F79" s="31">
        <v>6422</v>
      </c>
      <c r="G79" s="31">
        <v>1093</v>
      </c>
      <c r="H79" s="31">
        <v>3265</v>
      </c>
      <c r="I79" s="31">
        <v>6540</v>
      </c>
      <c r="J79" s="31">
        <v>778</v>
      </c>
      <c r="K79" s="31">
        <v>2950</v>
      </c>
      <c r="L79" s="103">
        <v>6225</v>
      </c>
    </row>
    <row r="80" spans="1:12" x14ac:dyDescent="0.2">
      <c r="A80" s="104">
        <v>75</v>
      </c>
      <c r="B80" s="101" t="s">
        <v>130</v>
      </c>
      <c r="C80" s="101">
        <v>1</v>
      </c>
      <c r="D80" s="32">
        <v>1015</v>
      </c>
      <c r="E80" s="32">
        <v>3277</v>
      </c>
      <c r="F80" s="32">
        <v>6687</v>
      </c>
      <c r="G80" s="32">
        <v>1138</v>
      </c>
      <c r="H80" s="32">
        <v>3400</v>
      </c>
      <c r="I80" s="32">
        <v>6810</v>
      </c>
      <c r="J80" s="32">
        <v>810</v>
      </c>
      <c r="K80" s="32">
        <v>3072</v>
      </c>
      <c r="L80" s="105">
        <v>6482</v>
      </c>
    </row>
    <row r="81" spans="2:12" x14ac:dyDescent="0.2">
      <c r="B81" s="34"/>
      <c r="D81" s="34"/>
      <c r="E81" s="34"/>
      <c r="F81" s="34"/>
      <c r="G81" s="34"/>
      <c r="H81" s="34"/>
      <c r="I81" s="34"/>
      <c r="J81" s="34"/>
      <c r="K81" s="34"/>
      <c r="L81" s="34"/>
    </row>
    <row r="89" spans="2:12" x14ac:dyDescent="0.2">
      <c r="D89" s="34"/>
    </row>
  </sheetData>
  <mergeCells count="16">
    <mergeCell ref="K3:K5"/>
    <mergeCell ref="L3:L5"/>
    <mergeCell ref="G2:I2"/>
    <mergeCell ref="A1:L1"/>
    <mergeCell ref="J2:L2"/>
    <mergeCell ref="D3:D5"/>
    <mergeCell ref="E3:E5"/>
    <mergeCell ref="F3:F5"/>
    <mergeCell ref="G3:G5"/>
    <mergeCell ref="H3:H5"/>
    <mergeCell ref="I3:I5"/>
    <mergeCell ref="J3:J5"/>
    <mergeCell ref="A2:A5"/>
    <mergeCell ref="B2:B5"/>
    <mergeCell ref="C2:C5"/>
    <mergeCell ref="D2:F2"/>
  </mergeCells>
  <phoneticPr fontId="40" type="noConversion"/>
  <printOptions horizontalCentered="1"/>
  <pageMargins left="0.75" right="0.75" top="0.5" bottom="0.5" header="0.5" footer="0.25"/>
  <pageSetup scale="68" orientation="portrait" r:id="rId1"/>
  <headerFooter alignWithMargins="0">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zoomScaleNormal="100" workbookViewId="0">
      <selection activeCell="A84" sqref="A84:H84"/>
    </sheetView>
  </sheetViews>
  <sheetFormatPr defaultColWidth="9.28515625" defaultRowHeight="12.75" x14ac:dyDescent="0.2"/>
  <cols>
    <col min="1" max="1" width="4.7109375" style="148" customWidth="1"/>
    <col min="2" max="2" width="3.7109375" style="148" customWidth="1"/>
    <col min="3" max="3" width="11.42578125" style="148" bestFit="1" customWidth="1"/>
    <col min="4" max="4" width="11.28515625" style="148" bestFit="1" customWidth="1"/>
    <col min="5" max="5" width="11.7109375" style="148" bestFit="1" customWidth="1"/>
    <col min="6" max="6" width="9.7109375" style="148" bestFit="1" customWidth="1"/>
    <col min="7" max="7" width="1.7109375" style="148" customWidth="1"/>
    <col min="8" max="8" width="10.5703125" style="148" bestFit="1" customWidth="1"/>
    <col min="9" max="10" width="9.7109375" style="148" bestFit="1" customWidth="1"/>
    <col min="11" max="11" width="1.7109375" style="148" customWidth="1"/>
    <col min="12" max="12" width="9.7109375" style="148" bestFit="1" customWidth="1"/>
    <col min="13" max="16384" width="9.28515625" style="148"/>
  </cols>
  <sheetData>
    <row r="1" spans="1:12" x14ac:dyDescent="0.2">
      <c r="A1" s="1385" t="s">
        <v>192</v>
      </c>
      <c r="B1" s="1385"/>
      <c r="C1" s="1385"/>
      <c r="D1" s="1385"/>
      <c r="E1" s="1385"/>
      <c r="F1" s="1385"/>
      <c r="G1" s="1385"/>
      <c r="H1" s="1385"/>
      <c r="I1" s="1385"/>
      <c r="J1" s="1385"/>
      <c r="K1" s="1385"/>
      <c r="L1" s="1385"/>
    </row>
    <row r="2" spans="1:12" ht="26.25" customHeight="1" x14ac:dyDescent="0.2">
      <c r="B2" s="1385" t="s">
        <v>234</v>
      </c>
      <c r="C2" s="1385"/>
      <c r="D2" s="1385"/>
      <c r="E2" s="1385"/>
      <c r="F2" s="1385"/>
      <c r="G2" s="1385"/>
      <c r="H2" s="1385"/>
      <c r="I2" s="1385"/>
      <c r="J2" s="1385"/>
      <c r="K2" s="1385"/>
      <c r="L2" s="1385"/>
    </row>
    <row r="3" spans="1:12" ht="25.5" customHeight="1" x14ac:dyDescent="0.2">
      <c r="B3" s="1386" t="s">
        <v>193</v>
      </c>
      <c r="C3" s="1386"/>
      <c r="D3" s="1386"/>
      <c r="E3" s="1386"/>
      <c r="F3" s="1386"/>
      <c r="G3" s="1386"/>
      <c r="H3" s="1386"/>
      <c r="I3" s="1386"/>
      <c r="J3" s="1386"/>
      <c r="K3" s="1386"/>
      <c r="L3" s="1386"/>
    </row>
    <row r="4" spans="1:12" x14ac:dyDescent="0.2">
      <c r="B4" s="150"/>
      <c r="C4" s="151"/>
      <c r="D4" s="1387" t="s">
        <v>194</v>
      </c>
      <c r="E4" s="1388"/>
      <c r="F4" s="1389"/>
      <c r="G4" s="152"/>
      <c r="H4" s="1387" t="s">
        <v>195</v>
      </c>
      <c r="I4" s="1388"/>
      <c r="J4" s="1389"/>
      <c r="K4" s="152"/>
      <c r="L4" s="153"/>
    </row>
    <row r="5" spans="1:12" x14ac:dyDescent="0.2">
      <c r="B5" s="154"/>
      <c r="C5" s="155"/>
      <c r="D5" s="154"/>
      <c r="E5" s="156"/>
      <c r="F5" s="155"/>
      <c r="G5" s="149"/>
      <c r="H5" s="154"/>
      <c r="I5" s="156"/>
      <c r="J5" s="155"/>
      <c r="K5" s="149"/>
      <c r="L5" s="157" t="s">
        <v>16</v>
      </c>
    </row>
    <row r="6" spans="1:12" x14ac:dyDescent="0.2">
      <c r="B6" s="158"/>
      <c r="C6" s="159"/>
      <c r="D6" s="158"/>
      <c r="E6" s="152" t="s">
        <v>196</v>
      </c>
      <c r="F6" s="160" t="s">
        <v>197</v>
      </c>
      <c r="G6" s="152"/>
      <c r="H6" s="158"/>
      <c r="I6" s="152" t="s">
        <v>196</v>
      </c>
      <c r="J6" s="160" t="s">
        <v>197</v>
      </c>
      <c r="K6" s="152"/>
      <c r="L6" s="161" t="s">
        <v>197</v>
      </c>
    </row>
    <row r="7" spans="1:12" x14ac:dyDescent="0.2">
      <c r="B7" s="158"/>
      <c r="C7" s="159"/>
      <c r="D7" s="162" t="s">
        <v>198</v>
      </c>
      <c r="E7" s="152" t="s">
        <v>198</v>
      </c>
      <c r="F7" s="160" t="s">
        <v>199</v>
      </c>
      <c r="G7" s="152"/>
      <c r="H7" s="162" t="s">
        <v>200</v>
      </c>
      <c r="I7" s="152" t="s">
        <v>200</v>
      </c>
      <c r="J7" s="160" t="s">
        <v>201</v>
      </c>
      <c r="K7" s="152"/>
      <c r="L7" s="161" t="s">
        <v>201</v>
      </c>
    </row>
    <row r="8" spans="1:12" x14ac:dyDescent="0.2">
      <c r="B8" s="158"/>
      <c r="C8" s="159"/>
      <c r="D8" s="163" t="s">
        <v>197</v>
      </c>
      <c r="E8" s="164" t="s">
        <v>202</v>
      </c>
      <c r="F8" s="165" t="s">
        <v>204</v>
      </c>
      <c r="G8" s="152"/>
      <c r="H8" s="163" t="s">
        <v>203</v>
      </c>
      <c r="I8" s="164" t="s">
        <v>202</v>
      </c>
      <c r="J8" s="165" t="s">
        <v>204</v>
      </c>
      <c r="K8" s="152"/>
      <c r="L8" s="161" t="s">
        <v>204</v>
      </c>
    </row>
    <row r="9" spans="1:12" x14ac:dyDescent="0.2">
      <c r="B9" s="166"/>
      <c r="C9" s="167" t="s">
        <v>17</v>
      </c>
      <c r="D9" s="168" t="s">
        <v>205</v>
      </c>
      <c r="E9" s="168" t="s">
        <v>206</v>
      </c>
      <c r="F9" s="169" t="s">
        <v>207</v>
      </c>
      <c r="G9" s="170"/>
      <c r="H9" s="171" t="s">
        <v>208</v>
      </c>
      <c r="I9" s="172" t="s">
        <v>209</v>
      </c>
      <c r="J9" s="173" t="s">
        <v>210</v>
      </c>
      <c r="K9" s="170"/>
      <c r="L9" s="174" t="s">
        <v>211</v>
      </c>
    </row>
    <row r="10" spans="1:12" x14ac:dyDescent="0.2">
      <c r="B10" s="162">
        <v>1</v>
      </c>
      <c r="C10" s="159" t="s">
        <v>18</v>
      </c>
      <c r="D10" s="175">
        <v>3442790</v>
      </c>
      <c r="E10" s="176">
        <v>9476.2000000000007</v>
      </c>
      <c r="F10" s="177">
        <f t="shared" ref="F10:F73" si="0">ROUND(D10/E10,0)</f>
        <v>363</v>
      </c>
      <c r="G10" s="176"/>
      <c r="H10" s="178">
        <v>644217</v>
      </c>
      <c r="I10" s="179">
        <v>471.3</v>
      </c>
      <c r="J10" s="180">
        <f t="shared" ref="J10:J73" si="1">IF(I10=0,0,ROUND(H10/I10,0))</f>
        <v>1367</v>
      </c>
      <c r="K10" s="181"/>
      <c r="L10" s="182">
        <f t="shared" ref="L10:L73" si="2">SUM(F10+J10)</f>
        <v>1730</v>
      </c>
    </row>
    <row r="11" spans="1:12" x14ac:dyDescent="0.2">
      <c r="B11" s="162">
        <v>2</v>
      </c>
      <c r="C11" s="159" t="s">
        <v>19</v>
      </c>
      <c r="D11" s="175">
        <v>1147713</v>
      </c>
      <c r="E11" s="176">
        <v>2940.36</v>
      </c>
      <c r="F11" s="177">
        <f t="shared" si="0"/>
        <v>390</v>
      </c>
      <c r="G11" s="176"/>
      <c r="H11" s="183">
        <v>30528</v>
      </c>
      <c r="I11" s="176">
        <v>20.79</v>
      </c>
      <c r="J11" s="184">
        <f t="shared" si="1"/>
        <v>1468</v>
      </c>
      <c r="K11" s="181"/>
      <c r="L11" s="182">
        <f t="shared" si="2"/>
        <v>1858</v>
      </c>
    </row>
    <row r="12" spans="1:12" x14ac:dyDescent="0.2">
      <c r="B12" s="162">
        <v>3</v>
      </c>
      <c r="C12" s="159" t="s">
        <v>20</v>
      </c>
      <c r="D12" s="175">
        <v>3791034</v>
      </c>
      <c r="E12" s="176">
        <v>10188.720000000001</v>
      </c>
      <c r="F12" s="177">
        <f t="shared" si="0"/>
        <v>372</v>
      </c>
      <c r="G12" s="176"/>
      <c r="H12" s="183">
        <v>472498</v>
      </c>
      <c r="I12" s="176">
        <v>337.52</v>
      </c>
      <c r="J12" s="184">
        <f t="shared" si="1"/>
        <v>1400</v>
      </c>
      <c r="K12" s="181"/>
      <c r="L12" s="182">
        <f t="shared" si="2"/>
        <v>1772</v>
      </c>
    </row>
    <row r="13" spans="1:12" x14ac:dyDescent="0.2">
      <c r="B13" s="162">
        <v>4</v>
      </c>
      <c r="C13" s="159" t="s">
        <v>21</v>
      </c>
      <c r="D13" s="175">
        <v>673081</v>
      </c>
      <c r="E13" s="176">
        <v>1705.5100000000002</v>
      </c>
      <c r="F13" s="177">
        <f t="shared" si="0"/>
        <v>395</v>
      </c>
      <c r="G13" s="176"/>
      <c r="H13" s="183">
        <v>87826</v>
      </c>
      <c r="I13" s="176">
        <v>59.150000000000006</v>
      </c>
      <c r="J13" s="184">
        <f t="shared" si="1"/>
        <v>1485</v>
      </c>
      <c r="K13" s="181"/>
      <c r="L13" s="182">
        <f t="shared" si="2"/>
        <v>1880</v>
      </c>
    </row>
    <row r="14" spans="1:12" x14ac:dyDescent="0.2">
      <c r="B14" s="163">
        <v>5</v>
      </c>
      <c r="C14" s="167" t="s">
        <v>22</v>
      </c>
      <c r="D14" s="175">
        <v>9026832</v>
      </c>
      <c r="E14" s="176">
        <v>25256.06</v>
      </c>
      <c r="F14" s="177">
        <f t="shared" si="0"/>
        <v>357</v>
      </c>
      <c r="G14" s="176"/>
      <c r="H14" s="185">
        <v>1291357</v>
      </c>
      <c r="I14" s="186">
        <v>960.33</v>
      </c>
      <c r="J14" s="187">
        <f t="shared" si="1"/>
        <v>1345</v>
      </c>
      <c r="K14" s="181"/>
      <c r="L14" s="182">
        <f t="shared" si="2"/>
        <v>1702</v>
      </c>
    </row>
    <row r="15" spans="1:12" x14ac:dyDescent="0.2">
      <c r="B15" s="162">
        <v>6</v>
      </c>
      <c r="C15" s="149" t="s">
        <v>23</v>
      </c>
      <c r="D15" s="178">
        <v>26977210</v>
      </c>
      <c r="E15" s="179">
        <v>76565.399999999994</v>
      </c>
      <c r="F15" s="188">
        <f t="shared" si="0"/>
        <v>352</v>
      </c>
      <c r="G15" s="176"/>
      <c r="H15" s="178">
        <v>2024915</v>
      </c>
      <c r="I15" s="179">
        <v>1527.51</v>
      </c>
      <c r="J15" s="180">
        <f t="shared" si="1"/>
        <v>1326</v>
      </c>
      <c r="K15" s="181"/>
      <c r="L15" s="189">
        <f t="shared" si="2"/>
        <v>1678</v>
      </c>
    </row>
    <row r="16" spans="1:12" x14ac:dyDescent="0.2">
      <c r="B16" s="162">
        <v>7</v>
      </c>
      <c r="C16" s="149" t="s">
        <v>24</v>
      </c>
      <c r="D16" s="183">
        <v>403929</v>
      </c>
      <c r="E16" s="176">
        <v>1071.48</v>
      </c>
      <c r="F16" s="177">
        <f t="shared" si="0"/>
        <v>377</v>
      </c>
      <c r="G16" s="176"/>
      <c r="H16" s="183">
        <v>46774</v>
      </c>
      <c r="I16" s="176">
        <v>32.979999999999997</v>
      </c>
      <c r="J16" s="184">
        <f t="shared" si="1"/>
        <v>1418</v>
      </c>
      <c r="K16" s="181"/>
      <c r="L16" s="182">
        <f t="shared" si="2"/>
        <v>1795</v>
      </c>
    </row>
    <row r="17" spans="2:12" x14ac:dyDescent="0.2">
      <c r="B17" s="162">
        <v>8</v>
      </c>
      <c r="C17" s="149" t="s">
        <v>25</v>
      </c>
      <c r="D17" s="183">
        <v>2610913</v>
      </c>
      <c r="E17" s="176">
        <v>7069.4099999999989</v>
      </c>
      <c r="F17" s="177">
        <f t="shared" si="0"/>
        <v>369</v>
      </c>
      <c r="G17" s="176"/>
      <c r="H17" s="183">
        <v>454415</v>
      </c>
      <c r="I17" s="176">
        <v>327.03000000000003</v>
      </c>
      <c r="J17" s="184">
        <f t="shared" si="1"/>
        <v>1390</v>
      </c>
      <c r="K17" s="181"/>
      <c r="L17" s="182">
        <f t="shared" si="2"/>
        <v>1759</v>
      </c>
    </row>
    <row r="18" spans="2:12" x14ac:dyDescent="0.2">
      <c r="B18" s="162">
        <v>9</v>
      </c>
      <c r="C18" s="149" t="s">
        <v>26</v>
      </c>
      <c r="D18" s="183">
        <v>3373921</v>
      </c>
      <c r="E18" s="176">
        <v>9053.02</v>
      </c>
      <c r="F18" s="177">
        <f t="shared" si="0"/>
        <v>373</v>
      </c>
      <c r="G18" s="176"/>
      <c r="H18" s="183">
        <v>214212</v>
      </c>
      <c r="I18" s="176">
        <v>152.76999999999998</v>
      </c>
      <c r="J18" s="184">
        <f t="shared" si="1"/>
        <v>1402</v>
      </c>
      <c r="K18" s="181"/>
      <c r="L18" s="182">
        <f t="shared" si="2"/>
        <v>1775</v>
      </c>
    </row>
    <row r="19" spans="2:12" x14ac:dyDescent="0.2">
      <c r="B19" s="162">
        <v>10</v>
      </c>
      <c r="C19" s="149" t="s">
        <v>27</v>
      </c>
      <c r="D19" s="185">
        <v>4991120</v>
      </c>
      <c r="E19" s="186">
        <v>13472.47</v>
      </c>
      <c r="F19" s="190">
        <f t="shared" si="0"/>
        <v>370</v>
      </c>
      <c r="G19" s="176"/>
      <c r="H19" s="185">
        <v>1422355</v>
      </c>
      <c r="I19" s="186">
        <v>1020.47</v>
      </c>
      <c r="J19" s="187">
        <f t="shared" si="1"/>
        <v>1394</v>
      </c>
      <c r="K19" s="181"/>
      <c r="L19" s="191">
        <f t="shared" si="2"/>
        <v>1764</v>
      </c>
    </row>
    <row r="20" spans="2:12" x14ac:dyDescent="0.2">
      <c r="B20" s="192">
        <v>11</v>
      </c>
      <c r="C20" s="155" t="s">
        <v>28</v>
      </c>
      <c r="D20" s="175">
        <v>6663813</v>
      </c>
      <c r="E20" s="176">
        <v>18274.109999999997</v>
      </c>
      <c r="F20" s="177">
        <f t="shared" si="0"/>
        <v>365</v>
      </c>
      <c r="G20" s="176"/>
      <c r="H20" s="178">
        <v>325512</v>
      </c>
      <c r="I20" s="179">
        <v>237.26</v>
      </c>
      <c r="J20" s="180">
        <f t="shared" si="1"/>
        <v>1372</v>
      </c>
      <c r="K20" s="181"/>
      <c r="L20" s="182">
        <f t="shared" si="2"/>
        <v>1737</v>
      </c>
    </row>
    <row r="21" spans="2:12" x14ac:dyDescent="0.2">
      <c r="B21" s="162">
        <v>12</v>
      </c>
      <c r="C21" s="159" t="s">
        <v>29</v>
      </c>
      <c r="D21" s="175">
        <v>1697666</v>
      </c>
      <c r="E21" s="176">
        <v>4403.63</v>
      </c>
      <c r="F21" s="177">
        <f t="shared" si="0"/>
        <v>386</v>
      </c>
      <c r="G21" s="176"/>
      <c r="H21" s="183">
        <v>315236</v>
      </c>
      <c r="I21" s="176">
        <v>217.34</v>
      </c>
      <c r="J21" s="184">
        <f t="shared" si="1"/>
        <v>1450</v>
      </c>
      <c r="K21" s="181"/>
      <c r="L21" s="182">
        <f t="shared" si="2"/>
        <v>1836</v>
      </c>
    </row>
    <row r="22" spans="2:12" x14ac:dyDescent="0.2">
      <c r="B22" s="162">
        <v>13</v>
      </c>
      <c r="C22" s="159" t="s">
        <v>103</v>
      </c>
      <c r="D22" s="175">
        <v>19909519</v>
      </c>
      <c r="E22" s="176">
        <v>58787.359999999993</v>
      </c>
      <c r="F22" s="177">
        <f t="shared" si="0"/>
        <v>339</v>
      </c>
      <c r="G22" s="176"/>
      <c r="H22" s="183">
        <v>4016181</v>
      </c>
      <c r="I22" s="176">
        <v>3151.9500000000003</v>
      </c>
      <c r="J22" s="184">
        <f t="shared" si="1"/>
        <v>1274</v>
      </c>
      <c r="K22" s="181"/>
      <c r="L22" s="182">
        <f t="shared" si="2"/>
        <v>1613</v>
      </c>
    </row>
    <row r="23" spans="2:12" x14ac:dyDescent="0.2">
      <c r="B23" s="162">
        <v>14</v>
      </c>
      <c r="C23" s="159" t="s">
        <v>125</v>
      </c>
      <c r="D23" s="175">
        <v>676713</v>
      </c>
      <c r="E23" s="176">
        <v>1776.97</v>
      </c>
      <c r="F23" s="177">
        <f t="shared" si="0"/>
        <v>381</v>
      </c>
      <c r="G23" s="176"/>
      <c r="H23" s="183">
        <v>109735</v>
      </c>
      <c r="I23" s="176">
        <v>76.59</v>
      </c>
      <c r="J23" s="184">
        <f t="shared" si="1"/>
        <v>1433</v>
      </c>
      <c r="K23" s="181"/>
      <c r="L23" s="182">
        <f t="shared" si="2"/>
        <v>1814</v>
      </c>
    </row>
    <row r="24" spans="2:12" x14ac:dyDescent="0.2">
      <c r="B24" s="163">
        <v>15</v>
      </c>
      <c r="C24" s="167" t="s">
        <v>31</v>
      </c>
      <c r="D24" s="175">
        <v>544827</v>
      </c>
      <c r="E24" s="176">
        <v>1383</v>
      </c>
      <c r="F24" s="177">
        <f t="shared" si="0"/>
        <v>394</v>
      </c>
      <c r="G24" s="176"/>
      <c r="H24" s="185">
        <v>25196</v>
      </c>
      <c r="I24" s="186">
        <v>17</v>
      </c>
      <c r="J24" s="187">
        <f t="shared" si="1"/>
        <v>1482</v>
      </c>
      <c r="K24" s="181"/>
      <c r="L24" s="182">
        <f t="shared" si="2"/>
        <v>1876</v>
      </c>
    </row>
    <row r="25" spans="2:12" x14ac:dyDescent="0.2">
      <c r="B25" s="162">
        <v>16</v>
      </c>
      <c r="C25" s="149" t="s">
        <v>32</v>
      </c>
      <c r="D25" s="178">
        <v>15260507</v>
      </c>
      <c r="E25" s="179">
        <v>44803.360000000001</v>
      </c>
      <c r="F25" s="188">
        <f t="shared" si="0"/>
        <v>341</v>
      </c>
      <c r="G25" s="176"/>
      <c r="H25" s="178">
        <v>3876862</v>
      </c>
      <c r="I25" s="179">
        <v>3025.27</v>
      </c>
      <c r="J25" s="180">
        <f t="shared" si="1"/>
        <v>1281</v>
      </c>
      <c r="K25" s="181"/>
      <c r="L25" s="189">
        <f t="shared" si="2"/>
        <v>1622</v>
      </c>
    </row>
    <row r="26" spans="2:12" x14ac:dyDescent="0.2">
      <c r="B26" s="162">
        <v>17</v>
      </c>
      <c r="C26" s="149" t="s">
        <v>33</v>
      </c>
      <c r="D26" s="183">
        <v>8628100</v>
      </c>
      <c r="E26" s="176">
        <v>23636.94</v>
      </c>
      <c r="F26" s="177">
        <f t="shared" si="0"/>
        <v>365</v>
      </c>
      <c r="G26" s="176"/>
      <c r="H26" s="183">
        <v>1295307</v>
      </c>
      <c r="I26" s="176">
        <v>943.17000000000007</v>
      </c>
      <c r="J26" s="184">
        <f t="shared" si="1"/>
        <v>1373</v>
      </c>
      <c r="K26" s="181"/>
      <c r="L26" s="182">
        <f t="shared" si="2"/>
        <v>1738</v>
      </c>
    </row>
    <row r="27" spans="2:12" x14ac:dyDescent="0.2">
      <c r="B27" s="162">
        <v>18</v>
      </c>
      <c r="C27" s="149" t="s">
        <v>34</v>
      </c>
      <c r="D27" s="183">
        <v>3532178</v>
      </c>
      <c r="E27" s="176">
        <v>9437.94</v>
      </c>
      <c r="F27" s="177">
        <f t="shared" si="0"/>
        <v>374</v>
      </c>
      <c r="G27" s="176"/>
      <c r="H27" s="183">
        <v>406316</v>
      </c>
      <c r="I27" s="176">
        <v>288.55999999999995</v>
      </c>
      <c r="J27" s="184">
        <f t="shared" si="1"/>
        <v>1408</v>
      </c>
      <c r="K27" s="181"/>
      <c r="L27" s="182">
        <f t="shared" si="2"/>
        <v>1782</v>
      </c>
    </row>
    <row r="28" spans="2:12" x14ac:dyDescent="0.2">
      <c r="B28" s="162">
        <v>19</v>
      </c>
      <c r="C28" s="149" t="s">
        <v>35</v>
      </c>
      <c r="D28" s="183">
        <v>325407</v>
      </c>
      <c r="E28" s="176">
        <v>854.42</v>
      </c>
      <c r="F28" s="177">
        <f t="shared" si="0"/>
        <v>381</v>
      </c>
      <c r="G28" s="176"/>
      <c r="H28" s="183">
        <v>30222</v>
      </c>
      <c r="I28" s="176">
        <v>21.09</v>
      </c>
      <c r="J28" s="184">
        <f t="shared" si="1"/>
        <v>1433</v>
      </c>
      <c r="K28" s="181"/>
      <c r="L28" s="182">
        <f t="shared" si="2"/>
        <v>1814</v>
      </c>
    </row>
    <row r="29" spans="2:12" x14ac:dyDescent="0.2">
      <c r="B29" s="162">
        <v>20</v>
      </c>
      <c r="C29" s="149" t="s">
        <v>36</v>
      </c>
      <c r="D29" s="185">
        <v>1415838</v>
      </c>
      <c r="E29" s="186">
        <v>3633.2400000000002</v>
      </c>
      <c r="F29" s="190">
        <f t="shared" si="0"/>
        <v>390</v>
      </c>
      <c r="G29" s="176"/>
      <c r="H29" s="183">
        <v>258038</v>
      </c>
      <c r="I29" s="176">
        <v>176</v>
      </c>
      <c r="J29" s="184">
        <f t="shared" si="1"/>
        <v>1466</v>
      </c>
      <c r="K29" s="181"/>
      <c r="L29" s="191">
        <f t="shared" si="2"/>
        <v>1856</v>
      </c>
    </row>
    <row r="30" spans="2:12" x14ac:dyDescent="0.2">
      <c r="B30" s="192">
        <v>21</v>
      </c>
      <c r="C30" s="155" t="s">
        <v>37</v>
      </c>
      <c r="D30" s="175">
        <v>490244</v>
      </c>
      <c r="E30" s="176">
        <v>1244.03</v>
      </c>
      <c r="F30" s="177">
        <f t="shared" si="0"/>
        <v>394</v>
      </c>
      <c r="G30" s="176"/>
      <c r="H30" s="178">
        <v>34884</v>
      </c>
      <c r="I30" s="179">
        <v>23.529999999999998</v>
      </c>
      <c r="J30" s="180">
        <f t="shared" si="1"/>
        <v>1483</v>
      </c>
      <c r="K30" s="181"/>
      <c r="L30" s="182">
        <f t="shared" si="2"/>
        <v>1877</v>
      </c>
    </row>
    <row r="31" spans="2:12" x14ac:dyDescent="0.2">
      <c r="B31" s="162">
        <v>22</v>
      </c>
      <c r="C31" s="159" t="s">
        <v>38</v>
      </c>
      <c r="D31" s="175">
        <v>233313</v>
      </c>
      <c r="E31" s="176">
        <v>605</v>
      </c>
      <c r="F31" s="177">
        <f t="shared" si="0"/>
        <v>386</v>
      </c>
      <c r="G31" s="176"/>
      <c r="H31" s="183">
        <v>5076</v>
      </c>
      <c r="I31" s="176">
        <v>3.5</v>
      </c>
      <c r="J31" s="184">
        <f t="shared" si="1"/>
        <v>1450</v>
      </c>
      <c r="K31" s="181"/>
      <c r="L31" s="182">
        <f t="shared" si="2"/>
        <v>1836</v>
      </c>
    </row>
    <row r="32" spans="2:12" x14ac:dyDescent="0.2">
      <c r="B32" s="162">
        <v>23</v>
      </c>
      <c r="C32" s="159" t="s">
        <v>39</v>
      </c>
      <c r="D32" s="175">
        <v>322598</v>
      </c>
      <c r="E32" s="176">
        <v>839.17</v>
      </c>
      <c r="F32" s="177">
        <f t="shared" si="0"/>
        <v>384</v>
      </c>
      <c r="G32" s="176"/>
      <c r="H32" s="183">
        <v>31100</v>
      </c>
      <c r="I32" s="176">
        <v>21.5</v>
      </c>
      <c r="J32" s="184">
        <f t="shared" si="1"/>
        <v>1447</v>
      </c>
      <c r="K32" s="181"/>
      <c r="L32" s="182">
        <f t="shared" si="2"/>
        <v>1831</v>
      </c>
    </row>
    <row r="33" spans="2:12" x14ac:dyDescent="0.2">
      <c r="B33" s="162">
        <v>24</v>
      </c>
      <c r="C33" s="159" t="s">
        <v>40</v>
      </c>
      <c r="D33" s="175">
        <v>335794</v>
      </c>
      <c r="E33" s="176">
        <v>916.41</v>
      </c>
      <c r="F33" s="177">
        <f t="shared" si="0"/>
        <v>366</v>
      </c>
      <c r="G33" s="176"/>
      <c r="H33" s="183">
        <v>14093</v>
      </c>
      <c r="I33" s="176">
        <v>10.220000000000001</v>
      </c>
      <c r="J33" s="184">
        <f t="shared" si="1"/>
        <v>1379</v>
      </c>
      <c r="K33" s="181"/>
      <c r="L33" s="182">
        <f t="shared" si="2"/>
        <v>1745</v>
      </c>
    </row>
    <row r="34" spans="2:12" x14ac:dyDescent="0.2">
      <c r="B34" s="163">
        <v>25</v>
      </c>
      <c r="C34" s="167" t="s">
        <v>41</v>
      </c>
      <c r="D34" s="175">
        <v>1031292</v>
      </c>
      <c r="E34" s="176">
        <v>2552.5500000000002</v>
      </c>
      <c r="F34" s="177">
        <f t="shared" si="0"/>
        <v>404</v>
      </c>
      <c r="G34" s="176"/>
      <c r="H34" s="185">
        <v>95005</v>
      </c>
      <c r="I34" s="186">
        <v>62.5</v>
      </c>
      <c r="J34" s="187">
        <f t="shared" si="1"/>
        <v>1520</v>
      </c>
      <c r="K34" s="181"/>
      <c r="L34" s="182">
        <f t="shared" si="2"/>
        <v>1924</v>
      </c>
    </row>
    <row r="35" spans="2:12" x14ac:dyDescent="0.2">
      <c r="B35" s="162">
        <v>26</v>
      </c>
      <c r="C35" s="149" t="s">
        <v>42</v>
      </c>
      <c r="D35" s="178">
        <v>1257657</v>
      </c>
      <c r="E35" s="179">
        <v>3353.94</v>
      </c>
      <c r="F35" s="188">
        <f t="shared" si="0"/>
        <v>375</v>
      </c>
      <c r="G35" s="176"/>
      <c r="H35" s="183">
        <v>107334</v>
      </c>
      <c r="I35" s="176">
        <v>76.08</v>
      </c>
      <c r="J35" s="184">
        <f t="shared" si="1"/>
        <v>1411</v>
      </c>
      <c r="K35" s="181"/>
      <c r="L35" s="189">
        <f t="shared" si="2"/>
        <v>1786</v>
      </c>
    </row>
    <row r="36" spans="2:12" x14ac:dyDescent="0.2">
      <c r="B36" s="162">
        <v>27</v>
      </c>
      <c r="C36" s="149" t="s">
        <v>43</v>
      </c>
      <c r="D36" s="183">
        <v>4310021</v>
      </c>
      <c r="E36" s="176">
        <v>11073.300000000001</v>
      </c>
      <c r="F36" s="177">
        <f t="shared" si="0"/>
        <v>389</v>
      </c>
      <c r="G36" s="176"/>
      <c r="H36" s="183">
        <v>126494</v>
      </c>
      <c r="I36" s="176">
        <v>86.38</v>
      </c>
      <c r="J36" s="184">
        <f t="shared" si="1"/>
        <v>1464</v>
      </c>
      <c r="K36" s="181"/>
      <c r="L36" s="182">
        <f t="shared" si="2"/>
        <v>1853</v>
      </c>
    </row>
    <row r="37" spans="2:12" x14ac:dyDescent="0.2">
      <c r="B37" s="162">
        <v>28</v>
      </c>
      <c r="C37" s="149" t="s">
        <v>44</v>
      </c>
      <c r="D37" s="183">
        <v>2043795</v>
      </c>
      <c r="E37" s="176">
        <v>5750.55</v>
      </c>
      <c r="F37" s="177">
        <f t="shared" si="0"/>
        <v>355</v>
      </c>
      <c r="G37" s="176"/>
      <c r="H37" s="183">
        <v>413023</v>
      </c>
      <c r="I37" s="176">
        <v>308.88</v>
      </c>
      <c r="J37" s="184">
        <f t="shared" si="1"/>
        <v>1337</v>
      </c>
      <c r="K37" s="181"/>
      <c r="L37" s="182">
        <f t="shared" si="2"/>
        <v>1692</v>
      </c>
    </row>
    <row r="38" spans="2:12" x14ac:dyDescent="0.2">
      <c r="B38" s="162">
        <v>29</v>
      </c>
      <c r="C38" s="149" t="s">
        <v>45</v>
      </c>
      <c r="D38" s="183">
        <v>28501142</v>
      </c>
      <c r="E38" s="176">
        <v>77265.03</v>
      </c>
      <c r="F38" s="177">
        <f t="shared" si="0"/>
        <v>369</v>
      </c>
      <c r="G38" s="176"/>
      <c r="H38" s="183">
        <v>5620257</v>
      </c>
      <c r="I38" s="176">
        <v>4049.6700000000005</v>
      </c>
      <c r="J38" s="184">
        <f t="shared" si="1"/>
        <v>1388</v>
      </c>
      <c r="K38" s="181"/>
      <c r="L38" s="182">
        <f t="shared" si="2"/>
        <v>1757</v>
      </c>
    </row>
    <row r="39" spans="2:12" x14ac:dyDescent="0.2">
      <c r="B39" s="162">
        <v>30</v>
      </c>
      <c r="C39" s="149" t="s">
        <v>46</v>
      </c>
      <c r="D39" s="185">
        <v>620410</v>
      </c>
      <c r="E39" s="186">
        <v>1662.5</v>
      </c>
      <c r="F39" s="190">
        <f t="shared" si="0"/>
        <v>373</v>
      </c>
      <c r="G39" s="176"/>
      <c r="H39" s="183">
        <v>12635</v>
      </c>
      <c r="I39" s="176">
        <v>9</v>
      </c>
      <c r="J39" s="184">
        <f t="shared" si="1"/>
        <v>1404</v>
      </c>
      <c r="K39" s="181"/>
      <c r="L39" s="191">
        <f t="shared" si="2"/>
        <v>1777</v>
      </c>
    </row>
    <row r="40" spans="2:12" x14ac:dyDescent="0.2">
      <c r="B40" s="192">
        <v>31</v>
      </c>
      <c r="C40" s="155" t="s">
        <v>47</v>
      </c>
      <c r="D40" s="175">
        <v>3401433</v>
      </c>
      <c r="E40" s="176">
        <v>8796.48</v>
      </c>
      <c r="F40" s="177">
        <f t="shared" si="0"/>
        <v>387</v>
      </c>
      <c r="G40" s="176"/>
      <c r="H40" s="178">
        <v>302998</v>
      </c>
      <c r="I40" s="179">
        <v>208.27</v>
      </c>
      <c r="J40" s="180">
        <f t="shared" si="1"/>
        <v>1455</v>
      </c>
      <c r="K40" s="181"/>
      <c r="L40" s="182">
        <f t="shared" si="2"/>
        <v>1842</v>
      </c>
    </row>
    <row r="41" spans="2:12" x14ac:dyDescent="0.2">
      <c r="B41" s="162">
        <v>32</v>
      </c>
      <c r="C41" s="159" t="s">
        <v>48</v>
      </c>
      <c r="D41" s="175">
        <v>1444740</v>
      </c>
      <c r="E41" s="176">
        <v>3783.17</v>
      </c>
      <c r="F41" s="177">
        <f t="shared" si="0"/>
        <v>382</v>
      </c>
      <c r="G41" s="176"/>
      <c r="H41" s="183">
        <v>249998</v>
      </c>
      <c r="I41" s="176">
        <v>174</v>
      </c>
      <c r="J41" s="184">
        <f t="shared" si="1"/>
        <v>1437</v>
      </c>
      <c r="K41" s="181"/>
      <c r="L41" s="182">
        <f t="shared" si="2"/>
        <v>1819</v>
      </c>
    </row>
    <row r="42" spans="2:12" x14ac:dyDescent="0.2">
      <c r="B42" s="162">
        <v>33</v>
      </c>
      <c r="C42" s="159" t="s">
        <v>49</v>
      </c>
      <c r="D42" s="175">
        <v>241656</v>
      </c>
      <c r="E42" s="176">
        <v>617.5</v>
      </c>
      <c r="F42" s="177">
        <f t="shared" si="0"/>
        <v>391</v>
      </c>
      <c r="G42" s="176"/>
      <c r="H42" s="183">
        <v>12511</v>
      </c>
      <c r="I42" s="176">
        <v>8.5</v>
      </c>
      <c r="J42" s="184">
        <f t="shared" si="1"/>
        <v>1472</v>
      </c>
      <c r="K42" s="181"/>
      <c r="L42" s="182">
        <f t="shared" si="2"/>
        <v>1863</v>
      </c>
    </row>
    <row r="43" spans="2:12" x14ac:dyDescent="0.2">
      <c r="B43" s="162">
        <v>34</v>
      </c>
      <c r="C43" s="159" t="s">
        <v>50</v>
      </c>
      <c r="D43" s="175">
        <v>193731</v>
      </c>
      <c r="E43" s="176">
        <v>487</v>
      </c>
      <c r="F43" s="177">
        <f t="shared" si="0"/>
        <v>398</v>
      </c>
      <c r="G43" s="176"/>
      <c r="H43" s="183">
        <v>0</v>
      </c>
      <c r="I43" s="176">
        <v>0</v>
      </c>
      <c r="J43" s="184">
        <f t="shared" si="1"/>
        <v>0</v>
      </c>
      <c r="K43" s="181"/>
      <c r="L43" s="182">
        <f t="shared" si="2"/>
        <v>398</v>
      </c>
    </row>
    <row r="44" spans="2:12" x14ac:dyDescent="0.2">
      <c r="B44" s="163">
        <v>35</v>
      </c>
      <c r="C44" s="167" t="s">
        <v>51</v>
      </c>
      <c r="D44" s="193">
        <v>7125234</v>
      </c>
      <c r="E44" s="186">
        <v>19457.600000000002</v>
      </c>
      <c r="F44" s="190">
        <f t="shared" si="0"/>
        <v>366</v>
      </c>
      <c r="G44" s="176"/>
      <c r="H44" s="185">
        <v>1136769</v>
      </c>
      <c r="I44" s="186">
        <v>825.09999999999991</v>
      </c>
      <c r="J44" s="187">
        <f t="shared" si="1"/>
        <v>1378</v>
      </c>
      <c r="K44" s="181"/>
      <c r="L44" s="182">
        <f t="shared" si="2"/>
        <v>1744</v>
      </c>
    </row>
    <row r="45" spans="2:12" x14ac:dyDescent="0.2">
      <c r="B45" s="162">
        <v>36</v>
      </c>
      <c r="C45" s="149" t="s">
        <v>52</v>
      </c>
      <c r="D45" s="178">
        <v>18084277</v>
      </c>
      <c r="E45" s="179">
        <v>51326.43</v>
      </c>
      <c r="F45" s="188">
        <f t="shared" si="0"/>
        <v>352</v>
      </c>
      <c r="G45" s="176"/>
      <c r="H45" s="183">
        <v>2525127</v>
      </c>
      <c r="I45" s="176">
        <v>1904.8700000000001</v>
      </c>
      <c r="J45" s="184">
        <f t="shared" si="1"/>
        <v>1326</v>
      </c>
      <c r="K45" s="181"/>
      <c r="L45" s="189">
        <f t="shared" si="2"/>
        <v>1678</v>
      </c>
    </row>
    <row r="46" spans="2:12" x14ac:dyDescent="0.2">
      <c r="B46" s="162">
        <v>37</v>
      </c>
      <c r="C46" s="149" t="s">
        <v>53</v>
      </c>
      <c r="D46" s="183">
        <v>4043254</v>
      </c>
      <c r="E46" s="176">
        <v>11315.22</v>
      </c>
      <c r="F46" s="177">
        <f t="shared" si="0"/>
        <v>357</v>
      </c>
      <c r="G46" s="176"/>
      <c r="H46" s="183">
        <v>1118967</v>
      </c>
      <c r="I46" s="176">
        <v>832.31999999999994</v>
      </c>
      <c r="J46" s="184">
        <f t="shared" si="1"/>
        <v>1344</v>
      </c>
      <c r="K46" s="181"/>
      <c r="L46" s="182">
        <f t="shared" si="2"/>
        <v>1701</v>
      </c>
    </row>
    <row r="47" spans="2:12" x14ac:dyDescent="0.2">
      <c r="B47" s="162">
        <v>38</v>
      </c>
      <c r="C47" s="149" t="s">
        <v>54</v>
      </c>
      <c r="D47" s="183">
        <v>1358200</v>
      </c>
      <c r="E47" s="176">
        <v>3355.17</v>
      </c>
      <c r="F47" s="177">
        <f t="shared" si="0"/>
        <v>405</v>
      </c>
      <c r="G47" s="176"/>
      <c r="H47" s="183">
        <v>190639</v>
      </c>
      <c r="I47" s="176">
        <v>125.17</v>
      </c>
      <c r="J47" s="184">
        <f t="shared" si="1"/>
        <v>1523</v>
      </c>
      <c r="K47" s="181"/>
      <c r="L47" s="182">
        <f t="shared" si="2"/>
        <v>1928</v>
      </c>
    </row>
    <row r="48" spans="2:12" x14ac:dyDescent="0.2">
      <c r="B48" s="162">
        <v>39</v>
      </c>
      <c r="C48" s="149" t="s">
        <v>55</v>
      </c>
      <c r="D48" s="183">
        <v>271310</v>
      </c>
      <c r="E48" s="176">
        <v>670.84</v>
      </c>
      <c r="F48" s="177">
        <f t="shared" si="0"/>
        <v>404</v>
      </c>
      <c r="G48" s="176"/>
      <c r="H48" s="183">
        <v>60726</v>
      </c>
      <c r="I48" s="176">
        <v>39.909999999999997</v>
      </c>
      <c r="J48" s="184">
        <f t="shared" si="1"/>
        <v>1522</v>
      </c>
      <c r="K48" s="181"/>
      <c r="L48" s="182">
        <f t="shared" si="2"/>
        <v>1926</v>
      </c>
    </row>
    <row r="49" spans="2:12" x14ac:dyDescent="0.2">
      <c r="B49" s="162">
        <v>40</v>
      </c>
      <c r="C49" s="149" t="s">
        <v>56</v>
      </c>
      <c r="D49" s="185">
        <v>551538</v>
      </c>
      <c r="E49" s="186">
        <v>1457.5</v>
      </c>
      <c r="F49" s="190">
        <f t="shared" si="0"/>
        <v>378</v>
      </c>
      <c r="G49" s="176"/>
      <c r="H49" s="183">
        <v>10681</v>
      </c>
      <c r="I49" s="176">
        <v>7.5</v>
      </c>
      <c r="J49" s="184">
        <f t="shared" si="1"/>
        <v>1424</v>
      </c>
      <c r="K49" s="181"/>
      <c r="L49" s="191">
        <f t="shared" si="2"/>
        <v>1802</v>
      </c>
    </row>
    <row r="50" spans="2:12" x14ac:dyDescent="0.2">
      <c r="B50" s="192">
        <v>41</v>
      </c>
      <c r="C50" s="155" t="s">
        <v>57</v>
      </c>
      <c r="D50" s="175">
        <v>5889809</v>
      </c>
      <c r="E50" s="176">
        <v>15692.72</v>
      </c>
      <c r="F50" s="177">
        <f t="shared" si="0"/>
        <v>375</v>
      </c>
      <c r="G50" s="176"/>
      <c r="H50" s="178">
        <v>844394</v>
      </c>
      <c r="I50" s="179">
        <v>597.98</v>
      </c>
      <c r="J50" s="180">
        <f t="shared" si="1"/>
        <v>1412</v>
      </c>
      <c r="K50" s="181"/>
      <c r="L50" s="182">
        <f t="shared" si="2"/>
        <v>1787</v>
      </c>
    </row>
    <row r="51" spans="2:12" x14ac:dyDescent="0.2">
      <c r="B51" s="162">
        <v>42</v>
      </c>
      <c r="C51" s="159" t="s">
        <v>58</v>
      </c>
      <c r="D51" s="175">
        <v>8541453</v>
      </c>
      <c r="E51" s="176">
        <v>22086</v>
      </c>
      <c r="F51" s="177">
        <f t="shared" si="0"/>
        <v>387</v>
      </c>
      <c r="G51" s="176"/>
      <c r="H51" s="183">
        <v>1708313</v>
      </c>
      <c r="I51" s="176">
        <v>1174.07</v>
      </c>
      <c r="J51" s="184">
        <f t="shared" si="1"/>
        <v>1455</v>
      </c>
      <c r="K51" s="181"/>
      <c r="L51" s="182">
        <f t="shared" si="2"/>
        <v>1842</v>
      </c>
    </row>
    <row r="52" spans="2:12" x14ac:dyDescent="0.2">
      <c r="B52" s="162">
        <v>43</v>
      </c>
      <c r="C52" s="159" t="s">
        <v>59</v>
      </c>
      <c r="D52" s="175">
        <v>3474219</v>
      </c>
      <c r="E52" s="176">
        <v>8644.5399999999991</v>
      </c>
      <c r="F52" s="177">
        <f t="shared" si="0"/>
        <v>402</v>
      </c>
      <c r="G52" s="176"/>
      <c r="H52" s="183">
        <v>283698</v>
      </c>
      <c r="I52" s="176">
        <v>187.62</v>
      </c>
      <c r="J52" s="184">
        <f t="shared" si="1"/>
        <v>1512</v>
      </c>
      <c r="K52" s="181"/>
      <c r="L52" s="182">
        <f t="shared" si="2"/>
        <v>1914</v>
      </c>
    </row>
    <row r="53" spans="2:12" x14ac:dyDescent="0.2">
      <c r="B53" s="162">
        <v>44</v>
      </c>
      <c r="C53" s="159" t="s">
        <v>60</v>
      </c>
      <c r="D53" s="175">
        <v>1134129</v>
      </c>
      <c r="E53" s="176">
        <v>3052.0200000000004</v>
      </c>
      <c r="F53" s="177">
        <f t="shared" si="0"/>
        <v>372</v>
      </c>
      <c r="G53" s="176"/>
      <c r="H53" s="183">
        <v>118801</v>
      </c>
      <c r="I53" s="176">
        <v>84.97</v>
      </c>
      <c r="J53" s="184">
        <f t="shared" si="1"/>
        <v>1398</v>
      </c>
      <c r="K53" s="181"/>
      <c r="L53" s="182">
        <f t="shared" si="2"/>
        <v>1770</v>
      </c>
    </row>
    <row r="54" spans="2:12" x14ac:dyDescent="0.2">
      <c r="B54" s="163">
        <v>45</v>
      </c>
      <c r="C54" s="167" t="s">
        <v>61</v>
      </c>
      <c r="D54" s="175">
        <v>2359398</v>
      </c>
      <c r="E54" s="176">
        <v>5907.0399999999991</v>
      </c>
      <c r="F54" s="177">
        <f t="shared" si="0"/>
        <v>399</v>
      </c>
      <c r="G54" s="176"/>
      <c r="H54" s="185">
        <v>282249</v>
      </c>
      <c r="I54" s="186">
        <v>187.82000000000002</v>
      </c>
      <c r="J54" s="187">
        <f t="shared" si="1"/>
        <v>1503</v>
      </c>
      <c r="K54" s="181"/>
      <c r="L54" s="182">
        <f t="shared" si="2"/>
        <v>1902</v>
      </c>
    </row>
    <row r="55" spans="2:12" x14ac:dyDescent="0.2">
      <c r="B55" s="162">
        <v>46</v>
      </c>
      <c r="C55" s="149" t="s">
        <v>62</v>
      </c>
      <c r="D55" s="178">
        <v>4986984</v>
      </c>
      <c r="E55" s="179">
        <v>13772.7</v>
      </c>
      <c r="F55" s="188">
        <f t="shared" si="0"/>
        <v>362</v>
      </c>
      <c r="G55" s="176"/>
      <c r="H55" s="183">
        <v>934911</v>
      </c>
      <c r="I55" s="176">
        <v>686.27</v>
      </c>
      <c r="J55" s="184">
        <f t="shared" si="1"/>
        <v>1362</v>
      </c>
      <c r="K55" s="181"/>
      <c r="L55" s="189">
        <f t="shared" si="2"/>
        <v>1724</v>
      </c>
    </row>
    <row r="56" spans="2:12" x14ac:dyDescent="0.2">
      <c r="B56" s="162">
        <v>47</v>
      </c>
      <c r="C56" s="149" t="s">
        <v>63</v>
      </c>
      <c r="D56" s="183">
        <v>1484663</v>
      </c>
      <c r="E56" s="176">
        <v>3821.4199999999996</v>
      </c>
      <c r="F56" s="177">
        <f t="shared" si="0"/>
        <v>389</v>
      </c>
      <c r="G56" s="176"/>
      <c r="H56" s="183">
        <v>150075</v>
      </c>
      <c r="I56" s="176">
        <v>102.67</v>
      </c>
      <c r="J56" s="184">
        <f t="shared" si="1"/>
        <v>1462</v>
      </c>
      <c r="K56" s="181"/>
      <c r="L56" s="182">
        <f t="shared" si="2"/>
        <v>1851</v>
      </c>
    </row>
    <row r="57" spans="2:12" x14ac:dyDescent="0.2">
      <c r="B57" s="162">
        <v>48</v>
      </c>
      <c r="C57" s="149" t="s">
        <v>64</v>
      </c>
      <c r="D57" s="183">
        <v>25372224</v>
      </c>
      <c r="E57" s="176">
        <v>69973.72</v>
      </c>
      <c r="F57" s="177">
        <f t="shared" si="0"/>
        <v>363</v>
      </c>
      <c r="G57" s="176"/>
      <c r="H57" s="183">
        <v>2529366</v>
      </c>
      <c r="I57" s="176">
        <v>1854.0900000000001</v>
      </c>
      <c r="J57" s="184">
        <f t="shared" si="1"/>
        <v>1364</v>
      </c>
      <c r="K57" s="181"/>
      <c r="L57" s="182">
        <f t="shared" si="2"/>
        <v>1727</v>
      </c>
    </row>
    <row r="58" spans="2:12" x14ac:dyDescent="0.2">
      <c r="B58" s="162">
        <v>49</v>
      </c>
      <c r="C58" s="149" t="s">
        <v>65</v>
      </c>
      <c r="D58" s="183">
        <v>9016255</v>
      </c>
      <c r="E58" s="176">
        <v>24582.400000000001</v>
      </c>
      <c r="F58" s="177">
        <f t="shared" si="0"/>
        <v>367</v>
      </c>
      <c r="G58" s="176"/>
      <c r="H58" s="183">
        <v>1793034</v>
      </c>
      <c r="I58" s="176">
        <v>1299.3599999999999</v>
      </c>
      <c r="J58" s="184">
        <f t="shared" si="1"/>
        <v>1380</v>
      </c>
      <c r="K58" s="181"/>
      <c r="L58" s="182">
        <f t="shared" si="2"/>
        <v>1747</v>
      </c>
    </row>
    <row r="59" spans="2:12" x14ac:dyDescent="0.2">
      <c r="B59" s="162">
        <v>50</v>
      </c>
      <c r="C59" s="149" t="s">
        <v>66</v>
      </c>
      <c r="D59" s="185">
        <v>19943111</v>
      </c>
      <c r="E59" s="186">
        <v>55306.96</v>
      </c>
      <c r="F59" s="190">
        <f t="shared" si="0"/>
        <v>361</v>
      </c>
      <c r="G59" s="176"/>
      <c r="H59" s="183">
        <v>4372320</v>
      </c>
      <c r="I59" s="176">
        <v>3222.8599999999997</v>
      </c>
      <c r="J59" s="184">
        <f t="shared" si="1"/>
        <v>1357</v>
      </c>
      <c r="K59" s="181"/>
      <c r="L59" s="191">
        <f t="shared" si="2"/>
        <v>1718</v>
      </c>
    </row>
    <row r="60" spans="2:12" x14ac:dyDescent="0.2">
      <c r="B60" s="192">
        <v>51</v>
      </c>
      <c r="C60" s="155" t="s">
        <v>67</v>
      </c>
      <c r="D60" s="175">
        <v>13424787</v>
      </c>
      <c r="E60" s="176">
        <v>35187.199999999997</v>
      </c>
      <c r="F60" s="177">
        <f t="shared" si="0"/>
        <v>382</v>
      </c>
      <c r="G60" s="176"/>
      <c r="H60" s="178">
        <v>1738643</v>
      </c>
      <c r="I60" s="179">
        <v>1211.24</v>
      </c>
      <c r="J60" s="180">
        <f t="shared" si="1"/>
        <v>1435</v>
      </c>
      <c r="K60" s="181"/>
      <c r="L60" s="182">
        <f t="shared" si="2"/>
        <v>1817</v>
      </c>
    </row>
    <row r="61" spans="2:12" x14ac:dyDescent="0.2">
      <c r="B61" s="162">
        <v>52</v>
      </c>
      <c r="C61" s="159" t="s">
        <v>68</v>
      </c>
      <c r="D61" s="175">
        <v>10007592</v>
      </c>
      <c r="E61" s="176">
        <v>28893.95</v>
      </c>
      <c r="F61" s="177">
        <f t="shared" si="0"/>
        <v>346</v>
      </c>
      <c r="G61" s="176"/>
      <c r="H61" s="183">
        <v>2362450</v>
      </c>
      <c r="I61" s="176">
        <v>1812.94</v>
      </c>
      <c r="J61" s="184">
        <f t="shared" si="1"/>
        <v>1303</v>
      </c>
      <c r="K61" s="181"/>
      <c r="L61" s="182">
        <f t="shared" si="2"/>
        <v>1649</v>
      </c>
    </row>
    <row r="62" spans="2:12" x14ac:dyDescent="0.2">
      <c r="B62" s="162">
        <v>53</v>
      </c>
      <c r="C62" s="159" t="s">
        <v>69</v>
      </c>
      <c r="D62" s="175">
        <v>17590975</v>
      </c>
      <c r="E62" s="176">
        <v>46841.450000000004</v>
      </c>
      <c r="F62" s="177">
        <f t="shared" si="0"/>
        <v>376</v>
      </c>
      <c r="G62" s="176"/>
      <c r="H62" s="183">
        <v>2935335</v>
      </c>
      <c r="I62" s="176">
        <v>2077.5</v>
      </c>
      <c r="J62" s="184">
        <f t="shared" si="1"/>
        <v>1413</v>
      </c>
      <c r="K62" s="181"/>
      <c r="L62" s="182">
        <f t="shared" si="2"/>
        <v>1789</v>
      </c>
    </row>
    <row r="63" spans="2:12" x14ac:dyDescent="0.2">
      <c r="B63" s="162">
        <v>54</v>
      </c>
      <c r="C63" s="159" t="s">
        <v>70</v>
      </c>
      <c r="D63" s="175">
        <v>2313065</v>
      </c>
      <c r="E63" s="176">
        <v>5962.55</v>
      </c>
      <c r="F63" s="177">
        <f t="shared" si="0"/>
        <v>388</v>
      </c>
      <c r="G63" s="176"/>
      <c r="H63" s="183">
        <v>60568</v>
      </c>
      <c r="I63" s="176">
        <v>41.5</v>
      </c>
      <c r="J63" s="184">
        <f t="shared" si="1"/>
        <v>1459</v>
      </c>
      <c r="K63" s="181"/>
      <c r="L63" s="182">
        <f t="shared" si="2"/>
        <v>1847</v>
      </c>
    </row>
    <row r="64" spans="2:12" x14ac:dyDescent="0.2">
      <c r="B64" s="163">
        <v>55</v>
      </c>
      <c r="C64" s="167" t="s">
        <v>71</v>
      </c>
      <c r="D64" s="175">
        <v>7356725</v>
      </c>
      <c r="E64" s="176">
        <v>18040.29</v>
      </c>
      <c r="F64" s="177">
        <f t="shared" si="0"/>
        <v>408</v>
      </c>
      <c r="G64" s="176"/>
      <c r="H64" s="185">
        <v>704727</v>
      </c>
      <c r="I64" s="186">
        <v>459.33</v>
      </c>
      <c r="J64" s="187">
        <f t="shared" si="1"/>
        <v>1534</v>
      </c>
      <c r="K64" s="181"/>
      <c r="L64" s="182">
        <f t="shared" si="2"/>
        <v>1942</v>
      </c>
    </row>
    <row r="65" spans="2:12" x14ac:dyDescent="0.2">
      <c r="B65" s="162">
        <v>56</v>
      </c>
      <c r="C65" s="149" t="s">
        <v>72</v>
      </c>
      <c r="D65" s="178">
        <v>8292742</v>
      </c>
      <c r="E65" s="179">
        <v>23198.320000000003</v>
      </c>
      <c r="F65" s="188">
        <f t="shared" si="0"/>
        <v>357</v>
      </c>
      <c r="G65" s="176"/>
      <c r="H65" s="183">
        <v>1151193</v>
      </c>
      <c r="I65" s="176">
        <v>855.94999999999993</v>
      </c>
      <c r="J65" s="184">
        <f t="shared" si="1"/>
        <v>1345</v>
      </c>
      <c r="K65" s="181"/>
      <c r="L65" s="189">
        <f t="shared" si="2"/>
        <v>1702</v>
      </c>
    </row>
    <row r="66" spans="2:12" x14ac:dyDescent="0.2">
      <c r="B66" s="162">
        <v>57</v>
      </c>
      <c r="C66" s="149" t="s">
        <v>73</v>
      </c>
      <c r="D66" s="183">
        <v>5348309</v>
      </c>
      <c r="E66" s="176">
        <v>14427.689999999999</v>
      </c>
      <c r="F66" s="177">
        <f t="shared" si="0"/>
        <v>371</v>
      </c>
      <c r="G66" s="176"/>
      <c r="H66" s="183">
        <v>566311</v>
      </c>
      <c r="I66" s="176">
        <v>406.05</v>
      </c>
      <c r="J66" s="184">
        <f t="shared" si="1"/>
        <v>1395</v>
      </c>
      <c r="K66" s="181"/>
      <c r="L66" s="182">
        <f t="shared" si="2"/>
        <v>1766</v>
      </c>
    </row>
    <row r="67" spans="2:12" x14ac:dyDescent="0.2">
      <c r="B67" s="162">
        <v>58</v>
      </c>
      <c r="C67" s="149" t="s">
        <v>74</v>
      </c>
      <c r="D67" s="183">
        <v>5501182</v>
      </c>
      <c r="E67" s="176">
        <v>15474.53</v>
      </c>
      <c r="F67" s="177">
        <f t="shared" si="0"/>
        <v>355</v>
      </c>
      <c r="G67" s="176"/>
      <c r="H67" s="183">
        <v>637494</v>
      </c>
      <c r="I67" s="176">
        <v>476.63</v>
      </c>
      <c r="J67" s="184">
        <f t="shared" si="1"/>
        <v>1338</v>
      </c>
      <c r="K67" s="181"/>
      <c r="L67" s="182">
        <f t="shared" si="2"/>
        <v>1693</v>
      </c>
    </row>
    <row r="68" spans="2:12" x14ac:dyDescent="0.2">
      <c r="B68" s="162">
        <v>59</v>
      </c>
      <c r="C68" s="149" t="s">
        <v>75</v>
      </c>
      <c r="D68" s="183">
        <v>10107161</v>
      </c>
      <c r="E68" s="176">
        <v>27945.08</v>
      </c>
      <c r="F68" s="177">
        <f t="shared" si="0"/>
        <v>362</v>
      </c>
      <c r="G68" s="176"/>
      <c r="H68" s="183">
        <v>843633</v>
      </c>
      <c r="I68" s="176">
        <v>619.97</v>
      </c>
      <c r="J68" s="184">
        <f t="shared" si="1"/>
        <v>1361</v>
      </c>
      <c r="K68" s="181"/>
      <c r="L68" s="182">
        <f t="shared" si="2"/>
        <v>1723</v>
      </c>
    </row>
    <row r="69" spans="2:12" x14ac:dyDescent="0.2">
      <c r="B69" s="162">
        <v>60</v>
      </c>
      <c r="C69" s="149" t="s">
        <v>76</v>
      </c>
      <c r="D69" s="185">
        <v>973424</v>
      </c>
      <c r="E69" s="186">
        <v>2746.9999999999995</v>
      </c>
      <c r="F69" s="190">
        <f t="shared" si="0"/>
        <v>354</v>
      </c>
      <c r="G69" s="176"/>
      <c r="H69" s="183">
        <v>108244</v>
      </c>
      <c r="I69" s="176">
        <v>81.19</v>
      </c>
      <c r="J69" s="184">
        <f t="shared" si="1"/>
        <v>1333</v>
      </c>
      <c r="K69" s="181"/>
      <c r="L69" s="191">
        <f t="shared" si="2"/>
        <v>1687</v>
      </c>
    </row>
    <row r="70" spans="2:12" x14ac:dyDescent="0.2">
      <c r="B70" s="192">
        <v>61</v>
      </c>
      <c r="C70" s="155" t="s">
        <v>77</v>
      </c>
      <c r="D70" s="175">
        <v>1284748</v>
      </c>
      <c r="E70" s="176">
        <v>3236.18</v>
      </c>
      <c r="F70" s="177">
        <f t="shared" si="0"/>
        <v>397</v>
      </c>
      <c r="G70" s="176"/>
      <c r="H70" s="178">
        <v>101836</v>
      </c>
      <c r="I70" s="179">
        <v>68.180000000000007</v>
      </c>
      <c r="J70" s="180">
        <f t="shared" si="1"/>
        <v>1494</v>
      </c>
      <c r="K70" s="181"/>
      <c r="L70" s="182">
        <f t="shared" si="2"/>
        <v>1891</v>
      </c>
    </row>
    <row r="71" spans="2:12" x14ac:dyDescent="0.2">
      <c r="B71" s="162">
        <v>62</v>
      </c>
      <c r="C71" s="159" t="s">
        <v>78</v>
      </c>
      <c r="D71" s="175">
        <v>533783</v>
      </c>
      <c r="E71" s="176">
        <v>1421.5800000000002</v>
      </c>
      <c r="F71" s="177">
        <f t="shared" si="0"/>
        <v>375</v>
      </c>
      <c r="G71" s="176"/>
      <c r="H71" s="183">
        <v>133614</v>
      </c>
      <c r="I71" s="176">
        <v>94.58</v>
      </c>
      <c r="J71" s="184">
        <f t="shared" si="1"/>
        <v>1413</v>
      </c>
      <c r="K71" s="181"/>
      <c r="L71" s="182">
        <f t="shared" si="2"/>
        <v>1788</v>
      </c>
    </row>
    <row r="72" spans="2:12" x14ac:dyDescent="0.2">
      <c r="B72" s="162">
        <v>63</v>
      </c>
      <c r="C72" s="159" t="s">
        <v>79</v>
      </c>
      <c r="D72" s="175">
        <v>492359</v>
      </c>
      <c r="E72" s="176">
        <v>1256.5</v>
      </c>
      <c r="F72" s="177">
        <f t="shared" si="0"/>
        <v>392</v>
      </c>
      <c r="G72" s="176"/>
      <c r="H72" s="183">
        <v>33170</v>
      </c>
      <c r="I72" s="176">
        <v>22.5</v>
      </c>
      <c r="J72" s="184">
        <f t="shared" si="1"/>
        <v>1474</v>
      </c>
      <c r="K72" s="181"/>
      <c r="L72" s="182">
        <f t="shared" si="2"/>
        <v>1866</v>
      </c>
    </row>
    <row r="73" spans="2:12" x14ac:dyDescent="0.2">
      <c r="B73" s="162">
        <v>64</v>
      </c>
      <c r="C73" s="159" t="s">
        <v>80</v>
      </c>
      <c r="D73" s="175">
        <v>9297960</v>
      </c>
      <c r="E73" s="176">
        <v>23545.14</v>
      </c>
      <c r="F73" s="177">
        <f t="shared" si="0"/>
        <v>395</v>
      </c>
      <c r="G73" s="176"/>
      <c r="H73" s="183">
        <v>1028020</v>
      </c>
      <c r="I73" s="176">
        <v>691.92000000000007</v>
      </c>
      <c r="J73" s="184">
        <f t="shared" si="1"/>
        <v>1486</v>
      </c>
      <c r="K73" s="181"/>
      <c r="L73" s="182">
        <f t="shared" si="2"/>
        <v>1881</v>
      </c>
    </row>
    <row r="74" spans="2:12" x14ac:dyDescent="0.2">
      <c r="B74" s="163">
        <v>65</v>
      </c>
      <c r="C74" s="167" t="s">
        <v>81</v>
      </c>
      <c r="D74" s="175">
        <v>1672710</v>
      </c>
      <c r="E74" s="176">
        <v>4027.67</v>
      </c>
      <c r="F74" s="177">
        <f>ROUND(D74/E74,0)</f>
        <v>415</v>
      </c>
      <c r="G74" s="176"/>
      <c r="H74" s="185">
        <v>18655</v>
      </c>
      <c r="I74" s="186">
        <v>11.94</v>
      </c>
      <c r="J74" s="187">
        <f>IF(I74=0,0,ROUND(H74/I74,0))</f>
        <v>1562</v>
      </c>
      <c r="K74" s="181"/>
      <c r="L74" s="182">
        <f>SUM(F74+J74)</f>
        <v>1977</v>
      </c>
    </row>
    <row r="75" spans="2:12" x14ac:dyDescent="0.2">
      <c r="B75" s="162">
        <v>66</v>
      </c>
      <c r="C75" s="149" t="s">
        <v>82</v>
      </c>
      <c r="D75" s="178">
        <v>1759979</v>
      </c>
      <c r="E75" s="179">
        <v>4709.1400000000003</v>
      </c>
      <c r="F75" s="188">
        <f>ROUND(D75/E75,0)</f>
        <v>374</v>
      </c>
      <c r="G75" s="176"/>
      <c r="H75" s="178">
        <v>121592</v>
      </c>
      <c r="I75" s="179">
        <v>86.47</v>
      </c>
      <c r="J75" s="180">
        <f>IF(I75=0,0,ROUND(H75/I75,0))</f>
        <v>1406</v>
      </c>
      <c r="K75" s="181"/>
      <c r="L75" s="189">
        <f>SUM(F75+J75)</f>
        <v>1780</v>
      </c>
    </row>
    <row r="76" spans="2:12" x14ac:dyDescent="0.2">
      <c r="B76" s="163">
        <v>67</v>
      </c>
      <c r="C76" s="194" t="s">
        <v>83</v>
      </c>
      <c r="D76" s="185">
        <v>740781</v>
      </c>
      <c r="E76" s="186">
        <v>1919.3</v>
      </c>
      <c r="F76" s="190">
        <f>ROUND(D76/E76,0)</f>
        <v>386</v>
      </c>
      <c r="G76" s="176"/>
      <c r="H76" s="185">
        <v>41913</v>
      </c>
      <c r="I76" s="186">
        <v>28.86</v>
      </c>
      <c r="J76" s="187">
        <f>IF(I76=0,0,ROUND(H76/I76,0))</f>
        <v>1452</v>
      </c>
      <c r="K76" s="181"/>
      <c r="L76" s="191">
        <f>SUM(F76+J76)</f>
        <v>1838</v>
      </c>
    </row>
    <row r="77" spans="2:12" ht="21" customHeight="1" x14ac:dyDescent="0.2">
      <c r="B77" s="149"/>
      <c r="C77" s="149" t="s">
        <v>212</v>
      </c>
      <c r="D77" s="175">
        <f>SUM(D10:D76)</f>
        <v>369855277</v>
      </c>
      <c r="E77" s="176">
        <f>SUM(E10:E76)</f>
        <v>1011992.0799999997</v>
      </c>
      <c r="F77" s="175">
        <f>ROUND(D77/E77,0)</f>
        <v>365</v>
      </c>
      <c r="G77" s="176"/>
      <c r="H77" s="175">
        <f>SUM(H10:H76)</f>
        <v>55020578</v>
      </c>
      <c r="I77" s="176">
        <f>SUM(I10:I76)</f>
        <v>40285.440000000002</v>
      </c>
      <c r="J77" s="181">
        <f>IF(I77=0,0,ROUND(H77/I77,0))</f>
        <v>1366</v>
      </c>
      <c r="K77" s="181"/>
      <c r="L77" s="181">
        <f>SUM(F77+J77)</f>
        <v>1731</v>
      </c>
    </row>
    <row r="78" spans="2:12" hidden="1" x14ac:dyDescent="0.2">
      <c r="B78" s="149"/>
      <c r="C78" s="149"/>
      <c r="D78" s="176"/>
      <c r="E78" s="175"/>
      <c r="F78" s="176"/>
      <c r="G78" s="176"/>
      <c r="H78" s="175"/>
      <c r="I78" s="181"/>
      <c r="J78" s="181"/>
      <c r="K78" s="181"/>
      <c r="L78" s="181"/>
    </row>
    <row r="79" spans="2:12" x14ac:dyDescent="0.2">
      <c r="B79" s="149"/>
      <c r="D79" s="149"/>
      <c r="E79" s="149"/>
      <c r="F79" s="149"/>
      <c r="G79" s="149"/>
      <c r="H79" s="149"/>
      <c r="I79" s="149"/>
      <c r="J79" s="149"/>
      <c r="K79" s="149"/>
      <c r="L79" s="149"/>
    </row>
    <row r="80" spans="2:12" x14ac:dyDescent="0.2">
      <c r="B80" s="149"/>
      <c r="D80" s="149"/>
      <c r="E80" s="149"/>
      <c r="F80" s="149"/>
      <c r="G80" s="149"/>
      <c r="H80" s="149"/>
      <c r="I80" s="149"/>
      <c r="J80" s="149"/>
      <c r="K80" s="149"/>
      <c r="L80" s="149"/>
    </row>
    <row r="81" spans="2:2" x14ac:dyDescent="0.2">
      <c r="B81" s="195"/>
    </row>
  </sheetData>
  <mergeCells count="5">
    <mergeCell ref="A1:L1"/>
    <mergeCell ref="B2:L2"/>
    <mergeCell ref="B3:L3"/>
    <mergeCell ref="D4:F4"/>
    <mergeCell ref="H4:J4"/>
  </mergeCells>
  <phoneticPr fontId="40" type="noConversion"/>
  <printOptions horizontalCentered="1" verticalCentered="1"/>
  <pageMargins left="0.5" right="0.5" top="0.5" bottom="0.5" header="0.5" footer="0.5"/>
  <pageSetup scale="7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4"/>
  <sheetViews>
    <sheetView topLeftCell="A2" zoomScaleNormal="100" workbookViewId="0">
      <selection activeCell="A84" sqref="A84:H84"/>
    </sheetView>
  </sheetViews>
  <sheetFormatPr defaultColWidth="9.28515625" defaultRowHeight="15.75" x14ac:dyDescent="0.25"/>
  <cols>
    <col min="1" max="1" width="10.28515625" style="23" customWidth="1"/>
    <col min="2" max="2" width="33.42578125" style="1" customWidth="1"/>
    <col min="3" max="3" width="15.28515625" style="1" customWidth="1"/>
    <col min="4" max="4" width="6.7109375" style="1" customWidth="1"/>
    <col min="5" max="5" width="13" style="1" customWidth="1"/>
    <col min="6" max="6" width="10.42578125" style="1" customWidth="1"/>
    <col min="7" max="7" width="13" style="1" customWidth="1"/>
    <col min="8" max="8" width="21.42578125" style="1" customWidth="1"/>
    <col min="9" max="9" width="29.28515625" style="1" bestFit="1" customWidth="1"/>
    <col min="10" max="10" width="22.7109375" style="1" customWidth="1"/>
    <col min="11" max="11" width="15.5703125" style="2" customWidth="1"/>
    <col min="12" max="12" width="2" style="1" customWidth="1"/>
    <col min="13" max="13" width="7.28515625" style="1" customWidth="1"/>
    <col min="14" max="14" width="1.5703125" style="1" customWidth="1"/>
    <col min="15" max="15" width="1" style="1" customWidth="1"/>
    <col min="16" max="16" width="16.42578125" style="3" customWidth="1"/>
    <col min="17" max="17" width="1.42578125" style="3" customWidth="1"/>
    <col min="18" max="18" width="2.42578125" style="1" customWidth="1"/>
    <col min="19" max="19" width="13" style="1" customWidth="1"/>
    <col min="20" max="20" width="3.28515625" style="1" customWidth="1"/>
    <col min="21" max="21" width="21.42578125" style="4" customWidth="1"/>
    <col min="22" max="22" width="9.28515625" style="1"/>
    <col min="23" max="23" width="10" style="1" bestFit="1" customWidth="1"/>
    <col min="24" max="24" width="9.7109375" style="1" bestFit="1" customWidth="1"/>
    <col min="25" max="16384" width="9.28515625" style="1"/>
  </cols>
  <sheetData>
    <row r="1" spans="1:21" ht="16.5" hidden="1" thickBot="1" x14ac:dyDescent="0.3">
      <c r="A1" s="45" t="e">
        <f>#REF!</f>
        <v>#REF!</v>
      </c>
      <c r="B1" s="1404" t="s">
        <v>106</v>
      </c>
      <c r="C1" s="1405"/>
      <c r="D1" s="1405"/>
      <c r="E1" s="1405"/>
      <c r="F1" s="1405"/>
      <c r="G1" s="1405"/>
      <c r="H1" s="1405"/>
      <c r="J1" s="2"/>
      <c r="K1" s="1"/>
      <c r="O1" s="3"/>
      <c r="Q1" s="1"/>
      <c r="T1" s="4"/>
      <c r="U1" s="1"/>
    </row>
    <row r="2" spans="1:21" ht="18.75" x14ac:dyDescent="0.3">
      <c r="A2" s="1303" t="s">
        <v>233</v>
      </c>
      <c r="B2" s="1303"/>
      <c r="C2" s="1303"/>
      <c r="D2" s="1303"/>
      <c r="E2" s="1303"/>
      <c r="F2" s="1303"/>
      <c r="G2" s="1303"/>
      <c r="H2" s="1303"/>
      <c r="I2" s="121"/>
      <c r="J2" s="121"/>
      <c r="K2" s="121"/>
      <c r="L2" s="121"/>
      <c r="M2" s="121"/>
      <c r="N2" s="121"/>
      <c r="O2" s="121"/>
      <c r="P2" s="121"/>
      <c r="Q2" s="121"/>
      <c r="R2" s="121"/>
      <c r="S2" s="121"/>
      <c r="T2" s="121"/>
      <c r="U2" s="121"/>
    </row>
    <row r="3" spans="1:21" ht="18.75" customHeight="1" x14ac:dyDescent="0.25">
      <c r="A3" s="1348" t="s">
        <v>0</v>
      </c>
      <c r="B3" s="1348"/>
      <c r="C3" s="1351" t="e">
        <f>INDEX(' Detail 2014-15 Conf FEFP'!B3:B77,A1)</f>
        <v>#REF!</v>
      </c>
      <c r="D3" s="1351"/>
      <c r="E3" s="204"/>
      <c r="F3" s="204"/>
      <c r="G3" s="204"/>
      <c r="H3" s="204"/>
      <c r="I3" s="3"/>
      <c r="J3" s="3"/>
      <c r="K3" s="3"/>
      <c r="L3" s="3"/>
      <c r="M3" s="3"/>
      <c r="N3" s="3"/>
      <c r="O3" s="3"/>
      <c r="P3" s="1"/>
      <c r="Q3" s="1"/>
      <c r="R3" s="4"/>
      <c r="U3" s="1"/>
    </row>
    <row r="4" spans="1:21" ht="21" customHeight="1" x14ac:dyDescent="0.25">
      <c r="A4" s="1344" t="s">
        <v>240</v>
      </c>
      <c r="B4" s="1344"/>
      <c r="C4" s="1344"/>
      <c r="D4" s="1344"/>
      <c r="E4" s="1344"/>
      <c r="F4" s="1344"/>
      <c r="G4" s="1344"/>
      <c r="H4" s="1344"/>
      <c r="I4" s="3"/>
      <c r="J4" s="3"/>
      <c r="K4" s="3"/>
      <c r="L4" s="3"/>
      <c r="M4" s="3"/>
      <c r="N4" s="3"/>
      <c r="O4" s="3"/>
      <c r="R4" s="3"/>
      <c r="S4" s="3"/>
      <c r="U4" s="1"/>
    </row>
    <row r="5" spans="1:21" ht="18" customHeight="1" x14ac:dyDescent="0.25">
      <c r="A5" s="1347" t="s">
        <v>88</v>
      </c>
      <c r="B5" s="1347"/>
      <c r="C5" s="1406" t="e">
        <f>#REF!</f>
        <v>#REF!</v>
      </c>
      <c r="D5" s="1406"/>
      <c r="E5" s="1345" t="s">
        <v>90</v>
      </c>
      <c r="F5" s="1345"/>
      <c r="G5" s="1346" t="e">
        <f>INDEX(' Detail 2014-15 Conf FEFP'!C3:C77,A1)</f>
        <v>#REF!</v>
      </c>
      <c r="H5" s="1346"/>
      <c r="K5" s="1"/>
      <c r="P5" s="1"/>
      <c r="Q5" s="1"/>
      <c r="U5" s="1"/>
    </row>
    <row r="6" spans="1:21" ht="51" customHeight="1" x14ac:dyDescent="0.25">
      <c r="A6" s="1329" t="s">
        <v>1</v>
      </c>
      <c r="B6" s="1329"/>
      <c r="C6" s="1432" t="s">
        <v>133</v>
      </c>
      <c r="D6" s="1432"/>
      <c r="E6" s="1337" t="s">
        <v>150</v>
      </c>
      <c r="F6" s="1337"/>
      <c r="G6" s="122" t="s">
        <v>134</v>
      </c>
      <c r="H6" s="123" t="s">
        <v>241</v>
      </c>
      <c r="K6" s="1"/>
      <c r="P6" s="1"/>
      <c r="Q6" s="1"/>
      <c r="U6" s="1"/>
    </row>
    <row r="7" spans="1:21" ht="14.25" customHeight="1" x14ac:dyDescent="0.25">
      <c r="A7" s="1431" t="s">
        <v>3</v>
      </c>
      <c r="B7" s="1431"/>
      <c r="C7" s="1356" t="s">
        <v>4</v>
      </c>
      <c r="D7" s="1356"/>
      <c r="E7" s="1353" t="s">
        <v>5</v>
      </c>
      <c r="F7" s="1353"/>
      <c r="G7" s="9" t="s">
        <v>6</v>
      </c>
      <c r="H7" s="10" t="s">
        <v>7</v>
      </c>
      <c r="K7" s="1"/>
      <c r="P7" s="1"/>
      <c r="Q7" s="1"/>
      <c r="U7" s="1"/>
    </row>
    <row r="8" spans="1:21" x14ac:dyDescent="0.25">
      <c r="A8" s="1358" t="s">
        <v>152</v>
      </c>
      <c r="B8" s="1358"/>
      <c r="C8" s="1429" t="e">
        <f>IF(#REF!=1,#REF!,0)</f>
        <v>#REF!</v>
      </c>
      <c r="D8" s="1429"/>
      <c r="E8" s="1357">
        <v>1</v>
      </c>
      <c r="F8" s="1357"/>
      <c r="G8" s="22" t="e">
        <f>ROUND(C8*E8,4)</f>
        <v>#REF!</v>
      </c>
      <c r="H8" s="11" t="e">
        <f t="shared" ref="H8:H23" si="0">ROUND(ROUND(G8*$C$5,4)*($G$5),0)</f>
        <v>#REF!</v>
      </c>
      <c r="I8" s="1">
        <v>1</v>
      </c>
      <c r="K8" s="1"/>
      <c r="P8" s="1"/>
      <c r="Q8" s="1"/>
      <c r="U8" s="1"/>
    </row>
    <row r="9" spans="1:21" x14ac:dyDescent="0.25">
      <c r="A9" s="1310" t="s">
        <v>153</v>
      </c>
      <c r="B9" s="1310"/>
      <c r="C9" s="1429" t="e">
        <f>IF(#REF!=1,#REF!,0)</f>
        <v>#REF!</v>
      </c>
      <c r="D9" s="1429"/>
      <c r="E9" s="1341">
        <v>1</v>
      </c>
      <c r="F9" s="1341"/>
      <c r="G9" s="22" t="e">
        <f t="shared" ref="G9:G23" si="1">ROUND(C9*E9,4)</f>
        <v>#REF!</v>
      </c>
      <c r="H9" s="11" t="e">
        <f t="shared" si="0"/>
        <v>#REF!</v>
      </c>
      <c r="K9" s="1"/>
      <c r="P9" s="1"/>
      <c r="Q9" s="1"/>
      <c r="U9" s="1"/>
    </row>
    <row r="10" spans="1:21" x14ac:dyDescent="0.25">
      <c r="A10" s="1310" t="s">
        <v>154</v>
      </c>
      <c r="B10" s="1310"/>
      <c r="C10" s="1429" t="e">
        <f>IF(#REF!=1,#REF!,0)</f>
        <v>#REF!</v>
      </c>
      <c r="D10" s="1429"/>
      <c r="E10" s="1341">
        <v>1</v>
      </c>
      <c r="F10" s="1341"/>
      <c r="G10" s="22" t="e">
        <f t="shared" si="1"/>
        <v>#REF!</v>
      </c>
      <c r="H10" s="11" t="e">
        <f t="shared" si="0"/>
        <v>#REF!</v>
      </c>
      <c r="K10" s="1"/>
      <c r="P10" s="1"/>
      <c r="Q10" s="1"/>
      <c r="U10" s="1"/>
    </row>
    <row r="11" spans="1:21" x14ac:dyDescent="0.25">
      <c r="A11" s="1310" t="s">
        <v>155</v>
      </c>
      <c r="B11" s="1310"/>
      <c r="C11" s="1429" t="e">
        <f>IF(#REF!=1,#REF!,0)</f>
        <v>#REF!</v>
      </c>
      <c r="D11" s="1429"/>
      <c r="E11" s="1341">
        <v>1</v>
      </c>
      <c r="F11" s="1341"/>
      <c r="G11" s="22" t="e">
        <f t="shared" si="1"/>
        <v>#REF!</v>
      </c>
      <c r="H11" s="11" t="e">
        <f t="shared" si="0"/>
        <v>#REF!</v>
      </c>
      <c r="K11" s="1"/>
      <c r="P11" s="1"/>
      <c r="Q11" s="1"/>
      <c r="U11" s="1"/>
    </row>
    <row r="12" spans="1:21" x14ac:dyDescent="0.25">
      <c r="A12" s="1310" t="s">
        <v>156</v>
      </c>
      <c r="B12" s="1310"/>
      <c r="C12" s="1429" t="e">
        <f>IF(#REF!=1,#REF!,0)</f>
        <v>#REF!</v>
      </c>
      <c r="D12" s="1429"/>
      <c r="E12" s="1341">
        <v>1</v>
      </c>
      <c r="F12" s="1341"/>
      <c r="G12" s="22" t="e">
        <f t="shared" si="1"/>
        <v>#REF!</v>
      </c>
      <c r="H12" s="11" t="e">
        <f t="shared" si="0"/>
        <v>#REF!</v>
      </c>
      <c r="K12" s="1"/>
      <c r="P12" s="1"/>
      <c r="Q12" s="1"/>
      <c r="U12" s="1"/>
    </row>
    <row r="13" spans="1:21" x14ac:dyDescent="0.25">
      <c r="A13" s="1310" t="s">
        <v>157</v>
      </c>
      <c r="B13" s="1310"/>
      <c r="C13" s="1429" t="e">
        <f>IF(#REF!=1,#REF!,0)</f>
        <v>#REF!</v>
      </c>
      <c r="D13" s="1429"/>
      <c r="E13" s="1341">
        <v>1</v>
      </c>
      <c r="F13" s="1341"/>
      <c r="G13" s="22" t="e">
        <f t="shared" si="1"/>
        <v>#REF!</v>
      </c>
      <c r="H13" s="42" t="e">
        <f t="shared" si="0"/>
        <v>#REF!</v>
      </c>
      <c r="K13" s="1"/>
      <c r="P13" s="1"/>
      <c r="Q13" s="1"/>
      <c r="U13" s="1"/>
    </row>
    <row r="14" spans="1:21" x14ac:dyDescent="0.25">
      <c r="A14" s="1310" t="s">
        <v>158</v>
      </c>
      <c r="B14" s="1310"/>
      <c r="C14" s="1429" t="e">
        <f>IF(#REF!=1,#REF!,0)</f>
        <v>#REF!</v>
      </c>
      <c r="D14" s="1429"/>
      <c r="E14" s="1341">
        <v>1</v>
      </c>
      <c r="F14" s="1341"/>
      <c r="G14" s="22" t="e">
        <f t="shared" si="1"/>
        <v>#REF!</v>
      </c>
      <c r="H14" s="11" t="e">
        <f t="shared" si="0"/>
        <v>#REF!</v>
      </c>
      <c r="K14" s="1"/>
      <c r="P14" s="1"/>
      <c r="Q14" s="1"/>
      <c r="U14" s="1"/>
    </row>
    <row r="15" spans="1:21" x14ac:dyDescent="0.25">
      <c r="A15" s="1310" t="s">
        <v>159</v>
      </c>
      <c r="B15" s="1310"/>
      <c r="C15" s="1429" t="e">
        <f>IF(#REF!=1,#REF!,0)</f>
        <v>#REF!</v>
      </c>
      <c r="D15" s="1429"/>
      <c r="E15" s="1341">
        <v>1</v>
      </c>
      <c r="F15" s="1341"/>
      <c r="G15" s="22" t="e">
        <f t="shared" si="1"/>
        <v>#REF!</v>
      </c>
      <c r="H15" s="11" t="e">
        <f t="shared" si="0"/>
        <v>#REF!</v>
      </c>
      <c r="K15" s="1"/>
      <c r="P15" s="1"/>
      <c r="Q15" s="1"/>
      <c r="U15" s="1"/>
    </row>
    <row r="16" spans="1:21" x14ac:dyDescent="0.25">
      <c r="A16" s="1310" t="s">
        <v>160</v>
      </c>
      <c r="B16" s="1310"/>
      <c r="C16" s="1429" t="e">
        <f>IF(#REF!=1,#REF!,0)</f>
        <v>#REF!</v>
      </c>
      <c r="D16" s="1429"/>
      <c r="E16" s="1341">
        <v>1</v>
      </c>
      <c r="F16" s="1341"/>
      <c r="G16" s="22" t="e">
        <f t="shared" si="1"/>
        <v>#REF!</v>
      </c>
      <c r="H16" s="11" t="e">
        <f t="shared" si="0"/>
        <v>#REF!</v>
      </c>
      <c r="K16" s="1"/>
      <c r="P16" s="1"/>
      <c r="Q16" s="1"/>
      <c r="U16" s="1"/>
    </row>
    <row r="17" spans="1:21" ht="15" customHeight="1" x14ac:dyDescent="0.25">
      <c r="A17" s="1310" t="s">
        <v>161</v>
      </c>
      <c r="B17" s="1310"/>
      <c r="C17" s="1429" t="e">
        <f>IF(#REF!=1,#REF!,0)</f>
        <v>#REF!</v>
      </c>
      <c r="D17" s="1429"/>
      <c r="E17" s="1341">
        <v>1</v>
      </c>
      <c r="F17" s="1341"/>
      <c r="G17" s="22" t="e">
        <f t="shared" si="1"/>
        <v>#REF!</v>
      </c>
      <c r="H17" s="11" t="e">
        <f t="shared" si="0"/>
        <v>#REF!</v>
      </c>
      <c r="K17" s="1"/>
      <c r="P17" s="1"/>
      <c r="Q17" s="1"/>
      <c r="U17" s="1"/>
    </row>
    <row r="18" spans="1:21" ht="15" customHeight="1" x14ac:dyDescent="0.25">
      <c r="A18" s="1310" t="s">
        <v>162</v>
      </c>
      <c r="B18" s="1310"/>
      <c r="C18" s="1429" t="e">
        <f>IF(#REF!=1,#REF!,0)</f>
        <v>#REF!</v>
      </c>
      <c r="D18" s="1429"/>
      <c r="E18" s="1341">
        <v>1</v>
      </c>
      <c r="F18" s="1341"/>
      <c r="G18" s="22" t="e">
        <f t="shared" si="1"/>
        <v>#REF!</v>
      </c>
      <c r="H18" s="11" t="e">
        <f t="shared" si="0"/>
        <v>#REF!</v>
      </c>
      <c r="K18" s="1"/>
      <c r="P18" s="1"/>
      <c r="Q18" s="1"/>
      <c r="U18" s="1"/>
    </row>
    <row r="19" spans="1:21" ht="15" customHeight="1" x14ac:dyDescent="0.25">
      <c r="A19" s="1310" t="s">
        <v>163</v>
      </c>
      <c r="B19" s="1310"/>
      <c r="C19" s="1429" t="e">
        <f>IF(#REF!=1,#REF!,0)</f>
        <v>#REF!</v>
      </c>
      <c r="D19" s="1429"/>
      <c r="E19" s="1341">
        <v>1</v>
      </c>
      <c r="F19" s="1341"/>
      <c r="G19" s="22" t="e">
        <f t="shared" si="1"/>
        <v>#REF!</v>
      </c>
      <c r="H19" s="11" t="e">
        <f t="shared" si="0"/>
        <v>#REF!</v>
      </c>
      <c r="K19" s="1"/>
      <c r="P19" s="1"/>
      <c r="Q19" s="1"/>
      <c r="U19" s="1"/>
    </row>
    <row r="20" spans="1:21" x14ac:dyDescent="0.25">
      <c r="A20" s="1310" t="s">
        <v>164</v>
      </c>
      <c r="B20" s="1310"/>
      <c r="C20" s="1429" t="e">
        <f>IF(#REF!=1,#REF!,0)</f>
        <v>#REF!</v>
      </c>
      <c r="D20" s="1429"/>
      <c r="E20" s="1341">
        <v>1</v>
      </c>
      <c r="F20" s="1341"/>
      <c r="G20" s="22" t="e">
        <f t="shared" si="1"/>
        <v>#REF!</v>
      </c>
      <c r="H20" s="11" t="e">
        <f t="shared" si="0"/>
        <v>#REF!</v>
      </c>
      <c r="K20" s="1"/>
      <c r="P20" s="1"/>
      <c r="Q20" s="1"/>
      <c r="U20" s="1"/>
    </row>
    <row r="21" spans="1:21" x14ac:dyDescent="0.25">
      <c r="A21" s="1310" t="s">
        <v>165</v>
      </c>
      <c r="B21" s="1310"/>
      <c r="C21" s="1429" t="e">
        <f>IF(#REF!=1,#REF!,0)</f>
        <v>#REF!</v>
      </c>
      <c r="D21" s="1429"/>
      <c r="E21" s="1341">
        <v>1</v>
      </c>
      <c r="F21" s="1341"/>
      <c r="G21" s="22" t="e">
        <f t="shared" si="1"/>
        <v>#REF!</v>
      </c>
      <c r="H21" s="11" t="e">
        <f t="shared" si="0"/>
        <v>#REF!</v>
      </c>
      <c r="K21" s="1"/>
      <c r="P21" s="1"/>
      <c r="Q21" s="1"/>
      <c r="U21" s="1"/>
    </row>
    <row r="22" spans="1:21" x14ac:dyDescent="0.25">
      <c r="A22" s="1310" t="s">
        <v>166</v>
      </c>
      <c r="B22" s="1310"/>
      <c r="C22" s="1429" t="e">
        <f>IF(#REF!=1,#REF!,0)</f>
        <v>#REF!</v>
      </c>
      <c r="D22" s="1429"/>
      <c r="E22" s="1341">
        <v>1</v>
      </c>
      <c r="F22" s="1341"/>
      <c r="G22" s="22" t="e">
        <f t="shared" si="1"/>
        <v>#REF!</v>
      </c>
      <c r="H22" s="11" t="e">
        <f t="shared" si="0"/>
        <v>#REF!</v>
      </c>
      <c r="K22" s="1"/>
      <c r="P22" s="1"/>
      <c r="Q22" s="1"/>
      <c r="U22" s="1"/>
    </row>
    <row r="23" spans="1:21" ht="16.5" thickBot="1" x14ac:dyDescent="0.3">
      <c r="A23" s="1310" t="s">
        <v>167</v>
      </c>
      <c r="B23" s="1310"/>
      <c r="C23" s="1430" t="e">
        <f>IF(#REF!=1,#REF!,0)</f>
        <v>#REF!</v>
      </c>
      <c r="D23" s="1430"/>
      <c r="E23" s="1341">
        <v>1</v>
      </c>
      <c r="F23" s="1341"/>
      <c r="G23" s="22" t="e">
        <f t="shared" si="1"/>
        <v>#REF!</v>
      </c>
      <c r="H23" s="11" t="e">
        <f t="shared" si="0"/>
        <v>#REF!</v>
      </c>
      <c r="K23" s="1"/>
      <c r="P23" s="1"/>
      <c r="Q23" s="1"/>
      <c r="U23" s="1"/>
    </row>
    <row r="24" spans="1:21" ht="20.25" customHeight="1" thickBot="1" x14ac:dyDescent="0.3">
      <c r="A24" s="1303" t="s">
        <v>8</v>
      </c>
      <c r="B24" s="1303"/>
      <c r="C24" s="1331" t="e">
        <f>SUM(C8:C23)</f>
        <v>#REF!</v>
      </c>
      <c r="D24" s="1331"/>
      <c r="E24" s="1336"/>
      <c r="F24" s="1425"/>
      <c r="G24" s="48" t="e">
        <f>SUM(G8:G23)</f>
        <v>#REF!</v>
      </c>
      <c r="H24" s="47" t="e">
        <f>SUM(H8:H23)</f>
        <v>#REF!</v>
      </c>
      <c r="K24" s="1"/>
      <c r="P24" s="1"/>
      <c r="Q24" s="1"/>
      <c r="U24" s="1"/>
    </row>
    <row r="25" spans="1:21" ht="51.75" customHeight="1" x14ac:dyDescent="0.25">
      <c r="A25" s="1297" t="s">
        <v>137</v>
      </c>
      <c r="B25" s="1297"/>
      <c r="C25" s="1426" t="s">
        <v>2</v>
      </c>
      <c r="D25" s="1426"/>
      <c r="E25" s="124" t="s">
        <v>144</v>
      </c>
      <c r="F25" s="130" t="s">
        <v>145</v>
      </c>
      <c r="G25" s="126" t="s">
        <v>146</v>
      </c>
      <c r="K25" s="1"/>
      <c r="P25" s="1"/>
      <c r="Q25" s="1"/>
      <c r="U25" s="1"/>
    </row>
    <row r="26" spans="1:21" ht="15.75" customHeight="1" x14ac:dyDescent="0.25">
      <c r="A26" s="1397" t="s">
        <v>151</v>
      </c>
      <c r="B26" s="1397"/>
      <c r="C26" s="1427"/>
      <c r="D26" s="1427"/>
      <c r="E26" s="125" t="s">
        <v>115</v>
      </c>
      <c r="F26" s="6">
        <v>251</v>
      </c>
      <c r="G26" s="41" t="e">
        <f>INDEX('111-112-113 ADDITIONAL FUND'!D6:D80,A1)</f>
        <v>#REF!</v>
      </c>
      <c r="H26" s="28" t="e">
        <f>ROUND(C26*G26,0)</f>
        <v>#REF!</v>
      </c>
      <c r="K26" s="1"/>
      <c r="P26" s="1"/>
      <c r="Q26" s="1"/>
      <c r="U26" s="1"/>
    </row>
    <row r="27" spans="1:21" x14ac:dyDescent="0.25">
      <c r="A27" s="1397"/>
      <c r="B27" s="1397"/>
      <c r="C27" s="1427"/>
      <c r="D27" s="1427"/>
      <c r="E27" s="6" t="s">
        <v>115</v>
      </c>
      <c r="F27" s="6">
        <v>252</v>
      </c>
      <c r="G27" s="41" t="e">
        <f>INDEX('111-112-113 ADDITIONAL FUND'!E6:E80,A1)</f>
        <v>#REF!</v>
      </c>
      <c r="H27" s="28" t="e">
        <f t="shared" ref="H27:H34" si="2">ROUND(C27*G27,0)</f>
        <v>#REF!</v>
      </c>
      <c r="K27" s="1"/>
      <c r="P27" s="1"/>
      <c r="Q27" s="1"/>
      <c r="U27" s="1"/>
    </row>
    <row r="28" spans="1:21" x14ac:dyDescent="0.25">
      <c r="A28" s="1397"/>
      <c r="B28" s="1397"/>
      <c r="C28" s="1427"/>
      <c r="D28" s="1427"/>
      <c r="E28" s="6" t="s">
        <v>115</v>
      </c>
      <c r="F28" s="6">
        <v>253</v>
      </c>
      <c r="G28" s="41" t="e">
        <f>INDEX('111-112-113 ADDITIONAL FUND'!F6:F80,A1)</f>
        <v>#REF!</v>
      </c>
      <c r="H28" s="28" t="e">
        <f t="shared" si="2"/>
        <v>#REF!</v>
      </c>
      <c r="K28" s="1"/>
      <c r="P28" s="1"/>
      <c r="Q28" s="1"/>
      <c r="U28" s="1"/>
    </row>
    <row r="29" spans="1:21" x14ac:dyDescent="0.25">
      <c r="A29" s="1397"/>
      <c r="B29" s="1397"/>
      <c r="C29" s="1427"/>
      <c r="D29" s="1427"/>
      <c r="E29" s="8" t="s">
        <v>101</v>
      </c>
      <c r="F29" s="6">
        <v>251</v>
      </c>
      <c r="G29" s="41" t="e">
        <f>INDEX('111-112-113 ADDITIONAL FUND'!G6:G80,A1)</f>
        <v>#REF!</v>
      </c>
      <c r="H29" s="28" t="e">
        <f t="shared" si="2"/>
        <v>#REF!</v>
      </c>
      <c r="K29" s="1"/>
      <c r="P29" s="1"/>
      <c r="Q29" s="1"/>
      <c r="U29" s="1"/>
    </row>
    <row r="30" spans="1:21" x14ac:dyDescent="0.25">
      <c r="A30" s="1397"/>
      <c r="B30" s="1397"/>
      <c r="C30" s="1427"/>
      <c r="D30" s="1427"/>
      <c r="E30" s="8" t="s">
        <v>101</v>
      </c>
      <c r="F30" s="6">
        <v>252</v>
      </c>
      <c r="G30" s="41" t="e">
        <f>INDEX('111-112-113 ADDITIONAL FUND'!H6:H80,A1)</f>
        <v>#REF!</v>
      </c>
      <c r="H30" s="28" t="e">
        <f t="shared" si="2"/>
        <v>#REF!</v>
      </c>
      <c r="K30" s="1"/>
      <c r="P30" s="1"/>
      <c r="Q30" s="1"/>
      <c r="U30" s="1"/>
    </row>
    <row r="31" spans="1:21" x14ac:dyDescent="0.25">
      <c r="A31" s="1397"/>
      <c r="B31" s="1397"/>
      <c r="C31" s="1427"/>
      <c r="D31" s="1427"/>
      <c r="E31" s="8" t="s">
        <v>101</v>
      </c>
      <c r="F31" s="6">
        <v>253</v>
      </c>
      <c r="G31" s="41" t="e">
        <f>INDEX('111-112-113 ADDITIONAL FUND'!I6:I80,A1)</f>
        <v>#REF!</v>
      </c>
      <c r="H31" s="28" t="e">
        <f t="shared" si="2"/>
        <v>#REF!</v>
      </c>
      <c r="K31" s="1"/>
      <c r="P31" s="1"/>
      <c r="Q31" s="1"/>
      <c r="U31" s="1"/>
    </row>
    <row r="32" spans="1:21" x14ac:dyDescent="0.25">
      <c r="A32" s="1397"/>
      <c r="B32" s="1397"/>
      <c r="C32" s="1427"/>
      <c r="D32" s="1427"/>
      <c r="E32" s="8" t="s">
        <v>102</v>
      </c>
      <c r="F32" s="6">
        <v>251</v>
      </c>
      <c r="G32" s="41" t="e">
        <f>INDEX('111-112-113 ADDITIONAL FUND'!J6:J80,A1)</f>
        <v>#REF!</v>
      </c>
      <c r="H32" s="28" t="e">
        <f t="shared" si="2"/>
        <v>#REF!</v>
      </c>
      <c r="K32" s="1"/>
      <c r="P32" s="1"/>
      <c r="Q32" s="1"/>
      <c r="U32" s="1"/>
    </row>
    <row r="33" spans="1:21" x14ac:dyDescent="0.25">
      <c r="A33" s="1397"/>
      <c r="B33" s="1397"/>
      <c r="C33" s="1427"/>
      <c r="D33" s="1427"/>
      <c r="E33" s="8" t="s">
        <v>102</v>
      </c>
      <c r="F33" s="6">
        <v>252</v>
      </c>
      <c r="G33" s="41" t="e">
        <f>INDEX('111-112-113 ADDITIONAL FUND'!K6:K80,A1)</f>
        <v>#REF!</v>
      </c>
      <c r="H33" s="28" t="e">
        <f t="shared" si="2"/>
        <v>#REF!</v>
      </c>
      <c r="K33" s="1"/>
      <c r="P33" s="1"/>
      <c r="Q33" s="1"/>
      <c r="U33" s="1"/>
    </row>
    <row r="34" spans="1:21" ht="16.5" thickBot="1" x14ac:dyDescent="0.3">
      <c r="A34" s="1397"/>
      <c r="B34" s="1397"/>
      <c r="C34" s="1428"/>
      <c r="D34" s="1428"/>
      <c r="E34" s="8" t="s">
        <v>102</v>
      </c>
      <c r="F34" s="6">
        <v>253</v>
      </c>
      <c r="G34" s="41" t="e">
        <f>INDEX('111-112-113 ADDITIONAL FUND'!L6:L80,A1)</f>
        <v>#REF!</v>
      </c>
      <c r="H34" s="39" t="e">
        <f t="shared" si="2"/>
        <v>#REF!</v>
      </c>
      <c r="K34" s="1"/>
      <c r="P34" s="1"/>
      <c r="Q34" s="1"/>
      <c r="U34" s="1"/>
    </row>
    <row r="35" spans="1:21" ht="18.75" customHeight="1" x14ac:dyDescent="0.25">
      <c r="A35" s="1305" t="s">
        <v>105</v>
      </c>
      <c r="B35" s="1305"/>
      <c r="C35" s="1331">
        <f>SUM(C26:C34)</f>
        <v>0</v>
      </c>
      <c r="D35" s="1331"/>
      <c r="E35" s="1305" t="s">
        <v>104</v>
      </c>
      <c r="F35" s="1305"/>
      <c r="G35" s="1305"/>
      <c r="H35" s="11" t="e">
        <f>SUM(H26:H34)</f>
        <v>#REF!</v>
      </c>
      <c r="J35" s="40"/>
      <c r="K35" s="1"/>
      <c r="P35" s="1"/>
      <c r="Q35" s="1"/>
      <c r="U35" s="1"/>
    </row>
    <row r="36" spans="1:21" ht="30.75" customHeight="1" x14ac:dyDescent="0.25">
      <c r="A36" s="1418" t="s">
        <v>138</v>
      </c>
      <c r="B36" s="1418"/>
      <c r="C36" s="1418"/>
      <c r="D36" s="1418"/>
      <c r="E36" s="1418"/>
      <c r="F36" s="1418"/>
      <c r="G36" s="1418"/>
      <c r="H36" s="1418"/>
      <c r="K36" s="1"/>
      <c r="P36" s="1"/>
      <c r="Q36" s="1"/>
      <c r="U36" s="1"/>
    </row>
    <row r="37" spans="1:21" ht="15.75" customHeight="1" x14ac:dyDescent="0.25">
      <c r="A37" s="1420" t="s">
        <v>89</v>
      </c>
      <c r="B37" s="1420"/>
      <c r="C37" s="1421" t="e">
        <f>INDEX(' Detail 2014-15 Conf FEFP'!K3:K77,A1)</f>
        <v>#REF!</v>
      </c>
      <c r="D37" s="1421"/>
      <c r="E37" s="1422" t="s">
        <v>99</v>
      </c>
      <c r="F37" s="1422"/>
      <c r="G37" s="1422"/>
      <c r="H37" s="1422"/>
      <c r="K37" s="1"/>
      <c r="P37" s="1"/>
      <c r="Q37" s="1"/>
      <c r="U37" s="1"/>
    </row>
    <row r="38" spans="1:21" ht="15.75" customHeight="1" x14ac:dyDescent="0.25">
      <c r="A38" s="1423" t="s">
        <v>91</v>
      </c>
      <c r="B38" s="1423"/>
      <c r="C38" s="1424" t="e">
        <f>INDEX(' Detail 2014-15 Conf FEFP'!D3:D77,A1)</f>
        <v>#REF!</v>
      </c>
      <c r="D38" s="1424"/>
      <c r="E38" s="1424"/>
      <c r="F38" s="1424"/>
      <c r="G38" s="11" t="e">
        <f>ROUND(C37/C38,0)</f>
        <v>#REF!</v>
      </c>
      <c r="H38" s="11" t="e">
        <f>ROUND(G38*$C$24,0)</f>
        <v>#REF!</v>
      </c>
      <c r="K38" s="1"/>
      <c r="P38" s="1"/>
      <c r="Q38" s="1"/>
      <c r="U38" s="1"/>
    </row>
    <row r="39" spans="1:21" ht="15.75" customHeight="1" x14ac:dyDescent="0.25">
      <c r="A39" s="1417" t="s">
        <v>100</v>
      </c>
      <c r="B39" s="1417"/>
      <c r="C39" s="1417"/>
      <c r="D39" s="1417"/>
      <c r="E39" s="1417"/>
      <c r="F39" s="1417"/>
      <c r="G39" s="1417"/>
      <c r="H39" s="1417"/>
      <c r="K39" s="1"/>
      <c r="P39" s="1"/>
      <c r="Q39" s="1"/>
      <c r="U39" s="1"/>
    </row>
    <row r="40" spans="1:21" ht="28.5" customHeight="1" x14ac:dyDescent="0.25">
      <c r="A40" s="1418" t="s">
        <v>139</v>
      </c>
      <c r="B40" s="1418"/>
      <c r="C40" s="1418"/>
      <c r="D40" s="1418"/>
      <c r="E40" s="1418"/>
      <c r="F40" s="1418"/>
      <c r="G40" s="1418"/>
      <c r="H40" s="1418"/>
      <c r="I40" s="35"/>
      <c r="J40" s="35"/>
      <c r="K40" s="35"/>
      <c r="L40" s="35"/>
      <c r="M40" s="35"/>
      <c r="N40" s="3"/>
      <c r="O40" s="3"/>
      <c r="P40" s="1"/>
      <c r="Q40" s="6"/>
      <c r="U40" s="1"/>
    </row>
    <row r="41" spans="1:21" x14ac:dyDescent="0.25">
      <c r="A41" s="1419" t="s">
        <v>120</v>
      </c>
      <c r="B41" s="1419"/>
      <c r="C41" s="1419"/>
      <c r="D41" s="1419"/>
      <c r="E41" s="1419"/>
      <c r="F41" s="1419"/>
      <c r="G41" s="1419"/>
      <c r="H41" s="1419"/>
      <c r="I41" s="15"/>
      <c r="K41" s="83"/>
      <c r="N41" s="7"/>
      <c r="P41" s="7"/>
      <c r="Q41" s="84"/>
      <c r="S41" s="15"/>
      <c r="U41" s="1"/>
    </row>
    <row r="42" spans="1:21" ht="24" customHeight="1" x14ac:dyDescent="0.25">
      <c r="A42" s="1305" t="s">
        <v>116</v>
      </c>
      <c r="B42" s="1305"/>
      <c r="C42" s="1305"/>
      <c r="D42" s="1305"/>
      <c r="E42" s="1305"/>
      <c r="F42" s="1305"/>
      <c r="G42" s="1305"/>
      <c r="H42" s="26" t="e">
        <f>SUM(H24,H35,H38)</f>
        <v>#REF!</v>
      </c>
      <c r="K42" s="1"/>
      <c r="P42" s="1"/>
      <c r="Q42" s="1"/>
      <c r="U42" s="1"/>
    </row>
    <row r="43" spans="1:21" ht="30.75" customHeight="1" x14ac:dyDescent="0.25">
      <c r="A43" s="1418" t="s">
        <v>140</v>
      </c>
      <c r="B43" s="1418"/>
      <c r="C43" s="1418"/>
      <c r="D43" s="1418"/>
      <c r="E43" s="1418"/>
      <c r="F43" s="1418"/>
      <c r="G43" s="1418"/>
      <c r="H43" s="1418"/>
      <c r="I43" s="23"/>
      <c r="K43" s="1"/>
      <c r="N43" s="23"/>
      <c r="O43" s="37"/>
      <c r="P43" s="38"/>
      <c r="Q43" s="1"/>
      <c r="R43" s="4"/>
      <c r="U43" s="1"/>
    </row>
    <row r="44" spans="1:21" ht="18.75" customHeight="1" x14ac:dyDescent="0.25">
      <c r="A44" s="1"/>
      <c r="B44" s="129" t="s">
        <v>147</v>
      </c>
      <c r="C44" s="1315" t="s">
        <v>149</v>
      </c>
      <c r="D44" s="1315"/>
      <c r="E44" s="1318" t="s">
        <v>220</v>
      </c>
      <c r="F44" s="1318"/>
      <c r="G44" s="1318"/>
      <c r="H44" s="1318"/>
      <c r="I44" s="4"/>
      <c r="K44" s="1"/>
      <c r="P44" s="1"/>
      <c r="Q44" s="1"/>
      <c r="U44" s="1"/>
    </row>
    <row r="45" spans="1:21" ht="18.75" customHeight="1" x14ac:dyDescent="0.25">
      <c r="A45" s="35" t="s">
        <v>119</v>
      </c>
      <c r="B45" s="81" t="e">
        <f>G8+G9+G14+G17+G20</f>
        <v>#REF!</v>
      </c>
      <c r="C45" s="1392" t="e">
        <f>G5</f>
        <v>#REF!</v>
      </c>
      <c r="D45" s="1392"/>
      <c r="E45" s="43">
        <f>' Detail 2014-15 Conf FEFP'!AB3</f>
        <v>1325.01</v>
      </c>
      <c r="F45" s="8" t="s">
        <v>98</v>
      </c>
      <c r="G45" s="20" t="e">
        <f>ROUND(B45*C45*E45,0)</f>
        <v>#REF!</v>
      </c>
      <c r="H45" s="21"/>
      <c r="K45" s="1"/>
      <c r="P45" s="1"/>
      <c r="Q45" s="1"/>
      <c r="U45" s="1"/>
    </row>
    <row r="46" spans="1:21" ht="18" customHeight="1" x14ac:dyDescent="0.25">
      <c r="A46" s="127" t="s">
        <v>101</v>
      </c>
      <c r="B46" s="81" t="e">
        <f>G10+G11+G15+G18+G21</f>
        <v>#REF!</v>
      </c>
      <c r="C46" s="1392" t="e">
        <f>G5</f>
        <v>#REF!</v>
      </c>
      <c r="D46" s="1392"/>
      <c r="E46" s="43">
        <f>' Detail 2014-15 Conf FEFP'!AC3</f>
        <v>903.8</v>
      </c>
      <c r="F46" s="8" t="s">
        <v>98</v>
      </c>
      <c r="G46" s="20" t="e">
        <f>ROUND(B46*C46*E46,0)</f>
        <v>#REF!</v>
      </c>
      <c r="K46" s="1"/>
      <c r="P46" s="1"/>
      <c r="Q46" s="1"/>
      <c r="U46" s="1"/>
    </row>
    <row r="47" spans="1:21" ht="19.5" customHeight="1" thickBot="1" x14ac:dyDescent="0.3">
      <c r="A47" s="128" t="s">
        <v>102</v>
      </c>
      <c r="B47" s="80" t="e">
        <f>G12+G13+G16+G19+G22+G23</f>
        <v>#REF!</v>
      </c>
      <c r="C47" s="1392" t="e">
        <f>G5</f>
        <v>#REF!</v>
      </c>
      <c r="D47" s="1392"/>
      <c r="E47" s="43">
        <f>' Detail 2014-15 Conf FEFP'!AD3</f>
        <v>905.98</v>
      </c>
      <c r="F47" s="8" t="s">
        <v>98</v>
      </c>
      <c r="G47" s="20" t="e">
        <f>ROUND(B47*C47*E47,0)</f>
        <v>#REF!</v>
      </c>
      <c r="I47" s="15"/>
      <c r="K47" s="1"/>
      <c r="P47" s="1"/>
      <c r="Q47" s="1"/>
      <c r="U47" s="1"/>
    </row>
    <row r="48" spans="1:21" ht="24" customHeight="1" thickBot="1" x14ac:dyDescent="0.3">
      <c r="A48" s="46" t="s">
        <v>148</v>
      </c>
      <c r="B48" s="49" t="e">
        <f>SUM(B45:B47)</f>
        <v>#REF!</v>
      </c>
      <c r="C48" s="1319" t="s">
        <v>107</v>
      </c>
      <c r="D48" s="1320"/>
      <c r="E48" s="1320"/>
      <c r="F48" s="1320"/>
      <c r="G48" s="1320"/>
      <c r="H48" s="11" t="e">
        <f>IF(A1=75,0,G47+G46+G45)</f>
        <v>#REF!</v>
      </c>
      <c r="K48" s="1"/>
      <c r="P48" s="1"/>
      <c r="Q48" s="1"/>
      <c r="U48" s="1"/>
    </row>
    <row r="49" spans="1:21" ht="19.5" customHeight="1" x14ac:dyDescent="0.25">
      <c r="A49" s="1321" t="s">
        <v>109</v>
      </c>
      <c r="B49" s="1321"/>
      <c r="C49" s="1321"/>
      <c r="D49" s="1321"/>
      <c r="E49" s="1321"/>
      <c r="F49" s="1321"/>
      <c r="G49" s="1321"/>
      <c r="H49" s="1321"/>
      <c r="I49" s="44"/>
      <c r="J49" s="44"/>
      <c r="K49" s="12"/>
      <c r="M49" s="13"/>
      <c r="N49" s="29"/>
      <c r="P49" s="1"/>
      <c r="Q49" s="1"/>
      <c r="R49" s="15"/>
      <c r="U49" s="1"/>
    </row>
    <row r="50" spans="1:21" ht="27.75" customHeight="1" x14ac:dyDescent="0.25">
      <c r="A50" s="1297" t="s">
        <v>136</v>
      </c>
      <c r="B50" s="1297"/>
      <c r="C50" s="1297"/>
      <c r="D50" s="1297"/>
      <c r="E50" s="1297"/>
      <c r="F50" s="1297"/>
      <c r="G50" s="1297"/>
      <c r="H50" s="1297"/>
      <c r="J50" s="2"/>
      <c r="K50" s="1"/>
      <c r="O50" s="3"/>
      <c r="Q50" s="1"/>
      <c r="U50" s="1"/>
    </row>
    <row r="51" spans="1:21" x14ac:dyDescent="0.25">
      <c r="A51" s="1398" t="s">
        <v>9</v>
      </c>
      <c r="B51" s="1398"/>
      <c r="C51" s="120" t="e">
        <f>G24</f>
        <v>#REF!</v>
      </c>
      <c r="D51" s="1399" t="s">
        <v>10</v>
      </c>
      <c r="E51" s="1399"/>
      <c r="F51" s="1414" t="e">
        <f>INDEX(' Detail 2014-15 Conf FEFP'!E3:E77,A1)</f>
        <v>#REF!</v>
      </c>
      <c r="G51" s="1414"/>
      <c r="H51" s="1414"/>
      <c r="K51" s="1"/>
      <c r="P51" s="1"/>
      <c r="Q51" s="1"/>
      <c r="U51" s="1"/>
    </row>
    <row r="52" spans="1:21" x14ac:dyDescent="0.25">
      <c r="A52" s="1398" t="s">
        <v>111</v>
      </c>
      <c r="B52" s="1398"/>
      <c r="C52" s="1398"/>
      <c r="D52" s="1398"/>
      <c r="E52" s="1398"/>
      <c r="F52" s="1398"/>
      <c r="G52" s="1415" t="e">
        <f>ROUND(C51/F51,6)</f>
        <v>#REF!</v>
      </c>
      <c r="H52" s="1415"/>
      <c r="K52" s="1"/>
      <c r="P52" s="1"/>
      <c r="Q52" s="1"/>
      <c r="U52" s="1"/>
    </row>
    <row r="53" spans="1:21" ht="24" customHeight="1" x14ac:dyDescent="0.25">
      <c r="A53" s="1297" t="s">
        <v>135</v>
      </c>
      <c r="B53" s="1297"/>
      <c r="C53" s="1297"/>
      <c r="D53" s="1297"/>
      <c r="E53" s="1297"/>
      <c r="F53" s="1297"/>
      <c r="G53" s="1297"/>
      <c r="H53" s="1297"/>
      <c r="J53" s="2"/>
      <c r="K53" s="1"/>
      <c r="O53" s="3"/>
      <c r="Q53" s="1"/>
      <c r="U53" s="1"/>
    </row>
    <row r="54" spans="1:21" x14ac:dyDescent="0.25">
      <c r="A54" s="1398" t="s">
        <v>11</v>
      </c>
      <c r="B54" s="1398"/>
      <c r="C54" s="119" t="e">
        <f>C24</f>
        <v>#REF!</v>
      </c>
      <c r="D54" s="1399" t="s">
        <v>12</v>
      </c>
      <c r="E54" s="1399"/>
      <c r="F54" s="1414" t="e">
        <f>INDEX(' Detail 2014-15 Conf FEFP'!D3:D77,A1)</f>
        <v>#REF!</v>
      </c>
      <c r="G54" s="1414"/>
      <c r="H54" s="1414"/>
      <c r="K54" s="1"/>
      <c r="P54" s="1"/>
      <c r="Q54" s="1"/>
      <c r="U54" s="1"/>
    </row>
    <row r="55" spans="1:21" x14ac:dyDescent="0.25">
      <c r="A55" s="1398" t="s">
        <v>110</v>
      </c>
      <c r="B55" s="1398"/>
      <c r="C55" s="1398"/>
      <c r="D55" s="1398"/>
      <c r="E55" s="1398"/>
      <c r="F55" s="1398"/>
      <c r="G55" s="1415" t="e">
        <f>ROUND(C54/F54,6)</f>
        <v>#REF!</v>
      </c>
      <c r="H55" s="1415"/>
      <c r="K55" s="1"/>
      <c r="P55" s="1"/>
      <c r="Q55" s="1"/>
      <c r="U55" s="1"/>
    </row>
    <row r="56" spans="1:21" x14ac:dyDescent="0.25">
      <c r="A56" s="1297" t="s">
        <v>141</v>
      </c>
      <c r="B56" s="1297"/>
      <c r="C56" s="1297"/>
      <c r="D56" s="1412" t="e">
        <f>C63+C62+C60+C59+C58</f>
        <v>#REF!</v>
      </c>
      <c r="E56" s="1412"/>
      <c r="F56" s="6" t="s">
        <v>13</v>
      </c>
      <c r="G56" s="14" t="e">
        <f>G52</f>
        <v>#REF!</v>
      </c>
      <c r="H56" s="11" t="e">
        <f>ROUND(D56*G56,0)</f>
        <v>#REF!</v>
      </c>
      <c r="K56" s="1"/>
      <c r="P56" s="1"/>
      <c r="Q56" s="1"/>
      <c r="U56" s="1"/>
    </row>
    <row r="57" spans="1:21" x14ac:dyDescent="0.25">
      <c r="A57" s="1298" t="s">
        <v>92</v>
      </c>
      <c r="B57" s="1298"/>
      <c r="C57" s="1298"/>
      <c r="D57" s="1298"/>
      <c r="E57" s="1298"/>
      <c r="F57" s="1298"/>
      <c r="G57" s="1298"/>
      <c r="H57" s="1298"/>
      <c r="J57" s="3"/>
      <c r="K57" s="3"/>
      <c r="O57" s="4"/>
      <c r="P57" s="1"/>
      <c r="Q57" s="1"/>
      <c r="U57" s="1"/>
    </row>
    <row r="58" spans="1:21" ht="15" customHeight="1" x14ac:dyDescent="0.25">
      <c r="A58" s="1398" t="s">
        <v>93</v>
      </c>
      <c r="B58" s="1398"/>
      <c r="C58" s="1416" t="e">
        <f>INDEX(' Detail 2014-15 Conf FEFP'!F3:F77,A1)</f>
        <v>#REF!</v>
      </c>
      <c r="D58" s="1416"/>
      <c r="E58" s="1416"/>
      <c r="F58" s="1416"/>
      <c r="G58" s="1416"/>
      <c r="H58" s="1416"/>
      <c r="K58" s="1"/>
      <c r="L58" s="6"/>
      <c r="M58" s="6"/>
      <c r="N58" s="25"/>
      <c r="P58" s="1"/>
      <c r="Q58" s="1"/>
      <c r="U58" s="1"/>
    </row>
    <row r="59" spans="1:21" ht="13.5" customHeight="1" x14ac:dyDescent="0.25">
      <c r="A59" s="1398" t="s">
        <v>94</v>
      </c>
      <c r="B59" s="1398"/>
      <c r="C59" s="1416" t="e">
        <f>INDEX(' Detail 2014-15 Conf FEFP'!G3:G77,A1)</f>
        <v>#REF!</v>
      </c>
      <c r="D59" s="1416"/>
      <c r="E59" s="1416"/>
      <c r="F59" s="1416"/>
      <c r="G59" s="1416"/>
      <c r="H59" s="1416"/>
      <c r="K59" s="1"/>
      <c r="L59" s="6"/>
      <c r="M59" s="6"/>
      <c r="N59" s="25"/>
      <c r="P59" s="1"/>
      <c r="Q59" s="1"/>
      <c r="U59" s="1"/>
    </row>
    <row r="60" spans="1:21" ht="13.5" hidden="1" customHeight="1" x14ac:dyDescent="0.25">
      <c r="A60" s="1398" t="s">
        <v>117</v>
      </c>
      <c r="B60" s="1398"/>
      <c r="C60" s="1416" t="e">
        <f>INDEX(' Detail 2014-15 Conf FEFP'!L3:L77,A1)</f>
        <v>#REF!</v>
      </c>
      <c r="D60" s="1416"/>
      <c r="E60" s="1416"/>
      <c r="F60" s="1416"/>
      <c r="G60" s="1416"/>
      <c r="H60" s="1416"/>
      <c r="K60" s="1"/>
      <c r="L60" s="6"/>
      <c r="M60" s="6"/>
      <c r="N60" s="25"/>
      <c r="P60" s="1"/>
      <c r="Q60" s="1"/>
      <c r="U60" s="1"/>
    </row>
    <row r="61" spans="1:21" ht="13.5" customHeight="1" x14ac:dyDescent="0.25">
      <c r="A61" s="1298" t="s">
        <v>95</v>
      </c>
      <c r="B61" s="1298"/>
      <c r="C61" s="1298"/>
      <c r="D61" s="1298"/>
      <c r="E61" s="1298"/>
      <c r="F61" s="1298"/>
      <c r="G61" s="1298"/>
      <c r="H61" s="1298"/>
      <c r="I61" s="23"/>
      <c r="J61" s="6"/>
      <c r="K61" s="6"/>
      <c r="L61" s="6"/>
      <c r="M61" s="6"/>
      <c r="N61" s="6"/>
      <c r="O61" s="25"/>
      <c r="P61" s="1"/>
      <c r="Q61" s="1"/>
      <c r="U61" s="1"/>
    </row>
    <row r="62" spans="1:21" ht="12.75" customHeight="1" x14ac:dyDescent="0.25">
      <c r="A62" s="1398" t="s">
        <v>96</v>
      </c>
      <c r="B62" s="1398"/>
      <c r="C62" s="1416" t="e">
        <f>INDEX(' Detail 2014-15 Conf FEFP'!J3:J77,A1)</f>
        <v>#REF!</v>
      </c>
      <c r="D62" s="1416"/>
      <c r="E62" s="1416"/>
      <c r="F62" s="1416"/>
      <c r="G62" s="1416"/>
      <c r="H62" s="1416"/>
      <c r="K62" s="1"/>
      <c r="L62" s="6"/>
      <c r="M62" s="6"/>
      <c r="N62" s="25"/>
      <c r="P62" s="1"/>
      <c r="Q62" s="1"/>
      <c r="U62" s="1"/>
    </row>
    <row r="63" spans="1:21" ht="15" customHeight="1" x14ac:dyDescent="0.25">
      <c r="A63" s="1398" t="s">
        <v>118</v>
      </c>
      <c r="B63" s="1398"/>
      <c r="C63" s="1416" t="e">
        <f>INDEX(' Detail 2014-15 Conf FEFP'!H3:H77,A1)</f>
        <v>#REF!</v>
      </c>
      <c r="D63" s="1416"/>
      <c r="E63" s="1416"/>
      <c r="F63" s="1416"/>
      <c r="G63" s="1416"/>
      <c r="H63" s="1416"/>
      <c r="I63" s="3"/>
      <c r="J63" s="3"/>
      <c r="K63" s="1"/>
      <c r="N63" s="4"/>
      <c r="P63" s="1"/>
      <c r="Q63" s="1"/>
      <c r="U63" s="1"/>
    </row>
    <row r="64" spans="1:21" ht="20.25" customHeight="1" x14ac:dyDescent="0.25">
      <c r="A64" s="1297" t="s">
        <v>142</v>
      </c>
      <c r="B64" s="1297"/>
      <c r="C64" s="1297"/>
      <c r="D64" s="1412" t="e">
        <f>INDEX(' Detail 2014-15 Conf FEFP'!O3:O77,A1)</f>
        <v>#REF!</v>
      </c>
      <c r="E64" s="1412"/>
      <c r="F64" s="6" t="s">
        <v>13</v>
      </c>
      <c r="G64" s="14" t="e">
        <f>G52</f>
        <v>#REF!</v>
      </c>
      <c r="H64" s="11" t="e">
        <f>ROUND(D64*G64,0)</f>
        <v>#REF!</v>
      </c>
      <c r="K64" s="1"/>
      <c r="P64" s="1"/>
      <c r="Q64" s="1"/>
      <c r="U64" s="1"/>
    </row>
    <row r="65" spans="1:24" ht="20.25" customHeight="1" x14ac:dyDescent="0.25">
      <c r="A65" s="1297" t="s">
        <v>143</v>
      </c>
      <c r="B65" s="1297"/>
      <c r="C65" s="1297"/>
      <c r="D65" s="1297"/>
      <c r="E65" s="1297"/>
      <c r="F65" s="1297"/>
      <c r="G65" s="1297"/>
      <c r="H65" s="1297"/>
      <c r="J65" s="2"/>
      <c r="K65" s="27"/>
      <c r="L65" s="27"/>
      <c r="M65" s="27"/>
      <c r="N65" s="27"/>
      <c r="P65" s="1"/>
      <c r="Q65" s="1"/>
      <c r="T65" s="25"/>
      <c r="U65" s="1"/>
    </row>
    <row r="66" spans="1:24" ht="15" customHeight="1" x14ac:dyDescent="0.25">
      <c r="A66" s="1298" t="s">
        <v>131</v>
      </c>
      <c r="B66" s="1298"/>
      <c r="C66" s="1298"/>
      <c r="D66" s="1412" t="e">
        <f>INDEX(' Detail 2014-15 Conf FEFP'!I3:I77,A1)</f>
        <v>#REF!</v>
      </c>
      <c r="E66" s="1412"/>
      <c r="F66" s="6" t="s">
        <v>13</v>
      </c>
      <c r="G66" s="14" t="e">
        <f>G55</f>
        <v>#REF!</v>
      </c>
      <c r="H66" s="11" t="e">
        <f>ROUND(D66*G66,0)</f>
        <v>#REF!</v>
      </c>
      <c r="K66" s="1"/>
      <c r="P66" s="1"/>
      <c r="Q66" s="1"/>
      <c r="U66" s="1"/>
    </row>
    <row r="67" spans="1:24" ht="20.25" customHeight="1" x14ac:dyDescent="0.25">
      <c r="A67" s="1297" t="s">
        <v>216</v>
      </c>
      <c r="B67" s="1297"/>
      <c r="C67" s="1297"/>
      <c r="D67" s="1413" t="e">
        <f>INDEX(' Detail 2014-15 Conf FEFP'!R3:R77,A1)</f>
        <v>#REF!</v>
      </c>
      <c r="E67" s="1413"/>
      <c r="F67" s="6" t="s">
        <v>13</v>
      </c>
      <c r="G67" s="14" t="e">
        <f>G52</f>
        <v>#REF!</v>
      </c>
      <c r="H67" s="11" t="e">
        <f>ROUND(D67*G67,0)</f>
        <v>#REF!</v>
      </c>
      <c r="K67" s="1"/>
      <c r="P67" s="1"/>
      <c r="Q67" s="1"/>
      <c r="U67" s="1"/>
    </row>
    <row r="68" spans="1:24" ht="20.25" customHeight="1" x14ac:dyDescent="0.25">
      <c r="A68" s="1297" t="s">
        <v>217</v>
      </c>
      <c r="B68" s="1297"/>
      <c r="C68" s="1297"/>
      <c r="D68" s="1408" t="e">
        <f>INDEX(' Detail 2014-15 Conf FEFP'!S3:S77,A1)</f>
        <v>#REF!</v>
      </c>
      <c r="E68" s="1408"/>
      <c r="F68" s="6" t="s">
        <v>13</v>
      </c>
      <c r="G68" s="14" t="e">
        <f>G52</f>
        <v>#REF!</v>
      </c>
      <c r="H68" s="11" t="e">
        <f>ROUND(D68*G68,0)</f>
        <v>#REF!</v>
      </c>
      <c r="K68" s="1"/>
      <c r="P68" s="1"/>
      <c r="Q68" s="1"/>
      <c r="U68" s="1"/>
    </row>
    <row r="69" spans="1:24" ht="21" customHeight="1" x14ac:dyDescent="0.25">
      <c r="A69" s="1297" t="s">
        <v>218</v>
      </c>
      <c r="B69" s="1297"/>
      <c r="C69" s="1297"/>
      <c r="D69" s="1408" t="e">
        <f>INDEX(' Detail 2014-15 Conf FEFP'!W3:W77,A1)</f>
        <v>#REF!</v>
      </c>
      <c r="E69" s="1408"/>
      <c r="F69" s="6" t="s">
        <v>13</v>
      </c>
      <c r="G69" s="14" t="e">
        <f>G55</f>
        <v>#REF!</v>
      </c>
      <c r="H69" s="11" t="e">
        <f>ROUND(D69*G69,0)</f>
        <v>#REF!</v>
      </c>
      <c r="K69" s="1"/>
      <c r="P69" s="1"/>
      <c r="Q69" s="1"/>
      <c r="U69" s="1"/>
    </row>
    <row r="70" spans="1:24" ht="17.25" customHeight="1" x14ac:dyDescent="0.25">
      <c r="A70" s="1310" t="s">
        <v>132</v>
      </c>
      <c r="B70" s="1310"/>
      <c r="C70" s="1310"/>
      <c r="D70" s="1310"/>
      <c r="E70" s="1310"/>
      <c r="F70" s="1310"/>
      <c r="G70" s="1310"/>
      <c r="H70" s="42"/>
      <c r="K70" s="1"/>
      <c r="P70" s="1"/>
      <c r="Q70" s="1"/>
      <c r="U70" s="1"/>
    </row>
    <row r="71" spans="1:24" ht="19.5" customHeight="1" x14ac:dyDescent="0.25">
      <c r="A71" s="1297" t="s">
        <v>219</v>
      </c>
      <c r="B71" s="1297"/>
      <c r="C71" s="1297"/>
      <c r="D71" s="1297"/>
      <c r="E71" s="1297"/>
      <c r="F71" s="1297"/>
      <c r="G71" s="1297"/>
      <c r="H71" s="1297"/>
      <c r="K71" s="1"/>
      <c r="P71" s="1"/>
      <c r="Q71" s="1"/>
      <c r="U71" s="1"/>
    </row>
    <row r="72" spans="1:24" ht="19.5" customHeight="1" x14ac:dyDescent="0.25">
      <c r="A72" s="1411" t="s">
        <v>214</v>
      </c>
      <c r="B72" s="1411"/>
      <c r="C72" s="199" t="s">
        <v>213</v>
      </c>
      <c r="D72" s="146"/>
      <c r="E72" s="196" t="e">
        <f>IF(#REF!=1,#REF!,0)</f>
        <v>#REF!</v>
      </c>
      <c r="F72" s="147" t="s">
        <v>215</v>
      </c>
      <c r="G72" s="201" t="e">
        <f>INDEX('Transportation Per Student'!F10:F76,A1)</f>
        <v>#REF!</v>
      </c>
      <c r="H72" s="11" t="e">
        <f>ROUND(G72*E72,0)</f>
        <v>#REF!</v>
      </c>
      <c r="K72" s="1"/>
      <c r="P72" s="1"/>
      <c r="Q72" s="1"/>
      <c r="U72" s="1"/>
    </row>
    <row r="73" spans="1:24" ht="19.5" customHeight="1" x14ac:dyDescent="0.25">
      <c r="A73" s="1411" t="s">
        <v>214</v>
      </c>
      <c r="B73" s="1411"/>
      <c r="C73" s="199" t="s">
        <v>191</v>
      </c>
      <c r="D73" s="146"/>
      <c r="E73" s="197"/>
      <c r="F73" s="147" t="s">
        <v>215</v>
      </c>
      <c r="G73" s="200" t="e">
        <f>INDEX('Transportation Per Student'!J10:J76,A1)</f>
        <v>#REF!</v>
      </c>
      <c r="H73" s="11" t="e">
        <f>ROUND(G73*E73,0)</f>
        <v>#REF!</v>
      </c>
      <c r="K73" s="1"/>
      <c r="P73" s="1"/>
      <c r="Q73" s="1"/>
      <c r="U73" s="1"/>
    </row>
    <row r="74" spans="1:24" ht="24" customHeight="1" x14ac:dyDescent="0.25">
      <c r="A74" s="1297" t="s">
        <v>235</v>
      </c>
      <c r="B74" s="1297"/>
      <c r="C74" s="1297"/>
      <c r="D74" s="1412" t="e">
        <f>INDEX(' Detail 2014-15 Conf FEFP'!X3:X77,A1)</f>
        <v>#REF!</v>
      </c>
      <c r="E74" s="1412"/>
      <c r="F74" s="147" t="s">
        <v>215</v>
      </c>
      <c r="G74" s="14" t="e">
        <f>G55</f>
        <v>#REF!</v>
      </c>
      <c r="H74" s="11" t="e">
        <f>ROUND(D74*G74,0)</f>
        <v>#REF!</v>
      </c>
      <c r="K74" s="1"/>
      <c r="P74" s="1"/>
      <c r="Q74" s="1"/>
      <c r="U74" s="1"/>
    </row>
    <row r="75" spans="1:24" ht="21" customHeight="1" x14ac:dyDescent="0.25">
      <c r="A75" s="1297" t="s">
        <v>237</v>
      </c>
      <c r="B75" s="1297"/>
      <c r="C75" s="1297"/>
      <c r="D75" s="1297"/>
      <c r="E75" s="1297"/>
      <c r="F75" s="1297"/>
      <c r="G75" s="1297"/>
      <c r="H75" s="20"/>
      <c r="K75" s="1"/>
      <c r="P75" s="1"/>
      <c r="Q75" s="1"/>
      <c r="U75" s="1"/>
    </row>
    <row r="76" spans="1:24" ht="21" customHeight="1" x14ac:dyDescent="0.25">
      <c r="A76" s="1297" t="s">
        <v>238</v>
      </c>
      <c r="B76" s="1297"/>
      <c r="C76" s="1297"/>
      <c r="D76" s="1297"/>
      <c r="E76" s="1297"/>
      <c r="F76" s="1297"/>
      <c r="G76" s="1297"/>
      <c r="H76" s="131"/>
      <c r="K76" s="1"/>
      <c r="P76" s="1"/>
      <c r="Q76" s="1"/>
      <c r="U76" s="1"/>
    </row>
    <row r="77" spans="1:24" ht="29.25" customHeight="1" thickBot="1" x14ac:dyDescent="0.3">
      <c r="A77" s="1305" t="s">
        <v>229</v>
      </c>
      <c r="B77" s="1305"/>
      <c r="C77" s="1305"/>
      <c r="D77" s="1305"/>
      <c r="E77" s="1305"/>
      <c r="F77" s="1305"/>
      <c r="G77" s="1305"/>
      <c r="H77" s="82" t="e">
        <f>SUM(H42:H76)</f>
        <v>#REF!</v>
      </c>
      <c r="I77" s="40"/>
      <c r="J77" s="202"/>
      <c r="K77" s="1"/>
      <c r="M77" s="7"/>
      <c r="N77" s="7"/>
      <c r="P77" s="198"/>
      <c r="Q77" s="5"/>
      <c r="S77" s="6"/>
      <c r="T77" s="15"/>
      <c r="U77" s="1"/>
    </row>
    <row r="78" spans="1:24" ht="29.25" customHeight="1" thickTop="1" x14ac:dyDescent="0.25">
      <c r="A78" s="1297"/>
      <c r="B78" s="1297"/>
      <c r="C78" s="1297"/>
      <c r="D78" s="1297"/>
      <c r="E78" s="1297"/>
      <c r="F78" s="1297"/>
      <c r="G78" s="1297"/>
      <c r="H78" s="40"/>
      <c r="I78" s="40"/>
      <c r="J78" s="202"/>
      <c r="K78" s="1"/>
      <c r="M78" s="7"/>
      <c r="N78" s="7"/>
      <c r="P78" s="198"/>
      <c r="Q78" s="5"/>
      <c r="S78" s="6"/>
      <c r="T78" s="15"/>
      <c r="U78" s="1"/>
    </row>
    <row r="79" spans="1:24" ht="36" customHeight="1" x14ac:dyDescent="0.25">
      <c r="A79" s="1308" t="s">
        <v>14</v>
      </c>
      <c r="B79" s="1308"/>
      <c r="C79" s="1308"/>
      <c r="D79" s="1308"/>
      <c r="E79" s="1308"/>
      <c r="F79" s="1308"/>
      <c r="G79" s="1308"/>
      <c r="H79" s="1308"/>
      <c r="I79" s="74"/>
      <c r="J79" s="74"/>
      <c r="K79" s="75"/>
      <c r="L79" s="74"/>
      <c r="M79" s="74"/>
      <c r="N79" s="74"/>
      <c r="O79" s="74"/>
      <c r="P79" s="76"/>
      <c r="Q79" s="74"/>
      <c r="R79" s="74"/>
      <c r="S79" s="74"/>
      <c r="T79" s="74"/>
      <c r="U79" s="74"/>
      <c r="X79" s="40"/>
    </row>
    <row r="80" spans="1:24" ht="15.75" customHeight="1" x14ac:dyDescent="0.25">
      <c r="A80" s="1308" t="s">
        <v>226</v>
      </c>
      <c r="B80" s="1308"/>
      <c r="C80" s="1308"/>
      <c r="D80" s="1308"/>
      <c r="E80" s="1308"/>
      <c r="F80" s="1308"/>
      <c r="G80" s="1308"/>
      <c r="H80" s="1308"/>
      <c r="K80" s="1"/>
      <c r="P80" s="1"/>
      <c r="Q80" s="1"/>
      <c r="U80" s="1"/>
    </row>
    <row r="81" spans="1:21" ht="15.75" customHeight="1" x14ac:dyDescent="0.25">
      <c r="A81" s="1308" t="s">
        <v>227</v>
      </c>
      <c r="B81" s="1308"/>
      <c r="C81" s="1308"/>
      <c r="D81" s="1308"/>
      <c r="E81" s="1308"/>
      <c r="F81" s="1308"/>
      <c r="G81" s="1308"/>
      <c r="H81" s="1308"/>
      <c r="I81" s="74"/>
      <c r="J81" s="74"/>
      <c r="K81" s="75"/>
      <c r="L81" s="74"/>
      <c r="M81" s="74"/>
      <c r="N81" s="74"/>
      <c r="O81" s="74"/>
      <c r="P81" s="76"/>
      <c r="Q81" s="76"/>
      <c r="R81" s="74"/>
      <c r="S81" s="74"/>
      <c r="T81" s="74"/>
      <c r="U81" s="77"/>
    </row>
    <row r="82" spans="1:21" x14ac:dyDescent="0.25">
      <c r="A82" s="1308"/>
      <c r="B82" s="1308"/>
      <c r="C82" s="1308"/>
      <c r="D82" s="1308"/>
      <c r="E82" s="1308"/>
      <c r="F82" s="1308"/>
      <c r="G82" s="1308"/>
      <c r="H82" s="1308"/>
      <c r="I82" s="74"/>
      <c r="J82" s="74"/>
      <c r="K82" s="75"/>
      <c r="L82" s="74"/>
      <c r="M82" s="74"/>
      <c r="N82" s="74"/>
      <c r="O82" s="74"/>
      <c r="P82" s="76"/>
      <c r="Q82" s="76"/>
      <c r="R82" s="74"/>
      <c r="S82" s="74"/>
      <c r="T82" s="74"/>
      <c r="U82" s="74"/>
    </row>
    <row r="83" spans="1:21" ht="30.75" customHeight="1" x14ac:dyDescent="0.25">
      <c r="A83" s="1295"/>
      <c r="B83" s="1295"/>
      <c r="C83" s="1295"/>
      <c r="D83" s="1295"/>
      <c r="E83" s="1295"/>
      <c r="F83" s="1295"/>
      <c r="G83" s="1295"/>
      <c r="H83" s="1295"/>
      <c r="I83" s="74"/>
      <c r="J83" s="75"/>
      <c r="K83" s="78"/>
      <c r="L83" s="78"/>
      <c r="M83" s="78"/>
      <c r="N83" s="78"/>
      <c r="O83" s="74"/>
      <c r="P83" s="76"/>
      <c r="Q83" s="76"/>
      <c r="R83" s="74"/>
      <c r="S83" s="74"/>
      <c r="T83" s="74"/>
      <c r="U83" s="77"/>
    </row>
    <row r="84" spans="1:21" ht="18" customHeight="1" x14ac:dyDescent="0.25">
      <c r="A84" s="1308"/>
      <c r="B84" s="1308"/>
      <c r="C84" s="1308"/>
      <c r="D84" s="1308"/>
      <c r="E84" s="1308"/>
      <c r="F84" s="1308"/>
      <c r="G84" s="1308"/>
      <c r="H84" s="1308"/>
      <c r="I84" s="79"/>
      <c r="J84" s="74"/>
      <c r="K84" s="75"/>
      <c r="L84" s="74"/>
      <c r="M84" s="74"/>
      <c r="N84" s="74"/>
      <c r="O84" s="74"/>
      <c r="P84" s="76"/>
      <c r="Q84" s="76"/>
      <c r="R84" s="74"/>
      <c r="S84" s="74"/>
      <c r="T84" s="74"/>
      <c r="U84" s="74"/>
    </row>
    <row r="85" spans="1:21" x14ac:dyDescent="0.25">
      <c r="A85" s="1308"/>
      <c r="B85" s="1308"/>
      <c r="C85" s="1308"/>
      <c r="D85" s="1308"/>
      <c r="E85" s="1308"/>
      <c r="F85" s="1308"/>
      <c r="G85" s="1308"/>
      <c r="H85" s="1308"/>
      <c r="I85" s="74"/>
      <c r="J85" s="74"/>
      <c r="K85" s="75"/>
      <c r="L85" s="74"/>
      <c r="M85" s="74"/>
      <c r="N85" s="74"/>
      <c r="O85" s="74"/>
      <c r="P85" s="76"/>
      <c r="Q85" s="76"/>
      <c r="R85" s="74"/>
      <c r="S85" s="74"/>
      <c r="T85" s="74"/>
      <c r="U85" s="74"/>
    </row>
    <row r="86" spans="1:21" x14ac:dyDescent="0.25">
      <c r="A86" s="1407"/>
      <c r="B86" s="1407"/>
      <c r="C86" s="1407"/>
      <c r="D86" s="1407"/>
      <c r="E86" s="1407"/>
      <c r="F86" s="1407"/>
      <c r="G86" s="1407"/>
      <c r="H86" s="1407"/>
      <c r="I86" s="74"/>
      <c r="J86" s="74"/>
      <c r="K86" s="75"/>
      <c r="L86" s="74"/>
      <c r="M86" s="74"/>
      <c r="N86" s="74"/>
      <c r="O86" s="74"/>
      <c r="P86" s="76"/>
      <c r="Q86" s="76"/>
      <c r="R86" s="74"/>
      <c r="S86" s="74"/>
      <c r="T86" s="74"/>
      <c r="U86" s="74"/>
    </row>
    <row r="87" spans="1:21" ht="15.75" customHeight="1" x14ac:dyDescent="0.25">
      <c r="A87" s="1407"/>
      <c r="B87" s="1407"/>
      <c r="C87" s="1407"/>
      <c r="D87" s="1407"/>
      <c r="E87" s="1407"/>
      <c r="F87" s="1407"/>
      <c r="G87" s="1407"/>
      <c r="H87" s="1407"/>
      <c r="I87" s="74"/>
      <c r="J87" s="74"/>
      <c r="K87" s="75"/>
      <c r="L87" s="74"/>
      <c r="M87" s="74"/>
      <c r="N87" s="74"/>
      <c r="O87" s="74"/>
      <c r="P87" s="76"/>
      <c r="Q87" s="76"/>
      <c r="R87" s="74"/>
      <c r="S87" s="74"/>
      <c r="T87" s="74"/>
      <c r="U87" s="74"/>
    </row>
    <row r="88" spans="1:21" x14ac:dyDescent="0.25">
      <c r="A88" s="1407"/>
      <c r="B88" s="1407"/>
      <c r="C88" s="1407"/>
      <c r="D88" s="1407"/>
      <c r="E88" s="1407"/>
      <c r="F88" s="1407"/>
      <c r="G88" s="1407"/>
      <c r="H88" s="1407"/>
      <c r="I88" s="74"/>
      <c r="J88" s="74"/>
      <c r="K88" s="75"/>
      <c r="L88" s="74"/>
      <c r="M88" s="74"/>
      <c r="N88" s="74"/>
      <c r="O88" s="74"/>
      <c r="P88" s="76"/>
      <c r="Q88" s="76"/>
      <c r="R88" s="74"/>
      <c r="S88" s="74"/>
      <c r="T88" s="74"/>
      <c r="U88" s="74"/>
    </row>
    <row r="89" spans="1:21" ht="29.25" customHeight="1" x14ac:dyDescent="0.25">
      <c r="A89" s="1407"/>
      <c r="B89" s="1407"/>
      <c r="C89" s="1407"/>
      <c r="D89" s="1407"/>
      <c r="E89" s="1407"/>
      <c r="F89" s="1407"/>
      <c r="G89" s="1407"/>
      <c r="H89" s="1407"/>
      <c r="I89" s="74"/>
      <c r="J89" s="74"/>
      <c r="K89" s="75"/>
      <c r="L89" s="74"/>
      <c r="M89" s="74"/>
      <c r="N89" s="74"/>
      <c r="O89" s="74"/>
      <c r="P89" s="76"/>
      <c r="Q89" s="76"/>
      <c r="R89" s="74"/>
      <c r="S89" s="74"/>
      <c r="T89" s="74"/>
      <c r="U89" s="74"/>
    </row>
    <row r="90" spans="1:21" ht="60" customHeight="1" x14ac:dyDescent="0.25">
      <c r="A90" s="1409"/>
      <c r="B90" s="1409"/>
      <c r="C90" s="1409"/>
      <c r="D90" s="1409"/>
      <c r="E90" s="1409"/>
      <c r="F90" s="1409"/>
      <c r="G90" s="1409"/>
      <c r="H90" s="1409"/>
      <c r="I90" s="74"/>
      <c r="J90" s="74"/>
      <c r="K90" s="75"/>
      <c r="L90" s="74"/>
      <c r="M90" s="74"/>
      <c r="N90" s="74"/>
      <c r="O90" s="74"/>
      <c r="P90" s="76"/>
      <c r="Q90" s="76"/>
      <c r="R90" s="74"/>
      <c r="S90" s="74"/>
      <c r="T90" s="74"/>
      <c r="U90" s="74"/>
    </row>
    <row r="91" spans="1:21" ht="60" customHeight="1" x14ac:dyDescent="0.25">
      <c r="A91" s="1409"/>
      <c r="B91" s="1409"/>
      <c r="C91" s="1409"/>
      <c r="D91" s="1409"/>
      <c r="E91" s="1409"/>
      <c r="F91" s="1409"/>
      <c r="G91" s="1409"/>
      <c r="H91" s="1409"/>
      <c r="I91" s="74"/>
      <c r="J91" s="74"/>
      <c r="K91" s="75"/>
      <c r="L91" s="74"/>
      <c r="M91" s="74"/>
      <c r="N91" s="74"/>
      <c r="O91" s="74"/>
      <c r="P91" s="76"/>
      <c r="Q91" s="76"/>
      <c r="R91" s="74"/>
      <c r="S91" s="74"/>
      <c r="T91" s="74"/>
      <c r="U91" s="74"/>
    </row>
    <row r="92" spans="1:21" ht="35.25" customHeight="1" x14ac:dyDescent="0.25">
      <c r="A92" s="1409"/>
      <c r="B92" s="1409"/>
      <c r="C92" s="1409"/>
      <c r="D92" s="1409"/>
      <c r="E92" s="1409"/>
      <c r="F92" s="1409"/>
      <c r="G92" s="1409"/>
      <c r="H92" s="1409"/>
      <c r="I92" s="74"/>
      <c r="J92" s="74"/>
      <c r="K92" s="75"/>
      <c r="L92" s="74"/>
      <c r="M92" s="74"/>
      <c r="N92" s="74"/>
      <c r="O92" s="74"/>
      <c r="P92" s="76"/>
      <c r="Q92" s="76"/>
      <c r="R92" s="74"/>
      <c r="S92" s="74"/>
      <c r="T92" s="74"/>
      <c r="U92" s="74"/>
    </row>
    <row r="93" spans="1:21" ht="19.5" customHeight="1" x14ac:dyDescent="0.25">
      <c r="A93" s="1410"/>
      <c r="B93" s="1410"/>
      <c r="C93" s="1410"/>
      <c r="D93" s="1410"/>
      <c r="E93" s="1410"/>
      <c r="F93" s="1410"/>
      <c r="G93" s="1410"/>
      <c r="H93" s="1410"/>
      <c r="I93" s="74"/>
      <c r="J93" s="74"/>
      <c r="K93" s="74"/>
      <c r="L93" s="74"/>
      <c r="M93" s="74"/>
      <c r="N93" s="74"/>
      <c r="O93" s="74"/>
      <c r="P93" s="76"/>
      <c r="Q93" s="76"/>
      <c r="R93" s="74"/>
      <c r="S93" s="74"/>
      <c r="T93" s="74"/>
      <c r="U93" s="74"/>
    </row>
    <row r="94" spans="1:21" ht="15.75" customHeight="1" x14ac:dyDescent="0.25">
      <c r="A94" s="1299"/>
      <c r="B94" s="1299"/>
      <c r="C94" s="1299"/>
      <c r="D94" s="1299"/>
      <c r="E94" s="1299"/>
      <c r="F94" s="1299"/>
      <c r="G94" s="1299"/>
      <c r="H94" s="1299"/>
      <c r="J94" s="2"/>
      <c r="K94" s="1"/>
      <c r="O94" s="3"/>
      <c r="Q94" s="1"/>
      <c r="U94" s="1"/>
    </row>
    <row r="95" spans="1:21" ht="15.75" customHeight="1" x14ac:dyDescent="0.25">
      <c r="A95" s="24"/>
      <c r="U95" s="1"/>
    </row>
    <row r="96" spans="1:21" ht="15.75" customHeight="1" x14ac:dyDescent="0.25">
      <c r="A96" s="24"/>
      <c r="U96" s="1"/>
    </row>
    <row r="97" spans="1:21" ht="15.75" customHeight="1" x14ac:dyDescent="0.25">
      <c r="A97" s="24"/>
      <c r="U97" s="1"/>
    </row>
    <row r="98" spans="1:21" ht="15.75" customHeight="1" x14ac:dyDescent="0.25">
      <c r="A98" s="24"/>
      <c r="B98" s="30"/>
      <c r="C98" s="30"/>
      <c r="D98" s="30"/>
      <c r="E98" s="30"/>
      <c r="F98" s="30"/>
      <c r="G98" s="30"/>
      <c r="H98" s="30"/>
      <c r="I98" s="30"/>
      <c r="J98" s="30"/>
      <c r="K98" s="30"/>
      <c r="L98" s="30"/>
      <c r="M98" s="30"/>
      <c r="N98" s="30"/>
      <c r="O98" s="30"/>
      <c r="P98" s="36"/>
      <c r="Q98" s="36"/>
      <c r="R98" s="30"/>
      <c r="S98" s="30"/>
      <c r="T98" s="30"/>
      <c r="U98" s="30"/>
    </row>
    <row r="99" spans="1:21" ht="15.75" customHeight="1" x14ac:dyDescent="0.25">
      <c r="A99" s="24"/>
      <c r="U99" s="1"/>
    </row>
    <row r="100" spans="1:21" ht="15.75" customHeight="1" x14ac:dyDescent="0.25">
      <c r="A100" s="24"/>
      <c r="B100" s="16"/>
      <c r="C100" s="16"/>
      <c r="D100" s="16"/>
      <c r="E100" s="16"/>
      <c r="F100" s="16"/>
      <c r="G100" s="16"/>
      <c r="H100" s="16"/>
      <c r="I100" s="16"/>
      <c r="J100" s="16"/>
      <c r="K100" s="17"/>
      <c r="L100" s="16"/>
      <c r="M100" s="16"/>
      <c r="N100" s="16"/>
      <c r="O100" s="16"/>
      <c r="P100" s="18"/>
      <c r="Q100" s="18"/>
      <c r="R100" s="16"/>
      <c r="S100" s="16"/>
      <c r="T100" s="16"/>
      <c r="U100" s="19"/>
    </row>
    <row r="101" spans="1:21" ht="15.75" customHeight="1" x14ac:dyDescent="0.25">
      <c r="A101" s="24"/>
      <c r="B101" s="16"/>
      <c r="C101" s="16"/>
      <c r="D101" s="16"/>
      <c r="E101" s="16"/>
      <c r="F101" s="16"/>
      <c r="G101" s="16"/>
      <c r="H101" s="16"/>
      <c r="I101" s="16"/>
      <c r="J101" s="16"/>
      <c r="K101" s="17"/>
      <c r="L101" s="16"/>
      <c r="M101" s="16"/>
      <c r="N101" s="16"/>
      <c r="O101" s="16"/>
      <c r="P101" s="18"/>
      <c r="Q101" s="18"/>
      <c r="R101" s="16"/>
      <c r="S101" s="16"/>
      <c r="T101" s="16"/>
      <c r="U101" s="19"/>
    </row>
    <row r="102" spans="1:21" ht="15.75" customHeight="1" x14ac:dyDescent="0.25">
      <c r="A102" s="24"/>
      <c r="B102" s="16"/>
      <c r="C102" s="16"/>
      <c r="D102" s="16"/>
      <c r="E102" s="16"/>
      <c r="F102" s="16"/>
      <c r="G102" s="16"/>
      <c r="H102" s="16"/>
      <c r="I102" s="16"/>
      <c r="J102" s="16"/>
      <c r="K102" s="17"/>
      <c r="L102" s="16"/>
      <c r="M102" s="16"/>
      <c r="N102" s="16"/>
      <c r="O102" s="16"/>
      <c r="P102" s="18"/>
      <c r="Q102" s="18"/>
      <c r="R102" s="16"/>
      <c r="S102" s="16"/>
      <c r="T102" s="16"/>
      <c r="U102" s="19"/>
    </row>
    <row r="103" spans="1:21" ht="15.75" customHeight="1" x14ac:dyDescent="0.25">
      <c r="A103" s="24"/>
      <c r="B103" s="16"/>
      <c r="C103" s="16"/>
      <c r="D103" s="16"/>
      <c r="E103" s="16"/>
      <c r="F103" s="16"/>
      <c r="G103" s="16"/>
      <c r="H103" s="16"/>
      <c r="I103" s="16"/>
      <c r="J103" s="16"/>
      <c r="K103" s="17"/>
      <c r="L103" s="16"/>
      <c r="M103" s="16"/>
      <c r="N103" s="16"/>
      <c r="O103" s="16"/>
      <c r="P103" s="18"/>
      <c r="Q103" s="18"/>
      <c r="R103" s="16"/>
      <c r="S103" s="16"/>
      <c r="T103" s="16"/>
      <c r="U103" s="19"/>
    </row>
    <row r="104" spans="1:21" ht="15.75" customHeight="1" x14ac:dyDescent="0.25">
      <c r="A104" s="24"/>
      <c r="B104" s="16"/>
      <c r="C104" s="16"/>
      <c r="D104" s="16"/>
      <c r="E104" s="16"/>
      <c r="F104" s="16"/>
      <c r="G104" s="16"/>
      <c r="H104" s="16"/>
      <c r="I104" s="16"/>
      <c r="J104" s="16"/>
      <c r="K104" s="17"/>
      <c r="L104" s="16"/>
      <c r="M104" s="16"/>
      <c r="N104" s="16"/>
      <c r="O104" s="16"/>
      <c r="P104" s="18"/>
      <c r="Q104" s="18"/>
      <c r="R104" s="16"/>
      <c r="S104" s="16"/>
      <c r="T104" s="16"/>
      <c r="U104" s="19"/>
    </row>
    <row r="105" spans="1:21" ht="15.75" customHeight="1" x14ac:dyDescent="0.25">
      <c r="A105" s="24"/>
      <c r="B105" s="16"/>
      <c r="C105" s="16"/>
      <c r="D105" s="16"/>
      <c r="E105" s="16"/>
      <c r="F105" s="16"/>
      <c r="G105" s="16"/>
      <c r="H105" s="16"/>
      <c r="I105" s="16"/>
      <c r="J105" s="16"/>
      <c r="K105" s="17"/>
      <c r="L105" s="16"/>
      <c r="M105" s="16"/>
      <c r="N105" s="16"/>
      <c r="O105" s="16"/>
      <c r="P105" s="18"/>
      <c r="Q105" s="18"/>
      <c r="R105" s="16"/>
      <c r="S105" s="16"/>
      <c r="T105" s="16"/>
      <c r="U105" s="19"/>
    </row>
    <row r="106" spans="1:21" ht="15.75" customHeight="1" x14ac:dyDescent="0.25">
      <c r="A106" s="24"/>
      <c r="B106" s="16"/>
      <c r="C106" s="16"/>
      <c r="D106" s="16"/>
      <c r="E106" s="16"/>
      <c r="F106" s="16"/>
      <c r="G106" s="16"/>
      <c r="H106" s="16"/>
      <c r="I106" s="16"/>
      <c r="J106" s="16"/>
      <c r="K106" s="17"/>
      <c r="L106" s="16"/>
      <c r="M106" s="16"/>
      <c r="N106" s="16"/>
      <c r="O106" s="16"/>
      <c r="P106" s="18"/>
      <c r="Q106" s="18"/>
      <c r="R106" s="16"/>
      <c r="S106" s="16"/>
      <c r="T106" s="16"/>
      <c r="U106" s="19"/>
    </row>
    <row r="107" spans="1:21" ht="15.75" customHeight="1" x14ac:dyDescent="0.25">
      <c r="A107" s="24"/>
      <c r="B107" s="16"/>
      <c r="C107" s="16"/>
      <c r="D107" s="16"/>
      <c r="E107" s="16"/>
      <c r="F107" s="16"/>
      <c r="G107" s="16"/>
      <c r="H107" s="16"/>
      <c r="I107" s="16"/>
      <c r="J107" s="16"/>
      <c r="K107" s="17"/>
      <c r="L107" s="16"/>
      <c r="M107" s="16"/>
      <c r="N107" s="16"/>
      <c r="O107" s="16"/>
      <c r="P107" s="18"/>
      <c r="Q107" s="18"/>
      <c r="R107" s="16"/>
      <c r="S107" s="16"/>
      <c r="T107" s="16"/>
      <c r="U107" s="19"/>
    </row>
    <row r="108" spans="1:21" x14ac:dyDescent="0.25">
      <c r="A108" s="24"/>
      <c r="B108" s="16"/>
      <c r="C108" s="16"/>
      <c r="D108" s="16"/>
      <c r="E108" s="16"/>
      <c r="F108" s="16"/>
      <c r="G108" s="16"/>
      <c r="H108" s="16"/>
      <c r="I108" s="16"/>
      <c r="J108" s="16"/>
      <c r="K108" s="17"/>
      <c r="L108" s="16"/>
      <c r="M108" s="16"/>
      <c r="N108" s="16"/>
      <c r="O108" s="16"/>
      <c r="P108" s="18"/>
      <c r="Q108" s="18"/>
      <c r="R108" s="16"/>
      <c r="S108" s="16"/>
      <c r="T108" s="16"/>
      <c r="U108" s="19"/>
    </row>
    <row r="109" spans="1:21" x14ac:dyDescent="0.25">
      <c r="A109" s="24"/>
      <c r="B109" s="16"/>
      <c r="C109" s="16"/>
      <c r="D109" s="16"/>
      <c r="E109" s="16"/>
      <c r="F109" s="16"/>
      <c r="G109" s="16"/>
      <c r="H109" s="16"/>
      <c r="I109" s="16"/>
      <c r="J109" s="16"/>
      <c r="K109" s="17"/>
      <c r="L109" s="16"/>
      <c r="M109" s="16"/>
      <c r="N109" s="16"/>
      <c r="O109" s="16"/>
      <c r="P109" s="18"/>
      <c r="Q109" s="18"/>
      <c r="R109" s="16"/>
      <c r="S109" s="16"/>
      <c r="T109" s="16"/>
      <c r="U109" s="19"/>
    </row>
    <row r="110" spans="1:21" x14ac:dyDescent="0.25">
      <c r="A110" s="24"/>
      <c r="B110" s="16"/>
      <c r="C110" s="16"/>
      <c r="D110" s="16"/>
      <c r="E110" s="16"/>
      <c r="F110" s="16"/>
      <c r="G110" s="16"/>
      <c r="H110" s="16"/>
      <c r="I110" s="16"/>
      <c r="J110" s="16"/>
      <c r="K110" s="17"/>
      <c r="L110" s="16"/>
      <c r="M110" s="16"/>
      <c r="N110" s="16"/>
      <c r="O110" s="16"/>
      <c r="P110" s="18"/>
      <c r="Q110" s="18"/>
      <c r="R110" s="16"/>
      <c r="S110" s="16"/>
      <c r="T110" s="16"/>
      <c r="U110" s="19"/>
    </row>
    <row r="111" spans="1:21" x14ac:dyDescent="0.25">
      <c r="A111" s="24"/>
      <c r="B111" s="16"/>
      <c r="C111" s="16"/>
      <c r="D111" s="16"/>
      <c r="E111" s="16"/>
      <c r="F111" s="16"/>
      <c r="G111" s="16"/>
      <c r="H111" s="16"/>
      <c r="I111" s="16"/>
      <c r="J111" s="16"/>
      <c r="K111" s="17"/>
      <c r="L111" s="16"/>
      <c r="M111" s="16"/>
      <c r="N111" s="16"/>
      <c r="O111" s="16"/>
      <c r="P111" s="18"/>
      <c r="Q111" s="18"/>
      <c r="R111" s="16"/>
      <c r="S111" s="16"/>
      <c r="T111" s="16"/>
      <c r="U111" s="19"/>
    </row>
    <row r="112" spans="1:21" x14ac:dyDescent="0.25">
      <c r="A112" s="24"/>
      <c r="B112" s="16"/>
      <c r="C112" s="16"/>
      <c r="D112" s="16"/>
      <c r="E112" s="16"/>
      <c r="F112" s="16"/>
      <c r="G112" s="16"/>
      <c r="H112" s="16"/>
      <c r="I112" s="16"/>
      <c r="J112" s="16"/>
      <c r="K112" s="17"/>
      <c r="L112" s="16"/>
      <c r="M112" s="16"/>
      <c r="N112" s="16"/>
      <c r="O112" s="16"/>
      <c r="P112" s="18"/>
      <c r="Q112" s="18"/>
      <c r="R112" s="16"/>
      <c r="S112" s="16"/>
      <c r="T112" s="16"/>
      <c r="U112" s="19"/>
    </row>
    <row r="113" spans="1:21" x14ac:dyDescent="0.25">
      <c r="A113" s="24"/>
      <c r="B113" s="16"/>
      <c r="C113" s="16"/>
      <c r="D113" s="16"/>
      <c r="E113" s="16"/>
      <c r="F113" s="16"/>
      <c r="G113" s="16"/>
      <c r="H113" s="16"/>
      <c r="I113" s="16"/>
      <c r="J113" s="16"/>
      <c r="K113" s="17"/>
      <c r="L113" s="16"/>
      <c r="M113" s="16"/>
      <c r="N113" s="16"/>
      <c r="O113" s="16"/>
      <c r="P113" s="18"/>
      <c r="Q113" s="18"/>
      <c r="R113" s="16"/>
      <c r="S113" s="16"/>
      <c r="T113" s="16"/>
      <c r="U113" s="19"/>
    </row>
    <row r="114" spans="1:21" x14ac:dyDescent="0.25">
      <c r="A114" s="24"/>
      <c r="B114" s="16"/>
      <c r="C114" s="16"/>
      <c r="D114" s="16"/>
      <c r="E114" s="16"/>
      <c r="F114" s="16"/>
      <c r="G114" s="16"/>
      <c r="H114" s="16"/>
      <c r="I114" s="16"/>
      <c r="J114" s="16"/>
      <c r="K114" s="17"/>
      <c r="L114" s="16"/>
      <c r="M114" s="16"/>
      <c r="N114" s="16"/>
      <c r="O114" s="16"/>
      <c r="P114" s="18"/>
      <c r="Q114" s="18"/>
      <c r="R114" s="16"/>
      <c r="S114" s="16"/>
      <c r="T114" s="16"/>
      <c r="U114" s="19"/>
    </row>
    <row r="115" spans="1:21" x14ac:dyDescent="0.25">
      <c r="A115" s="24"/>
      <c r="B115" s="16"/>
      <c r="C115" s="16"/>
      <c r="D115" s="16"/>
      <c r="E115" s="16"/>
      <c r="F115" s="16"/>
      <c r="G115" s="16"/>
      <c r="H115" s="16"/>
      <c r="I115" s="16"/>
      <c r="J115" s="16"/>
      <c r="K115" s="17"/>
      <c r="L115" s="16"/>
      <c r="M115" s="16"/>
      <c r="N115" s="16"/>
      <c r="O115" s="16"/>
      <c r="P115" s="18"/>
      <c r="Q115" s="18"/>
      <c r="R115" s="16"/>
      <c r="S115" s="16"/>
      <c r="T115" s="16"/>
      <c r="U115" s="19"/>
    </row>
    <row r="116" spans="1:21" x14ac:dyDescent="0.25">
      <c r="A116" s="24"/>
      <c r="B116" s="16"/>
      <c r="C116" s="16"/>
      <c r="D116" s="16"/>
      <c r="E116" s="16"/>
      <c r="F116" s="16"/>
      <c r="G116" s="16"/>
      <c r="H116" s="16"/>
      <c r="I116" s="16"/>
      <c r="J116" s="16"/>
      <c r="K116" s="17"/>
      <c r="L116" s="16"/>
      <c r="M116" s="16"/>
      <c r="N116" s="16"/>
      <c r="O116" s="16"/>
      <c r="P116" s="18"/>
      <c r="Q116" s="18"/>
      <c r="R116" s="16"/>
      <c r="S116" s="16"/>
      <c r="T116" s="16"/>
      <c r="U116" s="19"/>
    </row>
    <row r="117" spans="1:21" x14ac:dyDescent="0.25">
      <c r="A117" s="24"/>
      <c r="B117" s="16"/>
      <c r="C117" s="16"/>
      <c r="D117" s="16"/>
      <c r="E117" s="16"/>
      <c r="F117" s="16"/>
      <c r="G117" s="16"/>
      <c r="H117" s="16"/>
      <c r="I117" s="16"/>
      <c r="J117" s="16"/>
      <c r="K117" s="17"/>
      <c r="L117" s="16"/>
      <c r="M117" s="16"/>
      <c r="N117" s="16"/>
      <c r="O117" s="16"/>
      <c r="P117" s="18"/>
      <c r="Q117" s="18"/>
      <c r="R117" s="16"/>
      <c r="S117" s="16"/>
      <c r="T117" s="16"/>
      <c r="U117" s="19"/>
    </row>
    <row r="118" spans="1:21" x14ac:dyDescent="0.25">
      <c r="A118" s="24"/>
      <c r="B118" s="16"/>
      <c r="C118" s="16"/>
      <c r="D118" s="16"/>
      <c r="E118" s="16"/>
      <c r="F118" s="16"/>
      <c r="G118" s="16"/>
      <c r="H118" s="16"/>
      <c r="I118" s="16"/>
      <c r="J118" s="16"/>
      <c r="K118" s="17"/>
      <c r="L118" s="16"/>
      <c r="M118" s="16"/>
      <c r="N118" s="16"/>
      <c r="O118" s="16"/>
      <c r="P118" s="18"/>
      <c r="Q118" s="18"/>
      <c r="R118" s="16"/>
      <c r="S118" s="16"/>
      <c r="T118" s="16"/>
      <c r="U118" s="19"/>
    </row>
    <row r="119" spans="1:21" x14ac:dyDescent="0.25">
      <c r="A119" s="24"/>
      <c r="B119" s="16"/>
      <c r="C119" s="16"/>
      <c r="D119" s="16"/>
      <c r="E119" s="16"/>
      <c r="F119" s="16"/>
      <c r="G119" s="16"/>
      <c r="H119" s="16"/>
      <c r="I119" s="16"/>
      <c r="J119" s="16"/>
      <c r="K119" s="17"/>
      <c r="L119" s="16"/>
      <c r="M119" s="16"/>
      <c r="N119" s="16"/>
      <c r="O119" s="16"/>
      <c r="P119" s="18"/>
      <c r="Q119" s="18"/>
      <c r="R119" s="16"/>
      <c r="S119" s="16"/>
      <c r="T119" s="16"/>
      <c r="U119" s="19"/>
    </row>
    <row r="120" spans="1:21" x14ac:dyDescent="0.25">
      <c r="A120" s="24"/>
      <c r="B120" s="16"/>
      <c r="C120" s="16"/>
      <c r="D120" s="16"/>
      <c r="E120" s="16"/>
      <c r="F120" s="16"/>
      <c r="G120" s="16"/>
      <c r="H120" s="16"/>
      <c r="I120" s="16"/>
      <c r="J120" s="16"/>
      <c r="K120" s="17"/>
      <c r="L120" s="16"/>
      <c r="M120" s="16"/>
      <c r="N120" s="16"/>
      <c r="O120" s="16"/>
      <c r="P120" s="18"/>
      <c r="Q120" s="18"/>
      <c r="R120" s="16"/>
      <c r="S120" s="16"/>
      <c r="T120" s="16"/>
      <c r="U120" s="19"/>
    </row>
    <row r="121" spans="1:21" x14ac:dyDescent="0.25">
      <c r="A121" s="24"/>
      <c r="B121" s="16"/>
      <c r="C121" s="16"/>
      <c r="D121" s="16"/>
      <c r="E121" s="16"/>
      <c r="F121" s="16"/>
      <c r="G121" s="16"/>
      <c r="H121" s="16"/>
      <c r="I121" s="16"/>
      <c r="J121" s="16"/>
      <c r="K121" s="17"/>
      <c r="L121" s="16"/>
      <c r="M121" s="16"/>
      <c r="N121" s="16"/>
      <c r="O121" s="16"/>
      <c r="P121" s="18"/>
      <c r="Q121" s="18"/>
      <c r="R121" s="16"/>
      <c r="S121" s="16"/>
      <c r="T121" s="16"/>
      <c r="U121" s="19"/>
    </row>
    <row r="122" spans="1:21" x14ac:dyDescent="0.25">
      <c r="A122" s="24"/>
      <c r="B122" s="16"/>
      <c r="C122" s="16"/>
      <c r="D122" s="16"/>
      <c r="E122" s="16"/>
      <c r="F122" s="16"/>
      <c r="G122" s="16"/>
      <c r="H122" s="16"/>
      <c r="I122" s="16"/>
      <c r="J122" s="16"/>
      <c r="K122" s="17"/>
      <c r="L122" s="16"/>
      <c r="M122" s="16"/>
      <c r="N122" s="16"/>
      <c r="O122" s="16"/>
      <c r="P122" s="18"/>
      <c r="Q122" s="18"/>
      <c r="R122" s="16"/>
      <c r="S122" s="16"/>
      <c r="T122" s="16"/>
      <c r="U122" s="19"/>
    </row>
    <row r="123" spans="1:21" x14ac:dyDescent="0.25">
      <c r="A123" s="24"/>
      <c r="B123" s="16"/>
      <c r="C123" s="16"/>
      <c r="D123" s="16"/>
      <c r="E123" s="16"/>
      <c r="F123" s="16"/>
      <c r="G123" s="16"/>
      <c r="H123" s="16"/>
      <c r="I123" s="16"/>
      <c r="J123" s="16"/>
      <c r="K123" s="17"/>
      <c r="L123" s="16"/>
      <c r="M123" s="16"/>
      <c r="N123" s="16"/>
      <c r="O123" s="16"/>
      <c r="P123" s="18"/>
      <c r="Q123" s="18"/>
      <c r="R123" s="16"/>
      <c r="S123" s="16"/>
      <c r="T123" s="16"/>
      <c r="U123" s="19"/>
    </row>
    <row r="124" spans="1:21" x14ac:dyDescent="0.25">
      <c r="A124" s="24"/>
      <c r="B124" s="16"/>
      <c r="C124" s="16"/>
      <c r="D124" s="16"/>
      <c r="E124" s="16"/>
      <c r="F124" s="16"/>
      <c r="G124" s="16"/>
      <c r="H124" s="16"/>
      <c r="I124" s="16"/>
      <c r="J124" s="16"/>
      <c r="K124" s="17"/>
      <c r="L124" s="16"/>
      <c r="M124" s="16"/>
      <c r="N124" s="16"/>
      <c r="O124" s="16"/>
      <c r="P124" s="18"/>
      <c r="Q124" s="18"/>
      <c r="R124" s="16"/>
      <c r="S124" s="16"/>
      <c r="T124" s="16"/>
      <c r="U124" s="19"/>
    </row>
    <row r="125" spans="1:21" x14ac:dyDescent="0.25">
      <c r="A125" s="24"/>
      <c r="B125" s="16"/>
      <c r="C125" s="16"/>
      <c r="D125" s="16"/>
      <c r="E125" s="16"/>
      <c r="F125" s="16"/>
      <c r="G125" s="16"/>
      <c r="H125" s="16"/>
      <c r="I125" s="16"/>
      <c r="J125" s="16"/>
      <c r="K125" s="17"/>
      <c r="L125" s="16"/>
      <c r="M125" s="16"/>
      <c r="N125" s="16"/>
      <c r="O125" s="16"/>
      <c r="P125" s="18"/>
      <c r="Q125" s="18"/>
      <c r="R125" s="16"/>
      <c r="S125" s="16"/>
      <c r="T125" s="16"/>
      <c r="U125" s="19"/>
    </row>
    <row r="126" spans="1:21" x14ac:dyDescent="0.25">
      <c r="A126" s="24"/>
      <c r="B126" s="16"/>
      <c r="C126" s="16"/>
      <c r="D126" s="16"/>
      <c r="E126" s="16"/>
      <c r="F126" s="16"/>
      <c r="G126" s="16"/>
      <c r="H126" s="16"/>
      <c r="I126" s="16"/>
      <c r="J126" s="16"/>
      <c r="K126" s="17"/>
      <c r="L126" s="16"/>
      <c r="M126" s="16"/>
      <c r="N126" s="16"/>
      <c r="O126" s="16"/>
      <c r="P126" s="18"/>
      <c r="Q126" s="18"/>
      <c r="R126" s="16"/>
      <c r="S126" s="16"/>
      <c r="T126" s="16"/>
      <c r="U126" s="19"/>
    </row>
    <row r="127" spans="1:21" x14ac:dyDescent="0.25">
      <c r="A127" s="24"/>
      <c r="B127" s="16"/>
      <c r="C127" s="16"/>
      <c r="D127" s="16"/>
      <c r="E127" s="16"/>
      <c r="F127" s="16"/>
      <c r="G127" s="16"/>
      <c r="H127" s="16"/>
      <c r="I127" s="16"/>
      <c r="J127" s="16"/>
      <c r="K127" s="17"/>
      <c r="L127" s="16"/>
      <c r="M127" s="16"/>
      <c r="N127" s="16"/>
      <c r="O127" s="16"/>
      <c r="P127" s="18"/>
      <c r="Q127" s="18"/>
      <c r="R127" s="16"/>
      <c r="S127" s="16"/>
      <c r="T127" s="16"/>
      <c r="U127" s="19"/>
    </row>
    <row r="128" spans="1:21" x14ac:dyDescent="0.25">
      <c r="A128" s="24"/>
      <c r="B128" s="16"/>
      <c r="C128" s="16"/>
      <c r="D128" s="16"/>
      <c r="E128" s="16"/>
      <c r="F128" s="16"/>
      <c r="G128" s="16"/>
      <c r="H128" s="16"/>
      <c r="I128" s="16"/>
      <c r="J128" s="16"/>
      <c r="K128" s="17"/>
      <c r="L128" s="16"/>
      <c r="M128" s="16"/>
      <c r="N128" s="16"/>
      <c r="O128" s="16"/>
      <c r="P128" s="18"/>
      <c r="Q128" s="18"/>
      <c r="R128" s="16"/>
      <c r="S128" s="16"/>
      <c r="T128" s="16"/>
      <c r="U128" s="19"/>
    </row>
    <row r="129" spans="1:21" x14ac:dyDescent="0.25">
      <c r="A129" s="24"/>
      <c r="B129" s="16"/>
      <c r="C129" s="16"/>
      <c r="D129" s="16"/>
      <c r="E129" s="16"/>
      <c r="F129" s="16"/>
      <c r="G129" s="16"/>
      <c r="H129" s="16"/>
      <c r="I129" s="16"/>
      <c r="J129" s="16"/>
      <c r="K129" s="17"/>
      <c r="L129" s="16"/>
      <c r="M129" s="16"/>
      <c r="N129" s="16"/>
      <c r="O129" s="16"/>
      <c r="P129" s="18"/>
      <c r="Q129" s="18"/>
      <c r="R129" s="16"/>
      <c r="S129" s="16"/>
      <c r="T129" s="16"/>
      <c r="U129" s="19"/>
    </row>
    <row r="130" spans="1:21" x14ac:dyDescent="0.25">
      <c r="A130" s="24"/>
      <c r="B130" s="16"/>
      <c r="C130" s="16"/>
      <c r="D130" s="16"/>
      <c r="E130" s="16"/>
      <c r="F130" s="16"/>
      <c r="G130" s="16"/>
      <c r="H130" s="16"/>
      <c r="I130" s="16"/>
      <c r="J130" s="16"/>
      <c r="K130" s="17"/>
      <c r="L130" s="16"/>
      <c r="M130" s="16"/>
      <c r="N130" s="16"/>
      <c r="O130" s="16"/>
      <c r="P130" s="18"/>
      <c r="Q130" s="18"/>
      <c r="R130" s="16"/>
      <c r="S130" s="16"/>
      <c r="T130" s="16"/>
      <c r="U130" s="19"/>
    </row>
    <row r="131" spans="1:21" x14ac:dyDescent="0.25">
      <c r="A131" s="24"/>
      <c r="B131" s="16"/>
      <c r="C131" s="16"/>
      <c r="D131" s="16"/>
      <c r="E131" s="16"/>
      <c r="F131" s="16"/>
      <c r="G131" s="16"/>
      <c r="H131" s="16"/>
      <c r="I131" s="16"/>
      <c r="J131" s="16"/>
      <c r="K131" s="17"/>
      <c r="L131" s="16"/>
      <c r="M131" s="16"/>
      <c r="N131" s="16"/>
      <c r="O131" s="16"/>
      <c r="P131" s="18"/>
      <c r="Q131" s="18"/>
      <c r="R131" s="16"/>
      <c r="S131" s="16"/>
      <c r="T131" s="16"/>
      <c r="U131" s="19"/>
    </row>
    <row r="132" spans="1:21" x14ac:dyDescent="0.25">
      <c r="A132" s="24"/>
      <c r="B132" s="16"/>
      <c r="C132" s="16"/>
      <c r="D132" s="16"/>
      <c r="E132" s="16"/>
      <c r="F132" s="16"/>
      <c r="G132" s="16"/>
      <c r="H132" s="16"/>
      <c r="I132" s="16"/>
      <c r="J132" s="16"/>
      <c r="K132" s="17"/>
      <c r="L132" s="16"/>
      <c r="M132" s="16"/>
      <c r="N132" s="16"/>
      <c r="O132" s="16"/>
      <c r="P132" s="18"/>
      <c r="Q132" s="18"/>
      <c r="R132" s="16"/>
      <c r="S132" s="16"/>
      <c r="T132" s="16"/>
      <c r="U132" s="19"/>
    </row>
    <row r="133" spans="1:21" x14ac:dyDescent="0.25">
      <c r="A133" s="24"/>
      <c r="B133" s="16"/>
      <c r="C133" s="16"/>
      <c r="D133" s="16"/>
      <c r="E133" s="16"/>
      <c r="F133" s="16"/>
      <c r="G133" s="16"/>
      <c r="H133" s="16"/>
      <c r="I133" s="16"/>
      <c r="J133" s="16"/>
      <c r="K133" s="17"/>
      <c r="L133" s="16"/>
      <c r="M133" s="16"/>
      <c r="N133" s="16"/>
      <c r="O133" s="16"/>
      <c r="P133" s="18"/>
      <c r="Q133" s="18"/>
      <c r="R133" s="16"/>
      <c r="S133" s="16"/>
      <c r="T133" s="16"/>
      <c r="U133" s="19"/>
    </row>
    <row r="134" spans="1:21" x14ac:dyDescent="0.25">
      <c r="A134" s="24"/>
      <c r="B134" s="16"/>
      <c r="C134" s="16"/>
      <c r="D134" s="16"/>
      <c r="E134" s="16"/>
      <c r="F134" s="16"/>
      <c r="G134" s="16"/>
      <c r="H134" s="16"/>
      <c r="I134" s="16"/>
      <c r="J134" s="16"/>
      <c r="K134" s="17"/>
      <c r="L134" s="16"/>
      <c r="M134" s="16"/>
      <c r="N134" s="16"/>
      <c r="O134" s="16"/>
      <c r="P134" s="18"/>
      <c r="Q134" s="18"/>
      <c r="R134" s="16"/>
      <c r="S134" s="16"/>
      <c r="T134" s="16"/>
      <c r="U134" s="19"/>
    </row>
    <row r="135" spans="1:21" x14ac:dyDescent="0.25">
      <c r="A135" s="24"/>
      <c r="B135" s="16"/>
      <c r="C135" s="16"/>
      <c r="D135" s="16"/>
      <c r="E135" s="16"/>
      <c r="F135" s="16"/>
      <c r="G135" s="16"/>
      <c r="H135" s="16"/>
      <c r="I135" s="16"/>
      <c r="J135" s="16"/>
      <c r="K135" s="17"/>
      <c r="L135" s="16"/>
      <c r="M135" s="16"/>
      <c r="N135" s="16"/>
      <c r="O135" s="16"/>
      <c r="P135" s="18"/>
      <c r="Q135" s="18"/>
      <c r="R135" s="16"/>
      <c r="S135" s="16"/>
      <c r="T135" s="16"/>
      <c r="U135" s="19"/>
    </row>
    <row r="136" spans="1:21" x14ac:dyDescent="0.25">
      <c r="A136" s="24"/>
      <c r="B136" s="16"/>
      <c r="C136" s="16"/>
      <c r="D136" s="16"/>
      <c r="E136" s="16"/>
      <c r="F136" s="16"/>
      <c r="G136" s="16"/>
      <c r="H136" s="16"/>
      <c r="I136" s="16"/>
      <c r="J136" s="16"/>
      <c r="K136" s="17"/>
      <c r="L136" s="16"/>
      <c r="M136" s="16"/>
      <c r="N136" s="16"/>
      <c r="O136" s="16"/>
      <c r="P136" s="18"/>
      <c r="Q136" s="18"/>
      <c r="R136" s="16"/>
      <c r="S136" s="16"/>
      <c r="T136" s="16"/>
      <c r="U136" s="19"/>
    </row>
    <row r="137" spans="1:21" x14ac:dyDescent="0.25">
      <c r="A137" s="24"/>
      <c r="B137" s="16"/>
      <c r="C137" s="16"/>
      <c r="D137" s="16"/>
      <c r="E137" s="16"/>
      <c r="F137" s="16"/>
      <c r="G137" s="16"/>
      <c r="H137" s="16"/>
      <c r="I137" s="16"/>
      <c r="J137" s="16"/>
      <c r="K137" s="17"/>
      <c r="L137" s="16"/>
      <c r="M137" s="16"/>
      <c r="N137" s="16"/>
      <c r="O137" s="16"/>
      <c r="P137" s="18"/>
      <c r="Q137" s="18"/>
      <c r="R137" s="16"/>
      <c r="S137" s="16"/>
      <c r="T137" s="16"/>
      <c r="U137" s="19"/>
    </row>
    <row r="138" spans="1:21" x14ac:dyDescent="0.25">
      <c r="A138" s="24"/>
      <c r="B138" s="16"/>
      <c r="C138" s="16"/>
      <c r="D138" s="16"/>
      <c r="E138" s="16"/>
      <c r="F138" s="16"/>
      <c r="G138" s="16"/>
      <c r="H138" s="16"/>
      <c r="I138" s="16"/>
      <c r="J138" s="16"/>
      <c r="K138" s="17"/>
      <c r="L138" s="16"/>
      <c r="M138" s="16"/>
      <c r="N138" s="16"/>
      <c r="O138" s="16"/>
      <c r="P138" s="18"/>
      <c r="Q138" s="18"/>
      <c r="R138" s="16"/>
      <c r="S138" s="16"/>
      <c r="T138" s="16"/>
      <c r="U138" s="19"/>
    </row>
    <row r="139" spans="1:21" x14ac:dyDescent="0.25">
      <c r="A139" s="24"/>
      <c r="B139" s="16"/>
      <c r="C139" s="16"/>
      <c r="D139" s="16"/>
      <c r="E139" s="16"/>
      <c r="F139" s="16"/>
      <c r="G139" s="16"/>
      <c r="H139" s="16"/>
      <c r="I139" s="16"/>
      <c r="J139" s="16"/>
      <c r="K139" s="17"/>
      <c r="L139" s="16"/>
      <c r="M139" s="16"/>
      <c r="N139" s="16"/>
      <c r="O139" s="16"/>
      <c r="P139" s="18"/>
      <c r="Q139" s="18"/>
      <c r="R139" s="16"/>
      <c r="S139" s="16"/>
      <c r="T139" s="16"/>
      <c r="U139" s="19"/>
    </row>
    <row r="140" spans="1:21" x14ac:dyDescent="0.25">
      <c r="A140" s="24"/>
      <c r="B140" s="16"/>
      <c r="C140" s="16"/>
      <c r="D140" s="16"/>
      <c r="E140" s="16"/>
      <c r="F140" s="16"/>
      <c r="G140" s="16"/>
      <c r="H140" s="16"/>
      <c r="I140" s="16"/>
      <c r="J140" s="16"/>
      <c r="K140" s="17"/>
      <c r="L140" s="16"/>
      <c r="M140" s="16"/>
      <c r="N140" s="16"/>
      <c r="O140" s="16"/>
      <c r="P140" s="18"/>
      <c r="Q140" s="18"/>
      <c r="R140" s="16"/>
      <c r="S140" s="16"/>
      <c r="T140" s="16"/>
      <c r="U140" s="19"/>
    </row>
    <row r="141" spans="1:21" x14ac:dyDescent="0.25">
      <c r="A141" s="24"/>
      <c r="B141" s="16"/>
      <c r="C141" s="16"/>
      <c r="D141" s="16"/>
      <c r="E141" s="16"/>
      <c r="F141" s="16"/>
      <c r="G141" s="16"/>
      <c r="H141" s="16"/>
      <c r="I141" s="16"/>
      <c r="J141" s="16"/>
      <c r="K141" s="17"/>
      <c r="L141" s="16"/>
      <c r="M141" s="16"/>
      <c r="N141" s="16"/>
      <c r="O141" s="16"/>
      <c r="P141" s="18"/>
      <c r="Q141" s="18"/>
      <c r="R141" s="16"/>
      <c r="S141" s="16"/>
      <c r="T141" s="16"/>
      <c r="U141" s="19"/>
    </row>
    <row r="142" spans="1:21" x14ac:dyDescent="0.25">
      <c r="A142" s="24"/>
      <c r="B142" s="16"/>
      <c r="C142" s="16"/>
      <c r="D142" s="16"/>
      <c r="E142" s="16"/>
      <c r="F142" s="16"/>
      <c r="G142" s="16"/>
      <c r="H142" s="16"/>
      <c r="I142" s="16"/>
      <c r="J142" s="16"/>
      <c r="K142" s="17"/>
      <c r="L142" s="16"/>
      <c r="M142" s="16"/>
      <c r="N142" s="16"/>
      <c r="O142" s="16"/>
      <c r="P142" s="18"/>
      <c r="Q142" s="18"/>
      <c r="R142" s="16"/>
      <c r="S142" s="16"/>
      <c r="T142" s="16"/>
      <c r="U142" s="19"/>
    </row>
    <row r="143" spans="1:21" x14ac:dyDescent="0.25">
      <c r="A143" s="24"/>
      <c r="B143" s="16"/>
      <c r="C143" s="16"/>
      <c r="D143" s="16"/>
      <c r="E143" s="16"/>
      <c r="F143" s="16"/>
      <c r="G143" s="16"/>
      <c r="H143" s="16"/>
      <c r="I143" s="16"/>
      <c r="J143" s="16"/>
      <c r="K143" s="17"/>
      <c r="L143" s="16"/>
      <c r="M143" s="16"/>
      <c r="N143" s="16"/>
      <c r="O143" s="16"/>
      <c r="P143" s="18"/>
      <c r="Q143" s="18"/>
      <c r="R143" s="16"/>
      <c r="S143" s="16"/>
      <c r="T143" s="16"/>
      <c r="U143" s="19"/>
    </row>
    <row r="144" spans="1:21" x14ac:dyDescent="0.25">
      <c r="A144" s="24"/>
      <c r="B144" s="16"/>
      <c r="C144" s="16"/>
      <c r="D144" s="16"/>
      <c r="E144" s="16"/>
      <c r="F144" s="16"/>
      <c r="G144" s="16"/>
      <c r="H144" s="16"/>
      <c r="I144" s="16"/>
      <c r="J144" s="16"/>
      <c r="K144" s="17"/>
      <c r="L144" s="16"/>
      <c r="M144" s="16"/>
      <c r="N144" s="16"/>
      <c r="O144" s="16"/>
      <c r="P144" s="18"/>
      <c r="Q144" s="18"/>
      <c r="R144" s="16"/>
      <c r="S144" s="16"/>
      <c r="T144" s="16"/>
      <c r="U144" s="19"/>
    </row>
    <row r="145" spans="1:21" x14ac:dyDescent="0.25">
      <c r="A145" s="24"/>
      <c r="B145" s="16"/>
      <c r="C145" s="16"/>
      <c r="D145" s="16"/>
      <c r="E145" s="16"/>
      <c r="F145" s="16"/>
      <c r="G145" s="16"/>
      <c r="H145" s="16"/>
      <c r="I145" s="16"/>
      <c r="J145" s="16"/>
      <c r="K145" s="17"/>
      <c r="L145" s="16"/>
      <c r="M145" s="16"/>
      <c r="N145" s="16"/>
      <c r="O145" s="16"/>
      <c r="P145" s="18"/>
      <c r="Q145" s="18"/>
      <c r="R145" s="16"/>
      <c r="S145" s="16"/>
      <c r="T145" s="16"/>
      <c r="U145" s="19"/>
    </row>
    <row r="146" spans="1:21" x14ac:dyDescent="0.25">
      <c r="A146" s="24"/>
      <c r="B146" s="16"/>
      <c r="C146" s="16"/>
      <c r="D146" s="16"/>
      <c r="E146" s="16"/>
      <c r="F146" s="16"/>
      <c r="G146" s="16"/>
      <c r="H146" s="16"/>
      <c r="I146" s="16"/>
      <c r="J146" s="16"/>
      <c r="K146" s="17"/>
      <c r="L146" s="16"/>
      <c r="M146" s="16"/>
      <c r="N146" s="16"/>
      <c r="O146" s="16"/>
      <c r="P146" s="18"/>
      <c r="Q146" s="18"/>
      <c r="R146" s="16"/>
      <c r="S146" s="16"/>
      <c r="T146" s="16"/>
      <c r="U146" s="19"/>
    </row>
    <row r="147" spans="1:21" x14ac:dyDescent="0.25">
      <c r="A147" s="24"/>
      <c r="G147" s="16"/>
      <c r="H147" s="16"/>
      <c r="I147" s="16"/>
      <c r="J147" s="16"/>
      <c r="K147" s="17"/>
      <c r="L147" s="16"/>
      <c r="M147" s="16"/>
      <c r="N147" s="16"/>
      <c r="O147" s="16"/>
      <c r="P147" s="18"/>
      <c r="Q147" s="18"/>
      <c r="R147" s="16"/>
      <c r="S147" s="16"/>
      <c r="T147" s="16"/>
      <c r="U147" s="19"/>
    </row>
    <row r="148" spans="1:21" x14ac:dyDescent="0.25">
      <c r="A148" s="24"/>
    </row>
    <row r="149" spans="1:21" x14ac:dyDescent="0.25">
      <c r="A149" s="24"/>
    </row>
    <row r="150" spans="1:21" x14ac:dyDescent="0.25">
      <c r="A150" s="24"/>
    </row>
    <row r="151" spans="1:21" x14ac:dyDescent="0.25">
      <c r="A151" s="24"/>
    </row>
    <row r="152" spans="1:21" x14ac:dyDescent="0.25">
      <c r="A152" s="24"/>
    </row>
    <row r="153" spans="1:21" x14ac:dyDescent="0.25">
      <c r="A153" s="24"/>
    </row>
    <row r="154" spans="1:21" x14ac:dyDescent="0.25">
      <c r="A154" s="24"/>
    </row>
  </sheetData>
  <mergeCells count="160">
    <mergeCell ref="A10:B10"/>
    <mergeCell ref="C10:D10"/>
    <mergeCell ref="E10:F10"/>
    <mergeCell ref="A75:G75"/>
    <mergeCell ref="A8:B8"/>
    <mergeCell ref="C8:D8"/>
    <mergeCell ref="E8:F8"/>
    <mergeCell ref="A9:B9"/>
    <mergeCell ref="C9:D9"/>
    <mergeCell ref="E9:F9"/>
    <mergeCell ref="A11:B11"/>
    <mergeCell ref="C11:D11"/>
    <mergeCell ref="E11:F11"/>
    <mergeCell ref="A13:B13"/>
    <mergeCell ref="C13:D13"/>
    <mergeCell ref="E13:F13"/>
    <mergeCell ref="A12:B12"/>
    <mergeCell ref="C12:D12"/>
    <mergeCell ref="E12:F12"/>
    <mergeCell ref="A15:B15"/>
    <mergeCell ref="C15:D15"/>
    <mergeCell ref="E15:F15"/>
    <mergeCell ref="A14:B14"/>
    <mergeCell ref="C14:D14"/>
    <mergeCell ref="B1:H1"/>
    <mergeCell ref="A2:H2"/>
    <mergeCell ref="A3:B3"/>
    <mergeCell ref="C3:D3"/>
    <mergeCell ref="A7:B7"/>
    <mergeCell ref="C7:D7"/>
    <mergeCell ref="E7:F7"/>
    <mergeCell ref="A4:H4"/>
    <mergeCell ref="A5:B5"/>
    <mergeCell ref="C5:D5"/>
    <mergeCell ref="C6:D6"/>
    <mergeCell ref="E6:F6"/>
    <mergeCell ref="E5:F5"/>
    <mergeCell ref="G5:H5"/>
    <mergeCell ref="A6:B6"/>
    <mergeCell ref="E14:F14"/>
    <mergeCell ref="A17:B17"/>
    <mergeCell ref="C17:D17"/>
    <mergeCell ref="E17:F17"/>
    <mergeCell ref="A16:B16"/>
    <mergeCell ref="C16:D16"/>
    <mergeCell ref="E16:F16"/>
    <mergeCell ref="A19:B19"/>
    <mergeCell ref="C19:D19"/>
    <mergeCell ref="E19:F19"/>
    <mergeCell ref="A18:B18"/>
    <mergeCell ref="C18:D18"/>
    <mergeCell ref="E18:F18"/>
    <mergeCell ref="C20:D20"/>
    <mergeCell ref="E20:F20"/>
    <mergeCell ref="A21:B21"/>
    <mergeCell ref="C21:D21"/>
    <mergeCell ref="E21:F21"/>
    <mergeCell ref="A20:B20"/>
    <mergeCell ref="A23:B23"/>
    <mergeCell ref="C23:D23"/>
    <mergeCell ref="A22:B22"/>
    <mergeCell ref="C22:D22"/>
    <mergeCell ref="E22:F22"/>
    <mergeCell ref="A24:B24"/>
    <mergeCell ref="C24:D24"/>
    <mergeCell ref="E24:F24"/>
    <mergeCell ref="A25:B25"/>
    <mergeCell ref="C25:D25"/>
    <mergeCell ref="E23:F23"/>
    <mergeCell ref="A26:B34"/>
    <mergeCell ref="C26:D26"/>
    <mergeCell ref="C27:D27"/>
    <mergeCell ref="C28:D28"/>
    <mergeCell ref="C29:D29"/>
    <mergeCell ref="C30:D30"/>
    <mergeCell ref="C31:D31"/>
    <mergeCell ref="C32:D32"/>
    <mergeCell ref="C33:D33"/>
    <mergeCell ref="C34:D34"/>
    <mergeCell ref="A35:B35"/>
    <mergeCell ref="C35:D35"/>
    <mergeCell ref="E35:G35"/>
    <mergeCell ref="A36:H36"/>
    <mergeCell ref="A37:B37"/>
    <mergeCell ref="C37:D37"/>
    <mergeCell ref="E37:H37"/>
    <mergeCell ref="A38:B38"/>
    <mergeCell ref="C38:F38"/>
    <mergeCell ref="A39:H39"/>
    <mergeCell ref="A40:H40"/>
    <mergeCell ref="A41:H41"/>
    <mergeCell ref="A42:G42"/>
    <mergeCell ref="A43:H43"/>
    <mergeCell ref="C44:D44"/>
    <mergeCell ref="E44:H44"/>
    <mergeCell ref="C45:D45"/>
    <mergeCell ref="C46:D46"/>
    <mergeCell ref="C47:D47"/>
    <mergeCell ref="C48:G48"/>
    <mergeCell ref="A49:H49"/>
    <mergeCell ref="A50:H50"/>
    <mergeCell ref="A51:B51"/>
    <mergeCell ref="D51:E51"/>
    <mergeCell ref="F51:H51"/>
    <mergeCell ref="A52:F52"/>
    <mergeCell ref="G52:H52"/>
    <mergeCell ref="A53:H53"/>
    <mergeCell ref="A54:B54"/>
    <mergeCell ref="D54:E54"/>
    <mergeCell ref="F54:H54"/>
    <mergeCell ref="A55:F55"/>
    <mergeCell ref="G55:H55"/>
    <mergeCell ref="A78:G78"/>
    <mergeCell ref="A56:C56"/>
    <mergeCell ref="A57:H57"/>
    <mergeCell ref="A58:B58"/>
    <mergeCell ref="C58:H58"/>
    <mergeCell ref="A59:B59"/>
    <mergeCell ref="C59:H59"/>
    <mergeCell ref="D56:E56"/>
    <mergeCell ref="A60:B60"/>
    <mergeCell ref="C60:H60"/>
    <mergeCell ref="A61:H61"/>
    <mergeCell ref="A62:B62"/>
    <mergeCell ref="C62:H62"/>
    <mergeCell ref="A63:B63"/>
    <mergeCell ref="C63:H63"/>
    <mergeCell ref="A64:C64"/>
    <mergeCell ref="A65:H65"/>
    <mergeCell ref="A66:C66"/>
    <mergeCell ref="A67:C67"/>
    <mergeCell ref="A68:C68"/>
    <mergeCell ref="D64:E64"/>
    <mergeCell ref="D66:E66"/>
    <mergeCell ref="D67:E67"/>
    <mergeCell ref="D68:E68"/>
    <mergeCell ref="A69:C69"/>
    <mergeCell ref="A70:G70"/>
    <mergeCell ref="A72:B72"/>
    <mergeCell ref="A88:H89"/>
    <mergeCell ref="A77:G77"/>
    <mergeCell ref="A79:H79"/>
    <mergeCell ref="A80:H80"/>
    <mergeCell ref="A81:H81"/>
    <mergeCell ref="D69:E69"/>
    <mergeCell ref="A71:H71"/>
    <mergeCell ref="A94:H94"/>
    <mergeCell ref="A82:H82"/>
    <mergeCell ref="A83:H83"/>
    <mergeCell ref="A84:H84"/>
    <mergeCell ref="A85:H85"/>
    <mergeCell ref="A86:H87"/>
    <mergeCell ref="A90:H90"/>
    <mergeCell ref="A91:H91"/>
    <mergeCell ref="A92:H92"/>
    <mergeCell ref="A93:H93"/>
    <mergeCell ref="A76:G76"/>
    <mergeCell ref="A73:B73"/>
    <mergeCell ref="A74:C74"/>
    <mergeCell ref="D74:E74"/>
  </mergeCells>
  <phoneticPr fontId="40" type="noConversion"/>
  <printOptions horizontalCentered="1"/>
  <pageMargins left="0" right="0" top="0.67" bottom="0.2" header="0.25" footer="0.196850393700787"/>
  <pageSetup scale="72" orientation="portrait" r:id="rId1"/>
  <headerFooter alignWithMargins="0">
    <oddFooter>&amp;C&amp;P</oddFooter>
  </headerFooter>
  <rowBreaks count="1" manualBreakCount="1">
    <brk id="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I83"/>
  <sheetViews>
    <sheetView topLeftCell="A50" zoomScaleNormal="100" workbookViewId="0">
      <selection activeCell="B74" sqref="B74"/>
    </sheetView>
  </sheetViews>
  <sheetFormatPr defaultRowHeight="12.75" x14ac:dyDescent="0.2"/>
  <cols>
    <col min="1" max="1" width="56.28515625" style="316" bestFit="1" customWidth="1"/>
    <col min="2" max="2" width="14.28515625" style="317" bestFit="1" customWidth="1"/>
    <col min="3" max="3" width="10.28515625" style="282" customWidth="1"/>
    <col min="4" max="4" width="11.7109375" style="282" customWidth="1"/>
    <col min="5" max="5" width="12.28515625" style="282" bestFit="1" customWidth="1"/>
    <col min="6" max="6" width="10.7109375" style="282" customWidth="1"/>
    <col min="7" max="256" width="9.28515625" style="282"/>
    <col min="257" max="257" width="56.28515625" style="282" bestFit="1" customWidth="1"/>
    <col min="258" max="258" width="14.28515625" style="282" bestFit="1" customWidth="1"/>
    <col min="259" max="259" width="10.28515625" style="282" customWidth="1"/>
    <col min="260" max="260" width="11.7109375" style="282" customWidth="1"/>
    <col min="261" max="261" width="12.28515625" style="282" bestFit="1" customWidth="1"/>
    <col min="262" max="262" width="10.7109375" style="282" customWidth="1"/>
    <col min="263" max="512" width="9.28515625" style="282"/>
    <col min="513" max="513" width="56.28515625" style="282" bestFit="1" customWidth="1"/>
    <col min="514" max="514" width="14.28515625" style="282" bestFit="1" customWidth="1"/>
    <col min="515" max="515" width="10.28515625" style="282" customWidth="1"/>
    <col min="516" max="516" width="11.7109375" style="282" customWidth="1"/>
    <col min="517" max="517" width="12.28515625" style="282" bestFit="1" customWidth="1"/>
    <col min="518" max="518" width="10.7109375" style="282" customWidth="1"/>
    <col min="519" max="768" width="9.28515625" style="282"/>
    <col min="769" max="769" width="56.28515625" style="282" bestFit="1" customWidth="1"/>
    <col min="770" max="770" width="14.28515625" style="282" bestFit="1" customWidth="1"/>
    <col min="771" max="771" width="10.28515625" style="282" customWidth="1"/>
    <col min="772" max="772" width="11.7109375" style="282" customWidth="1"/>
    <col min="773" max="773" width="12.28515625" style="282" bestFit="1" customWidth="1"/>
    <col min="774" max="774" width="10.7109375" style="282" customWidth="1"/>
    <col min="775" max="1024" width="9.28515625" style="282"/>
    <col min="1025" max="1025" width="56.28515625" style="282" bestFit="1" customWidth="1"/>
    <col min="1026" max="1026" width="14.28515625" style="282" bestFit="1" customWidth="1"/>
    <col min="1027" max="1027" width="10.28515625" style="282" customWidth="1"/>
    <col min="1028" max="1028" width="11.7109375" style="282" customWidth="1"/>
    <col min="1029" max="1029" width="12.28515625" style="282" bestFit="1" customWidth="1"/>
    <col min="1030" max="1030" width="10.7109375" style="282" customWidth="1"/>
    <col min="1031" max="1280" width="9.28515625" style="282"/>
    <col min="1281" max="1281" width="56.28515625" style="282" bestFit="1" customWidth="1"/>
    <col min="1282" max="1282" width="14.28515625" style="282" bestFit="1" customWidth="1"/>
    <col min="1283" max="1283" width="10.28515625" style="282" customWidth="1"/>
    <col min="1284" max="1284" width="11.7109375" style="282" customWidth="1"/>
    <col min="1285" max="1285" width="12.28515625" style="282" bestFit="1" customWidth="1"/>
    <col min="1286" max="1286" width="10.7109375" style="282" customWidth="1"/>
    <col min="1287" max="1536" width="9.28515625" style="282"/>
    <col min="1537" max="1537" width="56.28515625" style="282" bestFit="1" customWidth="1"/>
    <col min="1538" max="1538" width="14.28515625" style="282" bestFit="1" customWidth="1"/>
    <col min="1539" max="1539" width="10.28515625" style="282" customWidth="1"/>
    <col min="1540" max="1540" width="11.7109375" style="282" customWidth="1"/>
    <col min="1541" max="1541" width="12.28515625" style="282" bestFit="1" customWidth="1"/>
    <col min="1542" max="1542" width="10.7109375" style="282" customWidth="1"/>
    <col min="1543" max="1792" width="9.28515625" style="282"/>
    <col min="1793" max="1793" width="56.28515625" style="282" bestFit="1" customWidth="1"/>
    <col min="1794" max="1794" width="14.28515625" style="282" bestFit="1" customWidth="1"/>
    <col min="1795" max="1795" width="10.28515625" style="282" customWidth="1"/>
    <col min="1796" max="1796" width="11.7109375" style="282" customWidth="1"/>
    <col min="1797" max="1797" width="12.28515625" style="282" bestFit="1" customWidth="1"/>
    <col min="1798" max="1798" width="10.7109375" style="282" customWidth="1"/>
    <col min="1799" max="2048" width="9.28515625" style="282"/>
    <col min="2049" max="2049" width="56.28515625" style="282" bestFit="1" customWidth="1"/>
    <col min="2050" max="2050" width="14.28515625" style="282" bestFit="1" customWidth="1"/>
    <col min="2051" max="2051" width="10.28515625" style="282" customWidth="1"/>
    <col min="2052" max="2052" width="11.7109375" style="282" customWidth="1"/>
    <col min="2053" max="2053" width="12.28515625" style="282" bestFit="1" customWidth="1"/>
    <col min="2054" max="2054" width="10.7109375" style="282" customWidth="1"/>
    <col min="2055" max="2304" width="9.28515625" style="282"/>
    <col min="2305" max="2305" width="56.28515625" style="282" bestFit="1" customWidth="1"/>
    <col min="2306" max="2306" width="14.28515625" style="282" bestFit="1" customWidth="1"/>
    <col min="2307" max="2307" width="10.28515625" style="282" customWidth="1"/>
    <col min="2308" max="2308" width="11.7109375" style="282" customWidth="1"/>
    <col min="2309" max="2309" width="12.28515625" style="282" bestFit="1" customWidth="1"/>
    <col min="2310" max="2310" width="10.7109375" style="282" customWidth="1"/>
    <col min="2311" max="2560" width="9.28515625" style="282"/>
    <col min="2561" max="2561" width="56.28515625" style="282" bestFit="1" customWidth="1"/>
    <col min="2562" max="2562" width="14.28515625" style="282" bestFit="1" customWidth="1"/>
    <col min="2563" max="2563" width="10.28515625" style="282" customWidth="1"/>
    <col min="2564" max="2564" width="11.7109375" style="282" customWidth="1"/>
    <col min="2565" max="2565" width="12.28515625" style="282" bestFit="1" customWidth="1"/>
    <col min="2566" max="2566" width="10.7109375" style="282" customWidth="1"/>
    <col min="2567" max="2816" width="9.28515625" style="282"/>
    <col min="2817" max="2817" width="56.28515625" style="282" bestFit="1" customWidth="1"/>
    <col min="2818" max="2818" width="14.28515625" style="282" bestFit="1" customWidth="1"/>
    <col min="2819" max="2819" width="10.28515625" style="282" customWidth="1"/>
    <col min="2820" max="2820" width="11.7109375" style="282" customWidth="1"/>
    <col min="2821" max="2821" width="12.28515625" style="282" bestFit="1" customWidth="1"/>
    <col min="2822" max="2822" width="10.7109375" style="282" customWidth="1"/>
    <col min="2823" max="3072" width="9.28515625" style="282"/>
    <col min="3073" max="3073" width="56.28515625" style="282" bestFit="1" customWidth="1"/>
    <col min="3074" max="3074" width="14.28515625" style="282" bestFit="1" customWidth="1"/>
    <col min="3075" max="3075" width="10.28515625" style="282" customWidth="1"/>
    <col min="3076" max="3076" width="11.7109375" style="282" customWidth="1"/>
    <col min="3077" max="3077" width="12.28515625" style="282" bestFit="1" customWidth="1"/>
    <col min="3078" max="3078" width="10.7109375" style="282" customWidth="1"/>
    <col min="3079" max="3328" width="9.28515625" style="282"/>
    <col min="3329" max="3329" width="56.28515625" style="282" bestFit="1" customWidth="1"/>
    <col min="3330" max="3330" width="14.28515625" style="282" bestFit="1" customWidth="1"/>
    <col min="3331" max="3331" width="10.28515625" style="282" customWidth="1"/>
    <col min="3332" max="3332" width="11.7109375" style="282" customWidth="1"/>
    <col min="3333" max="3333" width="12.28515625" style="282" bestFit="1" customWidth="1"/>
    <col min="3334" max="3334" width="10.7109375" style="282" customWidth="1"/>
    <col min="3335" max="3584" width="9.28515625" style="282"/>
    <col min="3585" max="3585" width="56.28515625" style="282" bestFit="1" customWidth="1"/>
    <col min="3586" max="3586" width="14.28515625" style="282" bestFit="1" customWidth="1"/>
    <col min="3587" max="3587" width="10.28515625" style="282" customWidth="1"/>
    <col min="3588" max="3588" width="11.7109375" style="282" customWidth="1"/>
    <col min="3589" max="3589" width="12.28515625" style="282" bestFit="1" customWidth="1"/>
    <col min="3590" max="3590" width="10.7109375" style="282" customWidth="1"/>
    <col min="3591" max="3840" width="9.28515625" style="282"/>
    <col min="3841" max="3841" width="56.28515625" style="282" bestFit="1" customWidth="1"/>
    <col min="3842" max="3842" width="14.28515625" style="282" bestFit="1" customWidth="1"/>
    <col min="3843" max="3843" width="10.28515625" style="282" customWidth="1"/>
    <col min="3844" max="3844" width="11.7109375" style="282" customWidth="1"/>
    <col min="3845" max="3845" width="12.28515625" style="282" bestFit="1" customWidth="1"/>
    <col min="3846" max="3846" width="10.7109375" style="282" customWidth="1"/>
    <col min="3847" max="4096" width="9.28515625" style="282"/>
    <col min="4097" max="4097" width="56.28515625" style="282" bestFit="1" customWidth="1"/>
    <col min="4098" max="4098" width="14.28515625" style="282" bestFit="1" customWidth="1"/>
    <col min="4099" max="4099" width="10.28515625" style="282" customWidth="1"/>
    <col min="4100" max="4100" width="11.7109375" style="282" customWidth="1"/>
    <col min="4101" max="4101" width="12.28515625" style="282" bestFit="1" customWidth="1"/>
    <col min="4102" max="4102" width="10.7109375" style="282" customWidth="1"/>
    <col min="4103" max="4352" width="9.28515625" style="282"/>
    <col min="4353" max="4353" width="56.28515625" style="282" bestFit="1" customWidth="1"/>
    <col min="4354" max="4354" width="14.28515625" style="282" bestFit="1" customWidth="1"/>
    <col min="4355" max="4355" width="10.28515625" style="282" customWidth="1"/>
    <col min="4356" max="4356" width="11.7109375" style="282" customWidth="1"/>
    <col min="4357" max="4357" width="12.28515625" style="282" bestFit="1" customWidth="1"/>
    <col min="4358" max="4358" width="10.7109375" style="282" customWidth="1"/>
    <col min="4359" max="4608" width="9.28515625" style="282"/>
    <col min="4609" max="4609" width="56.28515625" style="282" bestFit="1" customWidth="1"/>
    <col min="4610" max="4610" width="14.28515625" style="282" bestFit="1" customWidth="1"/>
    <col min="4611" max="4611" width="10.28515625" style="282" customWidth="1"/>
    <col min="4612" max="4612" width="11.7109375" style="282" customWidth="1"/>
    <col min="4613" max="4613" width="12.28515625" style="282" bestFit="1" customWidth="1"/>
    <col min="4614" max="4614" width="10.7109375" style="282" customWidth="1"/>
    <col min="4615" max="4864" width="9.28515625" style="282"/>
    <col min="4865" max="4865" width="56.28515625" style="282" bestFit="1" customWidth="1"/>
    <col min="4866" max="4866" width="14.28515625" style="282" bestFit="1" customWidth="1"/>
    <col min="4867" max="4867" width="10.28515625" style="282" customWidth="1"/>
    <col min="4868" max="4868" width="11.7109375" style="282" customWidth="1"/>
    <col min="4869" max="4869" width="12.28515625" style="282" bestFit="1" customWidth="1"/>
    <col min="4870" max="4870" width="10.7109375" style="282" customWidth="1"/>
    <col min="4871" max="5120" width="9.28515625" style="282"/>
    <col min="5121" max="5121" width="56.28515625" style="282" bestFit="1" customWidth="1"/>
    <col min="5122" max="5122" width="14.28515625" style="282" bestFit="1" customWidth="1"/>
    <col min="5123" max="5123" width="10.28515625" style="282" customWidth="1"/>
    <col min="5124" max="5124" width="11.7109375" style="282" customWidth="1"/>
    <col min="5125" max="5125" width="12.28515625" style="282" bestFit="1" customWidth="1"/>
    <col min="5126" max="5126" width="10.7109375" style="282" customWidth="1"/>
    <col min="5127" max="5376" width="9.28515625" style="282"/>
    <col min="5377" max="5377" width="56.28515625" style="282" bestFit="1" customWidth="1"/>
    <col min="5378" max="5378" width="14.28515625" style="282" bestFit="1" customWidth="1"/>
    <col min="5379" max="5379" width="10.28515625" style="282" customWidth="1"/>
    <col min="5380" max="5380" width="11.7109375" style="282" customWidth="1"/>
    <col min="5381" max="5381" width="12.28515625" style="282" bestFit="1" customWidth="1"/>
    <col min="5382" max="5382" width="10.7109375" style="282" customWidth="1"/>
    <col min="5383" max="5632" width="9.28515625" style="282"/>
    <col min="5633" max="5633" width="56.28515625" style="282" bestFit="1" customWidth="1"/>
    <col min="5634" max="5634" width="14.28515625" style="282" bestFit="1" customWidth="1"/>
    <col min="5635" max="5635" width="10.28515625" style="282" customWidth="1"/>
    <col min="5636" max="5636" width="11.7109375" style="282" customWidth="1"/>
    <col min="5637" max="5637" width="12.28515625" style="282" bestFit="1" customWidth="1"/>
    <col min="5638" max="5638" width="10.7109375" style="282" customWidth="1"/>
    <col min="5639" max="5888" width="9.28515625" style="282"/>
    <col min="5889" max="5889" width="56.28515625" style="282" bestFit="1" customWidth="1"/>
    <col min="5890" max="5890" width="14.28515625" style="282" bestFit="1" customWidth="1"/>
    <col min="5891" max="5891" width="10.28515625" style="282" customWidth="1"/>
    <col min="5892" max="5892" width="11.7109375" style="282" customWidth="1"/>
    <col min="5893" max="5893" width="12.28515625" style="282" bestFit="1" customWidth="1"/>
    <col min="5894" max="5894" width="10.7109375" style="282" customWidth="1"/>
    <col min="5895" max="6144" width="9.28515625" style="282"/>
    <col min="6145" max="6145" width="56.28515625" style="282" bestFit="1" customWidth="1"/>
    <col min="6146" max="6146" width="14.28515625" style="282" bestFit="1" customWidth="1"/>
    <col min="6147" max="6147" width="10.28515625" style="282" customWidth="1"/>
    <col min="6148" max="6148" width="11.7109375" style="282" customWidth="1"/>
    <col min="6149" max="6149" width="12.28515625" style="282" bestFit="1" customWidth="1"/>
    <col min="6150" max="6150" width="10.7109375" style="282" customWidth="1"/>
    <col min="6151" max="6400" width="9.28515625" style="282"/>
    <col min="6401" max="6401" width="56.28515625" style="282" bestFit="1" customWidth="1"/>
    <col min="6402" max="6402" width="14.28515625" style="282" bestFit="1" customWidth="1"/>
    <col min="6403" max="6403" width="10.28515625" style="282" customWidth="1"/>
    <col min="6404" max="6404" width="11.7109375" style="282" customWidth="1"/>
    <col min="6405" max="6405" width="12.28515625" style="282" bestFit="1" customWidth="1"/>
    <col min="6406" max="6406" width="10.7109375" style="282" customWidth="1"/>
    <col min="6407" max="6656" width="9.28515625" style="282"/>
    <col min="6657" max="6657" width="56.28515625" style="282" bestFit="1" customWidth="1"/>
    <col min="6658" max="6658" width="14.28515625" style="282" bestFit="1" customWidth="1"/>
    <col min="6659" max="6659" width="10.28515625" style="282" customWidth="1"/>
    <col min="6660" max="6660" width="11.7109375" style="282" customWidth="1"/>
    <col min="6661" max="6661" width="12.28515625" style="282" bestFit="1" customWidth="1"/>
    <col min="6662" max="6662" width="10.7109375" style="282" customWidth="1"/>
    <col min="6663" max="6912" width="9.28515625" style="282"/>
    <col min="6913" max="6913" width="56.28515625" style="282" bestFit="1" customWidth="1"/>
    <col min="6914" max="6914" width="14.28515625" style="282" bestFit="1" customWidth="1"/>
    <col min="6915" max="6915" width="10.28515625" style="282" customWidth="1"/>
    <col min="6916" max="6916" width="11.7109375" style="282" customWidth="1"/>
    <col min="6917" max="6917" width="12.28515625" style="282" bestFit="1" customWidth="1"/>
    <col min="6918" max="6918" width="10.7109375" style="282" customWidth="1"/>
    <col min="6919" max="7168" width="9.28515625" style="282"/>
    <col min="7169" max="7169" width="56.28515625" style="282" bestFit="1" customWidth="1"/>
    <col min="7170" max="7170" width="14.28515625" style="282" bestFit="1" customWidth="1"/>
    <col min="7171" max="7171" width="10.28515625" style="282" customWidth="1"/>
    <col min="7172" max="7172" width="11.7109375" style="282" customWidth="1"/>
    <col min="7173" max="7173" width="12.28515625" style="282" bestFit="1" customWidth="1"/>
    <col min="7174" max="7174" width="10.7109375" style="282" customWidth="1"/>
    <col min="7175" max="7424" width="9.28515625" style="282"/>
    <col min="7425" max="7425" width="56.28515625" style="282" bestFit="1" customWidth="1"/>
    <col min="7426" max="7426" width="14.28515625" style="282" bestFit="1" customWidth="1"/>
    <col min="7427" max="7427" width="10.28515625" style="282" customWidth="1"/>
    <col min="7428" max="7428" width="11.7109375" style="282" customWidth="1"/>
    <col min="7429" max="7429" width="12.28515625" style="282" bestFit="1" customWidth="1"/>
    <col min="7430" max="7430" width="10.7109375" style="282" customWidth="1"/>
    <col min="7431" max="7680" width="9.28515625" style="282"/>
    <col min="7681" max="7681" width="56.28515625" style="282" bestFit="1" customWidth="1"/>
    <col min="7682" max="7682" width="14.28515625" style="282" bestFit="1" customWidth="1"/>
    <col min="7683" max="7683" width="10.28515625" style="282" customWidth="1"/>
    <col min="7684" max="7684" width="11.7109375" style="282" customWidth="1"/>
    <col min="7685" max="7685" width="12.28515625" style="282" bestFit="1" customWidth="1"/>
    <col min="7686" max="7686" width="10.7109375" style="282" customWidth="1"/>
    <col min="7687" max="7936" width="9.28515625" style="282"/>
    <col min="7937" max="7937" width="56.28515625" style="282" bestFit="1" customWidth="1"/>
    <col min="7938" max="7938" width="14.28515625" style="282" bestFit="1" customWidth="1"/>
    <col min="7939" max="7939" width="10.28515625" style="282" customWidth="1"/>
    <col min="7940" max="7940" width="11.7109375" style="282" customWidth="1"/>
    <col min="7941" max="7941" width="12.28515625" style="282" bestFit="1" customWidth="1"/>
    <col min="7942" max="7942" width="10.7109375" style="282" customWidth="1"/>
    <col min="7943" max="8192" width="9.28515625" style="282"/>
    <col min="8193" max="8193" width="56.28515625" style="282" bestFit="1" customWidth="1"/>
    <col min="8194" max="8194" width="14.28515625" style="282" bestFit="1" customWidth="1"/>
    <col min="8195" max="8195" width="10.28515625" style="282" customWidth="1"/>
    <col min="8196" max="8196" width="11.7109375" style="282" customWidth="1"/>
    <col min="8197" max="8197" width="12.28515625" style="282" bestFit="1" customWidth="1"/>
    <col min="8198" max="8198" width="10.7109375" style="282" customWidth="1"/>
    <col min="8199" max="8448" width="9.28515625" style="282"/>
    <col min="8449" max="8449" width="56.28515625" style="282" bestFit="1" customWidth="1"/>
    <col min="8450" max="8450" width="14.28515625" style="282" bestFit="1" customWidth="1"/>
    <col min="8451" max="8451" width="10.28515625" style="282" customWidth="1"/>
    <col min="8452" max="8452" width="11.7109375" style="282" customWidth="1"/>
    <col min="8453" max="8453" width="12.28515625" style="282" bestFit="1" customWidth="1"/>
    <col min="8454" max="8454" width="10.7109375" style="282" customWidth="1"/>
    <col min="8455" max="8704" width="9.28515625" style="282"/>
    <col min="8705" max="8705" width="56.28515625" style="282" bestFit="1" customWidth="1"/>
    <col min="8706" max="8706" width="14.28515625" style="282" bestFit="1" customWidth="1"/>
    <col min="8707" max="8707" width="10.28515625" style="282" customWidth="1"/>
    <col min="8708" max="8708" width="11.7109375" style="282" customWidth="1"/>
    <col min="8709" max="8709" width="12.28515625" style="282" bestFit="1" customWidth="1"/>
    <col min="8710" max="8710" width="10.7109375" style="282" customWidth="1"/>
    <col min="8711" max="8960" width="9.28515625" style="282"/>
    <col min="8961" max="8961" width="56.28515625" style="282" bestFit="1" customWidth="1"/>
    <col min="8962" max="8962" width="14.28515625" style="282" bestFit="1" customWidth="1"/>
    <col min="8963" max="8963" width="10.28515625" style="282" customWidth="1"/>
    <col min="8964" max="8964" width="11.7109375" style="282" customWidth="1"/>
    <col min="8965" max="8965" width="12.28515625" style="282" bestFit="1" customWidth="1"/>
    <col min="8966" max="8966" width="10.7109375" style="282" customWidth="1"/>
    <col min="8967" max="9216" width="9.28515625" style="282"/>
    <col min="9217" max="9217" width="56.28515625" style="282" bestFit="1" customWidth="1"/>
    <col min="9218" max="9218" width="14.28515625" style="282" bestFit="1" customWidth="1"/>
    <col min="9219" max="9219" width="10.28515625" style="282" customWidth="1"/>
    <col min="9220" max="9220" width="11.7109375" style="282" customWidth="1"/>
    <col min="9221" max="9221" width="12.28515625" style="282" bestFit="1" customWidth="1"/>
    <col min="9222" max="9222" width="10.7109375" style="282" customWidth="1"/>
    <col min="9223" max="9472" width="9.28515625" style="282"/>
    <col min="9473" max="9473" width="56.28515625" style="282" bestFit="1" customWidth="1"/>
    <col min="9474" max="9474" width="14.28515625" style="282" bestFit="1" customWidth="1"/>
    <col min="9475" max="9475" width="10.28515625" style="282" customWidth="1"/>
    <col min="9476" max="9476" width="11.7109375" style="282" customWidth="1"/>
    <col min="9477" max="9477" width="12.28515625" style="282" bestFit="1" customWidth="1"/>
    <col min="9478" max="9478" width="10.7109375" style="282" customWidth="1"/>
    <col min="9479" max="9728" width="9.28515625" style="282"/>
    <col min="9729" max="9729" width="56.28515625" style="282" bestFit="1" customWidth="1"/>
    <col min="9730" max="9730" width="14.28515625" style="282" bestFit="1" customWidth="1"/>
    <col min="9731" max="9731" width="10.28515625" style="282" customWidth="1"/>
    <col min="9732" max="9732" width="11.7109375" style="282" customWidth="1"/>
    <col min="9733" max="9733" width="12.28515625" style="282" bestFit="1" customWidth="1"/>
    <col min="9734" max="9734" width="10.7109375" style="282" customWidth="1"/>
    <col min="9735" max="9984" width="9.28515625" style="282"/>
    <col min="9985" max="9985" width="56.28515625" style="282" bestFit="1" customWidth="1"/>
    <col min="9986" max="9986" width="14.28515625" style="282" bestFit="1" customWidth="1"/>
    <col min="9987" max="9987" width="10.28515625" style="282" customWidth="1"/>
    <col min="9988" max="9988" width="11.7109375" style="282" customWidth="1"/>
    <col min="9989" max="9989" width="12.28515625" style="282" bestFit="1" customWidth="1"/>
    <col min="9990" max="9990" width="10.7109375" style="282" customWidth="1"/>
    <col min="9991" max="10240" width="9.28515625" style="282"/>
    <col min="10241" max="10241" width="56.28515625" style="282" bestFit="1" customWidth="1"/>
    <col min="10242" max="10242" width="14.28515625" style="282" bestFit="1" customWidth="1"/>
    <col min="10243" max="10243" width="10.28515625" style="282" customWidth="1"/>
    <col min="10244" max="10244" width="11.7109375" style="282" customWidth="1"/>
    <col min="10245" max="10245" width="12.28515625" style="282" bestFit="1" customWidth="1"/>
    <col min="10246" max="10246" width="10.7109375" style="282" customWidth="1"/>
    <col min="10247" max="10496" width="9.28515625" style="282"/>
    <col min="10497" max="10497" width="56.28515625" style="282" bestFit="1" customWidth="1"/>
    <col min="10498" max="10498" width="14.28515625" style="282" bestFit="1" customWidth="1"/>
    <col min="10499" max="10499" width="10.28515625" style="282" customWidth="1"/>
    <col min="10500" max="10500" width="11.7109375" style="282" customWidth="1"/>
    <col min="10501" max="10501" width="12.28515625" style="282" bestFit="1" customWidth="1"/>
    <col min="10502" max="10502" width="10.7109375" style="282" customWidth="1"/>
    <col min="10503" max="10752" width="9.28515625" style="282"/>
    <col min="10753" max="10753" width="56.28515625" style="282" bestFit="1" customWidth="1"/>
    <col min="10754" max="10754" width="14.28515625" style="282" bestFit="1" customWidth="1"/>
    <col min="10755" max="10755" width="10.28515625" style="282" customWidth="1"/>
    <col min="10756" max="10756" width="11.7109375" style="282" customWidth="1"/>
    <col min="10757" max="10757" width="12.28515625" style="282" bestFit="1" customWidth="1"/>
    <col min="10758" max="10758" width="10.7109375" style="282" customWidth="1"/>
    <col min="10759" max="11008" width="9.28515625" style="282"/>
    <col min="11009" max="11009" width="56.28515625" style="282" bestFit="1" customWidth="1"/>
    <col min="11010" max="11010" width="14.28515625" style="282" bestFit="1" customWidth="1"/>
    <col min="11011" max="11011" width="10.28515625" style="282" customWidth="1"/>
    <col min="11012" max="11012" width="11.7109375" style="282" customWidth="1"/>
    <col min="11013" max="11013" width="12.28515625" style="282" bestFit="1" customWidth="1"/>
    <col min="11014" max="11014" width="10.7109375" style="282" customWidth="1"/>
    <col min="11015" max="11264" width="9.28515625" style="282"/>
    <col min="11265" max="11265" width="56.28515625" style="282" bestFit="1" customWidth="1"/>
    <col min="11266" max="11266" width="14.28515625" style="282" bestFit="1" customWidth="1"/>
    <col min="11267" max="11267" width="10.28515625" style="282" customWidth="1"/>
    <col min="11268" max="11268" width="11.7109375" style="282" customWidth="1"/>
    <col min="11269" max="11269" width="12.28515625" style="282" bestFit="1" customWidth="1"/>
    <col min="11270" max="11270" width="10.7109375" style="282" customWidth="1"/>
    <col min="11271" max="11520" width="9.28515625" style="282"/>
    <col min="11521" max="11521" width="56.28515625" style="282" bestFit="1" customWidth="1"/>
    <col min="11522" max="11522" width="14.28515625" style="282" bestFit="1" customWidth="1"/>
    <col min="11523" max="11523" width="10.28515625" style="282" customWidth="1"/>
    <col min="11524" max="11524" width="11.7109375" style="282" customWidth="1"/>
    <col min="11525" max="11525" width="12.28515625" style="282" bestFit="1" customWidth="1"/>
    <col min="11526" max="11526" width="10.7109375" style="282" customWidth="1"/>
    <col min="11527" max="11776" width="9.28515625" style="282"/>
    <col min="11777" max="11777" width="56.28515625" style="282" bestFit="1" customWidth="1"/>
    <col min="11778" max="11778" width="14.28515625" style="282" bestFit="1" customWidth="1"/>
    <col min="11779" max="11779" width="10.28515625" style="282" customWidth="1"/>
    <col min="11780" max="11780" width="11.7109375" style="282" customWidth="1"/>
    <col min="11781" max="11781" width="12.28515625" style="282" bestFit="1" customWidth="1"/>
    <col min="11782" max="11782" width="10.7109375" style="282" customWidth="1"/>
    <col min="11783" max="12032" width="9.28515625" style="282"/>
    <col min="12033" max="12033" width="56.28515625" style="282" bestFit="1" customWidth="1"/>
    <col min="12034" max="12034" width="14.28515625" style="282" bestFit="1" customWidth="1"/>
    <col min="12035" max="12035" width="10.28515625" style="282" customWidth="1"/>
    <col min="12036" max="12036" width="11.7109375" style="282" customWidth="1"/>
    <col min="12037" max="12037" width="12.28515625" style="282" bestFit="1" customWidth="1"/>
    <col min="12038" max="12038" width="10.7109375" style="282" customWidth="1"/>
    <col min="12039" max="12288" width="9.28515625" style="282"/>
    <col min="12289" max="12289" width="56.28515625" style="282" bestFit="1" customWidth="1"/>
    <col min="12290" max="12290" width="14.28515625" style="282" bestFit="1" customWidth="1"/>
    <col min="12291" max="12291" width="10.28515625" style="282" customWidth="1"/>
    <col min="12292" max="12292" width="11.7109375" style="282" customWidth="1"/>
    <col min="12293" max="12293" width="12.28515625" style="282" bestFit="1" customWidth="1"/>
    <col min="12294" max="12294" width="10.7109375" style="282" customWidth="1"/>
    <col min="12295" max="12544" width="9.28515625" style="282"/>
    <col min="12545" max="12545" width="56.28515625" style="282" bestFit="1" customWidth="1"/>
    <col min="12546" max="12546" width="14.28515625" style="282" bestFit="1" customWidth="1"/>
    <col min="12547" max="12547" width="10.28515625" style="282" customWidth="1"/>
    <col min="12548" max="12548" width="11.7109375" style="282" customWidth="1"/>
    <col min="12549" max="12549" width="12.28515625" style="282" bestFit="1" customWidth="1"/>
    <col min="12550" max="12550" width="10.7109375" style="282" customWidth="1"/>
    <col min="12551" max="12800" width="9.28515625" style="282"/>
    <col min="12801" max="12801" width="56.28515625" style="282" bestFit="1" customWidth="1"/>
    <col min="12802" max="12802" width="14.28515625" style="282" bestFit="1" customWidth="1"/>
    <col min="12803" max="12803" width="10.28515625" style="282" customWidth="1"/>
    <col min="12804" max="12804" width="11.7109375" style="282" customWidth="1"/>
    <col min="12805" max="12805" width="12.28515625" style="282" bestFit="1" customWidth="1"/>
    <col min="12806" max="12806" width="10.7109375" style="282" customWidth="1"/>
    <col min="12807" max="13056" width="9.28515625" style="282"/>
    <col min="13057" max="13057" width="56.28515625" style="282" bestFit="1" customWidth="1"/>
    <col min="13058" max="13058" width="14.28515625" style="282" bestFit="1" customWidth="1"/>
    <col min="13059" max="13059" width="10.28515625" style="282" customWidth="1"/>
    <col min="13060" max="13060" width="11.7109375" style="282" customWidth="1"/>
    <col min="13061" max="13061" width="12.28515625" style="282" bestFit="1" customWidth="1"/>
    <col min="13062" max="13062" width="10.7109375" style="282" customWidth="1"/>
    <col min="13063" max="13312" width="9.28515625" style="282"/>
    <col min="13313" max="13313" width="56.28515625" style="282" bestFit="1" customWidth="1"/>
    <col min="13314" max="13314" width="14.28515625" style="282" bestFit="1" customWidth="1"/>
    <col min="13315" max="13315" width="10.28515625" style="282" customWidth="1"/>
    <col min="13316" max="13316" width="11.7109375" style="282" customWidth="1"/>
    <col min="13317" max="13317" width="12.28515625" style="282" bestFit="1" customWidth="1"/>
    <col min="13318" max="13318" width="10.7109375" style="282" customWidth="1"/>
    <col min="13319" max="13568" width="9.28515625" style="282"/>
    <col min="13569" max="13569" width="56.28515625" style="282" bestFit="1" customWidth="1"/>
    <col min="13570" max="13570" width="14.28515625" style="282" bestFit="1" customWidth="1"/>
    <col min="13571" max="13571" width="10.28515625" style="282" customWidth="1"/>
    <col min="13572" max="13572" width="11.7109375" style="282" customWidth="1"/>
    <col min="13573" max="13573" width="12.28515625" style="282" bestFit="1" customWidth="1"/>
    <col min="13574" max="13574" width="10.7109375" style="282" customWidth="1"/>
    <col min="13575" max="13824" width="9.28515625" style="282"/>
    <col min="13825" max="13825" width="56.28515625" style="282" bestFit="1" customWidth="1"/>
    <col min="13826" max="13826" width="14.28515625" style="282" bestFit="1" customWidth="1"/>
    <col min="13827" max="13827" width="10.28515625" style="282" customWidth="1"/>
    <col min="13828" max="13828" width="11.7109375" style="282" customWidth="1"/>
    <col min="13829" max="13829" width="12.28515625" style="282" bestFit="1" customWidth="1"/>
    <col min="13830" max="13830" width="10.7109375" style="282" customWidth="1"/>
    <col min="13831" max="14080" width="9.28515625" style="282"/>
    <col min="14081" max="14081" width="56.28515625" style="282" bestFit="1" customWidth="1"/>
    <col min="14082" max="14082" width="14.28515625" style="282" bestFit="1" customWidth="1"/>
    <col min="14083" max="14083" width="10.28515625" style="282" customWidth="1"/>
    <col min="14084" max="14084" width="11.7109375" style="282" customWidth="1"/>
    <col min="14085" max="14085" width="12.28515625" style="282" bestFit="1" customWidth="1"/>
    <col min="14086" max="14086" width="10.7109375" style="282" customWidth="1"/>
    <col min="14087" max="14336" width="9.28515625" style="282"/>
    <col min="14337" max="14337" width="56.28515625" style="282" bestFit="1" customWidth="1"/>
    <col min="14338" max="14338" width="14.28515625" style="282" bestFit="1" customWidth="1"/>
    <col min="14339" max="14339" width="10.28515625" style="282" customWidth="1"/>
    <col min="14340" max="14340" width="11.7109375" style="282" customWidth="1"/>
    <col min="14341" max="14341" width="12.28515625" style="282" bestFit="1" customWidth="1"/>
    <col min="14342" max="14342" width="10.7109375" style="282" customWidth="1"/>
    <col min="14343" max="14592" width="9.28515625" style="282"/>
    <col min="14593" max="14593" width="56.28515625" style="282" bestFit="1" customWidth="1"/>
    <col min="14594" max="14594" width="14.28515625" style="282" bestFit="1" customWidth="1"/>
    <col min="14595" max="14595" width="10.28515625" style="282" customWidth="1"/>
    <col min="14596" max="14596" width="11.7109375" style="282" customWidth="1"/>
    <col min="14597" max="14597" width="12.28515625" style="282" bestFit="1" customWidth="1"/>
    <col min="14598" max="14598" width="10.7109375" style="282" customWidth="1"/>
    <col min="14599" max="14848" width="9.28515625" style="282"/>
    <col min="14849" max="14849" width="56.28515625" style="282" bestFit="1" customWidth="1"/>
    <col min="14850" max="14850" width="14.28515625" style="282" bestFit="1" customWidth="1"/>
    <col min="14851" max="14851" width="10.28515625" style="282" customWidth="1"/>
    <col min="14852" max="14852" width="11.7109375" style="282" customWidth="1"/>
    <col min="14853" max="14853" width="12.28515625" style="282" bestFit="1" customWidth="1"/>
    <col min="14854" max="14854" width="10.7109375" style="282" customWidth="1"/>
    <col min="14855" max="15104" width="9.28515625" style="282"/>
    <col min="15105" max="15105" width="56.28515625" style="282" bestFit="1" customWidth="1"/>
    <col min="15106" max="15106" width="14.28515625" style="282" bestFit="1" customWidth="1"/>
    <col min="15107" max="15107" width="10.28515625" style="282" customWidth="1"/>
    <col min="15108" max="15108" width="11.7109375" style="282" customWidth="1"/>
    <col min="15109" max="15109" width="12.28515625" style="282" bestFit="1" customWidth="1"/>
    <col min="15110" max="15110" width="10.7109375" style="282" customWidth="1"/>
    <col min="15111" max="15360" width="9.28515625" style="282"/>
    <col min="15361" max="15361" width="56.28515625" style="282" bestFit="1" customWidth="1"/>
    <col min="15362" max="15362" width="14.28515625" style="282" bestFit="1" customWidth="1"/>
    <col min="15363" max="15363" width="10.28515625" style="282" customWidth="1"/>
    <col min="15364" max="15364" width="11.7109375" style="282" customWidth="1"/>
    <col min="15365" max="15365" width="12.28515625" style="282" bestFit="1" customWidth="1"/>
    <col min="15366" max="15366" width="10.7109375" style="282" customWidth="1"/>
    <col min="15367" max="15616" width="9.28515625" style="282"/>
    <col min="15617" max="15617" width="56.28515625" style="282" bestFit="1" customWidth="1"/>
    <col min="15618" max="15618" width="14.28515625" style="282" bestFit="1" customWidth="1"/>
    <col min="15619" max="15619" width="10.28515625" style="282" customWidth="1"/>
    <col min="15620" max="15620" width="11.7109375" style="282" customWidth="1"/>
    <col min="15621" max="15621" width="12.28515625" style="282" bestFit="1" customWidth="1"/>
    <col min="15622" max="15622" width="10.7109375" style="282" customWidth="1"/>
    <col min="15623" max="15872" width="9.28515625" style="282"/>
    <col min="15873" max="15873" width="56.28515625" style="282" bestFit="1" customWidth="1"/>
    <col min="15874" max="15874" width="14.28515625" style="282" bestFit="1" customWidth="1"/>
    <col min="15875" max="15875" width="10.28515625" style="282" customWidth="1"/>
    <col min="15876" max="15876" width="11.7109375" style="282" customWidth="1"/>
    <col min="15877" max="15877" width="12.28515625" style="282" bestFit="1" customWidth="1"/>
    <col min="15878" max="15878" width="10.7109375" style="282" customWidth="1"/>
    <col min="15879" max="16128" width="9.28515625" style="282"/>
    <col min="16129" max="16129" width="56.28515625" style="282" bestFit="1" customWidth="1"/>
    <col min="16130" max="16130" width="14.28515625" style="282" bestFit="1" customWidth="1"/>
    <col min="16131" max="16131" width="10.28515625" style="282" customWidth="1"/>
    <col min="16132" max="16132" width="11.7109375" style="282" customWidth="1"/>
    <col min="16133" max="16133" width="12.28515625" style="282" bestFit="1" customWidth="1"/>
    <col min="16134" max="16134" width="10.7109375" style="282" customWidth="1"/>
    <col min="16135" max="16384" width="9.28515625" style="282"/>
  </cols>
  <sheetData>
    <row r="1" spans="1:9" s="283" customFormat="1" ht="18" x14ac:dyDescent="0.25">
      <c r="A1" s="1265" t="s">
        <v>682</v>
      </c>
      <c r="B1" s="1266"/>
      <c r="C1" s="1267"/>
    </row>
    <row r="2" spans="1:9" s="283" customFormat="1" ht="18" x14ac:dyDescent="0.25">
      <c r="A2" s="1262" t="str">
        <f>+'Monthly Budget'!B2</f>
        <v xml:space="preserve">FY24 Preliminary Budget </v>
      </c>
      <c r="B2" s="1263"/>
      <c r="C2" s="1264"/>
    </row>
    <row r="3" spans="1:9" s="283" customFormat="1" ht="18" x14ac:dyDescent="0.25">
      <c r="A3" s="840"/>
      <c r="B3" s="841"/>
      <c r="C3" s="842"/>
    </row>
    <row r="4" spans="1:9" s="285" customFormat="1" ht="18" x14ac:dyDescent="0.25">
      <c r="A4" s="284"/>
      <c r="B4" s="851" t="str">
        <f>+'Monthly Budget'!Q3</f>
        <v>FTE=890</v>
      </c>
      <c r="C4" s="777" t="s">
        <v>295</v>
      </c>
      <c r="E4" s="286"/>
    </row>
    <row r="5" spans="1:9" x14ac:dyDescent="0.2">
      <c r="A5" s="287"/>
      <c r="B5" s="776" t="s">
        <v>296</v>
      </c>
      <c r="C5" s="288"/>
    </row>
    <row r="6" spans="1:9" x14ac:dyDescent="0.2">
      <c r="A6" s="778" t="s">
        <v>297</v>
      </c>
      <c r="B6" s="776"/>
      <c r="C6" s="288"/>
    </row>
    <row r="7" spans="1:9" x14ac:dyDescent="0.2">
      <c r="A7" s="289" t="s">
        <v>298</v>
      </c>
      <c r="B7" s="290">
        <f>+'Monthly Budget'!Q7+'Monthly Budget'!Q8</f>
        <v>6772571.0259101121</v>
      </c>
      <c r="C7" s="291">
        <f>+B7/$B$25</f>
        <v>0.76661835212989127</v>
      </c>
      <c r="D7" s="306"/>
      <c r="E7" s="292"/>
    </row>
    <row r="8" spans="1:9" x14ac:dyDescent="0.2">
      <c r="A8" s="289" t="s">
        <v>1367</v>
      </c>
      <c r="B8" s="290">
        <f>+'Monthly Budget'!Q9</f>
        <v>0</v>
      </c>
      <c r="C8" s="291">
        <f>+B8/$B$25</f>
        <v>0</v>
      </c>
      <c r="E8" s="292"/>
    </row>
    <row r="9" spans="1:9" x14ac:dyDescent="0.2">
      <c r="A9" s="289" t="s">
        <v>299</v>
      </c>
      <c r="B9" s="290">
        <f>+'Monthly Budget'!Q10</f>
        <v>476150</v>
      </c>
      <c r="C9" s="291">
        <f>+B9/$B$25</f>
        <v>5.3897600626136639E-2</v>
      </c>
      <c r="E9" s="292"/>
    </row>
    <row r="10" spans="1:9" x14ac:dyDescent="0.2">
      <c r="A10" s="289" t="s">
        <v>300</v>
      </c>
      <c r="B10" s="290">
        <f>+'Monthly Budget'!Q14+'Monthly Budget'!Q13</f>
        <v>581161</v>
      </c>
      <c r="C10" s="291">
        <f>+B10/$B$25</f>
        <v>6.5784276966263142E-2</v>
      </c>
      <c r="E10" s="292"/>
    </row>
    <row r="11" spans="1:9" x14ac:dyDescent="0.2">
      <c r="A11" s="289" t="s">
        <v>352</v>
      </c>
      <c r="B11" s="290">
        <f>'Monthly Budget'!Q11</f>
        <v>443407</v>
      </c>
      <c r="C11" s="291">
        <f t="shared" ref="C11:C12" si="0">+B11/$B$25</f>
        <v>5.0191270399734048E-2</v>
      </c>
      <c r="E11" s="292"/>
    </row>
    <row r="12" spans="1:9" x14ac:dyDescent="0.2">
      <c r="A12" s="289" t="s">
        <v>687</v>
      </c>
      <c r="B12" s="290">
        <f>'Monthly Budget'!Q12</f>
        <v>0</v>
      </c>
      <c r="C12" s="291">
        <f t="shared" si="0"/>
        <v>0</v>
      </c>
      <c r="E12" s="292"/>
    </row>
    <row r="13" spans="1:9" x14ac:dyDescent="0.2">
      <c r="A13" s="289"/>
      <c r="B13" s="290"/>
      <c r="C13" s="291"/>
      <c r="E13" s="292"/>
    </row>
    <row r="14" spans="1:9" x14ac:dyDescent="0.2">
      <c r="A14" s="293" t="s">
        <v>301</v>
      </c>
      <c r="B14" s="294">
        <f>SUM(B7:B12)</f>
        <v>8273289.0259101121</v>
      </c>
      <c r="C14" s="291">
        <f>+B14/$B$25</f>
        <v>0.93649150012202509</v>
      </c>
    </row>
    <row r="15" spans="1:9" x14ac:dyDescent="0.2">
      <c r="A15" s="779" t="s">
        <v>302</v>
      </c>
      <c r="B15" s="295"/>
      <c r="C15" s="291"/>
      <c r="E15" s="292"/>
      <c r="I15" s="292" t="s">
        <v>296</v>
      </c>
    </row>
    <row r="16" spans="1:9" x14ac:dyDescent="0.2">
      <c r="A16" s="289" t="s">
        <v>837</v>
      </c>
      <c r="B16" s="290">
        <f>+'Monthly Budget'!Q18</f>
        <v>24000</v>
      </c>
      <c r="C16" s="291">
        <f>+B16/$B$25</f>
        <v>2.7166699885063095E-3</v>
      </c>
      <c r="E16" s="292"/>
    </row>
    <row r="17" spans="1:9" x14ac:dyDescent="0.2">
      <c r="A17" s="289" t="s">
        <v>1382</v>
      </c>
      <c r="B17" s="290">
        <f>+'Monthly Budget'!Q22+'Monthly Budget'!Q23</f>
        <v>112300</v>
      </c>
      <c r="C17" s="291">
        <f>+B17/$B$25</f>
        <v>1.271175165455244E-2</v>
      </c>
      <c r="E17" s="292"/>
    </row>
    <row r="18" spans="1:9" x14ac:dyDescent="0.2">
      <c r="A18" s="289" t="s">
        <v>1383</v>
      </c>
      <c r="B18" s="290">
        <f>+'Monthly Budget'!Q25</f>
        <v>169760</v>
      </c>
      <c r="C18" s="291">
        <f>+B18/$B$25</f>
        <v>1.9215912385367965E-2</v>
      </c>
      <c r="E18" s="292"/>
    </row>
    <row r="19" spans="1:9" x14ac:dyDescent="0.2">
      <c r="A19" s="289" t="s">
        <v>303</v>
      </c>
      <c r="B19" s="290">
        <f>SUM('Monthly Budget'!Q18:Q30)-B16-B17-B18</f>
        <v>254996</v>
      </c>
      <c r="C19" s="291">
        <f>+B19/$B$25</f>
        <v>2.886416584954812E-2</v>
      </c>
      <c r="E19" s="292"/>
    </row>
    <row r="20" spans="1:9" x14ac:dyDescent="0.2">
      <c r="A20" s="293" t="s">
        <v>301</v>
      </c>
      <c r="B20" s="294">
        <f>SUM(B16:B19)</f>
        <v>561056</v>
      </c>
      <c r="C20" s="291">
        <f>+B20/$B$25</f>
        <v>6.3508499877974842E-2</v>
      </c>
      <c r="E20" s="292"/>
    </row>
    <row r="21" spans="1:9" x14ac:dyDescent="0.2">
      <c r="A21" s="293"/>
      <c r="B21" s="295"/>
      <c r="C21" s="288"/>
      <c r="E21" s="292"/>
    </row>
    <row r="22" spans="1:9" s="30" customFormat="1" ht="15" x14ac:dyDescent="0.2">
      <c r="A22" s="779" t="s">
        <v>304</v>
      </c>
      <c r="B22" s="295"/>
      <c r="C22" s="288"/>
      <c r="E22" s="300"/>
    </row>
    <row r="23" spans="1:9" x14ac:dyDescent="0.2">
      <c r="A23" s="289" t="s">
        <v>858</v>
      </c>
      <c r="B23" s="294">
        <v>0</v>
      </c>
      <c r="C23" s="291">
        <f>+B23/$B$25</f>
        <v>0</v>
      </c>
      <c r="E23" s="292"/>
    </row>
    <row r="24" spans="1:9" x14ac:dyDescent="0.2">
      <c r="A24" s="296"/>
      <c r="B24" s="297"/>
      <c r="C24" s="291"/>
      <c r="E24" s="292"/>
    </row>
    <row r="25" spans="1:9" ht="16.5" thickBot="1" x14ac:dyDescent="0.3">
      <c r="A25" s="780" t="s">
        <v>305</v>
      </c>
      <c r="B25" s="299">
        <f>+B14+B20+B23</f>
        <v>8834345.025910113</v>
      </c>
      <c r="C25" s="781">
        <f>+B25/$B$25</f>
        <v>1</v>
      </c>
      <c r="E25" s="292"/>
    </row>
    <row r="26" spans="1:9" ht="13.5" thickTop="1" x14ac:dyDescent="0.2">
      <c r="A26" s="301"/>
      <c r="B26" s="302"/>
      <c r="C26" s="303" t="s">
        <v>296</v>
      </c>
      <c r="E26" s="292"/>
    </row>
    <row r="27" spans="1:9" x14ac:dyDescent="0.2">
      <c r="A27" s="778" t="s">
        <v>306</v>
      </c>
      <c r="B27" s="290">
        <f>+'Monthly Budget'!Q62</f>
        <v>4818557.8057933282</v>
      </c>
      <c r="C27" s="291">
        <f>+B27/$B$25</f>
        <v>0.54543464078673121</v>
      </c>
      <c r="E27" s="292"/>
    </row>
    <row r="28" spans="1:9" x14ac:dyDescent="0.2">
      <c r="A28" s="304"/>
      <c r="B28" s="290"/>
      <c r="C28" s="291"/>
      <c r="E28" s="292"/>
      <c r="F28" s="292"/>
      <c r="I28" s="282" t="s">
        <v>296</v>
      </c>
    </row>
    <row r="29" spans="1:9" x14ac:dyDescent="0.2">
      <c r="A29" s="778" t="s">
        <v>307</v>
      </c>
      <c r="B29" s="290">
        <f>+'Monthly Budget'!Q68</f>
        <v>24759.1</v>
      </c>
      <c r="C29" s="291">
        <f>+B29/$B$25</f>
        <v>2.8025959963511068E-3</v>
      </c>
      <c r="E29" s="292"/>
      <c r="F29" s="292"/>
    </row>
    <row r="30" spans="1:9" x14ac:dyDescent="0.2">
      <c r="A30" s="304"/>
      <c r="B30" s="290"/>
      <c r="C30" s="291"/>
      <c r="E30" s="292"/>
      <c r="F30" s="292"/>
    </row>
    <row r="31" spans="1:9" x14ac:dyDescent="0.2">
      <c r="A31" s="778" t="s">
        <v>308</v>
      </c>
      <c r="B31" s="305">
        <f>SUM(B32:B35)</f>
        <v>328689.42</v>
      </c>
      <c r="C31" s="291">
        <f t="shared" ref="C31:C35" si="1">+B31/$B$25</f>
        <v>3.7205861785564398E-2</v>
      </c>
      <c r="E31" s="292"/>
      <c r="F31" s="292"/>
    </row>
    <row r="32" spans="1:9" x14ac:dyDescent="0.2">
      <c r="A32" s="289" t="s">
        <v>309</v>
      </c>
      <c r="B32" s="290">
        <f>+'Monthly Budget'!Q97-'Annual Budget'!B33-'Annual Budget'!B35-B34</f>
        <v>203833.41999999998</v>
      </c>
      <c r="C32" s="291">
        <f t="shared" si="1"/>
        <v>2.3072838948691738E-2</v>
      </c>
      <c r="E32" s="292"/>
      <c r="F32" s="292"/>
    </row>
    <row r="33" spans="1:9" x14ac:dyDescent="0.2">
      <c r="A33" s="289" t="s">
        <v>310</v>
      </c>
      <c r="B33" s="290">
        <f>+'Monthly Budget'!Q89</f>
        <v>0</v>
      </c>
      <c r="C33" s="291">
        <f t="shared" si="1"/>
        <v>0</v>
      </c>
      <c r="E33" s="292"/>
      <c r="I33" s="282" t="s">
        <v>296</v>
      </c>
    </row>
    <row r="34" spans="1:9" x14ac:dyDescent="0.2">
      <c r="A34" s="289" t="s">
        <v>1384</v>
      </c>
      <c r="B34" s="290">
        <f>+'Monthly Budget'!Q84+'Monthly Budget'!Q87</f>
        <v>103860</v>
      </c>
      <c r="C34" s="291">
        <f t="shared" si="1"/>
        <v>1.1756389375261054E-2</v>
      </c>
      <c r="E34" s="292"/>
    </row>
    <row r="35" spans="1:9" x14ac:dyDescent="0.2">
      <c r="A35" s="289" t="s">
        <v>311</v>
      </c>
      <c r="B35" s="290">
        <f>+'Monthly Budget'!Q80+'Monthly Budget'!Q81+'Monthly Budget'!Q82+'Monthly Budget'!Q86+'Monthly Budget'!Q91</f>
        <v>20996</v>
      </c>
      <c r="C35" s="291">
        <f t="shared" si="1"/>
        <v>2.3766334616116031E-3</v>
      </c>
      <c r="E35" s="292"/>
    </row>
    <row r="36" spans="1:9" x14ac:dyDescent="0.2">
      <c r="A36" s="304"/>
      <c r="B36" s="290"/>
      <c r="C36" s="291"/>
      <c r="E36" s="292"/>
    </row>
    <row r="37" spans="1:9" x14ac:dyDescent="0.2">
      <c r="A37" s="778" t="s">
        <v>312</v>
      </c>
      <c r="B37" s="290">
        <f>+'Monthly Budget'!Q103</f>
        <v>386</v>
      </c>
      <c r="C37" s="291">
        <f>+B37/$B$25</f>
        <v>4.3693108981809813E-5</v>
      </c>
      <c r="E37" s="292"/>
    </row>
    <row r="38" spans="1:9" x14ac:dyDescent="0.2">
      <c r="A38" s="304"/>
      <c r="B38" s="290"/>
      <c r="C38" s="291"/>
      <c r="E38" s="292"/>
    </row>
    <row r="39" spans="1:9" x14ac:dyDescent="0.2">
      <c r="A39" s="778" t="s">
        <v>313</v>
      </c>
      <c r="B39" s="290">
        <f>+'Monthly Budget'!Q115</f>
        <v>219098.95</v>
      </c>
      <c r="C39" s="291">
        <f>+B39/$B$25</f>
        <v>2.4800814249093521E-2</v>
      </c>
      <c r="E39" s="292"/>
    </row>
    <row r="40" spans="1:9" x14ac:dyDescent="0.2">
      <c r="A40" s="304"/>
      <c r="B40" s="290"/>
      <c r="C40" s="291"/>
      <c r="E40" s="292"/>
    </row>
    <row r="41" spans="1:9" x14ac:dyDescent="0.2">
      <c r="A41" s="778" t="s">
        <v>314</v>
      </c>
      <c r="B41" s="290">
        <v>0</v>
      </c>
      <c r="C41" s="291">
        <f>+B41/$B$25</f>
        <v>0</v>
      </c>
      <c r="E41" s="292"/>
    </row>
    <row r="42" spans="1:9" x14ac:dyDescent="0.2">
      <c r="A42" s="304"/>
      <c r="B42" s="290"/>
      <c r="C42" s="291"/>
      <c r="E42" s="292"/>
    </row>
    <row r="43" spans="1:9" x14ac:dyDescent="0.2">
      <c r="A43" s="778" t="s">
        <v>315</v>
      </c>
      <c r="B43" s="290">
        <f>+'Monthly Budget'!Q129</f>
        <v>5400</v>
      </c>
      <c r="C43" s="291">
        <f>+B43/$B$25</f>
        <v>6.1125074741391963E-4</v>
      </c>
      <c r="E43" s="292"/>
    </row>
    <row r="44" spans="1:9" x14ac:dyDescent="0.2">
      <c r="A44" s="304"/>
      <c r="B44" s="290"/>
      <c r="C44" s="291"/>
      <c r="E44" s="292"/>
    </row>
    <row r="45" spans="1:9" x14ac:dyDescent="0.2">
      <c r="A45" s="778" t="s">
        <v>316</v>
      </c>
      <c r="B45" s="305">
        <f>SUM(B46:B50)</f>
        <v>1754378.23</v>
      </c>
      <c r="C45" s="291">
        <f t="shared" ref="C45:C50" si="2">+B45/$B$25</f>
        <v>0.19858611191374248</v>
      </c>
      <c r="E45" s="292"/>
    </row>
    <row r="46" spans="1:9" x14ac:dyDescent="0.2">
      <c r="A46" s="289" t="s">
        <v>317</v>
      </c>
      <c r="B46" s="290">
        <f>SUM('Monthly Budget'!Q132:Q136)</f>
        <v>816853.38</v>
      </c>
      <c r="C46" s="291">
        <f t="shared" si="2"/>
        <v>9.2463377602330837E-2</v>
      </c>
      <c r="E46" s="292"/>
    </row>
    <row r="47" spans="1:9" x14ac:dyDescent="0.2">
      <c r="A47" s="289" t="s">
        <v>318</v>
      </c>
      <c r="B47" s="290">
        <f>SUM('Monthly Budget'!Q147:Q151)</f>
        <v>513255.48</v>
      </c>
      <c r="C47" s="291">
        <f t="shared" si="2"/>
        <v>5.8097739956350015E-2</v>
      </c>
      <c r="E47" s="292"/>
      <c r="F47" s="306"/>
    </row>
    <row r="48" spans="1:9" x14ac:dyDescent="0.2">
      <c r="A48" s="289" t="s">
        <v>319</v>
      </c>
      <c r="B48" s="290">
        <f>SUM('Monthly Budget'!Q137:Q138)</f>
        <v>211242</v>
      </c>
      <c r="C48" s="291">
        <f t="shared" si="2"/>
        <v>2.3911450071335411E-2</v>
      </c>
      <c r="E48" s="292"/>
    </row>
    <row r="49" spans="1:5" x14ac:dyDescent="0.2">
      <c r="A49" s="289" t="s">
        <v>320</v>
      </c>
      <c r="B49" s="290">
        <f>SUM('Monthly Budget'!Q140:Q141)</f>
        <v>12500</v>
      </c>
      <c r="C49" s="291">
        <f t="shared" si="2"/>
        <v>1.4149322856803696E-3</v>
      </c>
      <c r="E49" s="292"/>
    </row>
    <row r="50" spans="1:5" x14ac:dyDescent="0.2">
      <c r="A50" s="289" t="s">
        <v>321</v>
      </c>
      <c r="B50" s="290">
        <f>+'Monthly Budget'!Q162-'Annual Budget'!B46-'Annual Budget'!B47-'Annual Budget'!B48-'Annual Budget'!B49</f>
        <v>200527.37</v>
      </c>
      <c r="C50" s="291">
        <f t="shared" si="2"/>
        <v>2.2698611998045855E-2</v>
      </c>
      <c r="E50" s="292"/>
    </row>
    <row r="51" spans="1:5" x14ac:dyDescent="0.2">
      <c r="A51" s="289"/>
      <c r="B51" s="290"/>
      <c r="C51" s="291"/>
    </row>
    <row r="52" spans="1:5" x14ac:dyDescent="0.2">
      <c r="A52" s="778" t="s">
        <v>322</v>
      </c>
      <c r="B52" s="305">
        <f>SUM(B53:B59)</f>
        <v>411647.23</v>
      </c>
      <c r="C52" s="291">
        <f t="shared" ref="C52:C59" si="3">+B52/$B$25</f>
        <v>4.659623648303142E-2</v>
      </c>
    </row>
    <row r="53" spans="1:5" x14ac:dyDescent="0.2">
      <c r="A53" s="289" t="s">
        <v>323</v>
      </c>
      <c r="B53" s="290">
        <f>+'Monthly Budget'!Q170+'Monthly Budget'!Q171</f>
        <v>11412</v>
      </c>
      <c r="C53" s="291">
        <f t="shared" si="3"/>
        <v>1.2917765795347502E-3</v>
      </c>
    </row>
    <row r="54" spans="1:5" x14ac:dyDescent="0.2">
      <c r="A54" s="289" t="s">
        <v>324</v>
      </c>
      <c r="B54" s="290">
        <f>+'Monthly Budget'!Q169</f>
        <v>63370</v>
      </c>
      <c r="C54" s="291">
        <f t="shared" si="3"/>
        <v>7.1731407154852012E-3</v>
      </c>
      <c r="E54" s="292"/>
    </row>
    <row r="55" spans="1:5" x14ac:dyDescent="0.2">
      <c r="A55" s="289" t="s">
        <v>325</v>
      </c>
      <c r="B55" s="290">
        <f>SUM('Monthly Budget'!Q172:Q175)</f>
        <v>71424</v>
      </c>
      <c r="C55" s="291">
        <f t="shared" si="3"/>
        <v>8.0848098857947779E-3</v>
      </c>
      <c r="E55" s="292"/>
    </row>
    <row r="56" spans="1:5" x14ac:dyDescent="0.2">
      <c r="A56" s="289" t="s">
        <v>326</v>
      </c>
      <c r="B56" s="290">
        <f>+'Monthly Budget'!Q176+'Monthly Budget'!Q178+'Monthly Budget'!Q177+'Monthly Budget'!Q180</f>
        <v>32031.23</v>
      </c>
      <c r="C56" s="291">
        <f t="shared" si="3"/>
        <v>3.6257617181642901E-3</v>
      </c>
      <c r="E56" s="292"/>
    </row>
    <row r="57" spans="1:5" x14ac:dyDescent="0.2">
      <c r="A57" s="289" t="s">
        <v>1385</v>
      </c>
      <c r="B57" s="290">
        <f>+'Monthly Budget'!Q181</f>
        <v>158964</v>
      </c>
      <c r="C57" s="291">
        <f t="shared" si="3"/>
        <v>1.799386366887154E-2</v>
      </c>
      <c r="E57" s="292"/>
    </row>
    <row r="58" spans="1:5" x14ac:dyDescent="0.2">
      <c r="A58" s="289" t="s">
        <v>1386</v>
      </c>
      <c r="B58" s="290">
        <f>+'Monthly Budget'!Q184</f>
        <v>73450</v>
      </c>
      <c r="C58" s="291">
        <f t="shared" si="3"/>
        <v>8.314142110657851E-3</v>
      </c>
      <c r="E58" s="292"/>
    </row>
    <row r="59" spans="1:5" x14ac:dyDescent="0.2">
      <c r="A59" s="289" t="s">
        <v>327</v>
      </c>
      <c r="B59" s="290">
        <f>+'Monthly Budget'!Q179+'Monthly Budget'!Q182</f>
        <v>996</v>
      </c>
      <c r="C59" s="291">
        <f t="shared" si="3"/>
        <v>1.1274180452301185E-4</v>
      </c>
      <c r="E59" s="292"/>
    </row>
    <row r="60" spans="1:5" x14ac:dyDescent="0.2">
      <c r="A60" s="307" t="s">
        <v>296</v>
      </c>
      <c r="B60" s="297" t="s">
        <v>296</v>
      </c>
      <c r="C60" s="782" t="s">
        <v>296</v>
      </c>
      <c r="E60" s="292"/>
    </row>
    <row r="61" spans="1:5" ht="15" thickBot="1" x14ac:dyDescent="0.25">
      <c r="A61" s="308" t="s">
        <v>328</v>
      </c>
      <c r="B61" s="309">
        <f>+B27+B29+B31+B37+B39+B41+B43+B45+B52</f>
        <v>7562916.7357933279</v>
      </c>
      <c r="C61" s="845">
        <f>+B61/$B$25</f>
        <v>0.8560812050709099</v>
      </c>
      <c r="E61" s="292"/>
    </row>
    <row r="62" spans="1:5" ht="13.5" thickTop="1" x14ac:dyDescent="0.2">
      <c r="A62" s="310"/>
      <c r="B62" s="290"/>
      <c r="C62" s="846"/>
      <c r="E62" s="292"/>
    </row>
    <row r="63" spans="1:5" x14ac:dyDescent="0.2">
      <c r="A63" s="778" t="s">
        <v>329</v>
      </c>
      <c r="B63" s="290"/>
      <c r="C63" s="846"/>
      <c r="E63" s="292"/>
    </row>
    <row r="64" spans="1:5" s="30" customFormat="1" ht="15" x14ac:dyDescent="0.2">
      <c r="A64" s="304" t="s">
        <v>330</v>
      </c>
      <c r="B64" s="290">
        <f>+'Monthly Budget'!Q124</f>
        <v>879059.92630921351</v>
      </c>
      <c r="C64" s="846">
        <f>+B64/$B$25</f>
        <v>9.9504821662617024E-2</v>
      </c>
      <c r="D64" s="30" t="s">
        <v>296</v>
      </c>
      <c r="E64" s="300"/>
    </row>
    <row r="65" spans="1:5" x14ac:dyDescent="0.2">
      <c r="A65" s="307"/>
      <c r="B65" s="297"/>
      <c r="C65" s="782"/>
      <c r="D65" s="282" t="s">
        <v>296</v>
      </c>
      <c r="E65" s="292"/>
    </row>
    <row r="66" spans="1:5" s="30" customFormat="1" ht="16.5" thickBot="1" x14ac:dyDescent="0.3">
      <c r="A66" s="311" t="s">
        <v>257</v>
      </c>
      <c r="B66" s="309">
        <f>SUM(B64:B65)</f>
        <v>879059.92630921351</v>
      </c>
      <c r="C66" s="845">
        <f>+B66/$B$25</f>
        <v>9.9504821662617024E-2</v>
      </c>
      <c r="D66" s="315" t="s">
        <v>296</v>
      </c>
      <c r="E66" s="300"/>
    </row>
    <row r="67" spans="1:5" ht="13.5" thickTop="1" x14ac:dyDescent="0.2">
      <c r="A67" s="287"/>
      <c r="B67" s="295"/>
      <c r="C67" s="847"/>
    </row>
    <row r="68" spans="1:5" ht="15" thickBot="1" x14ac:dyDescent="0.25">
      <c r="A68" s="311" t="s">
        <v>331</v>
      </c>
      <c r="B68" s="309">
        <f>'Monthly Budget'!Q166</f>
        <v>150000</v>
      </c>
      <c r="C68" s="845">
        <f>+B68/$B$25</f>
        <v>1.6979187428164434E-2</v>
      </c>
    </row>
    <row r="69" spans="1:5" ht="13.5" thickTop="1" x14ac:dyDescent="0.2">
      <c r="A69" s="304"/>
      <c r="B69" s="290"/>
      <c r="C69" s="846"/>
      <c r="D69" s="318"/>
    </row>
    <row r="70" spans="1:5" ht="16.5" thickBot="1" x14ac:dyDescent="0.3">
      <c r="A70" s="298" t="s">
        <v>332</v>
      </c>
      <c r="B70" s="299">
        <f>+B61+B66+B68</f>
        <v>8591976.662102541</v>
      </c>
      <c r="C70" s="848">
        <f>+B70/$B$25</f>
        <v>0.97256521416169128</v>
      </c>
      <c r="D70" s="318"/>
    </row>
    <row r="71" spans="1:5" ht="13.5" thickTop="1" x14ac:dyDescent="0.2">
      <c r="A71" s="301"/>
      <c r="B71" s="312"/>
      <c r="C71" s="849"/>
    </row>
    <row r="72" spans="1:5" ht="16.5" thickBot="1" x14ac:dyDescent="0.3">
      <c r="A72" s="313" t="s">
        <v>836</v>
      </c>
      <c r="B72" s="314">
        <f>+B25-B70</f>
        <v>242368.36380757205</v>
      </c>
      <c r="C72" s="850">
        <f>+B72/$B$25</f>
        <v>2.7434785838308742E-2</v>
      </c>
    </row>
    <row r="73" spans="1:5" x14ac:dyDescent="0.2">
      <c r="A73" s="287"/>
      <c r="B73" s="940"/>
      <c r="C73" s="941"/>
    </row>
    <row r="74" spans="1:5" ht="14.25" x14ac:dyDescent="0.2">
      <c r="A74" s="942" t="s">
        <v>939</v>
      </c>
      <c r="B74" s="297">
        <f>+'Monthly Budget'!Q195</f>
        <v>2770271.8528402001</v>
      </c>
      <c r="C74" s="782"/>
    </row>
    <row r="75" spans="1:5" ht="14.25" x14ac:dyDescent="0.2">
      <c r="A75" s="943" t="s">
        <v>940</v>
      </c>
      <c r="B75" s="290">
        <f>+'Monthly Budget'!Q197</f>
        <v>513255.47999999992</v>
      </c>
      <c r="C75" s="846"/>
    </row>
    <row r="76" spans="1:5" ht="14.25" x14ac:dyDescent="0.2">
      <c r="A76" s="943" t="s">
        <v>941</v>
      </c>
      <c r="B76" s="290">
        <f>+'Monthly Budget'!Q198</f>
        <v>487500</v>
      </c>
      <c r="C76" s="846"/>
      <c r="E76" s="292"/>
    </row>
    <row r="77" spans="1:5" ht="14.25" x14ac:dyDescent="0.2">
      <c r="A77" s="944" t="s">
        <v>942</v>
      </c>
      <c r="B77" s="305">
        <f>+'Monthly Budget'!Q199</f>
        <v>71171</v>
      </c>
      <c r="C77" s="945"/>
    </row>
    <row r="78" spans="1:5" ht="14.25" x14ac:dyDescent="0.2">
      <c r="A78" s="947"/>
      <c r="B78" s="290"/>
      <c r="C78" s="846"/>
    </row>
    <row r="79" spans="1:5" ht="16.5" thickBot="1" x14ac:dyDescent="0.3">
      <c r="A79" s="313" t="s">
        <v>944</v>
      </c>
      <c r="B79" s="314">
        <f>+B72+B75+B77+B76</f>
        <v>1314294.843807572</v>
      </c>
      <c r="C79" s="850">
        <f>+B79/$B$25</f>
        <v>0.14877105659252579</v>
      </c>
    </row>
    <row r="80" spans="1:5" ht="14.25" x14ac:dyDescent="0.2">
      <c r="A80" s="947"/>
      <c r="B80" s="290"/>
      <c r="C80" s="846"/>
    </row>
    <row r="81" spans="1:3" ht="16.5" thickBot="1" x14ac:dyDescent="0.3">
      <c r="A81" s="313" t="s">
        <v>943</v>
      </c>
      <c r="B81" s="314">
        <f>+B72+B74+B75+B77+B76</f>
        <v>4084566.6966477721</v>
      </c>
      <c r="C81" s="946"/>
    </row>
    <row r="82" spans="1:3" ht="16.5" thickBot="1" x14ac:dyDescent="0.3">
      <c r="A82" s="1040"/>
      <c r="B82" s="1041"/>
      <c r="C82" s="1042"/>
    </row>
    <row r="83" spans="1:3" ht="16.5" thickBot="1" x14ac:dyDescent="0.3">
      <c r="A83" s="313" t="s">
        <v>857</v>
      </c>
      <c r="B83" s="314">
        <f>+'Monthly Budget'!Q191</f>
        <v>8784.6432070539049</v>
      </c>
      <c r="C83" s="946"/>
    </row>
  </sheetData>
  <mergeCells count="2">
    <mergeCell ref="A2:C2"/>
    <mergeCell ref="A1:C1"/>
  </mergeCells>
  <phoneticPr fontId="40" type="noConversion"/>
  <printOptions horizontalCentered="1" verticalCentered="1"/>
  <pageMargins left="0.75" right="0.75" top="0.75" bottom="0.75" header="0.5" footer="0.5"/>
  <pageSetup scale="62" orientation="portrait" r:id="rId1"/>
  <headerFooter alignWithMargins="0">
    <oddFooter>&amp;C&amp;F, &amp;A
&amp;D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31"/>
  <sheetViews>
    <sheetView tabSelected="1" topLeftCell="A47" zoomScaleNormal="100" workbookViewId="0">
      <selection activeCell="Q111" sqref="Q111"/>
    </sheetView>
  </sheetViews>
  <sheetFormatPr defaultColWidth="9.140625" defaultRowHeight="11.25" x14ac:dyDescent="0.2"/>
  <cols>
    <col min="1" max="1" width="4.42578125" style="975" customWidth="1"/>
    <col min="2" max="2" width="35.5703125" style="617" bestFit="1" customWidth="1"/>
    <col min="3" max="4" width="11" style="618" bestFit="1" customWidth="1"/>
    <col min="5" max="7" width="11" style="618" hidden="1" customWidth="1"/>
    <col min="8" max="8" width="10.7109375" style="617" hidden="1" customWidth="1"/>
    <col min="9" max="9" width="9" style="617" hidden="1" customWidth="1"/>
    <col min="10" max="10" width="32.42578125" style="617" hidden="1" customWidth="1"/>
    <col min="11" max="11" width="9.140625" style="617" hidden="1" customWidth="1"/>
    <col min="12" max="12" width="0" style="617" hidden="1" customWidth="1"/>
    <col min="13" max="260" width="9.140625" style="617"/>
    <col min="261" max="261" width="4.42578125" style="617" customWidth="1"/>
    <col min="262" max="262" width="35.5703125" style="617" bestFit="1" customWidth="1"/>
    <col min="263" max="263" width="11" style="617" bestFit="1" customWidth="1"/>
    <col min="264" max="264" width="10.7109375" style="617" bestFit="1" customWidth="1"/>
    <col min="265" max="265" width="9" style="617" bestFit="1" customWidth="1"/>
    <col min="266" max="266" width="31.85546875" style="617" customWidth="1"/>
    <col min="267" max="516" width="9.140625" style="617"/>
    <col min="517" max="517" width="4.42578125" style="617" customWidth="1"/>
    <col min="518" max="518" width="35.5703125" style="617" bestFit="1" customWidth="1"/>
    <col min="519" max="519" width="11" style="617" bestFit="1" customWidth="1"/>
    <col min="520" max="520" width="10.7109375" style="617" bestFit="1" customWidth="1"/>
    <col min="521" max="521" width="9" style="617" bestFit="1" customWidth="1"/>
    <col min="522" max="522" width="31.85546875" style="617" customWidth="1"/>
    <col min="523" max="772" width="9.140625" style="617"/>
    <col min="773" max="773" width="4.42578125" style="617" customWidth="1"/>
    <col min="774" max="774" width="35.5703125" style="617" bestFit="1" customWidth="1"/>
    <col min="775" max="775" width="11" style="617" bestFit="1" customWidth="1"/>
    <col min="776" max="776" width="10.7109375" style="617" bestFit="1" customWidth="1"/>
    <col min="777" max="777" width="9" style="617" bestFit="1" customWidth="1"/>
    <col min="778" max="778" width="31.85546875" style="617" customWidth="1"/>
    <col min="779" max="1028" width="9.140625" style="617"/>
    <col min="1029" max="1029" width="4.42578125" style="617" customWidth="1"/>
    <col min="1030" max="1030" width="35.5703125" style="617" bestFit="1" customWidth="1"/>
    <col min="1031" max="1031" width="11" style="617" bestFit="1" customWidth="1"/>
    <col min="1032" max="1032" width="10.7109375" style="617" bestFit="1" customWidth="1"/>
    <col min="1033" max="1033" width="9" style="617" bestFit="1" customWidth="1"/>
    <col min="1034" max="1034" width="31.85546875" style="617" customWidth="1"/>
    <col min="1035" max="1284" width="9.140625" style="617"/>
    <col min="1285" max="1285" width="4.42578125" style="617" customWidth="1"/>
    <col min="1286" max="1286" width="35.5703125" style="617" bestFit="1" customWidth="1"/>
    <col min="1287" max="1287" width="11" style="617" bestFit="1" customWidth="1"/>
    <col min="1288" max="1288" width="10.7109375" style="617" bestFit="1" customWidth="1"/>
    <col min="1289" max="1289" width="9" style="617" bestFit="1" customWidth="1"/>
    <col min="1290" max="1290" width="31.85546875" style="617" customWidth="1"/>
    <col min="1291" max="1540" width="9.140625" style="617"/>
    <col min="1541" max="1541" width="4.42578125" style="617" customWidth="1"/>
    <col min="1542" max="1542" width="35.5703125" style="617" bestFit="1" customWidth="1"/>
    <col min="1543" max="1543" width="11" style="617" bestFit="1" customWidth="1"/>
    <col min="1544" max="1544" width="10.7109375" style="617" bestFit="1" customWidth="1"/>
    <col min="1545" max="1545" width="9" style="617" bestFit="1" customWidth="1"/>
    <col min="1546" max="1546" width="31.85546875" style="617" customWidth="1"/>
    <col min="1547" max="1796" width="9.140625" style="617"/>
    <col min="1797" max="1797" width="4.42578125" style="617" customWidth="1"/>
    <col min="1798" max="1798" width="35.5703125" style="617" bestFit="1" customWidth="1"/>
    <col min="1799" max="1799" width="11" style="617" bestFit="1" customWidth="1"/>
    <col min="1800" max="1800" width="10.7109375" style="617" bestFit="1" customWidth="1"/>
    <col min="1801" max="1801" width="9" style="617" bestFit="1" customWidth="1"/>
    <col min="1802" max="1802" width="31.85546875" style="617" customWidth="1"/>
    <col min="1803" max="2052" width="9.140625" style="617"/>
    <col min="2053" max="2053" width="4.42578125" style="617" customWidth="1"/>
    <col min="2054" max="2054" width="35.5703125" style="617" bestFit="1" customWidth="1"/>
    <col min="2055" max="2055" width="11" style="617" bestFit="1" customWidth="1"/>
    <col min="2056" max="2056" width="10.7109375" style="617" bestFit="1" customWidth="1"/>
    <col min="2057" max="2057" width="9" style="617" bestFit="1" customWidth="1"/>
    <col min="2058" max="2058" width="31.85546875" style="617" customWidth="1"/>
    <col min="2059" max="2308" width="9.140625" style="617"/>
    <col min="2309" max="2309" width="4.42578125" style="617" customWidth="1"/>
    <col min="2310" max="2310" width="35.5703125" style="617" bestFit="1" customWidth="1"/>
    <col min="2311" max="2311" width="11" style="617" bestFit="1" customWidth="1"/>
    <col min="2312" max="2312" width="10.7109375" style="617" bestFit="1" customWidth="1"/>
    <col min="2313" max="2313" width="9" style="617" bestFit="1" customWidth="1"/>
    <col min="2314" max="2314" width="31.85546875" style="617" customWidth="1"/>
    <col min="2315" max="2564" width="9.140625" style="617"/>
    <col min="2565" max="2565" width="4.42578125" style="617" customWidth="1"/>
    <col min="2566" max="2566" width="35.5703125" style="617" bestFit="1" customWidth="1"/>
    <col min="2567" max="2567" width="11" style="617" bestFit="1" customWidth="1"/>
    <col min="2568" max="2568" width="10.7109375" style="617" bestFit="1" customWidth="1"/>
    <col min="2569" max="2569" width="9" style="617" bestFit="1" customWidth="1"/>
    <col min="2570" max="2570" width="31.85546875" style="617" customWidth="1"/>
    <col min="2571" max="2820" width="9.140625" style="617"/>
    <col min="2821" max="2821" width="4.42578125" style="617" customWidth="1"/>
    <col min="2822" max="2822" width="35.5703125" style="617" bestFit="1" customWidth="1"/>
    <col min="2823" max="2823" width="11" style="617" bestFit="1" customWidth="1"/>
    <col min="2824" max="2824" width="10.7109375" style="617" bestFit="1" customWidth="1"/>
    <col min="2825" max="2825" width="9" style="617" bestFit="1" customWidth="1"/>
    <col min="2826" max="2826" width="31.85546875" style="617" customWidth="1"/>
    <col min="2827" max="3076" width="9.140625" style="617"/>
    <col min="3077" max="3077" width="4.42578125" style="617" customWidth="1"/>
    <col min="3078" max="3078" width="35.5703125" style="617" bestFit="1" customWidth="1"/>
    <col min="3079" max="3079" width="11" style="617" bestFit="1" customWidth="1"/>
    <col min="3080" max="3080" width="10.7109375" style="617" bestFit="1" customWidth="1"/>
    <col min="3081" max="3081" width="9" style="617" bestFit="1" customWidth="1"/>
    <col min="3082" max="3082" width="31.85546875" style="617" customWidth="1"/>
    <col min="3083" max="3332" width="9.140625" style="617"/>
    <col min="3333" max="3333" width="4.42578125" style="617" customWidth="1"/>
    <col min="3334" max="3334" width="35.5703125" style="617" bestFit="1" customWidth="1"/>
    <col min="3335" max="3335" width="11" style="617" bestFit="1" customWidth="1"/>
    <col min="3336" max="3336" width="10.7109375" style="617" bestFit="1" customWidth="1"/>
    <col min="3337" max="3337" width="9" style="617" bestFit="1" customWidth="1"/>
    <col min="3338" max="3338" width="31.85546875" style="617" customWidth="1"/>
    <col min="3339" max="3588" width="9.140625" style="617"/>
    <col min="3589" max="3589" width="4.42578125" style="617" customWidth="1"/>
    <col min="3590" max="3590" width="35.5703125" style="617" bestFit="1" customWidth="1"/>
    <col min="3591" max="3591" width="11" style="617" bestFit="1" customWidth="1"/>
    <col min="3592" max="3592" width="10.7109375" style="617" bestFit="1" customWidth="1"/>
    <col min="3593" max="3593" width="9" style="617" bestFit="1" customWidth="1"/>
    <col min="3594" max="3594" width="31.85546875" style="617" customWidth="1"/>
    <col min="3595" max="3844" width="9.140625" style="617"/>
    <col min="3845" max="3845" width="4.42578125" style="617" customWidth="1"/>
    <col min="3846" max="3846" width="35.5703125" style="617" bestFit="1" customWidth="1"/>
    <col min="3847" max="3847" width="11" style="617" bestFit="1" customWidth="1"/>
    <col min="3848" max="3848" width="10.7109375" style="617" bestFit="1" customWidth="1"/>
    <col min="3849" max="3849" width="9" style="617" bestFit="1" customWidth="1"/>
    <col min="3850" max="3850" width="31.85546875" style="617" customWidth="1"/>
    <col min="3851" max="4100" width="9.140625" style="617"/>
    <col min="4101" max="4101" width="4.42578125" style="617" customWidth="1"/>
    <col min="4102" max="4102" width="35.5703125" style="617" bestFit="1" customWidth="1"/>
    <col min="4103" max="4103" width="11" style="617" bestFit="1" customWidth="1"/>
    <col min="4104" max="4104" width="10.7109375" style="617" bestFit="1" customWidth="1"/>
    <col min="4105" max="4105" width="9" style="617" bestFit="1" customWidth="1"/>
    <col min="4106" max="4106" width="31.85546875" style="617" customWidth="1"/>
    <col min="4107" max="4356" width="9.140625" style="617"/>
    <col min="4357" max="4357" width="4.42578125" style="617" customWidth="1"/>
    <col min="4358" max="4358" width="35.5703125" style="617" bestFit="1" customWidth="1"/>
    <col min="4359" max="4359" width="11" style="617" bestFit="1" customWidth="1"/>
    <col min="4360" max="4360" width="10.7109375" style="617" bestFit="1" customWidth="1"/>
    <col min="4361" max="4361" width="9" style="617" bestFit="1" customWidth="1"/>
    <col min="4362" max="4362" width="31.85546875" style="617" customWidth="1"/>
    <col min="4363" max="4612" width="9.140625" style="617"/>
    <col min="4613" max="4613" width="4.42578125" style="617" customWidth="1"/>
    <col min="4614" max="4614" width="35.5703125" style="617" bestFit="1" customWidth="1"/>
    <col min="4615" max="4615" width="11" style="617" bestFit="1" customWidth="1"/>
    <col min="4616" max="4616" width="10.7109375" style="617" bestFit="1" customWidth="1"/>
    <col min="4617" max="4617" width="9" style="617" bestFit="1" customWidth="1"/>
    <col min="4618" max="4618" width="31.85546875" style="617" customWidth="1"/>
    <col min="4619" max="4868" width="9.140625" style="617"/>
    <col min="4869" max="4869" width="4.42578125" style="617" customWidth="1"/>
    <col min="4870" max="4870" width="35.5703125" style="617" bestFit="1" customWidth="1"/>
    <col min="4871" max="4871" width="11" style="617" bestFit="1" customWidth="1"/>
    <col min="4872" max="4872" width="10.7109375" style="617" bestFit="1" customWidth="1"/>
    <col min="4873" max="4873" width="9" style="617" bestFit="1" customWidth="1"/>
    <col min="4874" max="4874" width="31.85546875" style="617" customWidth="1"/>
    <col min="4875" max="5124" width="9.140625" style="617"/>
    <col min="5125" max="5125" width="4.42578125" style="617" customWidth="1"/>
    <col min="5126" max="5126" width="35.5703125" style="617" bestFit="1" customWidth="1"/>
    <col min="5127" max="5127" width="11" style="617" bestFit="1" customWidth="1"/>
    <col min="5128" max="5128" width="10.7109375" style="617" bestFit="1" customWidth="1"/>
    <col min="5129" max="5129" width="9" style="617" bestFit="1" customWidth="1"/>
    <col min="5130" max="5130" width="31.85546875" style="617" customWidth="1"/>
    <col min="5131" max="5380" width="9.140625" style="617"/>
    <col min="5381" max="5381" width="4.42578125" style="617" customWidth="1"/>
    <col min="5382" max="5382" width="35.5703125" style="617" bestFit="1" customWidth="1"/>
    <col min="5383" max="5383" width="11" style="617" bestFit="1" customWidth="1"/>
    <col min="5384" max="5384" width="10.7109375" style="617" bestFit="1" customWidth="1"/>
    <col min="5385" max="5385" width="9" style="617" bestFit="1" customWidth="1"/>
    <col min="5386" max="5386" width="31.85546875" style="617" customWidth="1"/>
    <col min="5387" max="5636" width="9.140625" style="617"/>
    <col min="5637" max="5637" width="4.42578125" style="617" customWidth="1"/>
    <col min="5638" max="5638" width="35.5703125" style="617" bestFit="1" customWidth="1"/>
    <col min="5639" max="5639" width="11" style="617" bestFit="1" customWidth="1"/>
    <col min="5640" max="5640" width="10.7109375" style="617" bestFit="1" customWidth="1"/>
    <col min="5641" max="5641" width="9" style="617" bestFit="1" customWidth="1"/>
    <col min="5642" max="5642" width="31.85546875" style="617" customWidth="1"/>
    <col min="5643" max="5892" width="9.140625" style="617"/>
    <col min="5893" max="5893" width="4.42578125" style="617" customWidth="1"/>
    <col min="5894" max="5894" width="35.5703125" style="617" bestFit="1" customWidth="1"/>
    <col min="5895" max="5895" width="11" style="617" bestFit="1" customWidth="1"/>
    <col min="5896" max="5896" width="10.7109375" style="617" bestFit="1" customWidth="1"/>
    <col min="5897" max="5897" width="9" style="617" bestFit="1" customWidth="1"/>
    <col min="5898" max="5898" width="31.85546875" style="617" customWidth="1"/>
    <col min="5899" max="6148" width="9.140625" style="617"/>
    <col min="6149" max="6149" width="4.42578125" style="617" customWidth="1"/>
    <col min="6150" max="6150" width="35.5703125" style="617" bestFit="1" customWidth="1"/>
    <col min="6151" max="6151" width="11" style="617" bestFit="1" customWidth="1"/>
    <col min="6152" max="6152" width="10.7109375" style="617" bestFit="1" customWidth="1"/>
    <col min="6153" max="6153" width="9" style="617" bestFit="1" customWidth="1"/>
    <col min="6154" max="6154" width="31.85546875" style="617" customWidth="1"/>
    <col min="6155" max="6404" width="9.140625" style="617"/>
    <col min="6405" max="6405" width="4.42578125" style="617" customWidth="1"/>
    <col min="6406" max="6406" width="35.5703125" style="617" bestFit="1" customWidth="1"/>
    <col min="6407" max="6407" width="11" style="617" bestFit="1" customWidth="1"/>
    <col min="6408" max="6408" width="10.7109375" style="617" bestFit="1" customWidth="1"/>
    <col min="6409" max="6409" width="9" style="617" bestFit="1" customWidth="1"/>
    <col min="6410" max="6410" width="31.85546875" style="617" customWidth="1"/>
    <col min="6411" max="6660" width="9.140625" style="617"/>
    <col min="6661" max="6661" width="4.42578125" style="617" customWidth="1"/>
    <col min="6662" max="6662" width="35.5703125" style="617" bestFit="1" customWidth="1"/>
    <col min="6663" max="6663" width="11" style="617" bestFit="1" customWidth="1"/>
    <col min="6664" max="6664" width="10.7109375" style="617" bestFit="1" customWidth="1"/>
    <col min="6665" max="6665" width="9" style="617" bestFit="1" customWidth="1"/>
    <col min="6666" max="6666" width="31.85546875" style="617" customWidth="1"/>
    <col min="6667" max="6916" width="9.140625" style="617"/>
    <col min="6917" max="6917" width="4.42578125" style="617" customWidth="1"/>
    <col min="6918" max="6918" width="35.5703125" style="617" bestFit="1" customWidth="1"/>
    <col min="6919" max="6919" width="11" style="617" bestFit="1" customWidth="1"/>
    <col min="6920" max="6920" width="10.7109375" style="617" bestFit="1" customWidth="1"/>
    <col min="6921" max="6921" width="9" style="617" bestFit="1" customWidth="1"/>
    <col min="6922" max="6922" width="31.85546875" style="617" customWidth="1"/>
    <col min="6923" max="7172" width="9.140625" style="617"/>
    <col min="7173" max="7173" width="4.42578125" style="617" customWidth="1"/>
    <col min="7174" max="7174" width="35.5703125" style="617" bestFit="1" customWidth="1"/>
    <col min="7175" max="7175" width="11" style="617" bestFit="1" customWidth="1"/>
    <col min="7176" max="7176" width="10.7109375" style="617" bestFit="1" customWidth="1"/>
    <col min="7177" max="7177" width="9" style="617" bestFit="1" customWidth="1"/>
    <col min="7178" max="7178" width="31.85546875" style="617" customWidth="1"/>
    <col min="7179" max="7428" width="9.140625" style="617"/>
    <col min="7429" max="7429" width="4.42578125" style="617" customWidth="1"/>
    <col min="7430" max="7430" width="35.5703125" style="617" bestFit="1" customWidth="1"/>
    <col min="7431" max="7431" width="11" style="617" bestFit="1" customWidth="1"/>
    <col min="7432" max="7432" width="10.7109375" style="617" bestFit="1" customWidth="1"/>
    <col min="7433" max="7433" width="9" style="617" bestFit="1" customWidth="1"/>
    <col min="7434" max="7434" width="31.85546875" style="617" customWidth="1"/>
    <col min="7435" max="7684" width="9.140625" style="617"/>
    <col min="7685" max="7685" width="4.42578125" style="617" customWidth="1"/>
    <col min="7686" max="7686" width="35.5703125" style="617" bestFit="1" customWidth="1"/>
    <col min="7687" max="7687" width="11" style="617" bestFit="1" customWidth="1"/>
    <col min="7688" max="7688" width="10.7109375" style="617" bestFit="1" customWidth="1"/>
    <col min="7689" max="7689" width="9" style="617" bestFit="1" customWidth="1"/>
    <col min="7690" max="7690" width="31.85546875" style="617" customWidth="1"/>
    <col min="7691" max="7940" width="9.140625" style="617"/>
    <col min="7941" max="7941" width="4.42578125" style="617" customWidth="1"/>
    <col min="7942" max="7942" width="35.5703125" style="617" bestFit="1" customWidth="1"/>
    <col min="7943" max="7943" width="11" style="617" bestFit="1" customWidth="1"/>
    <col min="7944" max="7944" width="10.7109375" style="617" bestFit="1" customWidth="1"/>
    <col min="7945" max="7945" width="9" style="617" bestFit="1" customWidth="1"/>
    <col min="7946" max="7946" width="31.85546875" style="617" customWidth="1"/>
    <col min="7947" max="8196" width="9.140625" style="617"/>
    <col min="8197" max="8197" width="4.42578125" style="617" customWidth="1"/>
    <col min="8198" max="8198" width="35.5703125" style="617" bestFit="1" customWidth="1"/>
    <col min="8199" max="8199" width="11" style="617" bestFit="1" customWidth="1"/>
    <col min="8200" max="8200" width="10.7109375" style="617" bestFit="1" customWidth="1"/>
    <col min="8201" max="8201" width="9" style="617" bestFit="1" customWidth="1"/>
    <col min="8202" max="8202" width="31.85546875" style="617" customWidth="1"/>
    <col min="8203" max="8452" width="9.140625" style="617"/>
    <col min="8453" max="8453" width="4.42578125" style="617" customWidth="1"/>
    <col min="8454" max="8454" width="35.5703125" style="617" bestFit="1" customWidth="1"/>
    <col min="8455" max="8455" width="11" style="617" bestFit="1" customWidth="1"/>
    <col min="8456" max="8456" width="10.7109375" style="617" bestFit="1" customWidth="1"/>
    <col min="8457" max="8457" width="9" style="617" bestFit="1" customWidth="1"/>
    <col min="8458" max="8458" width="31.85546875" style="617" customWidth="1"/>
    <col min="8459" max="8708" width="9.140625" style="617"/>
    <col min="8709" max="8709" width="4.42578125" style="617" customWidth="1"/>
    <col min="8710" max="8710" width="35.5703125" style="617" bestFit="1" customWidth="1"/>
    <col min="8711" max="8711" width="11" style="617" bestFit="1" customWidth="1"/>
    <col min="8712" max="8712" width="10.7109375" style="617" bestFit="1" customWidth="1"/>
    <col min="8713" max="8713" width="9" style="617" bestFit="1" customWidth="1"/>
    <col min="8714" max="8714" width="31.85546875" style="617" customWidth="1"/>
    <col min="8715" max="8964" width="9.140625" style="617"/>
    <col min="8965" max="8965" width="4.42578125" style="617" customWidth="1"/>
    <col min="8966" max="8966" width="35.5703125" style="617" bestFit="1" customWidth="1"/>
    <col min="8967" max="8967" width="11" style="617" bestFit="1" customWidth="1"/>
    <col min="8968" max="8968" width="10.7109375" style="617" bestFit="1" customWidth="1"/>
    <col min="8969" max="8969" width="9" style="617" bestFit="1" customWidth="1"/>
    <col min="8970" max="8970" width="31.85546875" style="617" customWidth="1"/>
    <col min="8971" max="9220" width="9.140625" style="617"/>
    <col min="9221" max="9221" width="4.42578125" style="617" customWidth="1"/>
    <col min="9222" max="9222" width="35.5703125" style="617" bestFit="1" customWidth="1"/>
    <col min="9223" max="9223" width="11" style="617" bestFit="1" customWidth="1"/>
    <col min="9224" max="9224" width="10.7109375" style="617" bestFit="1" customWidth="1"/>
    <col min="9225" max="9225" width="9" style="617" bestFit="1" customWidth="1"/>
    <col min="9226" max="9226" width="31.85546875" style="617" customWidth="1"/>
    <col min="9227" max="9476" width="9.140625" style="617"/>
    <col min="9477" max="9477" width="4.42578125" style="617" customWidth="1"/>
    <col min="9478" max="9478" width="35.5703125" style="617" bestFit="1" customWidth="1"/>
    <col min="9479" max="9479" width="11" style="617" bestFit="1" customWidth="1"/>
    <col min="9480" max="9480" width="10.7109375" style="617" bestFit="1" customWidth="1"/>
    <col min="9481" max="9481" width="9" style="617" bestFit="1" customWidth="1"/>
    <col min="9482" max="9482" width="31.85546875" style="617" customWidth="1"/>
    <col min="9483" max="9732" width="9.140625" style="617"/>
    <col min="9733" max="9733" width="4.42578125" style="617" customWidth="1"/>
    <col min="9734" max="9734" width="35.5703125" style="617" bestFit="1" customWidth="1"/>
    <col min="9735" max="9735" width="11" style="617" bestFit="1" customWidth="1"/>
    <col min="9736" max="9736" width="10.7109375" style="617" bestFit="1" customWidth="1"/>
    <col min="9737" max="9737" width="9" style="617" bestFit="1" customWidth="1"/>
    <col min="9738" max="9738" width="31.85546875" style="617" customWidth="1"/>
    <col min="9739" max="9988" width="9.140625" style="617"/>
    <col min="9989" max="9989" width="4.42578125" style="617" customWidth="1"/>
    <col min="9990" max="9990" width="35.5703125" style="617" bestFit="1" customWidth="1"/>
    <col min="9991" max="9991" width="11" style="617" bestFit="1" customWidth="1"/>
    <col min="9992" max="9992" width="10.7109375" style="617" bestFit="1" customWidth="1"/>
    <col min="9993" max="9993" width="9" style="617" bestFit="1" customWidth="1"/>
    <col min="9994" max="9994" width="31.85546875" style="617" customWidth="1"/>
    <col min="9995" max="10244" width="9.140625" style="617"/>
    <col min="10245" max="10245" width="4.42578125" style="617" customWidth="1"/>
    <col min="10246" max="10246" width="35.5703125" style="617" bestFit="1" customWidth="1"/>
    <col min="10247" max="10247" width="11" style="617" bestFit="1" customWidth="1"/>
    <col min="10248" max="10248" width="10.7109375" style="617" bestFit="1" customWidth="1"/>
    <col min="10249" max="10249" width="9" style="617" bestFit="1" customWidth="1"/>
    <col min="10250" max="10250" width="31.85546875" style="617" customWidth="1"/>
    <col min="10251" max="10500" width="9.140625" style="617"/>
    <col min="10501" max="10501" width="4.42578125" style="617" customWidth="1"/>
    <col min="10502" max="10502" width="35.5703125" style="617" bestFit="1" customWidth="1"/>
    <col min="10503" max="10503" width="11" style="617" bestFit="1" customWidth="1"/>
    <col min="10504" max="10504" width="10.7109375" style="617" bestFit="1" customWidth="1"/>
    <col min="10505" max="10505" width="9" style="617" bestFit="1" customWidth="1"/>
    <col min="10506" max="10506" width="31.85546875" style="617" customWidth="1"/>
    <col min="10507" max="10756" width="9.140625" style="617"/>
    <col min="10757" max="10757" width="4.42578125" style="617" customWidth="1"/>
    <col min="10758" max="10758" width="35.5703125" style="617" bestFit="1" customWidth="1"/>
    <col min="10759" max="10759" width="11" style="617" bestFit="1" customWidth="1"/>
    <col min="10760" max="10760" width="10.7109375" style="617" bestFit="1" customWidth="1"/>
    <col min="10761" max="10761" width="9" style="617" bestFit="1" customWidth="1"/>
    <col min="10762" max="10762" width="31.85546875" style="617" customWidth="1"/>
    <col min="10763" max="11012" width="9.140625" style="617"/>
    <col min="11013" max="11013" width="4.42578125" style="617" customWidth="1"/>
    <col min="11014" max="11014" width="35.5703125" style="617" bestFit="1" customWidth="1"/>
    <col min="11015" max="11015" width="11" style="617" bestFit="1" customWidth="1"/>
    <col min="11016" max="11016" width="10.7109375" style="617" bestFit="1" customWidth="1"/>
    <col min="11017" max="11017" width="9" style="617" bestFit="1" customWidth="1"/>
    <col min="11018" max="11018" width="31.85546875" style="617" customWidth="1"/>
    <col min="11019" max="11268" width="9.140625" style="617"/>
    <col min="11269" max="11269" width="4.42578125" style="617" customWidth="1"/>
    <col min="11270" max="11270" width="35.5703125" style="617" bestFit="1" customWidth="1"/>
    <col min="11271" max="11271" width="11" style="617" bestFit="1" customWidth="1"/>
    <col min="11272" max="11272" width="10.7109375" style="617" bestFit="1" customWidth="1"/>
    <col min="11273" max="11273" width="9" style="617" bestFit="1" customWidth="1"/>
    <col min="11274" max="11274" width="31.85546875" style="617" customWidth="1"/>
    <col min="11275" max="11524" width="9.140625" style="617"/>
    <col min="11525" max="11525" width="4.42578125" style="617" customWidth="1"/>
    <col min="11526" max="11526" width="35.5703125" style="617" bestFit="1" customWidth="1"/>
    <col min="11527" max="11527" width="11" style="617" bestFit="1" customWidth="1"/>
    <col min="11528" max="11528" width="10.7109375" style="617" bestFit="1" customWidth="1"/>
    <col min="11529" max="11529" width="9" style="617" bestFit="1" customWidth="1"/>
    <col min="11530" max="11530" width="31.85546875" style="617" customWidth="1"/>
    <col min="11531" max="11780" width="9.140625" style="617"/>
    <col min="11781" max="11781" width="4.42578125" style="617" customWidth="1"/>
    <col min="11782" max="11782" width="35.5703125" style="617" bestFit="1" customWidth="1"/>
    <col min="11783" max="11783" width="11" style="617" bestFit="1" customWidth="1"/>
    <col min="11784" max="11784" width="10.7109375" style="617" bestFit="1" customWidth="1"/>
    <col min="11785" max="11785" width="9" style="617" bestFit="1" customWidth="1"/>
    <col min="11786" max="11786" width="31.85546875" style="617" customWidth="1"/>
    <col min="11787" max="12036" width="9.140625" style="617"/>
    <col min="12037" max="12037" width="4.42578125" style="617" customWidth="1"/>
    <col min="12038" max="12038" width="35.5703125" style="617" bestFit="1" customWidth="1"/>
    <col min="12039" max="12039" width="11" style="617" bestFit="1" customWidth="1"/>
    <col min="12040" max="12040" width="10.7109375" style="617" bestFit="1" customWidth="1"/>
    <col min="12041" max="12041" width="9" style="617" bestFit="1" customWidth="1"/>
    <col min="12042" max="12042" width="31.85546875" style="617" customWidth="1"/>
    <col min="12043" max="12292" width="9.140625" style="617"/>
    <col min="12293" max="12293" width="4.42578125" style="617" customWidth="1"/>
    <col min="12294" max="12294" width="35.5703125" style="617" bestFit="1" customWidth="1"/>
    <col min="12295" max="12295" width="11" style="617" bestFit="1" customWidth="1"/>
    <col min="12296" max="12296" width="10.7109375" style="617" bestFit="1" customWidth="1"/>
    <col min="12297" max="12297" width="9" style="617" bestFit="1" customWidth="1"/>
    <col min="12298" max="12298" width="31.85546875" style="617" customWidth="1"/>
    <col min="12299" max="12548" width="9.140625" style="617"/>
    <col min="12549" max="12549" width="4.42578125" style="617" customWidth="1"/>
    <col min="12550" max="12550" width="35.5703125" style="617" bestFit="1" customWidth="1"/>
    <col min="12551" max="12551" width="11" style="617" bestFit="1" customWidth="1"/>
    <col min="12552" max="12552" width="10.7109375" style="617" bestFit="1" customWidth="1"/>
    <col min="12553" max="12553" width="9" style="617" bestFit="1" customWidth="1"/>
    <col min="12554" max="12554" width="31.85546875" style="617" customWidth="1"/>
    <col min="12555" max="12804" width="9.140625" style="617"/>
    <col min="12805" max="12805" width="4.42578125" style="617" customWidth="1"/>
    <col min="12806" max="12806" width="35.5703125" style="617" bestFit="1" customWidth="1"/>
    <col min="12807" max="12807" width="11" style="617" bestFit="1" customWidth="1"/>
    <col min="12808" max="12808" width="10.7109375" style="617" bestFit="1" customWidth="1"/>
    <col min="12809" max="12809" width="9" style="617" bestFit="1" customWidth="1"/>
    <col min="12810" max="12810" width="31.85546875" style="617" customWidth="1"/>
    <col min="12811" max="13060" width="9.140625" style="617"/>
    <col min="13061" max="13061" width="4.42578125" style="617" customWidth="1"/>
    <col min="13062" max="13062" width="35.5703125" style="617" bestFit="1" customWidth="1"/>
    <col min="13063" max="13063" width="11" style="617" bestFit="1" customWidth="1"/>
    <col min="13064" max="13064" width="10.7109375" style="617" bestFit="1" customWidth="1"/>
    <col min="13065" max="13065" width="9" style="617" bestFit="1" customWidth="1"/>
    <col min="13066" max="13066" width="31.85546875" style="617" customWidth="1"/>
    <col min="13067" max="13316" width="9.140625" style="617"/>
    <col min="13317" max="13317" width="4.42578125" style="617" customWidth="1"/>
    <col min="13318" max="13318" width="35.5703125" style="617" bestFit="1" customWidth="1"/>
    <col min="13319" max="13319" width="11" style="617" bestFit="1" customWidth="1"/>
    <col min="13320" max="13320" width="10.7109375" style="617" bestFit="1" customWidth="1"/>
    <col min="13321" max="13321" width="9" style="617" bestFit="1" customWidth="1"/>
    <col min="13322" max="13322" width="31.85546875" style="617" customWidth="1"/>
    <col min="13323" max="13572" width="9.140625" style="617"/>
    <col min="13573" max="13573" width="4.42578125" style="617" customWidth="1"/>
    <col min="13574" max="13574" width="35.5703125" style="617" bestFit="1" customWidth="1"/>
    <col min="13575" max="13575" width="11" style="617" bestFit="1" customWidth="1"/>
    <col min="13576" max="13576" width="10.7109375" style="617" bestFit="1" customWidth="1"/>
    <col min="13577" max="13577" width="9" style="617" bestFit="1" customWidth="1"/>
    <col min="13578" max="13578" width="31.85546875" style="617" customWidth="1"/>
    <col min="13579" max="13828" width="9.140625" style="617"/>
    <col min="13829" max="13829" width="4.42578125" style="617" customWidth="1"/>
    <col min="13830" max="13830" width="35.5703125" style="617" bestFit="1" customWidth="1"/>
    <col min="13831" max="13831" width="11" style="617" bestFit="1" customWidth="1"/>
    <col min="13832" max="13832" width="10.7109375" style="617" bestFit="1" customWidth="1"/>
    <col min="13833" max="13833" width="9" style="617" bestFit="1" customWidth="1"/>
    <col min="13834" max="13834" width="31.85546875" style="617" customWidth="1"/>
    <col min="13835" max="14084" width="9.140625" style="617"/>
    <col min="14085" max="14085" width="4.42578125" style="617" customWidth="1"/>
    <col min="14086" max="14086" width="35.5703125" style="617" bestFit="1" customWidth="1"/>
    <col min="14087" max="14087" width="11" style="617" bestFit="1" customWidth="1"/>
    <col min="14088" max="14088" width="10.7109375" style="617" bestFit="1" customWidth="1"/>
    <col min="14089" max="14089" width="9" style="617" bestFit="1" customWidth="1"/>
    <col min="14090" max="14090" width="31.85546875" style="617" customWidth="1"/>
    <col min="14091" max="14340" width="9.140625" style="617"/>
    <col min="14341" max="14341" width="4.42578125" style="617" customWidth="1"/>
    <col min="14342" max="14342" width="35.5703125" style="617" bestFit="1" customWidth="1"/>
    <col min="14343" max="14343" width="11" style="617" bestFit="1" customWidth="1"/>
    <col min="14344" max="14344" width="10.7109375" style="617" bestFit="1" customWidth="1"/>
    <col min="14345" max="14345" width="9" style="617" bestFit="1" customWidth="1"/>
    <col min="14346" max="14346" width="31.85546875" style="617" customWidth="1"/>
    <col min="14347" max="14596" width="9.140625" style="617"/>
    <col min="14597" max="14597" width="4.42578125" style="617" customWidth="1"/>
    <col min="14598" max="14598" width="35.5703125" style="617" bestFit="1" customWidth="1"/>
    <col min="14599" max="14599" width="11" style="617" bestFit="1" customWidth="1"/>
    <col min="14600" max="14600" width="10.7109375" style="617" bestFit="1" customWidth="1"/>
    <col min="14601" max="14601" width="9" style="617" bestFit="1" customWidth="1"/>
    <col min="14602" max="14602" width="31.85546875" style="617" customWidth="1"/>
    <col min="14603" max="14852" width="9.140625" style="617"/>
    <col min="14853" max="14853" width="4.42578125" style="617" customWidth="1"/>
    <col min="14854" max="14854" width="35.5703125" style="617" bestFit="1" customWidth="1"/>
    <col min="14855" max="14855" width="11" style="617" bestFit="1" customWidth="1"/>
    <col min="14856" max="14856" width="10.7109375" style="617" bestFit="1" customWidth="1"/>
    <col min="14857" max="14857" width="9" style="617" bestFit="1" customWidth="1"/>
    <col min="14858" max="14858" width="31.85546875" style="617" customWidth="1"/>
    <col min="14859" max="15108" width="9.140625" style="617"/>
    <col min="15109" max="15109" width="4.42578125" style="617" customWidth="1"/>
    <col min="15110" max="15110" width="35.5703125" style="617" bestFit="1" customWidth="1"/>
    <col min="15111" max="15111" width="11" style="617" bestFit="1" customWidth="1"/>
    <col min="15112" max="15112" width="10.7109375" style="617" bestFit="1" customWidth="1"/>
    <col min="15113" max="15113" width="9" style="617" bestFit="1" customWidth="1"/>
    <col min="15114" max="15114" width="31.85546875" style="617" customWidth="1"/>
    <col min="15115" max="15364" width="9.140625" style="617"/>
    <col min="15365" max="15365" width="4.42578125" style="617" customWidth="1"/>
    <col min="15366" max="15366" width="35.5703125" style="617" bestFit="1" customWidth="1"/>
    <col min="15367" max="15367" width="11" style="617" bestFit="1" customWidth="1"/>
    <col min="15368" max="15368" width="10.7109375" style="617" bestFit="1" customWidth="1"/>
    <col min="15369" max="15369" width="9" style="617" bestFit="1" customWidth="1"/>
    <col min="15370" max="15370" width="31.85546875" style="617" customWidth="1"/>
    <col min="15371" max="15620" width="9.140625" style="617"/>
    <col min="15621" max="15621" width="4.42578125" style="617" customWidth="1"/>
    <col min="15622" max="15622" width="35.5703125" style="617" bestFit="1" customWidth="1"/>
    <col min="15623" max="15623" width="11" style="617" bestFit="1" customWidth="1"/>
    <col min="15624" max="15624" width="10.7109375" style="617" bestFit="1" customWidth="1"/>
    <col min="15625" max="15625" width="9" style="617" bestFit="1" customWidth="1"/>
    <col min="15626" max="15626" width="31.85546875" style="617" customWidth="1"/>
    <col min="15627" max="15876" width="9.140625" style="617"/>
    <col min="15877" max="15877" width="4.42578125" style="617" customWidth="1"/>
    <col min="15878" max="15878" width="35.5703125" style="617" bestFit="1" customWidth="1"/>
    <col min="15879" max="15879" width="11" style="617" bestFit="1" customWidth="1"/>
    <col min="15880" max="15880" width="10.7109375" style="617" bestFit="1" customWidth="1"/>
    <col min="15881" max="15881" width="9" style="617" bestFit="1" customWidth="1"/>
    <col min="15882" max="15882" width="31.85546875" style="617" customWidth="1"/>
    <col min="15883" max="16132" width="9.140625" style="617"/>
    <col min="16133" max="16133" width="4.42578125" style="617" customWidth="1"/>
    <col min="16134" max="16134" width="35.5703125" style="617" bestFit="1" customWidth="1"/>
    <col min="16135" max="16135" width="11" style="617" bestFit="1" customWidth="1"/>
    <col min="16136" max="16136" width="10.7109375" style="617" bestFit="1" customWidth="1"/>
    <col min="16137" max="16137" width="9" style="617" bestFit="1" customWidth="1"/>
    <col min="16138" max="16138" width="31.85546875" style="617" customWidth="1"/>
    <col min="16139" max="16384" width="9.140625" style="617"/>
  </cols>
  <sheetData>
    <row r="1" spans="1:18" ht="15.75" x14ac:dyDescent="0.25">
      <c r="B1" s="976" t="s">
        <v>991</v>
      </c>
      <c r="H1" s="977"/>
      <c r="I1" s="977"/>
    </row>
    <row r="2" spans="1:18" ht="15.75" x14ac:dyDescent="0.25">
      <c r="B2" s="789" t="str">
        <f>+'Monthly Budget'!B2</f>
        <v xml:space="preserve">FY24 Preliminary Budget </v>
      </c>
      <c r="C2" s="978"/>
      <c r="D2" s="978"/>
      <c r="E2" s="978"/>
      <c r="F2" s="978"/>
      <c r="G2" s="978"/>
    </row>
    <row r="3" spans="1:18" ht="15.75" x14ac:dyDescent="0.25">
      <c r="B3" s="789"/>
      <c r="C3" s="979"/>
      <c r="D3" s="979"/>
      <c r="E3" s="979"/>
      <c r="F3" s="979"/>
      <c r="G3" s="979"/>
      <c r="H3" s="980"/>
      <c r="I3" s="980"/>
    </row>
    <row r="4" spans="1:18" ht="17.45" customHeight="1" thickBot="1" x14ac:dyDescent="0.25">
      <c r="B4" s="981"/>
      <c r="C4" s="1268"/>
      <c r="D4" s="1268"/>
      <c r="E4" s="1268"/>
      <c r="F4" s="1268"/>
      <c r="G4" s="645"/>
      <c r="H4" s="645"/>
      <c r="I4" s="645"/>
    </row>
    <row r="5" spans="1:18" ht="62.45" customHeight="1" thickTop="1" x14ac:dyDescent="0.2">
      <c r="B5" s="982"/>
      <c r="C5" s="1195" t="s">
        <v>1529</v>
      </c>
      <c r="D5" s="1196" t="str">
        <f>+'Monthly Budget'!R4</f>
        <v>Bond Funding</v>
      </c>
      <c r="E5" s="1195" t="s">
        <v>1475</v>
      </c>
      <c r="F5" s="1196" t="str">
        <f>+'Monthly Budget'!T4</f>
        <v>Bond Funding</v>
      </c>
      <c r="G5" s="1195" t="s">
        <v>1470</v>
      </c>
      <c r="H5" s="1197" t="s">
        <v>1476</v>
      </c>
      <c r="I5" s="1197" t="s">
        <v>346</v>
      </c>
      <c r="J5" s="1198" t="s">
        <v>989</v>
      </c>
    </row>
    <row r="6" spans="1:18" ht="15.75" x14ac:dyDescent="0.25">
      <c r="B6" s="983" t="s">
        <v>347</v>
      </c>
      <c r="C6" s="624"/>
      <c r="D6" s="1162"/>
      <c r="E6" s="624"/>
      <c r="F6" s="1162"/>
      <c r="G6" s="624"/>
      <c r="H6" s="624"/>
      <c r="I6" s="624"/>
      <c r="J6" s="987"/>
    </row>
    <row r="7" spans="1:18" x14ac:dyDescent="0.2">
      <c r="B7" s="984" t="s">
        <v>348</v>
      </c>
      <c r="C7" s="627"/>
      <c r="D7" s="1143"/>
      <c r="E7" s="627"/>
      <c r="F7" s="1143"/>
      <c r="G7" s="627"/>
      <c r="H7" s="627"/>
      <c r="I7" s="627"/>
      <c r="J7" s="987"/>
    </row>
    <row r="8" spans="1:18" ht="11.25" customHeight="1" x14ac:dyDescent="0.2">
      <c r="A8" s="975">
        <v>1</v>
      </c>
      <c r="B8" s="985" t="s">
        <v>349</v>
      </c>
      <c r="C8" s="627">
        <f>'Monthly Budget'!Q7+'Monthly Budget'!Q8</f>
        <v>6772571.0259101121</v>
      </c>
      <c r="D8" s="1143">
        <f>+'Monthly Budget'!R7</f>
        <v>0</v>
      </c>
      <c r="E8" s="627">
        <v>6218925.9176201373</v>
      </c>
      <c r="F8" s="1143">
        <f>+'Monthly Budget'!T7</f>
        <v>0</v>
      </c>
      <c r="G8" s="627">
        <f>+C8-E8</f>
        <v>553645.10828997474</v>
      </c>
      <c r="H8" s="627" t="e">
        <f>+'Monthly Budget'!#REF!</f>
        <v>#REF!</v>
      </c>
      <c r="I8" s="627" t="e">
        <f>+C8-H8</f>
        <v>#REF!</v>
      </c>
      <c r="J8" s="1097">
        <f>+'Monthly Budget'!V7</f>
        <v>0</v>
      </c>
      <c r="K8" s="619">
        <f>+C8-'[6]Board Format'!C8</f>
        <v>553645.10828997474</v>
      </c>
    </row>
    <row r="9" spans="1:18" x14ac:dyDescent="0.2">
      <c r="A9" s="975">
        <v>2</v>
      </c>
      <c r="B9" s="745" t="s">
        <v>930</v>
      </c>
      <c r="C9" s="627">
        <f>+'Monthly Budget'!Q9</f>
        <v>0</v>
      </c>
      <c r="D9" s="1143">
        <f>+'Monthly Budget'!R9</f>
        <v>0</v>
      </c>
      <c r="E9" s="627">
        <v>0</v>
      </c>
      <c r="F9" s="1143">
        <f>+'Monthly Budget'!T9</f>
        <v>0</v>
      </c>
      <c r="G9" s="627">
        <f t="shared" ref="G9:G11" si="0">+C9-E9</f>
        <v>0</v>
      </c>
      <c r="H9" s="627" t="e">
        <f>+'Monthly Budget'!#REF!</f>
        <v>#REF!</v>
      </c>
      <c r="I9" s="627" t="e">
        <f>+C9-H9</f>
        <v>#REF!</v>
      </c>
      <c r="J9" s="1011"/>
      <c r="K9" s="619">
        <f>+C9-'[6]Board Format'!C9</f>
        <v>0</v>
      </c>
    </row>
    <row r="10" spans="1:18" x14ac:dyDescent="0.2">
      <c r="A10" s="975">
        <v>3</v>
      </c>
      <c r="B10" s="985" t="s">
        <v>351</v>
      </c>
      <c r="C10" s="627">
        <f>+'Monthly Budget'!Q10</f>
        <v>476150</v>
      </c>
      <c r="D10" s="1143">
        <f>+'Monthly Budget'!R10</f>
        <v>0</v>
      </c>
      <c r="E10" s="627">
        <v>462063.05760368664</v>
      </c>
      <c r="F10" s="1143">
        <f>+'Monthly Budget'!T10</f>
        <v>0</v>
      </c>
      <c r="G10" s="627">
        <f t="shared" si="0"/>
        <v>14086.942396313359</v>
      </c>
      <c r="H10" s="627" t="e">
        <f>+'Monthly Budget'!#REF!</f>
        <v>#REF!</v>
      </c>
      <c r="I10" s="627" t="e">
        <f>+C10-H10</f>
        <v>#REF!</v>
      </c>
      <c r="J10" s="1188">
        <f>+'Monthly Budget'!V10</f>
        <v>0</v>
      </c>
      <c r="K10" s="619">
        <f>+C10-'[6]Board Format'!C10</f>
        <v>14086.942396313359</v>
      </c>
    </row>
    <row r="11" spans="1:18" ht="22.5" x14ac:dyDescent="0.2">
      <c r="A11" s="975">
        <v>4</v>
      </c>
      <c r="B11" s="985" t="s">
        <v>992</v>
      </c>
      <c r="C11" s="627">
        <f>'Monthly Budget'!Q14</f>
        <v>581161</v>
      </c>
      <c r="D11" s="1143">
        <f>+'Monthly Budget'!R14+'Monthly Budget'!R13+'Monthly Budget'!R8</f>
        <v>0</v>
      </c>
      <c r="E11" s="627">
        <v>414571.64</v>
      </c>
      <c r="F11" s="1143">
        <f>+'Monthly Budget'!T14+'Monthly Budget'!T13+'Monthly Budget'!T8</f>
        <v>0</v>
      </c>
      <c r="G11" s="627">
        <f t="shared" si="0"/>
        <v>166589.35999999999</v>
      </c>
      <c r="H11" s="627" t="e">
        <f>+'Monthly Budget'!#REF!+'Monthly Budget'!#REF!+'Monthly Budget'!#REF!</f>
        <v>#REF!</v>
      </c>
      <c r="I11" s="627" t="e">
        <f>+C11-H11</f>
        <v>#REF!</v>
      </c>
      <c r="J11" s="1010" t="s">
        <v>1471</v>
      </c>
      <c r="K11" s="619">
        <f>+C11-'[6]Board Format'!C11</f>
        <v>166589.35999999999</v>
      </c>
    </row>
    <row r="12" spans="1:18" x14ac:dyDescent="0.2">
      <c r="B12" s="985" t="s">
        <v>352</v>
      </c>
      <c r="C12" s="1004">
        <f>'Monthly Budget'!Q11</f>
        <v>443407</v>
      </c>
      <c r="D12" s="1167"/>
      <c r="E12" s="1004"/>
      <c r="F12" s="1167"/>
      <c r="G12" s="1004"/>
      <c r="H12" s="1004"/>
      <c r="I12" s="1004"/>
      <c r="J12" s="1010"/>
      <c r="K12" s="619"/>
    </row>
    <row r="13" spans="1:18" ht="12" thickBot="1" x14ac:dyDescent="0.25">
      <c r="A13" s="975">
        <v>5</v>
      </c>
      <c r="B13" s="986" t="s">
        <v>353</v>
      </c>
      <c r="C13" s="748">
        <f>SUM(C8:C12)</f>
        <v>8273289.0259101121</v>
      </c>
      <c r="D13" s="1164">
        <f>SUM(D8:D11)</f>
        <v>0</v>
      </c>
      <c r="E13" s="748">
        <f t="shared" ref="E13:G13" si="1">SUM(E8:E11)</f>
        <v>7095560.615223824</v>
      </c>
      <c r="F13" s="1164">
        <f>SUM(F8:F11)</f>
        <v>0</v>
      </c>
      <c r="G13" s="748">
        <f t="shared" si="1"/>
        <v>734321.41068628815</v>
      </c>
      <c r="H13" s="748" t="e">
        <f>SUM(H8:H11)</f>
        <v>#REF!</v>
      </c>
      <c r="I13" s="748" t="e">
        <f>SUM(I8:I11)</f>
        <v>#REF!</v>
      </c>
      <c r="J13" s="989"/>
      <c r="K13" s="619">
        <f>+C13-'[6]Board Format'!C12</f>
        <v>1177728.410686288</v>
      </c>
      <c r="R13" s="993"/>
    </row>
    <row r="14" spans="1:18" ht="12" thickTop="1" x14ac:dyDescent="0.2">
      <c r="A14" s="975">
        <v>6</v>
      </c>
      <c r="B14" s="987"/>
      <c r="C14" s="635"/>
      <c r="D14" s="1154"/>
      <c r="E14" s="635"/>
      <c r="F14" s="1154"/>
      <c r="G14" s="635"/>
      <c r="H14" s="635"/>
      <c r="I14" s="635"/>
      <c r="J14" s="987"/>
      <c r="K14" s="619">
        <f>+C14-'[6]Board Format'!C13</f>
        <v>0</v>
      </c>
    </row>
    <row r="15" spans="1:18" x14ac:dyDescent="0.2">
      <c r="A15" s="975">
        <v>7</v>
      </c>
      <c r="B15" s="984" t="s">
        <v>302</v>
      </c>
      <c r="C15" s="634"/>
      <c r="D15" s="1153"/>
      <c r="E15" s="634"/>
      <c r="F15" s="1153"/>
      <c r="G15" s="634"/>
      <c r="H15" s="634"/>
      <c r="I15" s="634"/>
      <c r="J15" s="987"/>
      <c r="K15" s="619">
        <f>+C15-'[6]Board Format'!C14</f>
        <v>0</v>
      </c>
    </row>
    <row r="16" spans="1:18" ht="21.6" customHeight="1" x14ac:dyDescent="0.2">
      <c r="A16" s="975">
        <v>8</v>
      </c>
      <c r="B16" s="988" t="s">
        <v>993</v>
      </c>
      <c r="C16" s="634">
        <f>+'Monthly Budget'!Q18</f>
        <v>24000</v>
      </c>
      <c r="D16" s="1153">
        <f>+'Monthly Budget'!R18</f>
        <v>0</v>
      </c>
      <c r="E16" s="634">
        <v>0</v>
      </c>
      <c r="F16" s="1153">
        <f>+'Monthly Budget'!T18</f>
        <v>0</v>
      </c>
      <c r="G16" s="634"/>
      <c r="H16" s="634" t="e">
        <f>+'Monthly Budget'!#REF!</f>
        <v>#REF!</v>
      </c>
      <c r="I16" s="634" t="e">
        <f t="shared" ref="I16:I21" si="2">+C16-H16</f>
        <v>#REF!</v>
      </c>
      <c r="J16" s="987"/>
      <c r="K16" s="619">
        <f>+C16-'[6]Board Format'!C15</f>
        <v>24000</v>
      </c>
    </row>
    <row r="17" spans="1:25" x14ac:dyDescent="0.2">
      <c r="A17" s="975">
        <v>9</v>
      </c>
      <c r="B17" s="988" t="s">
        <v>1364</v>
      </c>
      <c r="C17" s="634">
        <f>+'Monthly Budget'!Q22+'Monthly Budget'!Q23</f>
        <v>112300</v>
      </c>
      <c r="D17" s="1153">
        <f>+'Monthly Budget'!R22+'Monthly Budget'!R23</f>
        <v>0</v>
      </c>
      <c r="E17" s="634">
        <v>106120</v>
      </c>
      <c r="F17" s="1153">
        <f>+'Monthly Budget'!T22+'Monthly Budget'!T23</f>
        <v>0</v>
      </c>
      <c r="G17" s="627">
        <f t="shared" ref="G17:G21" si="3">+C17-E17</f>
        <v>6180</v>
      </c>
      <c r="H17" s="634" t="e">
        <f>+'Monthly Budget'!#REF!+'Monthly Budget'!#REF!</f>
        <v>#REF!</v>
      </c>
      <c r="I17" s="634" t="e">
        <f t="shared" si="2"/>
        <v>#REF!</v>
      </c>
      <c r="J17" s="1171">
        <f>+'Monthly Budget'!V23</f>
        <v>0</v>
      </c>
      <c r="K17" s="619">
        <f>+C17-'[6]Board Format'!C16</f>
        <v>6180</v>
      </c>
    </row>
    <row r="18" spans="1:25" x14ac:dyDescent="0.2">
      <c r="A18" s="975">
        <v>10</v>
      </c>
      <c r="B18" s="745" t="s">
        <v>934</v>
      </c>
      <c r="C18" s="634">
        <f>+'Monthly Budget'!Q25</f>
        <v>169760</v>
      </c>
      <c r="D18" s="1153">
        <f>+'Monthly Budget'!R25</f>
        <v>0</v>
      </c>
      <c r="E18" s="634">
        <v>119509.39</v>
      </c>
      <c r="F18" s="1153">
        <f>+'Monthly Budget'!T25</f>
        <v>0</v>
      </c>
      <c r="G18" s="627">
        <f t="shared" si="3"/>
        <v>50250.61</v>
      </c>
      <c r="H18" s="1172" t="e">
        <f>+'Monthly Budget'!#REF!</f>
        <v>#REF!</v>
      </c>
      <c r="I18" s="634" t="e">
        <f t="shared" si="2"/>
        <v>#REF!</v>
      </c>
      <c r="J18" s="872">
        <f>+'Monthly Budget'!V25</f>
        <v>0</v>
      </c>
      <c r="K18" s="619">
        <f>+C18-'[6]Board Format'!C17</f>
        <v>50251</v>
      </c>
    </row>
    <row r="19" spans="1:25" x14ac:dyDescent="0.2">
      <c r="A19" s="975">
        <v>11</v>
      </c>
      <c r="B19" s="745" t="s">
        <v>860</v>
      </c>
      <c r="C19" s="634">
        <f>+'Monthly Budget'!Q26</f>
        <v>95250</v>
      </c>
      <c r="D19" s="1153">
        <f>+'Monthly Budget'!R26</f>
        <v>0</v>
      </c>
      <c r="E19" s="634">
        <v>11105.25</v>
      </c>
      <c r="F19" s="1153">
        <f>+'Monthly Budget'!T26</f>
        <v>0</v>
      </c>
      <c r="G19" s="627">
        <f t="shared" si="3"/>
        <v>84144.75</v>
      </c>
      <c r="H19" s="634" t="e">
        <f>+'Monthly Budget'!#REF!</f>
        <v>#REF!</v>
      </c>
      <c r="I19" s="634" t="e">
        <f t="shared" si="2"/>
        <v>#REF!</v>
      </c>
      <c r="J19" s="1096">
        <f>+'Monthly Budget'!V26</f>
        <v>0</v>
      </c>
      <c r="K19" s="619">
        <f>+C19-'[6]Board Format'!C18</f>
        <v>87426.75</v>
      </c>
    </row>
    <row r="20" spans="1:25" x14ac:dyDescent="0.2">
      <c r="A20" s="975">
        <v>12</v>
      </c>
      <c r="B20" s="745" t="s">
        <v>1457</v>
      </c>
      <c r="C20" s="634">
        <f>+'Monthly Budget'!Q28</f>
        <v>30360</v>
      </c>
      <c r="D20" s="1153"/>
      <c r="E20" s="634">
        <v>15860</v>
      </c>
      <c r="F20" s="1153"/>
      <c r="G20" s="627">
        <f t="shared" si="3"/>
        <v>14500</v>
      </c>
      <c r="H20" s="634" t="e">
        <f>+'Monthly Budget'!#REF!</f>
        <v>#REF!</v>
      </c>
      <c r="I20" s="634" t="e">
        <f t="shared" si="2"/>
        <v>#REF!</v>
      </c>
      <c r="J20" s="1096" t="s">
        <v>1458</v>
      </c>
      <c r="K20" s="619">
        <f>+C20-'[6]Board Format'!C19</f>
        <v>18415</v>
      </c>
    </row>
    <row r="21" spans="1:25" ht="22.5" x14ac:dyDescent="0.2">
      <c r="A21" s="975">
        <v>13</v>
      </c>
      <c r="B21" s="985" t="s">
        <v>303</v>
      </c>
      <c r="C21" s="627">
        <f>SUM('Monthly Budget'!Q27:'Monthly Budget'!Q31)-'Monthly Budget'!Q28</f>
        <v>129386</v>
      </c>
      <c r="D21" s="1143">
        <f>SUM('Monthly Budget'!R27:'Monthly Budget'!R31)</f>
        <v>0</v>
      </c>
      <c r="E21" s="627">
        <v>101879.95000000001</v>
      </c>
      <c r="F21" s="1143">
        <f>SUM('Monthly Budget'!T27:'Monthly Budget'!T31)</f>
        <v>0</v>
      </c>
      <c r="G21" s="627">
        <f t="shared" si="3"/>
        <v>27506.049999999988</v>
      </c>
      <c r="H21" s="627" t="e">
        <f>SUM('Monthly Budget'!#REF!:'Monthly Budget'!#REF!)-'Monthly Budget'!#REF!</f>
        <v>#REF!</v>
      </c>
      <c r="I21" s="634" t="e">
        <f t="shared" si="2"/>
        <v>#REF!</v>
      </c>
      <c r="J21" s="1010" t="s">
        <v>1468</v>
      </c>
      <c r="K21" s="619">
        <f>+C21-'[6]Board Format'!C20</f>
        <v>28152.37999999999</v>
      </c>
    </row>
    <row r="22" spans="1:25" ht="12" thickBot="1" x14ac:dyDescent="0.25">
      <c r="A22" s="975">
        <v>14</v>
      </c>
      <c r="B22" s="986" t="s">
        <v>358</v>
      </c>
      <c r="C22" s="629">
        <f>SUM(C16:C21)</f>
        <v>561056</v>
      </c>
      <c r="D22" s="1146">
        <f>SUM(D16:D21)</f>
        <v>0</v>
      </c>
      <c r="E22" s="629">
        <f t="shared" ref="E22:G22" si="4">SUM(E16:E21)</f>
        <v>354474.59</v>
      </c>
      <c r="F22" s="1146">
        <f>SUM(F16:F21)</f>
        <v>0</v>
      </c>
      <c r="G22" s="629">
        <f t="shared" si="4"/>
        <v>182581.40999999997</v>
      </c>
      <c r="H22" s="629" t="e">
        <f>SUM(H16:H21)</f>
        <v>#REF!</v>
      </c>
      <c r="I22" s="629" t="e">
        <f>SUM(I16:I21)</f>
        <v>#REF!</v>
      </c>
      <c r="J22" s="987"/>
      <c r="K22" s="619">
        <f>+C22-'[6]Board Format'!C21</f>
        <v>214425.13</v>
      </c>
    </row>
    <row r="23" spans="1:25" ht="12" thickTop="1" x14ac:dyDescent="0.2">
      <c r="A23" s="975">
        <v>15</v>
      </c>
      <c r="B23" s="986"/>
      <c r="C23" s="624"/>
      <c r="D23" s="1162"/>
      <c r="E23" s="624"/>
      <c r="F23" s="1162"/>
      <c r="G23" s="624"/>
      <c r="H23" s="624"/>
      <c r="I23" s="624"/>
      <c r="J23" s="987"/>
      <c r="K23" s="619">
        <f>+C23-'[6]Board Format'!C22</f>
        <v>0</v>
      </c>
    </row>
    <row r="24" spans="1:25" ht="22.9" customHeight="1" thickBot="1" x14ac:dyDescent="0.25">
      <c r="A24" s="975">
        <v>16</v>
      </c>
      <c r="B24" s="989" t="s">
        <v>858</v>
      </c>
      <c r="C24" s="627">
        <f>+'Monthly Budget'!Q34</f>
        <v>0</v>
      </c>
      <c r="D24" s="1143">
        <f>+'Monthly Budget'!R34</f>
        <v>0</v>
      </c>
      <c r="E24" s="627">
        <v>0</v>
      </c>
      <c r="F24" s="1143">
        <f>+'Monthly Budget'!T34</f>
        <v>0</v>
      </c>
      <c r="G24" s="627"/>
      <c r="H24" s="627" t="e">
        <f>+'Monthly Budget'!#REF!</f>
        <v>#REF!</v>
      </c>
      <c r="I24" s="627" t="e">
        <f>+C24-H24</f>
        <v>#REF!</v>
      </c>
      <c r="J24" s="987"/>
      <c r="K24" s="619">
        <f>+C24-'[6]Board Format'!C23</f>
        <v>0</v>
      </c>
    </row>
    <row r="25" spans="1:25" ht="12" thickTop="1" x14ac:dyDescent="0.2">
      <c r="A25" s="975">
        <v>17</v>
      </c>
      <c r="B25" s="987"/>
      <c r="C25" s="635"/>
      <c r="D25" s="1154"/>
      <c r="E25" s="635"/>
      <c r="F25" s="1154"/>
      <c r="G25" s="635"/>
      <c r="H25" s="635"/>
      <c r="I25" s="635"/>
      <c r="J25" s="987"/>
      <c r="K25" s="619">
        <f>+C25-'[6]Board Format'!C24</f>
        <v>0</v>
      </c>
      <c r="Y25" s="993"/>
    </row>
    <row r="26" spans="1:25" ht="12" thickBot="1" x14ac:dyDescent="0.25">
      <c r="A26" s="975">
        <v>18</v>
      </c>
      <c r="B26" s="990" t="s">
        <v>359</v>
      </c>
      <c r="C26" s="991">
        <f>+C24+C22+C13</f>
        <v>8834345.025910113</v>
      </c>
      <c r="D26" s="1165">
        <f>+D24+D22+D13</f>
        <v>0</v>
      </c>
      <c r="E26" s="991">
        <f t="shared" ref="E26:G26" si="5">+E24+E22+E13</f>
        <v>7450035.2052238239</v>
      </c>
      <c r="F26" s="1165">
        <f>+F24+F22+F13</f>
        <v>0</v>
      </c>
      <c r="G26" s="991">
        <f t="shared" si="5"/>
        <v>916902.82068628818</v>
      </c>
      <c r="H26" s="991" t="e">
        <f>+H24+H22+H13</f>
        <v>#REF!</v>
      </c>
      <c r="I26" s="991" t="e">
        <f>+I24+I22+I13</f>
        <v>#REF!</v>
      </c>
      <c r="J26" s="987"/>
      <c r="K26" s="619">
        <f>+C26-'[6]Board Format'!C25</f>
        <v>1392153.5406862888</v>
      </c>
    </row>
    <row r="27" spans="1:25" x14ac:dyDescent="0.2">
      <c r="A27" s="975">
        <v>19</v>
      </c>
      <c r="B27" s="987"/>
      <c r="C27" s="634"/>
      <c r="D27" s="1153"/>
      <c r="E27" s="634"/>
      <c r="F27" s="1153"/>
      <c r="G27" s="634"/>
      <c r="H27" s="634"/>
      <c r="I27" s="634"/>
      <c r="J27" s="987"/>
      <c r="K27" s="619">
        <f>+C27-'[6]Board Format'!C26</f>
        <v>0</v>
      </c>
    </row>
    <row r="28" spans="1:25" ht="15.75" x14ac:dyDescent="0.25">
      <c r="A28" s="975">
        <v>20</v>
      </c>
      <c r="B28" s="992" t="s">
        <v>360</v>
      </c>
      <c r="C28" s="634"/>
      <c r="D28" s="1153"/>
      <c r="E28" s="634"/>
      <c r="F28" s="1153"/>
      <c r="G28" s="634"/>
      <c r="H28" s="634"/>
      <c r="I28" s="634"/>
      <c r="J28" s="987"/>
      <c r="K28" s="619">
        <f>+C28-'[6]Board Format'!C27</f>
        <v>0</v>
      </c>
    </row>
    <row r="29" spans="1:25" x14ac:dyDescent="0.2">
      <c r="A29" s="975">
        <v>21</v>
      </c>
      <c r="B29" s="984" t="s">
        <v>361</v>
      </c>
      <c r="C29" s="634">
        <f>+'Monthly Budget'!Q62</f>
        <v>4818557.8057933282</v>
      </c>
      <c r="D29" s="1153">
        <f>+'Monthly Budget'!R62</f>
        <v>0</v>
      </c>
      <c r="E29" s="634">
        <v>4295946.6301862961</v>
      </c>
      <c r="F29" s="1153">
        <f>+'Monthly Budget'!T62</f>
        <v>0</v>
      </c>
      <c r="G29" s="627">
        <f t="shared" ref="G29" si="6">+C29-E29</f>
        <v>522611.17560703214</v>
      </c>
      <c r="H29" s="634" t="e">
        <f>+'Monthly Budget'!#REF!</f>
        <v>#REF!</v>
      </c>
      <c r="I29" s="634" t="e">
        <f>+C29-H29</f>
        <v>#REF!</v>
      </c>
      <c r="J29" s="1173">
        <f>+'Monthly Budget'!V62</f>
        <v>0</v>
      </c>
      <c r="K29" s="619">
        <f>+C29-'[6]Board Format'!C28</f>
        <v>528504.12266737502</v>
      </c>
    </row>
    <row r="30" spans="1:25" ht="12" thickBot="1" x14ac:dyDescent="0.25">
      <c r="A30" s="975">
        <v>22</v>
      </c>
      <c r="B30" s="986" t="s">
        <v>378</v>
      </c>
      <c r="C30" s="629">
        <f>SUM(C29:C29)</f>
        <v>4818557.8057933282</v>
      </c>
      <c r="D30" s="1146">
        <f>SUM(D29:D29)</f>
        <v>0</v>
      </c>
      <c r="E30" s="629">
        <f t="shared" ref="E30:G30" si="7">SUM(E29:E29)</f>
        <v>4295946.6301862961</v>
      </c>
      <c r="F30" s="1146">
        <f>SUM(F29:F29)</f>
        <v>0</v>
      </c>
      <c r="G30" s="629">
        <f t="shared" si="7"/>
        <v>522611.17560703214</v>
      </c>
      <c r="H30" s="629" t="e">
        <f>SUM(H29:H29)</f>
        <v>#REF!</v>
      </c>
      <c r="I30" s="629" t="e">
        <f>SUM(I29:I29)</f>
        <v>#REF!</v>
      </c>
      <c r="J30" s="987"/>
      <c r="K30" s="619">
        <f>+C30-'[6]Board Format'!C29</f>
        <v>528504.12266737502</v>
      </c>
    </row>
    <row r="31" spans="1:25" ht="12" thickTop="1" x14ac:dyDescent="0.2">
      <c r="A31" s="975">
        <v>23</v>
      </c>
      <c r="B31" s="994"/>
      <c r="C31" s="634"/>
      <c r="D31" s="1153"/>
      <c r="E31" s="634"/>
      <c r="F31" s="1153"/>
      <c r="G31" s="634"/>
      <c r="H31" s="634"/>
      <c r="I31" s="634"/>
      <c r="J31" s="987"/>
      <c r="K31" s="619">
        <f>+C31-'[6]Board Format'!C30</f>
        <v>0</v>
      </c>
    </row>
    <row r="32" spans="1:25" x14ac:dyDescent="0.2">
      <c r="A32" s="975">
        <v>24</v>
      </c>
      <c r="B32" s="995" t="s">
        <v>398</v>
      </c>
      <c r="C32" s="634"/>
      <c r="D32" s="1153"/>
      <c r="E32" s="634"/>
      <c r="F32" s="1153"/>
      <c r="G32" s="634"/>
      <c r="H32" s="634"/>
      <c r="I32" s="634"/>
      <c r="J32" s="987"/>
      <c r="K32" s="619">
        <f>+C32-'[6]Board Format'!C31</f>
        <v>0</v>
      </c>
    </row>
    <row r="33" spans="1:25" x14ac:dyDescent="0.2">
      <c r="A33" s="975">
        <v>25</v>
      </c>
      <c r="B33" s="985" t="s">
        <v>994</v>
      </c>
      <c r="C33" s="628">
        <f>+'Monthly Budget'!Q103</f>
        <v>386</v>
      </c>
      <c r="D33" s="1151">
        <f>+'Monthly Budget'!R103</f>
        <v>0</v>
      </c>
      <c r="E33" s="628">
        <v>4420.66</v>
      </c>
      <c r="F33" s="1151">
        <v>201907</v>
      </c>
      <c r="G33" s="627">
        <f t="shared" ref="G33" si="8">+C33-E33</f>
        <v>-4034.66</v>
      </c>
      <c r="H33" s="628" t="e">
        <f>+'Monthly Budget'!#REF!</f>
        <v>#REF!</v>
      </c>
      <c r="I33" s="628" t="e">
        <f>+C33-H33</f>
        <v>#REF!</v>
      </c>
      <c r="J33" s="987"/>
      <c r="K33" s="619">
        <f>+C33-'[6]Board Format'!C32</f>
        <v>-4034.7600000000057</v>
      </c>
    </row>
    <row r="34" spans="1:25" ht="12" thickBot="1" x14ac:dyDescent="0.25">
      <c r="A34" s="975">
        <v>26</v>
      </c>
      <c r="B34" s="986"/>
      <c r="C34" s="996">
        <f>SUM(C33:C33)</f>
        <v>386</v>
      </c>
      <c r="D34" s="1166">
        <f>SUM(D33:D33)</f>
        <v>0</v>
      </c>
      <c r="E34" s="996">
        <f t="shared" ref="E34:G34" si="9">SUM(E33:E33)</f>
        <v>4420.66</v>
      </c>
      <c r="F34" s="1166">
        <f>SUM(F33:F33)</f>
        <v>201907</v>
      </c>
      <c r="G34" s="996">
        <f t="shared" si="9"/>
        <v>-4034.66</v>
      </c>
      <c r="H34" s="996" t="e">
        <f>SUM(H33:H33)</f>
        <v>#REF!</v>
      </c>
      <c r="I34" s="996" t="e">
        <f>SUM(I33:I33)</f>
        <v>#REF!</v>
      </c>
      <c r="J34" s="987"/>
      <c r="K34" s="619">
        <f>+C34-'[6]Board Format'!C33</f>
        <v>-4034.7600000000057</v>
      </c>
    </row>
    <row r="35" spans="1:25" s="997" customFormat="1" ht="12.6" customHeight="1" thickTop="1" x14ac:dyDescent="0.2">
      <c r="A35" s="975">
        <v>27</v>
      </c>
      <c r="B35" s="986"/>
      <c r="C35" s="635"/>
      <c r="D35" s="1154"/>
      <c r="E35" s="635"/>
      <c r="F35" s="1154"/>
      <c r="G35" s="635"/>
      <c r="H35" s="635"/>
      <c r="I35" s="635"/>
      <c r="J35" s="987"/>
      <c r="K35" s="619">
        <f>+C35-'[6]Board Format'!C34</f>
        <v>0</v>
      </c>
    </row>
    <row r="36" spans="1:25" x14ac:dyDescent="0.2">
      <c r="A36" s="975">
        <v>28</v>
      </c>
      <c r="B36" s="995" t="s">
        <v>307</v>
      </c>
      <c r="C36" s="634"/>
      <c r="D36" s="1153"/>
      <c r="E36" s="634"/>
      <c r="F36" s="1153"/>
      <c r="G36" s="634"/>
      <c r="H36" s="634"/>
      <c r="I36" s="634"/>
      <c r="J36" s="987"/>
      <c r="K36" s="619">
        <f>+C36-'[6]Board Format'!C35</f>
        <v>0</v>
      </c>
      <c r="Y36" s="998"/>
    </row>
    <row r="37" spans="1:25" x14ac:dyDescent="0.2">
      <c r="A37" s="975">
        <v>29</v>
      </c>
      <c r="B37" s="985" t="s">
        <v>379</v>
      </c>
      <c r="C37" s="628">
        <f>+'Monthly Budget'!Q68</f>
        <v>24759.1</v>
      </c>
      <c r="D37" s="1151">
        <f>+'Monthly Budget'!R68</f>
        <v>0</v>
      </c>
      <c r="E37" s="628">
        <v>18736.73</v>
      </c>
      <c r="F37" s="1151">
        <f>+'Monthly Budget'!T68</f>
        <v>0</v>
      </c>
      <c r="G37" s="627">
        <f t="shared" ref="G37" si="10">+C37-E37</f>
        <v>6022.369999999999</v>
      </c>
      <c r="H37" s="628" t="e">
        <f>+'Monthly Budget'!#REF!</f>
        <v>#REF!</v>
      </c>
      <c r="I37" s="628" t="e">
        <f>+C37-H37</f>
        <v>#REF!</v>
      </c>
      <c r="J37" s="987"/>
      <c r="K37" s="619">
        <f>+C37-'[6]Board Format'!C36</f>
        <v>6022.7200000000012</v>
      </c>
    </row>
    <row r="38" spans="1:25" ht="12" thickBot="1" x14ac:dyDescent="0.25">
      <c r="A38" s="975">
        <v>30</v>
      </c>
      <c r="B38" s="986" t="s">
        <v>381</v>
      </c>
      <c r="C38" s="996">
        <f>SUM(C37:C37)</f>
        <v>24759.1</v>
      </c>
      <c r="D38" s="1166">
        <f>SUM(D37:D37)</f>
        <v>0</v>
      </c>
      <c r="E38" s="996">
        <f t="shared" ref="E38:G38" si="11">SUM(E37:E37)</f>
        <v>18736.73</v>
      </c>
      <c r="F38" s="1166">
        <f>SUM(F37:F37)</f>
        <v>0</v>
      </c>
      <c r="G38" s="996">
        <f t="shared" si="11"/>
        <v>6022.369999999999</v>
      </c>
      <c r="H38" s="996" t="e">
        <f>SUM(H37:H37)</f>
        <v>#REF!</v>
      </c>
      <c r="I38" s="996" t="e">
        <f>SUM(I37:I37)</f>
        <v>#REF!</v>
      </c>
      <c r="J38" s="987"/>
      <c r="K38" s="619">
        <f>+C38-'[6]Board Format'!C37</f>
        <v>6022.7200000000012</v>
      </c>
    </row>
    <row r="39" spans="1:25" ht="22.15" customHeight="1" thickTop="1" x14ac:dyDescent="0.2">
      <c r="A39" s="975">
        <v>31</v>
      </c>
      <c r="B39" s="986"/>
      <c r="C39" s="635"/>
      <c r="D39" s="1154"/>
      <c r="E39" s="635"/>
      <c r="F39" s="1154"/>
      <c r="G39" s="635"/>
      <c r="H39" s="635"/>
      <c r="I39" s="635"/>
      <c r="J39" s="987"/>
      <c r="K39" s="619">
        <f>+C39-'[6]Board Format'!C38</f>
        <v>0</v>
      </c>
    </row>
    <row r="40" spans="1:25" x14ac:dyDescent="0.2">
      <c r="A40" s="975">
        <v>32</v>
      </c>
      <c r="B40" s="984" t="s">
        <v>308</v>
      </c>
      <c r="C40" s="634"/>
      <c r="D40" s="1153"/>
      <c r="E40" s="634"/>
      <c r="F40" s="1153"/>
      <c r="G40" s="634"/>
      <c r="H40" s="634"/>
      <c r="I40" s="634"/>
      <c r="J40" s="987"/>
      <c r="K40" s="619">
        <f>+C40-'[6]Board Format'!C39</f>
        <v>0</v>
      </c>
    </row>
    <row r="41" spans="1:25" x14ac:dyDescent="0.2">
      <c r="A41" s="975">
        <v>33</v>
      </c>
      <c r="B41" s="999" t="s">
        <v>308</v>
      </c>
      <c r="C41" s="628">
        <f>+'Monthly Budget'!Q72+'Monthly Budget'!Q84+'Monthly Budget'!Q85+'Monthly Budget'!Q88</f>
        <v>101861.82</v>
      </c>
      <c r="D41" s="1151">
        <f>+'Monthly Budget'!R72+'Monthly Budget'!R84+'Monthly Budget'!R85+'Monthly Budget'!R88</f>
        <v>0</v>
      </c>
      <c r="E41" s="628">
        <v>55087.170000000006</v>
      </c>
      <c r="F41" s="1151">
        <f>+'Monthly Budget'!T72+'Monthly Budget'!T84+'Monthly Budget'!T85+'Monthly Budget'!T88</f>
        <v>0</v>
      </c>
      <c r="G41" s="627">
        <f t="shared" ref="G41:G47" si="12">+C41-E41</f>
        <v>46774.65</v>
      </c>
      <c r="H41" s="628" t="e">
        <f>+'Monthly Budget'!#REF!+'Monthly Budget'!#REF!+'Monthly Budget'!#REF!+'Monthly Budget'!#REF!</f>
        <v>#REF!</v>
      </c>
      <c r="I41" s="628" t="e">
        <f>+C41-H41</f>
        <v>#REF!</v>
      </c>
      <c r="J41" s="1097" t="s">
        <v>1474</v>
      </c>
      <c r="K41" s="619">
        <f>+C41-'[6]Board Format'!C40</f>
        <v>46774.360000000008</v>
      </c>
    </row>
    <row r="42" spans="1:25" x14ac:dyDescent="0.2">
      <c r="A42" s="975">
        <v>34</v>
      </c>
      <c r="B42" s="985" t="s">
        <v>995</v>
      </c>
      <c r="C42" s="628">
        <f>+'Monthly Budget'!Q74</f>
        <v>111000</v>
      </c>
      <c r="D42" s="1151">
        <f>+'Monthly Budget'!R74</f>
        <v>0</v>
      </c>
      <c r="E42" s="628">
        <v>51204.49</v>
      </c>
      <c r="F42" s="1151">
        <f>+'Monthly Budget'!T74</f>
        <v>35079</v>
      </c>
      <c r="G42" s="627">
        <f t="shared" si="12"/>
        <v>59795.51</v>
      </c>
      <c r="H42" s="628" t="e">
        <f>+'Monthly Budget'!#REF!</f>
        <v>#REF!</v>
      </c>
      <c r="I42" s="628" t="e">
        <f t="shared" ref="I42:I47" si="13">+C42-H42</f>
        <v>#REF!</v>
      </c>
      <c r="J42" s="1010">
        <f>+'Monthly Budget'!V74</f>
        <v>0</v>
      </c>
      <c r="K42" s="619">
        <f>+C42-'[6]Board Format'!C41</f>
        <v>59795.57</v>
      </c>
      <c r="L42" s="993"/>
      <c r="P42" s="998"/>
    </row>
    <row r="43" spans="1:25" x14ac:dyDescent="0.2">
      <c r="A43" s="975">
        <v>35</v>
      </c>
      <c r="B43" s="999" t="s">
        <v>996</v>
      </c>
      <c r="C43" s="628">
        <f>+'Monthly Budget'!Q89</f>
        <v>0</v>
      </c>
      <c r="D43" s="1151">
        <f>+'Monthly Budget'!R89</f>
        <v>0</v>
      </c>
      <c r="E43" s="628">
        <v>0</v>
      </c>
      <c r="F43" s="1151">
        <f>+'Monthly Budget'!T89</f>
        <v>0</v>
      </c>
      <c r="G43" s="627">
        <f t="shared" si="12"/>
        <v>0</v>
      </c>
      <c r="H43" s="628" t="e">
        <f>+'Monthly Budget'!#REF!</f>
        <v>#REF!</v>
      </c>
      <c r="I43" s="628" t="e">
        <f t="shared" si="13"/>
        <v>#REF!</v>
      </c>
      <c r="J43" s="1010"/>
      <c r="K43" s="619">
        <f>+C43-'[6]Board Format'!C42</f>
        <v>0</v>
      </c>
    </row>
    <row r="44" spans="1:25" ht="14.45" customHeight="1" x14ac:dyDescent="0.2">
      <c r="A44" s="975">
        <v>36</v>
      </c>
      <c r="B44" s="999" t="s">
        <v>749</v>
      </c>
      <c r="C44" s="628">
        <f>+'Monthly Budget'!Q80</f>
        <v>16870</v>
      </c>
      <c r="D44" s="1151"/>
      <c r="E44" s="628">
        <v>16631.830000000002</v>
      </c>
      <c r="F44" s="1151"/>
      <c r="G44" s="627">
        <f t="shared" si="12"/>
        <v>238.16999999999825</v>
      </c>
      <c r="H44" s="628" t="e">
        <f>+'Monthly Budget'!#REF!</f>
        <v>#REF!</v>
      </c>
      <c r="I44" s="628" t="e">
        <f t="shared" si="13"/>
        <v>#REF!</v>
      </c>
      <c r="J44" s="1097" t="s">
        <v>1462</v>
      </c>
      <c r="K44" s="619">
        <f>+C44-'[6]Board Format'!C43</f>
        <v>4318.34</v>
      </c>
    </row>
    <row r="45" spans="1:25" x14ac:dyDescent="0.2">
      <c r="A45" s="975">
        <v>37</v>
      </c>
      <c r="B45" s="999" t="s">
        <v>1456</v>
      </c>
      <c r="C45" s="628">
        <f>+'Monthly Budget'!Q81</f>
        <v>1625.9999999999998</v>
      </c>
      <c r="D45" s="1151"/>
      <c r="E45" s="628">
        <v>1619.9900000000002</v>
      </c>
      <c r="F45" s="1151"/>
      <c r="G45" s="627">
        <f t="shared" si="12"/>
        <v>6.0099999999995362</v>
      </c>
      <c r="H45" s="628" t="e">
        <f>+'Monthly Budget'!#REF!</f>
        <v>#REF!</v>
      </c>
      <c r="I45" s="628" t="e">
        <f t="shared" si="13"/>
        <v>#REF!</v>
      </c>
      <c r="J45" s="1010"/>
      <c r="K45" s="619">
        <f>+C45-'[6]Board Format'!C44</f>
        <v>151.20999999999958</v>
      </c>
    </row>
    <row r="46" spans="1:25" x14ac:dyDescent="0.2">
      <c r="A46" s="975">
        <v>38</v>
      </c>
      <c r="B46" s="999" t="s">
        <v>672</v>
      </c>
      <c r="C46" s="628">
        <f>+'Monthly Budget'!Q87</f>
        <v>50000</v>
      </c>
      <c r="D46" s="1151"/>
      <c r="E46" s="628">
        <v>27205.660000000003</v>
      </c>
      <c r="F46" s="1151"/>
      <c r="G46" s="627">
        <f t="shared" si="12"/>
        <v>22794.339999999997</v>
      </c>
      <c r="H46" s="628" t="e">
        <f>+'Monthly Budget'!#REF!</f>
        <v>#REF!</v>
      </c>
      <c r="I46" s="628" t="e">
        <f t="shared" si="13"/>
        <v>#REF!</v>
      </c>
      <c r="J46" s="1010">
        <f>+'Monthly Budget'!V87</f>
        <v>0</v>
      </c>
      <c r="K46" s="619">
        <f>+C46-'[6]Board Format'!C45</f>
        <v>22794.559999999998</v>
      </c>
    </row>
    <row r="47" spans="1:25" x14ac:dyDescent="0.2">
      <c r="A47" s="975">
        <v>39</v>
      </c>
      <c r="B47" s="999" t="s">
        <v>311</v>
      </c>
      <c r="C47" s="1169">
        <f>+'Monthly Budget'!Q97-'Board Format'!C41-'Board Format'!C42-'Board Format'!C43-C44-C45-C46:C46</f>
        <v>47331.599999999977</v>
      </c>
      <c r="D47" s="1151">
        <f>+'Monthly Budget'!R97-'Board Format'!D41-'Board Format'!D42-'Board Format'!D43</f>
        <v>0</v>
      </c>
      <c r="E47" s="628">
        <v>31766.549999999996</v>
      </c>
      <c r="F47" s="1151">
        <f>+'Monthly Budget'!T97-'Board Format'!F41-'Board Format'!F42-'Board Format'!F43</f>
        <v>0</v>
      </c>
      <c r="G47" s="627">
        <f t="shared" si="12"/>
        <v>15565.049999999981</v>
      </c>
      <c r="H47" s="1169" t="e">
        <f>+'Monthly Budget'!#REF!-'Board Format'!H41-'Board Format'!H42-'Board Format'!H43-H44-H45-H46:H46</f>
        <v>#REF!</v>
      </c>
      <c r="I47" s="628" t="e">
        <f t="shared" si="13"/>
        <v>#REF!</v>
      </c>
      <c r="J47" s="872"/>
      <c r="K47" s="619">
        <f>+C47-'[6]Board Format'!C46</f>
        <v>15565.049999999952</v>
      </c>
    </row>
    <row r="48" spans="1:25" ht="12" thickBot="1" x14ac:dyDescent="0.25">
      <c r="A48" s="975">
        <v>40</v>
      </c>
      <c r="B48" s="986" t="s">
        <v>397</v>
      </c>
      <c r="C48" s="996">
        <f>SUM(C41:C47)</f>
        <v>328689.42</v>
      </c>
      <c r="D48" s="1166">
        <f>SUM(D41:D47)</f>
        <v>0</v>
      </c>
      <c r="E48" s="996">
        <f t="shared" ref="E48:G48" si="14">SUM(E41:E47)</f>
        <v>183515.69</v>
      </c>
      <c r="F48" s="1166">
        <f>SUM(F41:F47)</f>
        <v>35079</v>
      </c>
      <c r="G48" s="996">
        <f t="shared" si="14"/>
        <v>145173.72999999998</v>
      </c>
      <c r="H48" s="996" t="e">
        <f>SUM(H41:H47)</f>
        <v>#REF!</v>
      </c>
      <c r="I48" s="996" t="e">
        <f>SUM(I41:I47)</f>
        <v>#REF!</v>
      </c>
      <c r="J48" s="987"/>
      <c r="K48" s="619">
        <f>+C48-'[6]Board Format'!C47</f>
        <v>149399.08999999997</v>
      </c>
    </row>
    <row r="49" spans="1:11" ht="12" thickTop="1" x14ac:dyDescent="0.2">
      <c r="A49" s="975">
        <v>41</v>
      </c>
      <c r="B49" s="986"/>
      <c r="C49" s="635">
        <f>+C48-'Monthly Budget'!Q97</f>
        <v>0</v>
      </c>
      <c r="D49" s="1154"/>
      <c r="E49" s="635">
        <v>0</v>
      </c>
      <c r="F49" s="1154"/>
      <c r="G49" s="635"/>
      <c r="H49" s="635"/>
      <c r="I49" s="635"/>
      <c r="J49" s="987"/>
      <c r="K49" s="619">
        <f>+C49-'[6]Board Format'!C48</f>
        <v>0</v>
      </c>
    </row>
    <row r="50" spans="1:11" x14ac:dyDescent="0.2">
      <c r="A50" s="975">
        <v>42</v>
      </c>
      <c r="B50" s="984" t="s">
        <v>401</v>
      </c>
      <c r="C50" s="634"/>
      <c r="D50" s="1153"/>
      <c r="E50" s="634"/>
      <c r="F50" s="1153"/>
      <c r="G50" s="634"/>
      <c r="H50" s="634"/>
      <c r="I50" s="634"/>
      <c r="J50" s="987"/>
      <c r="K50" s="619">
        <f>+C50-'[6]Board Format'!C49</f>
        <v>0</v>
      </c>
    </row>
    <row r="51" spans="1:11" ht="33.75" x14ac:dyDescent="0.2">
      <c r="A51" s="975">
        <v>43</v>
      </c>
      <c r="B51" s="999" t="s">
        <v>401</v>
      </c>
      <c r="C51" s="628">
        <f>+'Monthly Budget'!Q115</f>
        <v>219098.95</v>
      </c>
      <c r="D51" s="1151">
        <f>+'Monthly Budget'!R115</f>
        <v>0</v>
      </c>
      <c r="E51" s="628">
        <v>215362.08999999997</v>
      </c>
      <c r="F51" s="1151">
        <v>9275.23</v>
      </c>
      <c r="G51" s="627">
        <f t="shared" ref="G51" si="15">+C51-E51</f>
        <v>3736.8600000000442</v>
      </c>
      <c r="H51" s="628" t="e">
        <f>+'Monthly Budget'!#REF!</f>
        <v>#REF!</v>
      </c>
      <c r="I51" s="628" t="e">
        <f>+C51-H51</f>
        <v>#REF!</v>
      </c>
      <c r="J51" s="872" t="s">
        <v>1469</v>
      </c>
      <c r="K51" s="619">
        <f>+C51-'[6]Board Format'!C50</f>
        <v>11020.810000000027</v>
      </c>
    </row>
    <row r="52" spans="1:11" ht="12" thickBot="1" x14ac:dyDescent="0.25">
      <c r="A52" s="975">
        <v>44</v>
      </c>
      <c r="B52" s="986" t="s">
        <v>411</v>
      </c>
      <c r="C52" s="996">
        <f>SUM(C51:C51)</f>
        <v>219098.95</v>
      </c>
      <c r="D52" s="1166">
        <f>SUM(D51:D51)</f>
        <v>0</v>
      </c>
      <c r="E52" s="996">
        <f t="shared" ref="E52:G52" si="16">SUM(E51:E51)</f>
        <v>215362.08999999997</v>
      </c>
      <c r="F52" s="1166">
        <f>SUM(F51:F51)</f>
        <v>9275.23</v>
      </c>
      <c r="G52" s="996">
        <f t="shared" si="16"/>
        <v>3736.8600000000442</v>
      </c>
      <c r="H52" s="996" t="e">
        <f>SUM(H51:H51)</f>
        <v>#REF!</v>
      </c>
      <c r="I52" s="996" t="e">
        <f>SUM(I51:I51)</f>
        <v>#REF!</v>
      </c>
      <c r="J52" s="987"/>
      <c r="K52" s="619">
        <f>+C52-'[6]Board Format'!C51</f>
        <v>11020.810000000027</v>
      </c>
    </row>
    <row r="53" spans="1:11" ht="12" thickTop="1" x14ac:dyDescent="0.2">
      <c r="A53" s="975">
        <v>45</v>
      </c>
      <c r="B53" s="987"/>
      <c r="C53" s="635"/>
      <c r="D53" s="1154"/>
      <c r="E53" s="635"/>
      <c r="F53" s="1154"/>
      <c r="G53" s="635"/>
      <c r="H53" s="635"/>
      <c r="I53" s="635"/>
      <c r="J53" s="987"/>
      <c r="K53" s="619">
        <f>+C53-'[6]Board Format'!C52</f>
        <v>0</v>
      </c>
    </row>
    <row r="54" spans="1:11" x14ac:dyDescent="0.2">
      <c r="A54" s="975">
        <v>46</v>
      </c>
      <c r="B54" s="843" t="s">
        <v>414</v>
      </c>
      <c r="C54" s="634"/>
      <c r="D54" s="1153"/>
      <c r="E54" s="634"/>
      <c r="F54" s="1153"/>
      <c r="G54" s="634"/>
      <c r="H54" s="634"/>
      <c r="I54" s="634"/>
      <c r="J54" s="987"/>
      <c r="K54" s="619">
        <f>+C54-'[6]Board Format'!C53</f>
        <v>0</v>
      </c>
    </row>
    <row r="55" spans="1:11" x14ac:dyDescent="0.2">
      <c r="A55" s="975">
        <v>47</v>
      </c>
      <c r="B55" s="1000" t="s">
        <v>997</v>
      </c>
      <c r="C55" s="634">
        <f>+'Monthly Budget'!Q124</f>
        <v>879059.92630921351</v>
      </c>
      <c r="D55" s="1153">
        <f>+'Monthly Budget'!R124</f>
        <v>0</v>
      </c>
      <c r="E55" s="634">
        <v>813878.39702685887</v>
      </c>
      <c r="F55" s="1153">
        <f>+'Monthly Budget'!T124</f>
        <v>0</v>
      </c>
      <c r="G55" s="627">
        <f t="shared" ref="G55" si="17">+C55-E55</f>
        <v>65181.529282354633</v>
      </c>
      <c r="H55" s="634" t="e">
        <f>+'Monthly Budget'!#REF!</f>
        <v>#REF!</v>
      </c>
      <c r="I55" s="628" t="e">
        <f>+C55-H55</f>
        <v>#REF!</v>
      </c>
      <c r="J55" s="1096">
        <f>+'Monthly Budget'!V123</f>
        <v>0</v>
      </c>
      <c r="K55" s="619">
        <f>+C55-'[6]Board Format'!C54</f>
        <v>65181.529282354633</v>
      </c>
    </row>
    <row r="56" spans="1:11" ht="12" thickBot="1" x14ac:dyDescent="0.25">
      <c r="A56" s="975">
        <v>48</v>
      </c>
      <c r="B56" s="986" t="s">
        <v>416</v>
      </c>
      <c r="C56" s="629">
        <f>SUM(C55)</f>
        <v>879059.92630921351</v>
      </c>
      <c r="D56" s="1146">
        <f>SUM(D55)</f>
        <v>0</v>
      </c>
      <c r="E56" s="629">
        <f t="shared" ref="E56:G56" si="18">SUM(E55)</f>
        <v>813878.39702685887</v>
      </c>
      <c r="F56" s="1146">
        <f>SUM(F55)</f>
        <v>0</v>
      </c>
      <c r="G56" s="629">
        <f t="shared" si="18"/>
        <v>65181.529282354633</v>
      </c>
      <c r="H56" s="629" t="e">
        <f>SUM(H55)</f>
        <v>#REF!</v>
      </c>
      <c r="I56" s="996" t="e">
        <f>SUM(I55:I55)</f>
        <v>#REF!</v>
      </c>
      <c r="J56" s="987"/>
      <c r="K56" s="619">
        <f>+C56-'[6]Board Format'!C55</f>
        <v>65181.529282354633</v>
      </c>
    </row>
    <row r="57" spans="1:11" ht="12" thickTop="1" x14ac:dyDescent="0.2">
      <c r="A57" s="975">
        <v>49</v>
      </c>
      <c r="B57" s="987"/>
      <c r="C57" s="634"/>
      <c r="D57" s="1153"/>
      <c r="E57" s="634"/>
      <c r="F57" s="1153"/>
      <c r="G57" s="634"/>
      <c r="H57" s="634"/>
      <c r="I57" s="634"/>
      <c r="J57" s="987"/>
      <c r="K57" s="619">
        <f>+C57-'[6]Board Format'!C56</f>
        <v>0</v>
      </c>
    </row>
    <row r="58" spans="1:11" x14ac:dyDescent="0.2">
      <c r="A58" s="975">
        <v>50</v>
      </c>
      <c r="B58" s="854" t="s">
        <v>417</v>
      </c>
      <c r="C58" s="634"/>
      <c r="D58" s="1153"/>
      <c r="E58" s="634"/>
      <c r="F58" s="1153"/>
      <c r="G58" s="634"/>
      <c r="H58" s="634"/>
      <c r="I58" s="634"/>
      <c r="J58" s="987"/>
      <c r="K58" s="619">
        <f>+C58-'[6]Board Format'!C57</f>
        <v>0</v>
      </c>
    </row>
    <row r="59" spans="1:11" ht="12" thickBot="1" x14ac:dyDescent="0.25">
      <c r="A59" s="975">
        <v>51</v>
      </c>
      <c r="B59" s="986" t="s">
        <v>998</v>
      </c>
      <c r="C59" s="629">
        <f>+'Monthly Budget'!Q129</f>
        <v>5400</v>
      </c>
      <c r="D59" s="1146">
        <f>+'Monthly Budget'!R129</f>
        <v>0</v>
      </c>
      <c r="E59" s="629">
        <v>4831.46</v>
      </c>
      <c r="F59" s="1146">
        <f>+'Monthly Budget'!T129</f>
        <v>0</v>
      </c>
      <c r="G59" s="629"/>
      <c r="H59" s="629" t="e">
        <f>+'Monthly Budget'!#REF!</f>
        <v>#REF!</v>
      </c>
      <c r="I59" s="996" t="e">
        <f>+C59-H59</f>
        <v>#REF!</v>
      </c>
      <c r="J59" s="987"/>
      <c r="K59" s="619">
        <f>+C59-'[6]Board Format'!C58</f>
        <v>977.21</v>
      </c>
    </row>
    <row r="60" spans="1:11" ht="12" thickTop="1" x14ac:dyDescent="0.2">
      <c r="A60" s="975">
        <v>52</v>
      </c>
      <c r="B60" s="987"/>
      <c r="C60" s="634"/>
      <c r="D60" s="1153"/>
      <c r="E60" s="634"/>
      <c r="F60" s="1153"/>
      <c r="G60" s="634"/>
      <c r="H60" s="634"/>
      <c r="I60" s="634"/>
      <c r="J60" s="987"/>
      <c r="K60" s="619">
        <f>+C60-'[6]Board Format'!C59</f>
        <v>0</v>
      </c>
    </row>
    <row r="61" spans="1:11" x14ac:dyDescent="0.2">
      <c r="A61" s="975">
        <v>53</v>
      </c>
      <c r="B61" s="984" t="s">
        <v>316</v>
      </c>
      <c r="C61" s="634"/>
      <c r="D61" s="1153"/>
      <c r="E61" s="634"/>
      <c r="F61" s="1153"/>
      <c r="G61" s="634"/>
      <c r="H61" s="634"/>
      <c r="I61" s="634"/>
      <c r="J61" s="987"/>
      <c r="K61" s="619">
        <f>+C61-'[6]Board Format'!C60</f>
        <v>0</v>
      </c>
    </row>
    <row r="62" spans="1:11" x14ac:dyDescent="0.2">
      <c r="A62" s="975">
        <v>54</v>
      </c>
      <c r="B62" s="1001" t="s">
        <v>1009</v>
      </c>
      <c r="C62" s="628">
        <f>SUM('Monthly Budget'!Q132:Q136)</f>
        <v>816853.38</v>
      </c>
      <c r="D62" s="1151">
        <f>SUM('Monthly Budget'!R132:R136)</f>
        <v>0</v>
      </c>
      <c r="E62" s="628">
        <v>768496.94</v>
      </c>
      <c r="F62" s="1151">
        <f>SUM('Monthly Budget'!T132:T136)</f>
        <v>0</v>
      </c>
      <c r="G62" s="627">
        <f t="shared" ref="G62:G66" si="19">+C62-E62</f>
        <v>48356.440000000061</v>
      </c>
      <c r="H62" s="628" t="e">
        <f>SUM('Monthly Budget'!#REF!)</f>
        <v>#REF!</v>
      </c>
      <c r="I62" s="628" t="e">
        <f>+C62-H62</f>
        <v>#REF!</v>
      </c>
      <c r="J62" s="1010"/>
      <c r="K62" s="619">
        <f>+C62-'[6]Board Format'!C61</f>
        <v>48356.460000000079</v>
      </c>
    </row>
    <row r="63" spans="1:11" x14ac:dyDescent="0.2">
      <c r="A63" s="975">
        <v>55</v>
      </c>
      <c r="B63" s="1001" t="s">
        <v>318</v>
      </c>
      <c r="C63" s="628">
        <f>SUM('Monthly Budget'!Q147:Q151)</f>
        <v>513255.48</v>
      </c>
      <c r="D63" s="1151">
        <f>SUM('Monthly Budget'!R147:R151)</f>
        <v>0</v>
      </c>
      <c r="E63" s="628">
        <v>513255.48</v>
      </c>
      <c r="F63" s="1151">
        <f>SUM('Monthly Budget'!T147:T151)</f>
        <v>0</v>
      </c>
      <c r="G63" s="627">
        <f t="shared" si="19"/>
        <v>0</v>
      </c>
      <c r="H63" s="628" t="e">
        <f>SUM('Monthly Budget'!#REF!)</f>
        <v>#REF!</v>
      </c>
      <c r="I63" s="628" t="e">
        <f>+C63-H63</f>
        <v>#REF!</v>
      </c>
      <c r="J63" s="987">
        <f>+'Monthly Budget'!V147</f>
        <v>0</v>
      </c>
      <c r="K63" s="619">
        <f>+C63-'[6]Board Format'!C62</f>
        <v>0</v>
      </c>
    </row>
    <row r="64" spans="1:11" x14ac:dyDescent="0.2">
      <c r="A64" s="975">
        <v>56</v>
      </c>
      <c r="B64" s="1001" t="s">
        <v>319</v>
      </c>
      <c r="C64" s="628">
        <f>SUM('Monthly Budget'!Q137:Q138)</f>
        <v>211242</v>
      </c>
      <c r="D64" s="1151">
        <f>SUM('Monthly Budget'!R137:R138)</f>
        <v>0</v>
      </c>
      <c r="E64" s="628">
        <v>184868.69</v>
      </c>
      <c r="F64" s="1151">
        <f>SUM('Monthly Budget'!T137:T138)</f>
        <v>0</v>
      </c>
      <c r="G64" s="627">
        <f t="shared" si="19"/>
        <v>26373.309999999998</v>
      </c>
      <c r="H64" s="628" t="e">
        <f>SUM('Monthly Budget'!#REF!)</f>
        <v>#REF!</v>
      </c>
      <c r="I64" s="628" t="e">
        <f>+C64-H64</f>
        <v>#REF!</v>
      </c>
      <c r="J64" s="987" t="s">
        <v>1461</v>
      </c>
      <c r="K64" s="619">
        <f>+C64-'[6]Board Format'!C63</f>
        <v>26373.309999999998</v>
      </c>
    </row>
    <row r="65" spans="1:23" x14ac:dyDescent="0.2">
      <c r="A65" s="975">
        <v>57</v>
      </c>
      <c r="B65" s="989" t="s">
        <v>320</v>
      </c>
      <c r="C65" s="628">
        <f>+'Monthly Budget'!Q140+'Monthly Budget'!Q141</f>
        <v>12500</v>
      </c>
      <c r="D65" s="1151">
        <f>+'Monthly Budget'!R140+'Monthly Budget'!R141</f>
        <v>0</v>
      </c>
      <c r="E65" s="628">
        <v>9700</v>
      </c>
      <c r="F65" s="1151">
        <f>+'Monthly Budget'!T140+'Monthly Budget'!T141</f>
        <v>0</v>
      </c>
      <c r="G65" s="627">
        <f t="shared" si="19"/>
        <v>2800</v>
      </c>
      <c r="H65" s="628" t="e">
        <f>+'Monthly Budget'!#REF!+'Monthly Budget'!#REF!</f>
        <v>#REF!</v>
      </c>
      <c r="I65" s="628" t="e">
        <f>+C65-H65</f>
        <v>#REF!</v>
      </c>
      <c r="J65" s="1010"/>
      <c r="K65" s="619">
        <f>+C65-'[6]Board Format'!C64</f>
        <v>2800</v>
      </c>
    </row>
    <row r="66" spans="1:23" ht="12" customHeight="1" x14ac:dyDescent="0.2">
      <c r="A66" s="975">
        <v>58</v>
      </c>
      <c r="B66" s="985" t="s">
        <v>321</v>
      </c>
      <c r="C66" s="628">
        <f>+'Monthly Budget'!Q162-'Board Format'!C62-'Board Format'!C63-'Board Format'!C64-'Board Format'!C65</f>
        <v>200527.37</v>
      </c>
      <c r="D66" s="1151">
        <f>+'Monthly Budget'!R162-'Board Format'!D62-'Board Format'!D63-'Board Format'!D64-'Board Format'!D65</f>
        <v>0</v>
      </c>
      <c r="E66" s="628">
        <v>89614.500000000175</v>
      </c>
      <c r="F66" s="1151">
        <f>+'Monthly Budget'!T162-'Board Format'!F62-'Board Format'!F63-'Board Format'!F64-'Board Format'!F65</f>
        <v>0</v>
      </c>
      <c r="G66" s="627">
        <f t="shared" si="19"/>
        <v>110912.86999999982</v>
      </c>
      <c r="H66" s="628" t="e">
        <f>+'Monthly Budget'!#REF!-'Board Format'!H62-'Board Format'!H63-'Board Format'!H64-'Board Format'!H65</f>
        <v>#REF!</v>
      </c>
      <c r="I66" s="628" t="e">
        <f>+C66-H66</f>
        <v>#REF!</v>
      </c>
      <c r="J66" s="1032" t="s">
        <v>1463</v>
      </c>
      <c r="K66" s="619">
        <f>+C66-'[6]Board Format'!C65</f>
        <v>119548.33000000002</v>
      </c>
    </row>
    <row r="67" spans="1:23" ht="10.9" customHeight="1" thickBot="1" x14ac:dyDescent="0.25">
      <c r="A67" s="975">
        <v>59</v>
      </c>
      <c r="B67" s="986" t="s">
        <v>437</v>
      </c>
      <c r="C67" s="996">
        <f>SUM(C62:C66)</f>
        <v>1754378.23</v>
      </c>
      <c r="D67" s="1166">
        <f>SUM(D62:D66)</f>
        <v>0</v>
      </c>
      <c r="E67" s="996">
        <f t="shared" ref="E67:G67" si="20">SUM(E62:E66)</f>
        <v>1565935.61</v>
      </c>
      <c r="F67" s="1166">
        <f>SUM(F62:F66)</f>
        <v>0</v>
      </c>
      <c r="G67" s="996">
        <f t="shared" si="20"/>
        <v>188442.61999999988</v>
      </c>
      <c r="H67" s="996" t="e">
        <f>SUM(H62:H66)</f>
        <v>#REF!</v>
      </c>
      <c r="I67" s="996" t="e">
        <f>SUM(I62:I66)</f>
        <v>#REF!</v>
      </c>
      <c r="J67" s="987"/>
      <c r="K67" s="619">
        <f>+C67-'[6]Board Format'!C66</f>
        <v>197078.10000000009</v>
      </c>
    </row>
    <row r="68" spans="1:23" ht="12" thickTop="1" x14ac:dyDescent="0.2">
      <c r="A68" s="975">
        <v>60</v>
      </c>
      <c r="B68" s="986"/>
      <c r="C68" s="634"/>
      <c r="D68" s="1153"/>
      <c r="E68" s="634"/>
      <c r="F68" s="1153"/>
      <c r="G68" s="634"/>
      <c r="H68" s="634"/>
      <c r="I68" s="634"/>
      <c r="J68" s="987"/>
      <c r="K68" s="619">
        <f>+C68-'[6]Board Format'!C67</f>
        <v>0</v>
      </c>
    </row>
    <row r="69" spans="1:23" x14ac:dyDescent="0.2">
      <c r="A69" s="975">
        <v>61</v>
      </c>
      <c r="B69" s="984" t="s">
        <v>441</v>
      </c>
      <c r="C69" s="634"/>
      <c r="D69" s="1153"/>
      <c r="E69" s="634"/>
      <c r="F69" s="1153"/>
      <c r="G69" s="634"/>
      <c r="H69" s="634"/>
      <c r="I69" s="634"/>
      <c r="J69" s="987"/>
      <c r="K69" s="619">
        <f>+C69-'[6]Board Format'!C68</f>
        <v>0</v>
      </c>
    </row>
    <row r="70" spans="1:23" x14ac:dyDescent="0.2">
      <c r="A70" s="975">
        <v>62</v>
      </c>
      <c r="B70" s="985" t="s">
        <v>323</v>
      </c>
      <c r="C70" s="628">
        <f>+'Monthly Budget'!Q170+'Monthly Budget'!Q171</f>
        <v>11412</v>
      </c>
      <c r="D70" s="1151">
        <f>+'Monthly Budget'!R170+'Monthly Budget'!R171</f>
        <v>0</v>
      </c>
      <c r="E70" s="628">
        <v>5408.59</v>
      </c>
      <c r="F70" s="1151">
        <f>+'Monthly Budget'!T170+'Monthly Budget'!T171</f>
        <v>0</v>
      </c>
      <c r="G70" s="627">
        <f t="shared" ref="G70:G74" si="21">+C70-E70</f>
        <v>6003.41</v>
      </c>
      <c r="H70" s="628" t="e">
        <f>+'Monthly Budget'!#REF!+'Monthly Budget'!#REF!</f>
        <v>#REF!</v>
      </c>
      <c r="I70" s="628" t="e">
        <f>+C70-H70</f>
        <v>#REF!</v>
      </c>
      <c r="J70" s="872" t="s">
        <v>1459</v>
      </c>
      <c r="K70" s="619">
        <f>+C70-'[6]Board Format'!C69</f>
        <v>6003.74</v>
      </c>
      <c r="W70" s="993"/>
    </row>
    <row r="71" spans="1:23" ht="12.75" customHeight="1" x14ac:dyDescent="0.2">
      <c r="A71" s="975">
        <v>63</v>
      </c>
      <c r="B71" s="999" t="s">
        <v>324</v>
      </c>
      <c r="C71" s="628">
        <f>+'Monthly Budget'!Q169</f>
        <v>63370</v>
      </c>
      <c r="D71" s="1151">
        <f>+'Monthly Budget'!R169</f>
        <v>0</v>
      </c>
      <c r="E71" s="628">
        <v>11104.66</v>
      </c>
      <c r="F71" s="1151">
        <f>+'Monthly Budget'!T169</f>
        <v>0</v>
      </c>
      <c r="G71" s="627">
        <f t="shared" si="21"/>
        <v>52265.34</v>
      </c>
      <c r="H71" s="628" t="e">
        <f>+'Monthly Budget'!#REF!</f>
        <v>#REF!</v>
      </c>
      <c r="I71" s="628" t="e">
        <f>+C71-H71</f>
        <v>#REF!</v>
      </c>
      <c r="J71" s="1096">
        <f>+'Monthly Budget'!V169</f>
        <v>0</v>
      </c>
      <c r="K71" s="619">
        <f>+C71-'[6]Board Format'!C70</f>
        <v>55704</v>
      </c>
    </row>
    <row r="72" spans="1:23" ht="23.25" customHeight="1" x14ac:dyDescent="0.2">
      <c r="A72" s="975">
        <v>64</v>
      </c>
      <c r="B72" s="999" t="s">
        <v>325</v>
      </c>
      <c r="C72" s="628">
        <f>SUM('Monthly Budget'!Q172:Q175)</f>
        <v>71424</v>
      </c>
      <c r="D72" s="1151">
        <f>SUM('Monthly Budget'!R172:R175)</f>
        <v>0</v>
      </c>
      <c r="E72" s="628">
        <v>61925.640000000007</v>
      </c>
      <c r="F72" s="1151">
        <f>SUM('Monthly Budget'!T172:T175)</f>
        <v>0</v>
      </c>
      <c r="G72" s="627">
        <f t="shared" si="21"/>
        <v>9498.3599999999933</v>
      </c>
      <c r="H72" s="628" t="e">
        <f>SUM('Monthly Budget'!#REF!)</f>
        <v>#REF!</v>
      </c>
      <c r="I72" s="628" t="e">
        <f>+C72-H72</f>
        <v>#REF!</v>
      </c>
      <c r="J72" s="872">
        <f>+'Monthly Budget'!V172</f>
        <v>0</v>
      </c>
      <c r="K72" s="619">
        <f>+C72-'[6]Board Format'!C71</f>
        <v>11042.129999999997</v>
      </c>
    </row>
    <row r="73" spans="1:23" x14ac:dyDescent="0.2">
      <c r="A73" s="975">
        <v>65</v>
      </c>
      <c r="B73" s="985" t="s">
        <v>326</v>
      </c>
      <c r="C73" s="628">
        <f>+'Monthly Budget'!Q176+'Monthly Budget'!Q177</f>
        <v>32031.23</v>
      </c>
      <c r="D73" s="1151">
        <f>+'Monthly Budget'!R176+'Monthly Budget'!R177</f>
        <v>0</v>
      </c>
      <c r="E73" s="628">
        <v>31874.85</v>
      </c>
      <c r="F73" s="1151">
        <f>+'Monthly Budget'!T176+'Monthly Budget'!T177</f>
        <v>0</v>
      </c>
      <c r="G73" s="627">
        <f t="shared" si="21"/>
        <v>156.38000000000102</v>
      </c>
      <c r="H73" s="628" t="e">
        <f>+'Monthly Budget'!#REF!+'Monthly Budget'!#REF!</f>
        <v>#REF!</v>
      </c>
      <c r="I73" s="628" t="e">
        <f>+C73-H73</f>
        <v>#REF!</v>
      </c>
      <c r="J73" s="742"/>
      <c r="K73" s="619">
        <f>+C73-'[6]Board Format'!C72</f>
        <v>156.38000000000102</v>
      </c>
    </row>
    <row r="74" spans="1:23" x14ac:dyDescent="0.2">
      <c r="A74" s="975">
        <v>66</v>
      </c>
      <c r="B74" s="999" t="s">
        <v>1366</v>
      </c>
      <c r="C74" s="628">
        <f>+'Monthly Budget'!Q178+'Monthly Budget'!Q179+'Monthly Budget'!Q181+'Monthly Budget'!Q182+'Monthly Budget'!Q184</f>
        <v>233410</v>
      </c>
      <c r="D74" s="1151">
        <f>+'Monthly Budget'!R178+'Monthly Budget'!R179+'Monthly Budget'!R181+'Monthly Budget'!R182+'Monthly Budget'!R184</f>
        <v>0</v>
      </c>
      <c r="E74" s="628">
        <v>232380.49</v>
      </c>
      <c r="F74" s="1151">
        <f>+'Monthly Budget'!T178+'Monthly Budget'!T179+'Monthly Budget'!T181+'Monthly Budget'!T182+'Monthly Budget'!T184</f>
        <v>0</v>
      </c>
      <c r="G74" s="627">
        <f t="shared" si="21"/>
        <v>1029.5100000000093</v>
      </c>
      <c r="H74" s="628" t="e">
        <f>+'Monthly Budget'!#REF!+'Monthly Budget'!#REF!+'Monthly Budget'!#REF!+'Monthly Budget'!#REF!+'Monthly Budget'!#REF!</f>
        <v>#REF!</v>
      </c>
      <c r="I74" s="628" t="e">
        <f>+C74-H74</f>
        <v>#REF!</v>
      </c>
      <c r="J74" s="872" t="s">
        <v>1460</v>
      </c>
      <c r="K74" s="619">
        <f>+C74-'[6]Board Format'!C73</f>
        <v>-1868.6300000000047</v>
      </c>
    </row>
    <row r="75" spans="1:23" ht="12" thickBot="1" x14ac:dyDescent="0.25">
      <c r="A75" s="975">
        <v>67</v>
      </c>
      <c r="B75" s="986"/>
      <c r="C75" s="996">
        <f>SUM(C70:C74)</f>
        <v>411647.23</v>
      </c>
      <c r="D75" s="1166">
        <f>SUM(D70:D74)</f>
        <v>0</v>
      </c>
      <c r="E75" s="996">
        <f t="shared" ref="E75:G75" si="22">SUM(E70:E74)</f>
        <v>342694.23</v>
      </c>
      <c r="F75" s="1166">
        <f>SUM(F70:F74)</f>
        <v>0</v>
      </c>
      <c r="G75" s="996">
        <f t="shared" si="22"/>
        <v>68953</v>
      </c>
      <c r="H75" s="996" t="e">
        <f>SUM(H70:H74)</f>
        <v>#REF!</v>
      </c>
      <c r="I75" s="629" t="e">
        <f>SUM(I70:I74)</f>
        <v>#REF!</v>
      </c>
      <c r="J75" s="987"/>
      <c r="K75" s="619">
        <f>+C75-'[6]Board Format'!C74</f>
        <v>71037.62</v>
      </c>
    </row>
    <row r="76" spans="1:23" ht="12" thickTop="1" x14ac:dyDescent="0.2">
      <c r="A76" s="975">
        <v>68</v>
      </c>
      <c r="B76" s="987"/>
      <c r="C76" s="635"/>
      <c r="D76" s="1154"/>
      <c r="E76" s="635"/>
      <c r="F76" s="1154"/>
      <c r="G76" s="635"/>
      <c r="H76" s="635"/>
      <c r="I76" s="635"/>
      <c r="J76" s="987"/>
      <c r="K76" s="619">
        <f>+C76-'[6]Board Format'!C75</f>
        <v>0</v>
      </c>
    </row>
    <row r="77" spans="1:23" x14ac:dyDescent="0.2">
      <c r="A77" s="975">
        <v>69</v>
      </c>
      <c r="B77" s="995" t="s">
        <v>454</v>
      </c>
      <c r="C77" s="634">
        <f>+C75+C67+C56+C52+C48+C38+C30+C34+C59</f>
        <v>8441976.6621025428</v>
      </c>
      <c r="D77" s="1153">
        <f>+D75+D67+D56+D52+D48+D38+D30+D34+D59</f>
        <v>0</v>
      </c>
      <c r="E77" s="634">
        <v>7445321.497213155</v>
      </c>
      <c r="F77" s="1153">
        <f>+F75+F67+F56+F52+F48+F38+F30+F34+F59</f>
        <v>246261.22999999998</v>
      </c>
      <c r="G77" s="634">
        <f>+G75+G67+G56+G52+G48+G38+G30+G34+G59</f>
        <v>996086.6248893867</v>
      </c>
      <c r="H77" s="634" t="e">
        <f>+H75+H67+H56+H52+H48+H38+H30+H34+H59</f>
        <v>#REF!</v>
      </c>
      <c r="I77" s="634" t="e">
        <f>+I75+I67+I56+I52+I48+I38+I30</f>
        <v>#REF!</v>
      </c>
      <c r="J77" s="987"/>
      <c r="K77" s="619">
        <f>+C77-'[6]Board Format'!C76</f>
        <v>1025186.4419497317</v>
      </c>
    </row>
    <row r="78" spans="1:23" x14ac:dyDescent="0.2">
      <c r="A78" s="975">
        <v>70</v>
      </c>
      <c r="B78" s="995"/>
      <c r="C78" s="634"/>
      <c r="D78" s="1153"/>
      <c r="E78" s="634"/>
      <c r="F78" s="1153"/>
      <c r="G78" s="634"/>
      <c r="H78" s="634"/>
      <c r="I78" s="634"/>
      <c r="J78" s="987"/>
      <c r="K78" s="619">
        <f>+C78-'[6]Board Format'!C77</f>
        <v>0</v>
      </c>
    </row>
    <row r="79" spans="1:23" ht="10.9" customHeight="1" x14ac:dyDescent="0.2">
      <c r="A79" s="975">
        <v>71</v>
      </c>
      <c r="B79" s="995" t="s">
        <v>331</v>
      </c>
      <c r="C79" s="634">
        <v>150000</v>
      </c>
      <c r="D79" s="1153"/>
      <c r="E79" s="634"/>
      <c r="F79" s="1153"/>
      <c r="G79" s="634"/>
      <c r="H79" s="634"/>
      <c r="I79" s="634">
        <f>+C79-H79</f>
        <v>150000</v>
      </c>
      <c r="J79" s="987"/>
      <c r="K79" s="619">
        <f>+C79-'[6]Board Format'!C78</f>
        <v>150000</v>
      </c>
    </row>
    <row r="80" spans="1:23" ht="10.9" customHeight="1" x14ac:dyDescent="0.2">
      <c r="A80" s="975">
        <v>72</v>
      </c>
      <c r="B80" s="987"/>
      <c r="C80" s="634"/>
      <c r="D80" s="1153"/>
      <c r="E80" s="634"/>
      <c r="F80" s="1153"/>
      <c r="G80" s="634"/>
      <c r="H80" s="634"/>
      <c r="I80" s="634"/>
      <c r="J80" s="987"/>
      <c r="K80" s="619">
        <f>+C80-'[6]Board Format'!C79</f>
        <v>0</v>
      </c>
    </row>
    <row r="81" spans="1:11" ht="10.9" customHeight="1" thickBot="1" x14ac:dyDescent="0.25">
      <c r="A81" s="975">
        <v>73</v>
      </c>
      <c r="B81" s="1002" t="s">
        <v>455</v>
      </c>
      <c r="C81" s="633">
        <f>+C26-C77-C79</f>
        <v>242368.36380757019</v>
      </c>
      <c r="D81" s="1155">
        <f>+D26-D77-D79</f>
        <v>0</v>
      </c>
      <c r="E81" s="633">
        <f t="shared" ref="E81" si="23">+E26-E77-E79</f>
        <v>4713.7080106688663</v>
      </c>
      <c r="F81" s="1155">
        <f>+F26-F77-F79</f>
        <v>-246261.22999999998</v>
      </c>
      <c r="G81" s="633">
        <f>+G26-G77-G79</f>
        <v>-79183.804203098523</v>
      </c>
      <c r="H81" s="633" t="e">
        <f>+H26-H77-H79</f>
        <v>#REF!</v>
      </c>
      <c r="I81" s="633" t="e">
        <f>+I26-I77-I79</f>
        <v>#REF!</v>
      </c>
      <c r="J81" s="1012"/>
      <c r="K81" s="619">
        <f>+C81-'[6]Board Format'!C80</f>
        <v>216967.09873655718</v>
      </c>
    </row>
    <row r="82" spans="1:11" ht="12" thickTop="1" x14ac:dyDescent="0.2">
      <c r="A82" s="975">
        <v>74</v>
      </c>
      <c r="B82" s="982"/>
      <c r="C82" s="638"/>
      <c r="D82" s="1160"/>
      <c r="E82" s="638"/>
      <c r="F82" s="1160"/>
      <c r="G82" s="638"/>
      <c r="H82" s="638"/>
      <c r="I82" s="1003"/>
      <c r="J82" s="987"/>
      <c r="K82" s="619">
        <f>+C82-'[6]Board Format'!C81</f>
        <v>0</v>
      </c>
    </row>
    <row r="83" spans="1:11" ht="24.75" customHeight="1" x14ac:dyDescent="0.2">
      <c r="A83" s="975">
        <v>75</v>
      </c>
      <c r="B83" s="843" t="s">
        <v>456</v>
      </c>
      <c r="C83" s="619">
        <f>'Annual Budget'!B74</f>
        <v>2770271.8528402001</v>
      </c>
      <c r="D83" s="1162">
        <v>1518391.06</v>
      </c>
      <c r="E83" s="619">
        <v>1040562</v>
      </c>
      <c r="F83" s="1163">
        <f>+'Monthly Budget'!T195</f>
        <v>1565163</v>
      </c>
      <c r="G83" s="634">
        <f>+C83-E83</f>
        <v>1729709.8528402001</v>
      </c>
      <c r="H83" s="624">
        <v>2398653</v>
      </c>
      <c r="I83" s="624"/>
      <c r="J83" s="987"/>
      <c r="K83" s="619">
        <f>+C83-'[6]Board Format'!C82</f>
        <v>1729709.8528402001</v>
      </c>
    </row>
    <row r="84" spans="1:11" x14ac:dyDescent="0.2">
      <c r="A84" s="975">
        <v>76</v>
      </c>
      <c r="B84" s="987"/>
      <c r="C84" s="1004"/>
      <c r="D84" s="1167"/>
      <c r="E84" s="1004"/>
      <c r="F84" s="1167"/>
      <c r="G84" s="1004"/>
      <c r="H84" s="1004"/>
      <c r="I84" s="628">
        <f>+C84-H84</f>
        <v>0</v>
      </c>
      <c r="J84" s="987"/>
      <c r="K84" s="619">
        <f>+C84-'[6]Board Format'!C83</f>
        <v>0</v>
      </c>
    </row>
    <row r="85" spans="1:11" x14ac:dyDescent="0.2">
      <c r="A85" s="975">
        <v>77</v>
      </c>
      <c r="B85" s="987" t="s">
        <v>318</v>
      </c>
      <c r="C85" s="624">
        <f>+C63</f>
        <v>513255.48</v>
      </c>
      <c r="D85" s="1162">
        <f>+D63</f>
        <v>0</v>
      </c>
      <c r="E85" s="624">
        <v>513255.48</v>
      </c>
      <c r="F85" s="1162">
        <f>+F63</f>
        <v>0</v>
      </c>
      <c r="G85" s="627">
        <f t="shared" ref="G85:G87" si="24">+C85-E85</f>
        <v>0</v>
      </c>
      <c r="H85" s="624" t="e">
        <f>+H63</f>
        <v>#REF!</v>
      </c>
      <c r="I85" s="628" t="e">
        <f>+C85-H85</f>
        <v>#REF!</v>
      </c>
      <c r="J85" s="987">
        <f>+'Monthly Budget'!V197</f>
        <v>0</v>
      </c>
      <c r="K85" s="619">
        <f>+C85-'[6]Board Format'!C84</f>
        <v>0</v>
      </c>
    </row>
    <row r="86" spans="1:11" x14ac:dyDescent="0.2">
      <c r="A86" s="975">
        <v>78</v>
      </c>
      <c r="B86" s="987" t="s">
        <v>457</v>
      </c>
      <c r="C86" s="815">
        <f>'Monthly Budget'!Q198</f>
        <v>487500</v>
      </c>
      <c r="D86" s="1168">
        <f>'Monthly Budget'!R198</f>
        <v>0</v>
      </c>
      <c r="E86" s="815">
        <v>-0.47999999999592546</v>
      </c>
      <c r="F86" s="1168">
        <f>'Monthly Budget'!T198</f>
        <v>-213503</v>
      </c>
      <c r="G86" s="627">
        <f t="shared" si="24"/>
        <v>487500.48</v>
      </c>
      <c r="H86" s="815" t="e">
        <f>'Monthly Budget'!#REF!</f>
        <v>#REF!</v>
      </c>
      <c r="I86" s="628" t="e">
        <f>+C86-H86</f>
        <v>#REF!</v>
      </c>
      <c r="J86" s="872">
        <f>+'Monthly Budget'!V198</f>
        <v>0</v>
      </c>
      <c r="K86" s="619">
        <f>+C86-'[6]Board Format'!C85</f>
        <v>487500</v>
      </c>
    </row>
    <row r="87" spans="1:11" x14ac:dyDescent="0.2">
      <c r="A87" s="975">
        <v>79</v>
      </c>
      <c r="B87" s="987" t="s">
        <v>1365</v>
      </c>
      <c r="C87" s="815">
        <f>+'Monthly Budget'!Q199</f>
        <v>71171</v>
      </c>
      <c r="D87" s="1168">
        <f>+'Monthly Budget'!R199</f>
        <v>-321167</v>
      </c>
      <c r="E87" s="815">
        <v>-297646.96000000008</v>
      </c>
      <c r="F87" s="1168">
        <f>+'Monthly Budget'!T199</f>
        <v>0</v>
      </c>
      <c r="G87" s="627">
        <f t="shared" si="24"/>
        <v>368817.96000000008</v>
      </c>
      <c r="H87" s="815" t="e">
        <f>+'Monthly Budget'!#REF!</f>
        <v>#REF!</v>
      </c>
      <c r="I87" s="628" t="e">
        <f>+C87-H87</f>
        <v>#REF!</v>
      </c>
      <c r="J87" s="1010">
        <f>+'Monthly Budget'!V199</f>
        <v>0</v>
      </c>
      <c r="K87" s="619">
        <f>+C87-'[6]Board Format'!C86</f>
        <v>368817.96000000008</v>
      </c>
    </row>
    <row r="88" spans="1:11" x14ac:dyDescent="0.2">
      <c r="A88" s="975">
        <v>80</v>
      </c>
      <c r="B88" s="987"/>
      <c r="C88" s="624"/>
      <c r="D88" s="1162"/>
      <c r="E88" s="624"/>
      <c r="F88" s="1162"/>
      <c r="G88" s="624"/>
      <c r="H88" s="624"/>
      <c r="I88" s="628"/>
      <c r="J88" s="987"/>
      <c r="K88" s="619">
        <f>+C88-'[6]Board Format'!C87</f>
        <v>0</v>
      </c>
    </row>
    <row r="89" spans="1:11" x14ac:dyDescent="0.2">
      <c r="A89" s="975">
        <v>81</v>
      </c>
      <c r="B89" s="843" t="s">
        <v>458</v>
      </c>
      <c r="C89" s="624">
        <f>C81+C85+C86+C87</f>
        <v>1314294.8438075702</v>
      </c>
      <c r="D89" s="1162">
        <f>D81+D85+D86+D87</f>
        <v>-321167</v>
      </c>
      <c r="E89" s="624">
        <v>220321.74801066879</v>
      </c>
      <c r="F89" s="1162">
        <f>F81+F85+F86+F87</f>
        <v>-459764.23</v>
      </c>
      <c r="G89" s="624">
        <f>G81+G85+G86+G87</f>
        <v>777134.63579690154</v>
      </c>
      <c r="H89" s="624" t="e">
        <f>H81+H85+H86+H87</f>
        <v>#REF!</v>
      </c>
      <c r="I89" s="628" t="e">
        <f>+C89-H89</f>
        <v>#REF!</v>
      </c>
      <c r="J89" s="987"/>
      <c r="K89" s="619">
        <f>+C89-'[6]Board Format'!C88</f>
        <v>1073285.0587365571</v>
      </c>
    </row>
    <row r="90" spans="1:11" x14ac:dyDescent="0.2">
      <c r="A90" s="975">
        <v>82</v>
      </c>
      <c r="B90" s="987"/>
      <c r="C90" s="1004"/>
      <c r="D90" s="1167"/>
      <c r="E90" s="1004"/>
      <c r="F90" s="1167"/>
      <c r="G90" s="1004"/>
      <c r="H90" s="1004"/>
      <c r="I90" s="628"/>
      <c r="J90" s="987"/>
      <c r="K90" s="619">
        <f>+C90-'[6]Board Format'!C89</f>
        <v>0</v>
      </c>
    </row>
    <row r="91" spans="1:11" ht="12" thickBot="1" x14ac:dyDescent="0.25">
      <c r="A91" s="975">
        <v>83</v>
      </c>
      <c r="B91" s="1005" t="s">
        <v>459</v>
      </c>
      <c r="C91" s="639">
        <f>+C83+C89</f>
        <v>4084566.6966477702</v>
      </c>
      <c r="D91" s="639">
        <f>+D83+D89</f>
        <v>1197224.06</v>
      </c>
      <c r="E91" s="1189">
        <v>1260883.7480106689</v>
      </c>
      <c r="F91" s="639">
        <f>+F83+F89</f>
        <v>1105398.77</v>
      </c>
      <c r="G91" s="1177"/>
      <c r="H91" s="639" t="e">
        <f>+H83+H89</f>
        <v>#REF!</v>
      </c>
      <c r="I91" s="1006"/>
      <c r="J91" s="1012"/>
      <c r="K91" s="619">
        <f>+C91-'[6]Board Format'!C90</f>
        <v>2802994.9115767572</v>
      </c>
    </row>
    <row r="92" spans="1:11" ht="12" thickTop="1" x14ac:dyDescent="0.2">
      <c r="B92" s="1007"/>
      <c r="C92" s="619"/>
      <c r="D92" s="619"/>
      <c r="E92" s="619"/>
      <c r="F92" s="619"/>
      <c r="G92" s="619"/>
      <c r="H92" s="619"/>
      <c r="I92" s="619"/>
      <c r="J92" s="641"/>
    </row>
    <row r="93" spans="1:11" x14ac:dyDescent="0.2">
      <c r="B93" s="1008"/>
      <c r="C93" s="619"/>
      <c r="D93" s="619"/>
      <c r="E93" s="619"/>
      <c r="F93" s="619"/>
      <c r="G93" s="619"/>
      <c r="H93" s="619"/>
      <c r="I93" s="619"/>
      <c r="J93" s="619"/>
    </row>
    <row r="94" spans="1:11" x14ac:dyDescent="0.2">
      <c r="B94" s="998"/>
      <c r="C94" s="619"/>
      <c r="D94" s="619"/>
      <c r="E94" s="619"/>
      <c r="F94" s="619"/>
      <c r="G94" s="619"/>
      <c r="H94" s="619"/>
      <c r="I94" s="619"/>
      <c r="J94" s="619"/>
    </row>
    <row r="95" spans="1:11" x14ac:dyDescent="0.2">
      <c r="B95" s="1193"/>
      <c r="C95" s="619"/>
      <c r="D95" s="619"/>
      <c r="E95" s="619"/>
      <c r="F95" s="619"/>
      <c r="G95" s="619"/>
      <c r="H95" s="619"/>
      <c r="I95" s="619"/>
      <c r="J95" s="619"/>
    </row>
    <row r="96" spans="1:11" x14ac:dyDescent="0.2">
      <c r="B96" s="1194"/>
    </row>
    <row r="97" spans="2:2" x14ac:dyDescent="0.2">
      <c r="B97" s="1194"/>
    </row>
    <row r="128" spans="1:10" s="619" customFormat="1" x14ac:dyDescent="0.2">
      <c r="A128" s="1009"/>
      <c r="B128" s="617"/>
      <c r="C128" s="618"/>
      <c r="D128" s="618"/>
      <c r="E128" s="618"/>
      <c r="F128" s="618"/>
      <c r="G128" s="618"/>
      <c r="H128" s="617"/>
      <c r="I128" s="617"/>
      <c r="J128" s="617"/>
    </row>
    <row r="129" spans="1:10" s="619" customFormat="1" x14ac:dyDescent="0.2">
      <c r="A129" s="1009"/>
      <c r="B129" s="617"/>
      <c r="C129" s="618"/>
      <c r="D129" s="618"/>
      <c r="E129" s="618"/>
      <c r="F129" s="618"/>
      <c r="G129" s="618"/>
      <c r="H129" s="617"/>
      <c r="I129" s="617"/>
      <c r="J129" s="617"/>
    </row>
    <row r="130" spans="1:10" s="619" customFormat="1" x14ac:dyDescent="0.2">
      <c r="A130" s="1009"/>
      <c r="B130" s="617"/>
      <c r="C130" s="618"/>
      <c r="D130" s="618"/>
      <c r="E130" s="618"/>
      <c r="F130" s="618"/>
      <c r="G130" s="618"/>
      <c r="H130" s="617"/>
      <c r="I130" s="617"/>
      <c r="J130" s="617"/>
    </row>
    <row r="131" spans="1:10" s="619" customFormat="1" x14ac:dyDescent="0.2">
      <c r="A131" s="1009"/>
      <c r="B131" s="617"/>
      <c r="C131" s="618"/>
      <c r="D131" s="618"/>
      <c r="E131" s="618"/>
      <c r="F131" s="618"/>
      <c r="G131" s="618"/>
      <c r="H131" s="617"/>
      <c r="I131" s="617"/>
      <c r="J131" s="617"/>
    </row>
  </sheetData>
  <mergeCells count="2">
    <mergeCell ref="E4:F4"/>
    <mergeCell ref="C4:D4"/>
  </mergeCells>
  <pageMargins left="0" right="0" top="0.25" bottom="0.25" header="0.3" footer="0.3"/>
  <pageSetup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Y253"/>
  <sheetViews>
    <sheetView zoomScaleNormal="100" zoomScaleSheetLayoutView="70" workbookViewId="0">
      <pane xSplit="3" ySplit="4" topLeftCell="F163" activePane="bottomRight" state="frozen"/>
      <selection activeCell="T169" sqref="T169"/>
      <selection pane="topRight" activeCell="T169" sqref="T169"/>
      <selection pane="bottomLeft" activeCell="T169" sqref="T169"/>
      <selection pane="bottomRight" activeCell="Q195" sqref="Q195"/>
    </sheetView>
  </sheetViews>
  <sheetFormatPr defaultRowHeight="11.25" x14ac:dyDescent="0.2"/>
  <cols>
    <col min="1" max="1" width="14" style="733" customWidth="1"/>
    <col min="2" max="2" width="36.85546875" style="733" customWidth="1"/>
    <col min="3" max="3" width="8.5703125" style="734" customWidth="1"/>
    <col min="4" max="14" width="8.7109375" style="617" customWidth="1"/>
    <col min="15" max="15" width="9.5703125" style="617" customWidth="1"/>
    <col min="16" max="16" width="10.85546875" style="617" customWidth="1"/>
    <col min="17" max="17" width="10.28515625" style="618" bestFit="1" customWidth="1"/>
    <col min="18" max="21" width="10.28515625" style="618" customWidth="1"/>
    <col min="22" max="22" width="35.42578125" style="733" customWidth="1"/>
    <col min="23" max="23" width="9.5703125" style="733" bestFit="1" customWidth="1"/>
    <col min="24" max="258" width="9.28515625" style="733"/>
    <col min="259" max="259" width="14" style="733" customWidth="1"/>
    <col min="260" max="260" width="45.28515625" style="733" bestFit="1" customWidth="1"/>
    <col min="261" max="261" width="0" style="733" hidden="1" customWidth="1"/>
    <col min="262" max="264" width="7.5703125" style="733" customWidth="1"/>
    <col min="265" max="265" width="7.42578125" style="733" bestFit="1" customWidth="1"/>
    <col min="266" max="267" width="7.5703125" style="733" bestFit="1" customWidth="1"/>
    <col min="268" max="268" width="8.7109375" style="733" bestFit="1" customWidth="1"/>
    <col min="269" max="269" width="7.5703125" style="733" bestFit="1" customWidth="1"/>
    <col min="270" max="273" width="7.7109375" style="733" bestFit="1" customWidth="1"/>
    <col min="274" max="274" width="0" style="733" hidden="1" customWidth="1"/>
    <col min="275" max="275" width="10.28515625" style="733" bestFit="1" customWidth="1"/>
    <col min="276" max="276" width="10" style="733" customWidth="1"/>
    <col min="277" max="277" width="9.28515625" style="733"/>
    <col min="278" max="278" width="35.42578125" style="733" customWidth="1"/>
    <col min="279" max="514" width="9.28515625" style="733"/>
    <col min="515" max="515" width="14" style="733" customWidth="1"/>
    <col min="516" max="516" width="45.28515625" style="733" bestFit="1" customWidth="1"/>
    <col min="517" max="517" width="0" style="733" hidden="1" customWidth="1"/>
    <col min="518" max="520" width="7.5703125" style="733" customWidth="1"/>
    <col min="521" max="521" width="7.42578125" style="733" bestFit="1" customWidth="1"/>
    <col min="522" max="523" width="7.5703125" style="733" bestFit="1" customWidth="1"/>
    <col min="524" max="524" width="8.7109375" style="733" bestFit="1" customWidth="1"/>
    <col min="525" max="525" width="7.5703125" style="733" bestFit="1" customWidth="1"/>
    <col min="526" max="529" width="7.7109375" style="733" bestFit="1" customWidth="1"/>
    <col min="530" max="530" width="0" style="733" hidden="1" customWidth="1"/>
    <col min="531" max="531" width="10.28515625" style="733" bestFit="1" customWidth="1"/>
    <col min="532" max="532" width="10" style="733" customWidth="1"/>
    <col min="533" max="533" width="9.28515625" style="733"/>
    <col min="534" max="534" width="35.42578125" style="733" customWidth="1"/>
    <col min="535" max="770" width="9.28515625" style="733"/>
    <col min="771" max="771" width="14" style="733" customWidth="1"/>
    <col min="772" max="772" width="45.28515625" style="733" bestFit="1" customWidth="1"/>
    <col min="773" max="773" width="0" style="733" hidden="1" customWidth="1"/>
    <col min="774" max="776" width="7.5703125" style="733" customWidth="1"/>
    <col min="777" max="777" width="7.42578125" style="733" bestFit="1" customWidth="1"/>
    <col min="778" max="779" width="7.5703125" style="733" bestFit="1" customWidth="1"/>
    <col min="780" max="780" width="8.7109375" style="733" bestFit="1" customWidth="1"/>
    <col min="781" max="781" width="7.5703125" style="733" bestFit="1" customWidth="1"/>
    <col min="782" max="785" width="7.7109375" style="733" bestFit="1" customWidth="1"/>
    <col min="786" max="786" width="0" style="733" hidden="1" customWidth="1"/>
    <col min="787" max="787" width="10.28515625" style="733" bestFit="1" customWidth="1"/>
    <col min="788" max="788" width="10" style="733" customWidth="1"/>
    <col min="789" max="789" width="9.28515625" style="733"/>
    <col min="790" max="790" width="35.42578125" style="733" customWidth="1"/>
    <col min="791" max="1026" width="9.28515625" style="733"/>
    <col min="1027" max="1027" width="14" style="733" customWidth="1"/>
    <col min="1028" max="1028" width="45.28515625" style="733" bestFit="1" customWidth="1"/>
    <col min="1029" max="1029" width="0" style="733" hidden="1" customWidth="1"/>
    <col min="1030" max="1032" width="7.5703125" style="733" customWidth="1"/>
    <col min="1033" max="1033" width="7.42578125" style="733" bestFit="1" customWidth="1"/>
    <col min="1034" max="1035" width="7.5703125" style="733" bestFit="1" customWidth="1"/>
    <col min="1036" max="1036" width="8.7109375" style="733" bestFit="1" customWidth="1"/>
    <col min="1037" max="1037" width="7.5703125" style="733" bestFit="1" customWidth="1"/>
    <col min="1038" max="1041" width="7.7109375" style="733" bestFit="1" customWidth="1"/>
    <col min="1042" max="1042" width="0" style="733" hidden="1" customWidth="1"/>
    <col min="1043" max="1043" width="10.28515625" style="733" bestFit="1" customWidth="1"/>
    <col min="1044" max="1044" width="10" style="733" customWidth="1"/>
    <col min="1045" max="1045" width="9.28515625" style="733"/>
    <col min="1046" max="1046" width="35.42578125" style="733" customWidth="1"/>
    <col min="1047" max="1282" width="9.28515625" style="733"/>
    <col min="1283" max="1283" width="14" style="733" customWidth="1"/>
    <col min="1284" max="1284" width="45.28515625" style="733" bestFit="1" customWidth="1"/>
    <col min="1285" max="1285" width="0" style="733" hidden="1" customWidth="1"/>
    <col min="1286" max="1288" width="7.5703125" style="733" customWidth="1"/>
    <col min="1289" max="1289" width="7.42578125" style="733" bestFit="1" customWidth="1"/>
    <col min="1290" max="1291" width="7.5703125" style="733" bestFit="1" customWidth="1"/>
    <col min="1292" max="1292" width="8.7109375" style="733" bestFit="1" customWidth="1"/>
    <col min="1293" max="1293" width="7.5703125" style="733" bestFit="1" customWidth="1"/>
    <col min="1294" max="1297" width="7.7109375" style="733" bestFit="1" customWidth="1"/>
    <col min="1298" max="1298" width="0" style="733" hidden="1" customWidth="1"/>
    <col min="1299" max="1299" width="10.28515625" style="733" bestFit="1" customWidth="1"/>
    <col min="1300" max="1300" width="10" style="733" customWidth="1"/>
    <col min="1301" max="1301" width="9.28515625" style="733"/>
    <col min="1302" max="1302" width="35.42578125" style="733" customWidth="1"/>
    <col min="1303" max="1538" width="9.28515625" style="733"/>
    <col min="1539" max="1539" width="14" style="733" customWidth="1"/>
    <col min="1540" max="1540" width="45.28515625" style="733" bestFit="1" customWidth="1"/>
    <col min="1541" max="1541" width="0" style="733" hidden="1" customWidth="1"/>
    <col min="1542" max="1544" width="7.5703125" style="733" customWidth="1"/>
    <col min="1545" max="1545" width="7.42578125" style="733" bestFit="1" customWidth="1"/>
    <col min="1546" max="1547" width="7.5703125" style="733" bestFit="1" customWidth="1"/>
    <col min="1548" max="1548" width="8.7109375" style="733" bestFit="1" customWidth="1"/>
    <col min="1549" max="1549" width="7.5703125" style="733" bestFit="1" customWidth="1"/>
    <col min="1550" max="1553" width="7.7109375" style="733" bestFit="1" customWidth="1"/>
    <col min="1554" max="1554" width="0" style="733" hidden="1" customWidth="1"/>
    <col min="1555" max="1555" width="10.28515625" style="733" bestFit="1" customWidth="1"/>
    <col min="1556" max="1556" width="10" style="733" customWidth="1"/>
    <col min="1557" max="1557" width="9.28515625" style="733"/>
    <col min="1558" max="1558" width="35.42578125" style="733" customWidth="1"/>
    <col min="1559" max="1794" width="9.28515625" style="733"/>
    <col min="1795" max="1795" width="14" style="733" customWidth="1"/>
    <col min="1796" max="1796" width="45.28515625" style="733" bestFit="1" customWidth="1"/>
    <col min="1797" max="1797" width="0" style="733" hidden="1" customWidth="1"/>
    <col min="1798" max="1800" width="7.5703125" style="733" customWidth="1"/>
    <col min="1801" max="1801" width="7.42578125" style="733" bestFit="1" customWidth="1"/>
    <col min="1802" max="1803" width="7.5703125" style="733" bestFit="1" customWidth="1"/>
    <col min="1804" max="1804" width="8.7109375" style="733" bestFit="1" customWidth="1"/>
    <col min="1805" max="1805" width="7.5703125" style="733" bestFit="1" customWidth="1"/>
    <col min="1806" max="1809" width="7.7109375" style="733" bestFit="1" customWidth="1"/>
    <col min="1810" max="1810" width="0" style="733" hidden="1" customWidth="1"/>
    <col min="1811" max="1811" width="10.28515625" style="733" bestFit="1" customWidth="1"/>
    <col min="1812" max="1812" width="10" style="733" customWidth="1"/>
    <col min="1813" max="1813" width="9.28515625" style="733"/>
    <col min="1814" max="1814" width="35.42578125" style="733" customWidth="1"/>
    <col min="1815" max="2050" width="9.28515625" style="733"/>
    <col min="2051" max="2051" width="14" style="733" customWidth="1"/>
    <col min="2052" max="2052" width="45.28515625" style="733" bestFit="1" customWidth="1"/>
    <col min="2053" max="2053" width="0" style="733" hidden="1" customWidth="1"/>
    <col min="2054" max="2056" width="7.5703125" style="733" customWidth="1"/>
    <col min="2057" max="2057" width="7.42578125" style="733" bestFit="1" customWidth="1"/>
    <col min="2058" max="2059" width="7.5703125" style="733" bestFit="1" customWidth="1"/>
    <col min="2060" max="2060" width="8.7109375" style="733" bestFit="1" customWidth="1"/>
    <col min="2061" max="2061" width="7.5703125" style="733" bestFit="1" customWidth="1"/>
    <col min="2062" max="2065" width="7.7109375" style="733" bestFit="1" customWidth="1"/>
    <col min="2066" max="2066" width="0" style="733" hidden="1" customWidth="1"/>
    <col min="2067" max="2067" width="10.28515625" style="733" bestFit="1" customWidth="1"/>
    <col min="2068" max="2068" width="10" style="733" customWidth="1"/>
    <col min="2069" max="2069" width="9.28515625" style="733"/>
    <col min="2070" max="2070" width="35.42578125" style="733" customWidth="1"/>
    <col min="2071" max="2306" width="9.28515625" style="733"/>
    <col min="2307" max="2307" width="14" style="733" customWidth="1"/>
    <col min="2308" max="2308" width="45.28515625" style="733" bestFit="1" customWidth="1"/>
    <col min="2309" max="2309" width="0" style="733" hidden="1" customWidth="1"/>
    <col min="2310" max="2312" width="7.5703125" style="733" customWidth="1"/>
    <col min="2313" max="2313" width="7.42578125" style="733" bestFit="1" customWidth="1"/>
    <col min="2314" max="2315" width="7.5703125" style="733" bestFit="1" customWidth="1"/>
    <col min="2316" max="2316" width="8.7109375" style="733" bestFit="1" customWidth="1"/>
    <col min="2317" max="2317" width="7.5703125" style="733" bestFit="1" customWidth="1"/>
    <col min="2318" max="2321" width="7.7109375" style="733" bestFit="1" customWidth="1"/>
    <col min="2322" max="2322" width="0" style="733" hidden="1" customWidth="1"/>
    <col min="2323" max="2323" width="10.28515625" style="733" bestFit="1" customWidth="1"/>
    <col min="2324" max="2324" width="10" style="733" customWidth="1"/>
    <col min="2325" max="2325" width="9.28515625" style="733"/>
    <col min="2326" max="2326" width="35.42578125" style="733" customWidth="1"/>
    <col min="2327" max="2562" width="9.28515625" style="733"/>
    <col min="2563" max="2563" width="14" style="733" customWidth="1"/>
    <col min="2564" max="2564" width="45.28515625" style="733" bestFit="1" customWidth="1"/>
    <col min="2565" max="2565" width="0" style="733" hidden="1" customWidth="1"/>
    <col min="2566" max="2568" width="7.5703125" style="733" customWidth="1"/>
    <col min="2569" max="2569" width="7.42578125" style="733" bestFit="1" customWidth="1"/>
    <col min="2570" max="2571" width="7.5703125" style="733" bestFit="1" customWidth="1"/>
    <col min="2572" max="2572" width="8.7109375" style="733" bestFit="1" customWidth="1"/>
    <col min="2573" max="2573" width="7.5703125" style="733" bestFit="1" customWidth="1"/>
    <col min="2574" max="2577" width="7.7109375" style="733" bestFit="1" customWidth="1"/>
    <col min="2578" max="2578" width="0" style="733" hidden="1" customWidth="1"/>
    <col min="2579" max="2579" width="10.28515625" style="733" bestFit="1" customWidth="1"/>
    <col min="2580" max="2580" width="10" style="733" customWidth="1"/>
    <col min="2581" max="2581" width="9.28515625" style="733"/>
    <col min="2582" max="2582" width="35.42578125" style="733" customWidth="1"/>
    <col min="2583" max="2818" width="9.28515625" style="733"/>
    <col min="2819" max="2819" width="14" style="733" customWidth="1"/>
    <col min="2820" max="2820" width="45.28515625" style="733" bestFit="1" customWidth="1"/>
    <col min="2821" max="2821" width="0" style="733" hidden="1" customWidth="1"/>
    <col min="2822" max="2824" width="7.5703125" style="733" customWidth="1"/>
    <col min="2825" max="2825" width="7.42578125" style="733" bestFit="1" customWidth="1"/>
    <col min="2826" max="2827" width="7.5703125" style="733" bestFit="1" customWidth="1"/>
    <col min="2828" max="2828" width="8.7109375" style="733" bestFit="1" customWidth="1"/>
    <col min="2829" max="2829" width="7.5703125" style="733" bestFit="1" customWidth="1"/>
    <col min="2830" max="2833" width="7.7109375" style="733" bestFit="1" customWidth="1"/>
    <col min="2834" max="2834" width="0" style="733" hidden="1" customWidth="1"/>
    <col min="2835" max="2835" width="10.28515625" style="733" bestFit="1" customWidth="1"/>
    <col min="2836" max="2836" width="10" style="733" customWidth="1"/>
    <col min="2837" max="2837" width="9.28515625" style="733"/>
    <col min="2838" max="2838" width="35.42578125" style="733" customWidth="1"/>
    <col min="2839" max="3074" width="9.28515625" style="733"/>
    <col min="3075" max="3075" width="14" style="733" customWidth="1"/>
    <col min="3076" max="3076" width="45.28515625" style="733" bestFit="1" customWidth="1"/>
    <col min="3077" max="3077" width="0" style="733" hidden="1" customWidth="1"/>
    <col min="3078" max="3080" width="7.5703125" style="733" customWidth="1"/>
    <col min="3081" max="3081" width="7.42578125" style="733" bestFit="1" customWidth="1"/>
    <col min="3082" max="3083" width="7.5703125" style="733" bestFit="1" customWidth="1"/>
    <col min="3084" max="3084" width="8.7109375" style="733" bestFit="1" customWidth="1"/>
    <col min="3085" max="3085" width="7.5703125" style="733" bestFit="1" customWidth="1"/>
    <col min="3086" max="3089" width="7.7109375" style="733" bestFit="1" customWidth="1"/>
    <col min="3090" max="3090" width="0" style="733" hidden="1" customWidth="1"/>
    <col min="3091" max="3091" width="10.28515625" style="733" bestFit="1" customWidth="1"/>
    <col min="3092" max="3092" width="10" style="733" customWidth="1"/>
    <col min="3093" max="3093" width="9.28515625" style="733"/>
    <col min="3094" max="3094" width="35.42578125" style="733" customWidth="1"/>
    <col min="3095" max="3330" width="9.28515625" style="733"/>
    <col min="3331" max="3331" width="14" style="733" customWidth="1"/>
    <col min="3332" max="3332" width="45.28515625" style="733" bestFit="1" customWidth="1"/>
    <col min="3333" max="3333" width="0" style="733" hidden="1" customWidth="1"/>
    <col min="3334" max="3336" width="7.5703125" style="733" customWidth="1"/>
    <col min="3337" max="3337" width="7.42578125" style="733" bestFit="1" customWidth="1"/>
    <col min="3338" max="3339" width="7.5703125" style="733" bestFit="1" customWidth="1"/>
    <col min="3340" max="3340" width="8.7109375" style="733" bestFit="1" customWidth="1"/>
    <col min="3341" max="3341" width="7.5703125" style="733" bestFit="1" customWidth="1"/>
    <col min="3342" max="3345" width="7.7109375" style="733" bestFit="1" customWidth="1"/>
    <col min="3346" max="3346" width="0" style="733" hidden="1" customWidth="1"/>
    <col min="3347" max="3347" width="10.28515625" style="733" bestFit="1" customWidth="1"/>
    <col min="3348" max="3348" width="10" style="733" customWidth="1"/>
    <col min="3349" max="3349" width="9.28515625" style="733"/>
    <col min="3350" max="3350" width="35.42578125" style="733" customWidth="1"/>
    <col min="3351" max="3586" width="9.28515625" style="733"/>
    <col min="3587" max="3587" width="14" style="733" customWidth="1"/>
    <col min="3588" max="3588" width="45.28515625" style="733" bestFit="1" customWidth="1"/>
    <col min="3589" max="3589" width="0" style="733" hidden="1" customWidth="1"/>
    <col min="3590" max="3592" width="7.5703125" style="733" customWidth="1"/>
    <col min="3593" max="3593" width="7.42578125" style="733" bestFit="1" customWidth="1"/>
    <col min="3594" max="3595" width="7.5703125" style="733" bestFit="1" customWidth="1"/>
    <col min="3596" max="3596" width="8.7109375" style="733" bestFit="1" customWidth="1"/>
    <col min="3597" max="3597" width="7.5703125" style="733" bestFit="1" customWidth="1"/>
    <col min="3598" max="3601" width="7.7109375" style="733" bestFit="1" customWidth="1"/>
    <col min="3602" max="3602" width="0" style="733" hidden="1" customWidth="1"/>
    <col min="3603" max="3603" width="10.28515625" style="733" bestFit="1" customWidth="1"/>
    <col min="3604" max="3604" width="10" style="733" customWidth="1"/>
    <col min="3605" max="3605" width="9.28515625" style="733"/>
    <col min="3606" max="3606" width="35.42578125" style="733" customWidth="1"/>
    <col min="3607" max="3842" width="9.28515625" style="733"/>
    <col min="3843" max="3843" width="14" style="733" customWidth="1"/>
    <col min="3844" max="3844" width="45.28515625" style="733" bestFit="1" customWidth="1"/>
    <col min="3845" max="3845" width="0" style="733" hidden="1" customWidth="1"/>
    <col min="3846" max="3848" width="7.5703125" style="733" customWidth="1"/>
    <col min="3849" max="3849" width="7.42578125" style="733" bestFit="1" customWidth="1"/>
    <col min="3850" max="3851" width="7.5703125" style="733" bestFit="1" customWidth="1"/>
    <col min="3852" max="3852" width="8.7109375" style="733" bestFit="1" customWidth="1"/>
    <col min="3853" max="3853" width="7.5703125" style="733" bestFit="1" customWidth="1"/>
    <col min="3854" max="3857" width="7.7109375" style="733" bestFit="1" customWidth="1"/>
    <col min="3858" max="3858" width="0" style="733" hidden="1" customWidth="1"/>
    <col min="3859" max="3859" width="10.28515625" style="733" bestFit="1" customWidth="1"/>
    <col min="3860" max="3860" width="10" style="733" customWidth="1"/>
    <col min="3861" max="3861" width="9.28515625" style="733"/>
    <col min="3862" max="3862" width="35.42578125" style="733" customWidth="1"/>
    <col min="3863" max="4098" width="9.28515625" style="733"/>
    <col min="4099" max="4099" width="14" style="733" customWidth="1"/>
    <col min="4100" max="4100" width="45.28515625" style="733" bestFit="1" customWidth="1"/>
    <col min="4101" max="4101" width="0" style="733" hidden="1" customWidth="1"/>
    <col min="4102" max="4104" width="7.5703125" style="733" customWidth="1"/>
    <col min="4105" max="4105" width="7.42578125" style="733" bestFit="1" customWidth="1"/>
    <col min="4106" max="4107" width="7.5703125" style="733" bestFit="1" customWidth="1"/>
    <col min="4108" max="4108" width="8.7109375" style="733" bestFit="1" customWidth="1"/>
    <col min="4109" max="4109" width="7.5703125" style="733" bestFit="1" customWidth="1"/>
    <col min="4110" max="4113" width="7.7109375" style="733" bestFit="1" customWidth="1"/>
    <col min="4114" max="4114" width="0" style="733" hidden="1" customWidth="1"/>
    <col min="4115" max="4115" width="10.28515625" style="733" bestFit="1" customWidth="1"/>
    <col min="4116" max="4116" width="10" style="733" customWidth="1"/>
    <col min="4117" max="4117" width="9.28515625" style="733"/>
    <col min="4118" max="4118" width="35.42578125" style="733" customWidth="1"/>
    <col min="4119" max="4354" width="9.28515625" style="733"/>
    <col min="4355" max="4355" width="14" style="733" customWidth="1"/>
    <col min="4356" max="4356" width="45.28515625" style="733" bestFit="1" customWidth="1"/>
    <col min="4357" max="4357" width="0" style="733" hidden="1" customWidth="1"/>
    <col min="4358" max="4360" width="7.5703125" style="733" customWidth="1"/>
    <col min="4361" max="4361" width="7.42578125" style="733" bestFit="1" customWidth="1"/>
    <col min="4362" max="4363" width="7.5703125" style="733" bestFit="1" customWidth="1"/>
    <col min="4364" max="4364" width="8.7109375" style="733" bestFit="1" customWidth="1"/>
    <col min="4365" max="4365" width="7.5703125" style="733" bestFit="1" customWidth="1"/>
    <col min="4366" max="4369" width="7.7109375" style="733" bestFit="1" customWidth="1"/>
    <col min="4370" max="4370" width="0" style="733" hidden="1" customWidth="1"/>
    <col min="4371" max="4371" width="10.28515625" style="733" bestFit="1" customWidth="1"/>
    <col min="4372" max="4372" width="10" style="733" customWidth="1"/>
    <col min="4373" max="4373" width="9.28515625" style="733"/>
    <col min="4374" max="4374" width="35.42578125" style="733" customWidth="1"/>
    <col min="4375" max="4610" width="9.28515625" style="733"/>
    <col min="4611" max="4611" width="14" style="733" customWidth="1"/>
    <col min="4612" max="4612" width="45.28515625" style="733" bestFit="1" customWidth="1"/>
    <col min="4613" max="4613" width="0" style="733" hidden="1" customWidth="1"/>
    <col min="4614" max="4616" width="7.5703125" style="733" customWidth="1"/>
    <col min="4617" max="4617" width="7.42578125" style="733" bestFit="1" customWidth="1"/>
    <col min="4618" max="4619" width="7.5703125" style="733" bestFit="1" customWidth="1"/>
    <col min="4620" max="4620" width="8.7109375" style="733" bestFit="1" customWidth="1"/>
    <col min="4621" max="4621" width="7.5703125" style="733" bestFit="1" customWidth="1"/>
    <col min="4622" max="4625" width="7.7109375" style="733" bestFit="1" customWidth="1"/>
    <col min="4626" max="4626" width="0" style="733" hidden="1" customWidth="1"/>
    <col min="4627" max="4627" width="10.28515625" style="733" bestFit="1" customWidth="1"/>
    <col min="4628" max="4628" width="10" style="733" customWidth="1"/>
    <col min="4629" max="4629" width="9.28515625" style="733"/>
    <col min="4630" max="4630" width="35.42578125" style="733" customWidth="1"/>
    <col min="4631" max="4866" width="9.28515625" style="733"/>
    <col min="4867" max="4867" width="14" style="733" customWidth="1"/>
    <col min="4868" max="4868" width="45.28515625" style="733" bestFit="1" customWidth="1"/>
    <col min="4869" max="4869" width="0" style="733" hidden="1" customWidth="1"/>
    <col min="4870" max="4872" width="7.5703125" style="733" customWidth="1"/>
    <col min="4873" max="4873" width="7.42578125" style="733" bestFit="1" customWidth="1"/>
    <col min="4874" max="4875" width="7.5703125" style="733" bestFit="1" customWidth="1"/>
    <col min="4876" max="4876" width="8.7109375" style="733" bestFit="1" customWidth="1"/>
    <col min="4877" max="4877" width="7.5703125" style="733" bestFit="1" customWidth="1"/>
    <col min="4878" max="4881" width="7.7109375" style="733" bestFit="1" customWidth="1"/>
    <col min="4882" max="4882" width="0" style="733" hidden="1" customWidth="1"/>
    <col min="4883" max="4883" width="10.28515625" style="733" bestFit="1" customWidth="1"/>
    <col min="4884" max="4884" width="10" style="733" customWidth="1"/>
    <col min="4885" max="4885" width="9.28515625" style="733"/>
    <col min="4886" max="4886" width="35.42578125" style="733" customWidth="1"/>
    <col min="4887" max="5122" width="9.28515625" style="733"/>
    <col min="5123" max="5123" width="14" style="733" customWidth="1"/>
    <col min="5124" max="5124" width="45.28515625" style="733" bestFit="1" customWidth="1"/>
    <col min="5125" max="5125" width="0" style="733" hidden="1" customWidth="1"/>
    <col min="5126" max="5128" width="7.5703125" style="733" customWidth="1"/>
    <col min="5129" max="5129" width="7.42578125" style="733" bestFit="1" customWidth="1"/>
    <col min="5130" max="5131" width="7.5703125" style="733" bestFit="1" customWidth="1"/>
    <col min="5132" max="5132" width="8.7109375" style="733" bestFit="1" customWidth="1"/>
    <col min="5133" max="5133" width="7.5703125" style="733" bestFit="1" customWidth="1"/>
    <col min="5134" max="5137" width="7.7109375" style="733" bestFit="1" customWidth="1"/>
    <col min="5138" max="5138" width="0" style="733" hidden="1" customWidth="1"/>
    <col min="5139" max="5139" width="10.28515625" style="733" bestFit="1" customWidth="1"/>
    <col min="5140" max="5140" width="10" style="733" customWidth="1"/>
    <col min="5141" max="5141" width="9.28515625" style="733"/>
    <col min="5142" max="5142" width="35.42578125" style="733" customWidth="1"/>
    <col min="5143" max="5378" width="9.28515625" style="733"/>
    <col min="5379" max="5379" width="14" style="733" customWidth="1"/>
    <col min="5380" max="5380" width="45.28515625" style="733" bestFit="1" customWidth="1"/>
    <col min="5381" max="5381" width="0" style="733" hidden="1" customWidth="1"/>
    <col min="5382" max="5384" width="7.5703125" style="733" customWidth="1"/>
    <col min="5385" max="5385" width="7.42578125" style="733" bestFit="1" customWidth="1"/>
    <col min="5386" max="5387" width="7.5703125" style="733" bestFit="1" customWidth="1"/>
    <col min="5388" max="5388" width="8.7109375" style="733" bestFit="1" customWidth="1"/>
    <col min="5389" max="5389" width="7.5703125" style="733" bestFit="1" customWidth="1"/>
    <col min="5390" max="5393" width="7.7109375" style="733" bestFit="1" customWidth="1"/>
    <col min="5394" max="5394" width="0" style="733" hidden="1" customWidth="1"/>
    <col min="5395" max="5395" width="10.28515625" style="733" bestFit="1" customWidth="1"/>
    <col min="5396" max="5396" width="10" style="733" customWidth="1"/>
    <col min="5397" max="5397" width="9.28515625" style="733"/>
    <col min="5398" max="5398" width="35.42578125" style="733" customWidth="1"/>
    <col min="5399" max="5634" width="9.28515625" style="733"/>
    <col min="5635" max="5635" width="14" style="733" customWidth="1"/>
    <col min="5636" max="5636" width="45.28515625" style="733" bestFit="1" customWidth="1"/>
    <col min="5637" max="5637" width="0" style="733" hidden="1" customWidth="1"/>
    <col min="5638" max="5640" width="7.5703125" style="733" customWidth="1"/>
    <col min="5641" max="5641" width="7.42578125" style="733" bestFit="1" customWidth="1"/>
    <col min="5642" max="5643" width="7.5703125" style="733" bestFit="1" customWidth="1"/>
    <col min="5644" max="5644" width="8.7109375" style="733" bestFit="1" customWidth="1"/>
    <col min="5645" max="5645" width="7.5703125" style="733" bestFit="1" customWidth="1"/>
    <col min="5646" max="5649" width="7.7109375" style="733" bestFit="1" customWidth="1"/>
    <col min="5650" max="5650" width="0" style="733" hidden="1" customWidth="1"/>
    <col min="5651" max="5651" width="10.28515625" style="733" bestFit="1" customWidth="1"/>
    <col min="5652" max="5652" width="10" style="733" customWidth="1"/>
    <col min="5653" max="5653" width="9.28515625" style="733"/>
    <col min="5654" max="5654" width="35.42578125" style="733" customWidth="1"/>
    <col min="5655" max="5890" width="9.28515625" style="733"/>
    <col min="5891" max="5891" width="14" style="733" customWidth="1"/>
    <col min="5892" max="5892" width="45.28515625" style="733" bestFit="1" customWidth="1"/>
    <col min="5893" max="5893" width="0" style="733" hidden="1" customWidth="1"/>
    <col min="5894" max="5896" width="7.5703125" style="733" customWidth="1"/>
    <col min="5897" max="5897" width="7.42578125" style="733" bestFit="1" customWidth="1"/>
    <col min="5898" max="5899" width="7.5703125" style="733" bestFit="1" customWidth="1"/>
    <col min="5900" max="5900" width="8.7109375" style="733" bestFit="1" customWidth="1"/>
    <col min="5901" max="5901" width="7.5703125" style="733" bestFit="1" customWidth="1"/>
    <col min="5902" max="5905" width="7.7109375" style="733" bestFit="1" customWidth="1"/>
    <col min="5906" max="5906" width="0" style="733" hidden="1" customWidth="1"/>
    <col min="5907" max="5907" width="10.28515625" style="733" bestFit="1" customWidth="1"/>
    <col min="5908" max="5908" width="10" style="733" customWidth="1"/>
    <col min="5909" max="5909" width="9.28515625" style="733"/>
    <col min="5910" max="5910" width="35.42578125" style="733" customWidth="1"/>
    <col min="5911" max="6146" width="9.28515625" style="733"/>
    <col min="6147" max="6147" width="14" style="733" customWidth="1"/>
    <col min="6148" max="6148" width="45.28515625" style="733" bestFit="1" customWidth="1"/>
    <col min="6149" max="6149" width="0" style="733" hidden="1" customWidth="1"/>
    <col min="6150" max="6152" width="7.5703125" style="733" customWidth="1"/>
    <col min="6153" max="6153" width="7.42578125" style="733" bestFit="1" customWidth="1"/>
    <col min="6154" max="6155" width="7.5703125" style="733" bestFit="1" customWidth="1"/>
    <col min="6156" max="6156" width="8.7109375" style="733" bestFit="1" customWidth="1"/>
    <col min="6157" max="6157" width="7.5703125" style="733" bestFit="1" customWidth="1"/>
    <col min="6158" max="6161" width="7.7109375" style="733" bestFit="1" customWidth="1"/>
    <col min="6162" max="6162" width="0" style="733" hidden="1" customWidth="1"/>
    <col min="6163" max="6163" width="10.28515625" style="733" bestFit="1" customWidth="1"/>
    <col min="6164" max="6164" width="10" style="733" customWidth="1"/>
    <col min="6165" max="6165" width="9.28515625" style="733"/>
    <col min="6166" max="6166" width="35.42578125" style="733" customWidth="1"/>
    <col min="6167" max="6402" width="9.28515625" style="733"/>
    <col min="6403" max="6403" width="14" style="733" customWidth="1"/>
    <col min="6404" max="6404" width="45.28515625" style="733" bestFit="1" customWidth="1"/>
    <col min="6405" max="6405" width="0" style="733" hidden="1" customWidth="1"/>
    <col min="6406" max="6408" width="7.5703125" style="733" customWidth="1"/>
    <col min="6409" max="6409" width="7.42578125" style="733" bestFit="1" customWidth="1"/>
    <col min="6410" max="6411" width="7.5703125" style="733" bestFit="1" customWidth="1"/>
    <col min="6412" max="6412" width="8.7109375" style="733" bestFit="1" customWidth="1"/>
    <col min="6413" max="6413" width="7.5703125" style="733" bestFit="1" customWidth="1"/>
    <col min="6414" max="6417" width="7.7109375" style="733" bestFit="1" customWidth="1"/>
    <col min="6418" max="6418" width="0" style="733" hidden="1" customWidth="1"/>
    <col min="6419" max="6419" width="10.28515625" style="733" bestFit="1" customWidth="1"/>
    <col min="6420" max="6420" width="10" style="733" customWidth="1"/>
    <col min="6421" max="6421" width="9.28515625" style="733"/>
    <col min="6422" max="6422" width="35.42578125" style="733" customWidth="1"/>
    <col min="6423" max="6658" width="9.28515625" style="733"/>
    <col min="6659" max="6659" width="14" style="733" customWidth="1"/>
    <col min="6660" max="6660" width="45.28515625" style="733" bestFit="1" customWidth="1"/>
    <col min="6661" max="6661" width="0" style="733" hidden="1" customWidth="1"/>
    <col min="6662" max="6664" width="7.5703125" style="733" customWidth="1"/>
    <col min="6665" max="6665" width="7.42578125" style="733" bestFit="1" customWidth="1"/>
    <col min="6666" max="6667" width="7.5703125" style="733" bestFit="1" customWidth="1"/>
    <col min="6668" max="6668" width="8.7109375" style="733" bestFit="1" customWidth="1"/>
    <col min="6669" max="6669" width="7.5703125" style="733" bestFit="1" customWidth="1"/>
    <col min="6670" max="6673" width="7.7109375" style="733" bestFit="1" customWidth="1"/>
    <col min="6674" max="6674" width="0" style="733" hidden="1" customWidth="1"/>
    <col min="6675" max="6675" width="10.28515625" style="733" bestFit="1" customWidth="1"/>
    <col min="6676" max="6676" width="10" style="733" customWidth="1"/>
    <col min="6677" max="6677" width="9.28515625" style="733"/>
    <col min="6678" max="6678" width="35.42578125" style="733" customWidth="1"/>
    <col min="6679" max="6914" width="9.28515625" style="733"/>
    <col min="6915" max="6915" width="14" style="733" customWidth="1"/>
    <col min="6916" max="6916" width="45.28515625" style="733" bestFit="1" customWidth="1"/>
    <col min="6917" max="6917" width="0" style="733" hidden="1" customWidth="1"/>
    <col min="6918" max="6920" width="7.5703125" style="733" customWidth="1"/>
    <col min="6921" max="6921" width="7.42578125" style="733" bestFit="1" customWidth="1"/>
    <col min="6922" max="6923" width="7.5703125" style="733" bestFit="1" customWidth="1"/>
    <col min="6924" max="6924" width="8.7109375" style="733" bestFit="1" customWidth="1"/>
    <col min="6925" max="6925" width="7.5703125" style="733" bestFit="1" customWidth="1"/>
    <col min="6926" max="6929" width="7.7109375" style="733" bestFit="1" customWidth="1"/>
    <col min="6930" max="6930" width="0" style="733" hidden="1" customWidth="1"/>
    <col min="6931" max="6931" width="10.28515625" style="733" bestFit="1" customWidth="1"/>
    <col min="6932" max="6932" width="10" style="733" customWidth="1"/>
    <col min="6933" max="6933" width="9.28515625" style="733"/>
    <col min="6934" max="6934" width="35.42578125" style="733" customWidth="1"/>
    <col min="6935" max="7170" width="9.28515625" style="733"/>
    <col min="7171" max="7171" width="14" style="733" customWidth="1"/>
    <col min="7172" max="7172" width="45.28515625" style="733" bestFit="1" customWidth="1"/>
    <col min="7173" max="7173" width="0" style="733" hidden="1" customWidth="1"/>
    <col min="7174" max="7176" width="7.5703125" style="733" customWidth="1"/>
    <col min="7177" max="7177" width="7.42578125" style="733" bestFit="1" customWidth="1"/>
    <col min="7178" max="7179" width="7.5703125" style="733" bestFit="1" customWidth="1"/>
    <col min="7180" max="7180" width="8.7109375" style="733" bestFit="1" customWidth="1"/>
    <col min="7181" max="7181" width="7.5703125" style="733" bestFit="1" customWidth="1"/>
    <col min="7182" max="7185" width="7.7109375" style="733" bestFit="1" customWidth="1"/>
    <col min="7186" max="7186" width="0" style="733" hidden="1" customWidth="1"/>
    <col min="7187" max="7187" width="10.28515625" style="733" bestFit="1" customWidth="1"/>
    <col min="7188" max="7188" width="10" style="733" customWidth="1"/>
    <col min="7189" max="7189" width="9.28515625" style="733"/>
    <col min="7190" max="7190" width="35.42578125" style="733" customWidth="1"/>
    <col min="7191" max="7426" width="9.28515625" style="733"/>
    <col min="7427" max="7427" width="14" style="733" customWidth="1"/>
    <col min="7428" max="7428" width="45.28515625" style="733" bestFit="1" customWidth="1"/>
    <col min="7429" max="7429" width="0" style="733" hidden="1" customWidth="1"/>
    <col min="7430" max="7432" width="7.5703125" style="733" customWidth="1"/>
    <col min="7433" max="7433" width="7.42578125" style="733" bestFit="1" customWidth="1"/>
    <col min="7434" max="7435" width="7.5703125" style="733" bestFit="1" customWidth="1"/>
    <col min="7436" max="7436" width="8.7109375" style="733" bestFit="1" customWidth="1"/>
    <col min="7437" max="7437" width="7.5703125" style="733" bestFit="1" customWidth="1"/>
    <col min="7438" max="7441" width="7.7109375" style="733" bestFit="1" customWidth="1"/>
    <col min="7442" max="7442" width="0" style="733" hidden="1" customWidth="1"/>
    <col min="7443" max="7443" width="10.28515625" style="733" bestFit="1" customWidth="1"/>
    <col min="7444" max="7444" width="10" style="733" customWidth="1"/>
    <col min="7445" max="7445" width="9.28515625" style="733"/>
    <col min="7446" max="7446" width="35.42578125" style="733" customWidth="1"/>
    <col min="7447" max="7682" width="9.28515625" style="733"/>
    <col min="7683" max="7683" width="14" style="733" customWidth="1"/>
    <col min="7684" max="7684" width="45.28515625" style="733" bestFit="1" customWidth="1"/>
    <col min="7685" max="7685" width="0" style="733" hidden="1" customWidth="1"/>
    <col min="7686" max="7688" width="7.5703125" style="733" customWidth="1"/>
    <col min="7689" max="7689" width="7.42578125" style="733" bestFit="1" customWidth="1"/>
    <col min="7690" max="7691" width="7.5703125" style="733" bestFit="1" customWidth="1"/>
    <col min="7692" max="7692" width="8.7109375" style="733" bestFit="1" customWidth="1"/>
    <col min="7693" max="7693" width="7.5703125" style="733" bestFit="1" customWidth="1"/>
    <col min="7694" max="7697" width="7.7109375" style="733" bestFit="1" customWidth="1"/>
    <col min="7698" max="7698" width="0" style="733" hidden="1" customWidth="1"/>
    <col min="7699" max="7699" width="10.28515625" style="733" bestFit="1" customWidth="1"/>
    <col min="7700" max="7700" width="10" style="733" customWidth="1"/>
    <col min="7701" max="7701" width="9.28515625" style="733"/>
    <col min="7702" max="7702" width="35.42578125" style="733" customWidth="1"/>
    <col min="7703" max="7938" width="9.28515625" style="733"/>
    <col min="7939" max="7939" width="14" style="733" customWidth="1"/>
    <col min="7940" max="7940" width="45.28515625" style="733" bestFit="1" customWidth="1"/>
    <col min="7941" max="7941" width="0" style="733" hidden="1" customWidth="1"/>
    <col min="7942" max="7944" width="7.5703125" style="733" customWidth="1"/>
    <col min="7945" max="7945" width="7.42578125" style="733" bestFit="1" customWidth="1"/>
    <col min="7946" max="7947" width="7.5703125" style="733" bestFit="1" customWidth="1"/>
    <col min="7948" max="7948" width="8.7109375" style="733" bestFit="1" customWidth="1"/>
    <col min="7949" max="7949" width="7.5703125" style="733" bestFit="1" customWidth="1"/>
    <col min="7950" max="7953" width="7.7109375" style="733" bestFit="1" customWidth="1"/>
    <col min="7954" max="7954" width="0" style="733" hidden="1" customWidth="1"/>
    <col min="7955" max="7955" width="10.28515625" style="733" bestFit="1" customWidth="1"/>
    <col min="7956" max="7956" width="10" style="733" customWidth="1"/>
    <col min="7957" max="7957" width="9.28515625" style="733"/>
    <col min="7958" max="7958" width="35.42578125" style="733" customWidth="1"/>
    <col min="7959" max="8194" width="9.28515625" style="733"/>
    <col min="8195" max="8195" width="14" style="733" customWidth="1"/>
    <col min="8196" max="8196" width="45.28515625" style="733" bestFit="1" customWidth="1"/>
    <col min="8197" max="8197" width="0" style="733" hidden="1" customWidth="1"/>
    <col min="8198" max="8200" width="7.5703125" style="733" customWidth="1"/>
    <col min="8201" max="8201" width="7.42578125" style="733" bestFit="1" customWidth="1"/>
    <col min="8202" max="8203" width="7.5703125" style="733" bestFit="1" customWidth="1"/>
    <col min="8204" max="8204" width="8.7109375" style="733" bestFit="1" customWidth="1"/>
    <col min="8205" max="8205" width="7.5703125" style="733" bestFit="1" customWidth="1"/>
    <col min="8206" max="8209" width="7.7109375" style="733" bestFit="1" customWidth="1"/>
    <col min="8210" max="8210" width="0" style="733" hidden="1" customWidth="1"/>
    <col min="8211" max="8211" width="10.28515625" style="733" bestFit="1" customWidth="1"/>
    <col min="8212" max="8212" width="10" style="733" customWidth="1"/>
    <col min="8213" max="8213" width="9.28515625" style="733"/>
    <col min="8214" max="8214" width="35.42578125" style="733" customWidth="1"/>
    <col min="8215" max="8450" width="9.28515625" style="733"/>
    <col min="8451" max="8451" width="14" style="733" customWidth="1"/>
    <col min="8452" max="8452" width="45.28515625" style="733" bestFit="1" customWidth="1"/>
    <col min="8453" max="8453" width="0" style="733" hidden="1" customWidth="1"/>
    <col min="8454" max="8456" width="7.5703125" style="733" customWidth="1"/>
    <col min="8457" max="8457" width="7.42578125" style="733" bestFit="1" customWidth="1"/>
    <col min="8458" max="8459" width="7.5703125" style="733" bestFit="1" customWidth="1"/>
    <col min="8460" max="8460" width="8.7109375" style="733" bestFit="1" customWidth="1"/>
    <col min="8461" max="8461" width="7.5703125" style="733" bestFit="1" customWidth="1"/>
    <col min="8462" max="8465" width="7.7109375" style="733" bestFit="1" customWidth="1"/>
    <col min="8466" max="8466" width="0" style="733" hidden="1" customWidth="1"/>
    <col min="8467" max="8467" width="10.28515625" style="733" bestFit="1" customWidth="1"/>
    <col min="8468" max="8468" width="10" style="733" customWidth="1"/>
    <col min="8469" max="8469" width="9.28515625" style="733"/>
    <col min="8470" max="8470" width="35.42578125" style="733" customWidth="1"/>
    <col min="8471" max="8706" width="9.28515625" style="733"/>
    <col min="8707" max="8707" width="14" style="733" customWidth="1"/>
    <col min="8708" max="8708" width="45.28515625" style="733" bestFit="1" customWidth="1"/>
    <col min="8709" max="8709" width="0" style="733" hidden="1" customWidth="1"/>
    <col min="8710" max="8712" width="7.5703125" style="733" customWidth="1"/>
    <col min="8713" max="8713" width="7.42578125" style="733" bestFit="1" customWidth="1"/>
    <col min="8714" max="8715" width="7.5703125" style="733" bestFit="1" customWidth="1"/>
    <col min="8716" max="8716" width="8.7109375" style="733" bestFit="1" customWidth="1"/>
    <col min="8717" max="8717" width="7.5703125" style="733" bestFit="1" customWidth="1"/>
    <col min="8718" max="8721" width="7.7109375" style="733" bestFit="1" customWidth="1"/>
    <col min="8722" max="8722" width="0" style="733" hidden="1" customWidth="1"/>
    <col min="8723" max="8723" width="10.28515625" style="733" bestFit="1" customWidth="1"/>
    <col min="8724" max="8724" width="10" style="733" customWidth="1"/>
    <col min="8725" max="8725" width="9.28515625" style="733"/>
    <col min="8726" max="8726" width="35.42578125" style="733" customWidth="1"/>
    <col min="8727" max="8962" width="9.28515625" style="733"/>
    <col min="8963" max="8963" width="14" style="733" customWidth="1"/>
    <col min="8964" max="8964" width="45.28515625" style="733" bestFit="1" customWidth="1"/>
    <col min="8965" max="8965" width="0" style="733" hidden="1" customWidth="1"/>
    <col min="8966" max="8968" width="7.5703125" style="733" customWidth="1"/>
    <col min="8969" max="8969" width="7.42578125" style="733" bestFit="1" customWidth="1"/>
    <col min="8970" max="8971" width="7.5703125" style="733" bestFit="1" customWidth="1"/>
    <col min="8972" max="8972" width="8.7109375" style="733" bestFit="1" customWidth="1"/>
    <col min="8973" max="8973" width="7.5703125" style="733" bestFit="1" customWidth="1"/>
    <col min="8974" max="8977" width="7.7109375" style="733" bestFit="1" customWidth="1"/>
    <col min="8978" max="8978" width="0" style="733" hidden="1" customWidth="1"/>
    <col min="8979" max="8979" width="10.28515625" style="733" bestFit="1" customWidth="1"/>
    <col min="8980" max="8980" width="10" style="733" customWidth="1"/>
    <col min="8981" max="8981" width="9.28515625" style="733"/>
    <col min="8982" max="8982" width="35.42578125" style="733" customWidth="1"/>
    <col min="8983" max="9218" width="9.28515625" style="733"/>
    <col min="9219" max="9219" width="14" style="733" customWidth="1"/>
    <col min="9220" max="9220" width="45.28515625" style="733" bestFit="1" customWidth="1"/>
    <col min="9221" max="9221" width="0" style="733" hidden="1" customWidth="1"/>
    <col min="9222" max="9224" width="7.5703125" style="733" customWidth="1"/>
    <col min="9225" max="9225" width="7.42578125" style="733" bestFit="1" customWidth="1"/>
    <col min="9226" max="9227" width="7.5703125" style="733" bestFit="1" customWidth="1"/>
    <col min="9228" max="9228" width="8.7109375" style="733" bestFit="1" customWidth="1"/>
    <col min="9229" max="9229" width="7.5703125" style="733" bestFit="1" customWidth="1"/>
    <col min="9230" max="9233" width="7.7109375" style="733" bestFit="1" customWidth="1"/>
    <col min="9234" max="9234" width="0" style="733" hidden="1" customWidth="1"/>
    <col min="9235" max="9235" width="10.28515625" style="733" bestFit="1" customWidth="1"/>
    <col min="9236" max="9236" width="10" style="733" customWidth="1"/>
    <col min="9237" max="9237" width="9.28515625" style="733"/>
    <col min="9238" max="9238" width="35.42578125" style="733" customWidth="1"/>
    <col min="9239" max="9474" width="9.28515625" style="733"/>
    <col min="9475" max="9475" width="14" style="733" customWidth="1"/>
    <col min="9476" max="9476" width="45.28515625" style="733" bestFit="1" customWidth="1"/>
    <col min="9477" max="9477" width="0" style="733" hidden="1" customWidth="1"/>
    <col min="9478" max="9480" width="7.5703125" style="733" customWidth="1"/>
    <col min="9481" max="9481" width="7.42578125" style="733" bestFit="1" customWidth="1"/>
    <col min="9482" max="9483" width="7.5703125" style="733" bestFit="1" customWidth="1"/>
    <col min="9484" max="9484" width="8.7109375" style="733" bestFit="1" customWidth="1"/>
    <col min="9485" max="9485" width="7.5703125" style="733" bestFit="1" customWidth="1"/>
    <col min="9486" max="9489" width="7.7109375" style="733" bestFit="1" customWidth="1"/>
    <col min="9490" max="9490" width="0" style="733" hidden="1" customWidth="1"/>
    <col min="9491" max="9491" width="10.28515625" style="733" bestFit="1" customWidth="1"/>
    <col min="9492" max="9492" width="10" style="733" customWidth="1"/>
    <col min="9493" max="9493" width="9.28515625" style="733"/>
    <col min="9494" max="9494" width="35.42578125" style="733" customWidth="1"/>
    <col min="9495" max="9730" width="9.28515625" style="733"/>
    <col min="9731" max="9731" width="14" style="733" customWidth="1"/>
    <col min="9732" max="9732" width="45.28515625" style="733" bestFit="1" customWidth="1"/>
    <col min="9733" max="9733" width="0" style="733" hidden="1" customWidth="1"/>
    <col min="9734" max="9736" width="7.5703125" style="733" customWidth="1"/>
    <col min="9737" max="9737" width="7.42578125" style="733" bestFit="1" customWidth="1"/>
    <col min="9738" max="9739" width="7.5703125" style="733" bestFit="1" customWidth="1"/>
    <col min="9740" max="9740" width="8.7109375" style="733" bestFit="1" customWidth="1"/>
    <col min="9741" max="9741" width="7.5703125" style="733" bestFit="1" customWidth="1"/>
    <col min="9742" max="9745" width="7.7109375" style="733" bestFit="1" customWidth="1"/>
    <col min="9746" max="9746" width="0" style="733" hidden="1" customWidth="1"/>
    <col min="9747" max="9747" width="10.28515625" style="733" bestFit="1" customWidth="1"/>
    <col min="9748" max="9748" width="10" style="733" customWidth="1"/>
    <col min="9749" max="9749" width="9.28515625" style="733"/>
    <col min="9750" max="9750" width="35.42578125" style="733" customWidth="1"/>
    <col min="9751" max="9986" width="9.28515625" style="733"/>
    <col min="9987" max="9987" width="14" style="733" customWidth="1"/>
    <col min="9988" max="9988" width="45.28515625" style="733" bestFit="1" customWidth="1"/>
    <col min="9989" max="9989" width="0" style="733" hidden="1" customWidth="1"/>
    <col min="9990" max="9992" width="7.5703125" style="733" customWidth="1"/>
    <col min="9993" max="9993" width="7.42578125" style="733" bestFit="1" customWidth="1"/>
    <col min="9994" max="9995" width="7.5703125" style="733" bestFit="1" customWidth="1"/>
    <col min="9996" max="9996" width="8.7109375" style="733" bestFit="1" customWidth="1"/>
    <col min="9997" max="9997" width="7.5703125" style="733" bestFit="1" customWidth="1"/>
    <col min="9998" max="10001" width="7.7109375" style="733" bestFit="1" customWidth="1"/>
    <col min="10002" max="10002" width="0" style="733" hidden="1" customWidth="1"/>
    <col min="10003" max="10003" width="10.28515625" style="733" bestFit="1" customWidth="1"/>
    <col min="10004" max="10004" width="10" style="733" customWidth="1"/>
    <col min="10005" max="10005" width="9.28515625" style="733"/>
    <col min="10006" max="10006" width="35.42578125" style="733" customWidth="1"/>
    <col min="10007" max="10242" width="9.28515625" style="733"/>
    <col min="10243" max="10243" width="14" style="733" customWidth="1"/>
    <col min="10244" max="10244" width="45.28515625" style="733" bestFit="1" customWidth="1"/>
    <col min="10245" max="10245" width="0" style="733" hidden="1" customWidth="1"/>
    <col min="10246" max="10248" width="7.5703125" style="733" customWidth="1"/>
    <col min="10249" max="10249" width="7.42578125" style="733" bestFit="1" customWidth="1"/>
    <col min="10250" max="10251" width="7.5703125" style="733" bestFit="1" customWidth="1"/>
    <col min="10252" max="10252" width="8.7109375" style="733" bestFit="1" customWidth="1"/>
    <col min="10253" max="10253" width="7.5703125" style="733" bestFit="1" customWidth="1"/>
    <col min="10254" max="10257" width="7.7109375" style="733" bestFit="1" customWidth="1"/>
    <col min="10258" max="10258" width="0" style="733" hidden="1" customWidth="1"/>
    <col min="10259" max="10259" width="10.28515625" style="733" bestFit="1" customWidth="1"/>
    <col min="10260" max="10260" width="10" style="733" customWidth="1"/>
    <col min="10261" max="10261" width="9.28515625" style="733"/>
    <col min="10262" max="10262" width="35.42578125" style="733" customWidth="1"/>
    <col min="10263" max="10498" width="9.28515625" style="733"/>
    <col min="10499" max="10499" width="14" style="733" customWidth="1"/>
    <col min="10500" max="10500" width="45.28515625" style="733" bestFit="1" customWidth="1"/>
    <col min="10501" max="10501" width="0" style="733" hidden="1" customWidth="1"/>
    <col min="10502" max="10504" width="7.5703125" style="733" customWidth="1"/>
    <col min="10505" max="10505" width="7.42578125" style="733" bestFit="1" customWidth="1"/>
    <col min="10506" max="10507" width="7.5703125" style="733" bestFit="1" customWidth="1"/>
    <col min="10508" max="10508" width="8.7109375" style="733" bestFit="1" customWidth="1"/>
    <col min="10509" max="10509" width="7.5703125" style="733" bestFit="1" customWidth="1"/>
    <col min="10510" max="10513" width="7.7109375" style="733" bestFit="1" customWidth="1"/>
    <col min="10514" max="10514" width="0" style="733" hidden="1" customWidth="1"/>
    <col min="10515" max="10515" width="10.28515625" style="733" bestFit="1" customWidth="1"/>
    <col min="10516" max="10516" width="10" style="733" customWidth="1"/>
    <col min="10517" max="10517" width="9.28515625" style="733"/>
    <col min="10518" max="10518" width="35.42578125" style="733" customWidth="1"/>
    <col min="10519" max="10754" width="9.28515625" style="733"/>
    <col min="10755" max="10755" width="14" style="733" customWidth="1"/>
    <col min="10756" max="10756" width="45.28515625" style="733" bestFit="1" customWidth="1"/>
    <col min="10757" max="10757" width="0" style="733" hidden="1" customWidth="1"/>
    <col min="10758" max="10760" width="7.5703125" style="733" customWidth="1"/>
    <col min="10761" max="10761" width="7.42578125" style="733" bestFit="1" customWidth="1"/>
    <col min="10762" max="10763" width="7.5703125" style="733" bestFit="1" customWidth="1"/>
    <col min="10764" max="10764" width="8.7109375" style="733" bestFit="1" customWidth="1"/>
    <col min="10765" max="10765" width="7.5703125" style="733" bestFit="1" customWidth="1"/>
    <col min="10766" max="10769" width="7.7109375" style="733" bestFit="1" customWidth="1"/>
    <col min="10770" max="10770" width="0" style="733" hidden="1" customWidth="1"/>
    <col min="10771" max="10771" width="10.28515625" style="733" bestFit="1" customWidth="1"/>
    <col min="10772" max="10772" width="10" style="733" customWidth="1"/>
    <col min="10773" max="10773" width="9.28515625" style="733"/>
    <col min="10774" max="10774" width="35.42578125" style="733" customWidth="1"/>
    <col min="10775" max="11010" width="9.28515625" style="733"/>
    <col min="11011" max="11011" width="14" style="733" customWidth="1"/>
    <col min="11012" max="11012" width="45.28515625" style="733" bestFit="1" customWidth="1"/>
    <col min="11013" max="11013" width="0" style="733" hidden="1" customWidth="1"/>
    <col min="11014" max="11016" width="7.5703125" style="733" customWidth="1"/>
    <col min="11017" max="11017" width="7.42578125" style="733" bestFit="1" customWidth="1"/>
    <col min="11018" max="11019" width="7.5703125" style="733" bestFit="1" customWidth="1"/>
    <col min="11020" max="11020" width="8.7109375" style="733" bestFit="1" customWidth="1"/>
    <col min="11021" max="11021" width="7.5703125" style="733" bestFit="1" customWidth="1"/>
    <col min="11022" max="11025" width="7.7109375" style="733" bestFit="1" customWidth="1"/>
    <col min="11026" max="11026" width="0" style="733" hidden="1" customWidth="1"/>
    <col min="11027" max="11027" width="10.28515625" style="733" bestFit="1" customWidth="1"/>
    <col min="11028" max="11028" width="10" style="733" customWidth="1"/>
    <col min="11029" max="11029" width="9.28515625" style="733"/>
    <col min="11030" max="11030" width="35.42578125" style="733" customWidth="1"/>
    <col min="11031" max="11266" width="9.28515625" style="733"/>
    <col min="11267" max="11267" width="14" style="733" customWidth="1"/>
    <col min="11268" max="11268" width="45.28515625" style="733" bestFit="1" customWidth="1"/>
    <col min="11269" max="11269" width="0" style="733" hidden="1" customWidth="1"/>
    <col min="11270" max="11272" width="7.5703125" style="733" customWidth="1"/>
    <col min="11273" max="11273" width="7.42578125" style="733" bestFit="1" customWidth="1"/>
    <col min="11274" max="11275" width="7.5703125" style="733" bestFit="1" customWidth="1"/>
    <col min="11276" max="11276" width="8.7109375" style="733" bestFit="1" customWidth="1"/>
    <col min="11277" max="11277" width="7.5703125" style="733" bestFit="1" customWidth="1"/>
    <col min="11278" max="11281" width="7.7109375" style="733" bestFit="1" customWidth="1"/>
    <col min="11282" max="11282" width="0" style="733" hidden="1" customWidth="1"/>
    <col min="11283" max="11283" width="10.28515625" style="733" bestFit="1" customWidth="1"/>
    <col min="11284" max="11284" width="10" style="733" customWidth="1"/>
    <col min="11285" max="11285" width="9.28515625" style="733"/>
    <col min="11286" max="11286" width="35.42578125" style="733" customWidth="1"/>
    <col min="11287" max="11522" width="9.28515625" style="733"/>
    <col min="11523" max="11523" width="14" style="733" customWidth="1"/>
    <col min="11524" max="11524" width="45.28515625" style="733" bestFit="1" customWidth="1"/>
    <col min="11525" max="11525" width="0" style="733" hidden="1" customWidth="1"/>
    <col min="11526" max="11528" width="7.5703125" style="733" customWidth="1"/>
    <col min="11529" max="11529" width="7.42578125" style="733" bestFit="1" customWidth="1"/>
    <col min="11530" max="11531" width="7.5703125" style="733" bestFit="1" customWidth="1"/>
    <col min="11532" max="11532" width="8.7109375" style="733" bestFit="1" customWidth="1"/>
    <col min="11533" max="11533" width="7.5703125" style="733" bestFit="1" customWidth="1"/>
    <col min="11534" max="11537" width="7.7109375" style="733" bestFit="1" customWidth="1"/>
    <col min="11538" max="11538" width="0" style="733" hidden="1" customWidth="1"/>
    <col min="11539" max="11539" width="10.28515625" style="733" bestFit="1" customWidth="1"/>
    <col min="11540" max="11540" width="10" style="733" customWidth="1"/>
    <col min="11541" max="11541" width="9.28515625" style="733"/>
    <col min="11542" max="11542" width="35.42578125" style="733" customWidth="1"/>
    <col min="11543" max="11778" width="9.28515625" style="733"/>
    <col min="11779" max="11779" width="14" style="733" customWidth="1"/>
    <col min="11780" max="11780" width="45.28515625" style="733" bestFit="1" customWidth="1"/>
    <col min="11781" max="11781" width="0" style="733" hidden="1" customWidth="1"/>
    <col min="11782" max="11784" width="7.5703125" style="733" customWidth="1"/>
    <col min="11785" max="11785" width="7.42578125" style="733" bestFit="1" customWidth="1"/>
    <col min="11786" max="11787" width="7.5703125" style="733" bestFit="1" customWidth="1"/>
    <col min="11788" max="11788" width="8.7109375" style="733" bestFit="1" customWidth="1"/>
    <col min="11789" max="11789" width="7.5703125" style="733" bestFit="1" customWidth="1"/>
    <col min="11790" max="11793" width="7.7109375" style="733" bestFit="1" customWidth="1"/>
    <col min="11794" max="11794" width="0" style="733" hidden="1" customWidth="1"/>
    <col min="11795" max="11795" width="10.28515625" style="733" bestFit="1" customWidth="1"/>
    <col min="11796" max="11796" width="10" style="733" customWidth="1"/>
    <col min="11797" max="11797" width="9.28515625" style="733"/>
    <col min="11798" max="11798" width="35.42578125" style="733" customWidth="1"/>
    <col min="11799" max="12034" width="9.28515625" style="733"/>
    <col min="12035" max="12035" width="14" style="733" customWidth="1"/>
    <col min="12036" max="12036" width="45.28515625" style="733" bestFit="1" customWidth="1"/>
    <col min="12037" max="12037" width="0" style="733" hidden="1" customWidth="1"/>
    <col min="12038" max="12040" width="7.5703125" style="733" customWidth="1"/>
    <col min="12041" max="12041" width="7.42578125" style="733" bestFit="1" customWidth="1"/>
    <col min="12042" max="12043" width="7.5703125" style="733" bestFit="1" customWidth="1"/>
    <col min="12044" max="12044" width="8.7109375" style="733" bestFit="1" customWidth="1"/>
    <col min="12045" max="12045" width="7.5703125" style="733" bestFit="1" customWidth="1"/>
    <col min="12046" max="12049" width="7.7109375" style="733" bestFit="1" customWidth="1"/>
    <col min="12050" max="12050" width="0" style="733" hidden="1" customWidth="1"/>
    <col min="12051" max="12051" width="10.28515625" style="733" bestFit="1" customWidth="1"/>
    <col min="12052" max="12052" width="10" style="733" customWidth="1"/>
    <col min="12053" max="12053" width="9.28515625" style="733"/>
    <col min="12054" max="12054" width="35.42578125" style="733" customWidth="1"/>
    <col min="12055" max="12290" width="9.28515625" style="733"/>
    <col min="12291" max="12291" width="14" style="733" customWidth="1"/>
    <col min="12292" max="12292" width="45.28515625" style="733" bestFit="1" customWidth="1"/>
    <col min="12293" max="12293" width="0" style="733" hidden="1" customWidth="1"/>
    <col min="12294" max="12296" width="7.5703125" style="733" customWidth="1"/>
    <col min="12297" max="12297" width="7.42578125" style="733" bestFit="1" customWidth="1"/>
    <col min="12298" max="12299" width="7.5703125" style="733" bestFit="1" customWidth="1"/>
    <col min="12300" max="12300" width="8.7109375" style="733" bestFit="1" customWidth="1"/>
    <col min="12301" max="12301" width="7.5703125" style="733" bestFit="1" customWidth="1"/>
    <col min="12302" max="12305" width="7.7109375" style="733" bestFit="1" customWidth="1"/>
    <col min="12306" max="12306" width="0" style="733" hidden="1" customWidth="1"/>
    <col min="12307" max="12307" width="10.28515625" style="733" bestFit="1" customWidth="1"/>
    <col min="12308" max="12308" width="10" style="733" customWidth="1"/>
    <col min="12309" max="12309" width="9.28515625" style="733"/>
    <col min="12310" max="12310" width="35.42578125" style="733" customWidth="1"/>
    <col min="12311" max="12546" width="9.28515625" style="733"/>
    <col min="12547" max="12547" width="14" style="733" customWidth="1"/>
    <col min="12548" max="12548" width="45.28515625" style="733" bestFit="1" customWidth="1"/>
    <col min="12549" max="12549" width="0" style="733" hidden="1" customWidth="1"/>
    <col min="12550" max="12552" width="7.5703125" style="733" customWidth="1"/>
    <col min="12553" max="12553" width="7.42578125" style="733" bestFit="1" customWidth="1"/>
    <col min="12554" max="12555" width="7.5703125" style="733" bestFit="1" customWidth="1"/>
    <col min="12556" max="12556" width="8.7109375" style="733" bestFit="1" customWidth="1"/>
    <col min="12557" max="12557" width="7.5703125" style="733" bestFit="1" customWidth="1"/>
    <col min="12558" max="12561" width="7.7109375" style="733" bestFit="1" customWidth="1"/>
    <col min="12562" max="12562" width="0" style="733" hidden="1" customWidth="1"/>
    <col min="12563" max="12563" width="10.28515625" style="733" bestFit="1" customWidth="1"/>
    <col min="12564" max="12564" width="10" style="733" customWidth="1"/>
    <col min="12565" max="12565" width="9.28515625" style="733"/>
    <col min="12566" max="12566" width="35.42578125" style="733" customWidth="1"/>
    <col min="12567" max="12802" width="9.28515625" style="733"/>
    <col min="12803" max="12803" width="14" style="733" customWidth="1"/>
    <col min="12804" max="12804" width="45.28515625" style="733" bestFit="1" customWidth="1"/>
    <col min="12805" max="12805" width="0" style="733" hidden="1" customWidth="1"/>
    <col min="12806" max="12808" width="7.5703125" style="733" customWidth="1"/>
    <col min="12809" max="12809" width="7.42578125" style="733" bestFit="1" customWidth="1"/>
    <col min="12810" max="12811" width="7.5703125" style="733" bestFit="1" customWidth="1"/>
    <col min="12812" max="12812" width="8.7109375" style="733" bestFit="1" customWidth="1"/>
    <col min="12813" max="12813" width="7.5703125" style="733" bestFit="1" customWidth="1"/>
    <col min="12814" max="12817" width="7.7109375" style="733" bestFit="1" customWidth="1"/>
    <col min="12818" max="12818" width="0" style="733" hidden="1" customWidth="1"/>
    <col min="12819" max="12819" width="10.28515625" style="733" bestFit="1" customWidth="1"/>
    <col min="12820" max="12820" width="10" style="733" customWidth="1"/>
    <col min="12821" max="12821" width="9.28515625" style="733"/>
    <col min="12822" max="12822" width="35.42578125" style="733" customWidth="1"/>
    <col min="12823" max="13058" width="9.28515625" style="733"/>
    <col min="13059" max="13059" width="14" style="733" customWidth="1"/>
    <col min="13060" max="13060" width="45.28515625" style="733" bestFit="1" customWidth="1"/>
    <col min="13061" max="13061" width="0" style="733" hidden="1" customWidth="1"/>
    <col min="13062" max="13064" width="7.5703125" style="733" customWidth="1"/>
    <col min="13065" max="13065" width="7.42578125" style="733" bestFit="1" customWidth="1"/>
    <col min="13066" max="13067" width="7.5703125" style="733" bestFit="1" customWidth="1"/>
    <col min="13068" max="13068" width="8.7109375" style="733" bestFit="1" customWidth="1"/>
    <col min="13069" max="13069" width="7.5703125" style="733" bestFit="1" customWidth="1"/>
    <col min="13070" max="13073" width="7.7109375" style="733" bestFit="1" customWidth="1"/>
    <col min="13074" max="13074" width="0" style="733" hidden="1" customWidth="1"/>
    <col min="13075" max="13075" width="10.28515625" style="733" bestFit="1" customWidth="1"/>
    <col min="13076" max="13076" width="10" style="733" customWidth="1"/>
    <col min="13077" max="13077" width="9.28515625" style="733"/>
    <col min="13078" max="13078" width="35.42578125" style="733" customWidth="1"/>
    <col min="13079" max="13314" width="9.28515625" style="733"/>
    <col min="13315" max="13315" width="14" style="733" customWidth="1"/>
    <col min="13316" max="13316" width="45.28515625" style="733" bestFit="1" customWidth="1"/>
    <col min="13317" max="13317" width="0" style="733" hidden="1" customWidth="1"/>
    <col min="13318" max="13320" width="7.5703125" style="733" customWidth="1"/>
    <col min="13321" max="13321" width="7.42578125" style="733" bestFit="1" customWidth="1"/>
    <col min="13322" max="13323" width="7.5703125" style="733" bestFit="1" customWidth="1"/>
    <col min="13324" max="13324" width="8.7109375" style="733" bestFit="1" customWidth="1"/>
    <col min="13325" max="13325" width="7.5703125" style="733" bestFit="1" customWidth="1"/>
    <col min="13326" max="13329" width="7.7109375" style="733" bestFit="1" customWidth="1"/>
    <col min="13330" max="13330" width="0" style="733" hidden="1" customWidth="1"/>
    <col min="13331" max="13331" width="10.28515625" style="733" bestFit="1" customWidth="1"/>
    <col min="13332" max="13332" width="10" style="733" customWidth="1"/>
    <col min="13333" max="13333" width="9.28515625" style="733"/>
    <col min="13334" max="13334" width="35.42578125" style="733" customWidth="1"/>
    <col min="13335" max="13570" width="9.28515625" style="733"/>
    <col min="13571" max="13571" width="14" style="733" customWidth="1"/>
    <col min="13572" max="13572" width="45.28515625" style="733" bestFit="1" customWidth="1"/>
    <col min="13573" max="13573" width="0" style="733" hidden="1" customWidth="1"/>
    <col min="13574" max="13576" width="7.5703125" style="733" customWidth="1"/>
    <col min="13577" max="13577" width="7.42578125" style="733" bestFit="1" customWidth="1"/>
    <col min="13578" max="13579" width="7.5703125" style="733" bestFit="1" customWidth="1"/>
    <col min="13580" max="13580" width="8.7109375" style="733" bestFit="1" customWidth="1"/>
    <col min="13581" max="13581" width="7.5703125" style="733" bestFit="1" customWidth="1"/>
    <col min="13582" max="13585" width="7.7109375" style="733" bestFit="1" customWidth="1"/>
    <col min="13586" max="13586" width="0" style="733" hidden="1" customWidth="1"/>
    <col min="13587" max="13587" width="10.28515625" style="733" bestFit="1" customWidth="1"/>
    <col min="13588" max="13588" width="10" style="733" customWidth="1"/>
    <col min="13589" max="13589" width="9.28515625" style="733"/>
    <col min="13590" max="13590" width="35.42578125" style="733" customWidth="1"/>
    <col min="13591" max="13826" width="9.28515625" style="733"/>
    <col min="13827" max="13827" width="14" style="733" customWidth="1"/>
    <col min="13828" max="13828" width="45.28515625" style="733" bestFit="1" customWidth="1"/>
    <col min="13829" max="13829" width="0" style="733" hidden="1" customWidth="1"/>
    <col min="13830" max="13832" width="7.5703125" style="733" customWidth="1"/>
    <col min="13833" max="13833" width="7.42578125" style="733" bestFit="1" customWidth="1"/>
    <col min="13834" max="13835" width="7.5703125" style="733" bestFit="1" customWidth="1"/>
    <col min="13836" max="13836" width="8.7109375" style="733" bestFit="1" customWidth="1"/>
    <col min="13837" max="13837" width="7.5703125" style="733" bestFit="1" customWidth="1"/>
    <col min="13838" max="13841" width="7.7109375" style="733" bestFit="1" customWidth="1"/>
    <col min="13842" max="13842" width="0" style="733" hidden="1" customWidth="1"/>
    <col min="13843" max="13843" width="10.28515625" style="733" bestFit="1" customWidth="1"/>
    <col min="13844" max="13844" width="10" style="733" customWidth="1"/>
    <col min="13845" max="13845" width="9.28515625" style="733"/>
    <col min="13846" max="13846" width="35.42578125" style="733" customWidth="1"/>
    <col min="13847" max="14082" width="9.28515625" style="733"/>
    <col min="14083" max="14083" width="14" style="733" customWidth="1"/>
    <col min="14084" max="14084" width="45.28515625" style="733" bestFit="1" customWidth="1"/>
    <col min="14085" max="14085" width="0" style="733" hidden="1" customWidth="1"/>
    <col min="14086" max="14088" width="7.5703125" style="733" customWidth="1"/>
    <col min="14089" max="14089" width="7.42578125" style="733" bestFit="1" customWidth="1"/>
    <col min="14090" max="14091" width="7.5703125" style="733" bestFit="1" customWidth="1"/>
    <col min="14092" max="14092" width="8.7109375" style="733" bestFit="1" customWidth="1"/>
    <col min="14093" max="14093" width="7.5703125" style="733" bestFit="1" customWidth="1"/>
    <col min="14094" max="14097" width="7.7109375" style="733" bestFit="1" customWidth="1"/>
    <col min="14098" max="14098" width="0" style="733" hidden="1" customWidth="1"/>
    <col min="14099" max="14099" width="10.28515625" style="733" bestFit="1" customWidth="1"/>
    <col min="14100" max="14100" width="10" style="733" customWidth="1"/>
    <col min="14101" max="14101" width="9.28515625" style="733"/>
    <col min="14102" max="14102" width="35.42578125" style="733" customWidth="1"/>
    <col min="14103" max="14338" width="9.28515625" style="733"/>
    <col min="14339" max="14339" width="14" style="733" customWidth="1"/>
    <col min="14340" max="14340" width="45.28515625" style="733" bestFit="1" customWidth="1"/>
    <col min="14341" max="14341" width="0" style="733" hidden="1" customWidth="1"/>
    <col min="14342" max="14344" width="7.5703125" style="733" customWidth="1"/>
    <col min="14345" max="14345" width="7.42578125" style="733" bestFit="1" customWidth="1"/>
    <col min="14346" max="14347" width="7.5703125" style="733" bestFit="1" customWidth="1"/>
    <col min="14348" max="14348" width="8.7109375" style="733" bestFit="1" customWidth="1"/>
    <col min="14349" max="14349" width="7.5703125" style="733" bestFit="1" customWidth="1"/>
    <col min="14350" max="14353" width="7.7109375" style="733" bestFit="1" customWidth="1"/>
    <col min="14354" max="14354" width="0" style="733" hidden="1" customWidth="1"/>
    <col min="14355" max="14355" width="10.28515625" style="733" bestFit="1" customWidth="1"/>
    <col min="14356" max="14356" width="10" style="733" customWidth="1"/>
    <col min="14357" max="14357" width="9.28515625" style="733"/>
    <col min="14358" max="14358" width="35.42578125" style="733" customWidth="1"/>
    <col min="14359" max="14594" width="9.28515625" style="733"/>
    <col min="14595" max="14595" width="14" style="733" customWidth="1"/>
    <col min="14596" max="14596" width="45.28515625" style="733" bestFit="1" customWidth="1"/>
    <col min="14597" max="14597" width="0" style="733" hidden="1" customWidth="1"/>
    <col min="14598" max="14600" width="7.5703125" style="733" customWidth="1"/>
    <col min="14601" max="14601" width="7.42578125" style="733" bestFit="1" customWidth="1"/>
    <col min="14602" max="14603" width="7.5703125" style="733" bestFit="1" customWidth="1"/>
    <col min="14604" max="14604" width="8.7109375" style="733" bestFit="1" customWidth="1"/>
    <col min="14605" max="14605" width="7.5703125" style="733" bestFit="1" customWidth="1"/>
    <col min="14606" max="14609" width="7.7109375" style="733" bestFit="1" customWidth="1"/>
    <col min="14610" max="14610" width="0" style="733" hidden="1" customWidth="1"/>
    <col min="14611" max="14611" width="10.28515625" style="733" bestFit="1" customWidth="1"/>
    <col min="14612" max="14612" width="10" style="733" customWidth="1"/>
    <col min="14613" max="14613" width="9.28515625" style="733"/>
    <col min="14614" max="14614" width="35.42578125" style="733" customWidth="1"/>
    <col min="14615" max="14850" width="9.28515625" style="733"/>
    <col min="14851" max="14851" width="14" style="733" customWidth="1"/>
    <col min="14852" max="14852" width="45.28515625" style="733" bestFit="1" customWidth="1"/>
    <col min="14853" max="14853" width="0" style="733" hidden="1" customWidth="1"/>
    <col min="14854" max="14856" width="7.5703125" style="733" customWidth="1"/>
    <col min="14857" max="14857" width="7.42578125" style="733" bestFit="1" customWidth="1"/>
    <col min="14858" max="14859" width="7.5703125" style="733" bestFit="1" customWidth="1"/>
    <col min="14860" max="14860" width="8.7109375" style="733" bestFit="1" customWidth="1"/>
    <col min="14861" max="14861" width="7.5703125" style="733" bestFit="1" customWidth="1"/>
    <col min="14862" max="14865" width="7.7109375" style="733" bestFit="1" customWidth="1"/>
    <col min="14866" max="14866" width="0" style="733" hidden="1" customWidth="1"/>
    <col min="14867" max="14867" width="10.28515625" style="733" bestFit="1" customWidth="1"/>
    <col min="14868" max="14868" width="10" style="733" customWidth="1"/>
    <col min="14869" max="14869" width="9.28515625" style="733"/>
    <col min="14870" max="14870" width="35.42578125" style="733" customWidth="1"/>
    <col min="14871" max="15106" width="9.28515625" style="733"/>
    <col min="15107" max="15107" width="14" style="733" customWidth="1"/>
    <col min="15108" max="15108" width="45.28515625" style="733" bestFit="1" customWidth="1"/>
    <col min="15109" max="15109" width="0" style="733" hidden="1" customWidth="1"/>
    <col min="15110" max="15112" width="7.5703125" style="733" customWidth="1"/>
    <col min="15113" max="15113" width="7.42578125" style="733" bestFit="1" customWidth="1"/>
    <col min="15114" max="15115" width="7.5703125" style="733" bestFit="1" customWidth="1"/>
    <col min="15116" max="15116" width="8.7109375" style="733" bestFit="1" customWidth="1"/>
    <col min="15117" max="15117" width="7.5703125" style="733" bestFit="1" customWidth="1"/>
    <col min="15118" max="15121" width="7.7109375" style="733" bestFit="1" customWidth="1"/>
    <col min="15122" max="15122" width="0" style="733" hidden="1" customWidth="1"/>
    <col min="15123" max="15123" width="10.28515625" style="733" bestFit="1" customWidth="1"/>
    <col min="15124" max="15124" width="10" style="733" customWidth="1"/>
    <col min="15125" max="15125" width="9.28515625" style="733"/>
    <col min="15126" max="15126" width="35.42578125" style="733" customWidth="1"/>
    <col min="15127" max="15362" width="9.28515625" style="733"/>
    <col min="15363" max="15363" width="14" style="733" customWidth="1"/>
    <col min="15364" max="15364" width="45.28515625" style="733" bestFit="1" customWidth="1"/>
    <col min="15365" max="15365" width="0" style="733" hidden="1" customWidth="1"/>
    <col min="15366" max="15368" width="7.5703125" style="733" customWidth="1"/>
    <col min="15369" max="15369" width="7.42578125" style="733" bestFit="1" customWidth="1"/>
    <col min="15370" max="15371" width="7.5703125" style="733" bestFit="1" customWidth="1"/>
    <col min="15372" max="15372" width="8.7109375" style="733" bestFit="1" customWidth="1"/>
    <col min="15373" max="15373" width="7.5703125" style="733" bestFit="1" customWidth="1"/>
    <col min="15374" max="15377" width="7.7109375" style="733" bestFit="1" customWidth="1"/>
    <col min="15378" max="15378" width="0" style="733" hidden="1" customWidth="1"/>
    <col min="15379" max="15379" width="10.28515625" style="733" bestFit="1" customWidth="1"/>
    <col min="15380" max="15380" width="10" style="733" customWidth="1"/>
    <col min="15381" max="15381" width="9.28515625" style="733"/>
    <col min="15382" max="15382" width="35.42578125" style="733" customWidth="1"/>
    <col min="15383" max="15618" width="9.28515625" style="733"/>
    <col min="15619" max="15619" width="14" style="733" customWidth="1"/>
    <col min="15620" max="15620" width="45.28515625" style="733" bestFit="1" customWidth="1"/>
    <col min="15621" max="15621" width="0" style="733" hidden="1" customWidth="1"/>
    <col min="15622" max="15624" width="7.5703125" style="733" customWidth="1"/>
    <col min="15625" max="15625" width="7.42578125" style="733" bestFit="1" customWidth="1"/>
    <col min="15626" max="15627" width="7.5703125" style="733" bestFit="1" customWidth="1"/>
    <col min="15628" max="15628" width="8.7109375" style="733" bestFit="1" customWidth="1"/>
    <col min="15629" max="15629" width="7.5703125" style="733" bestFit="1" customWidth="1"/>
    <col min="15630" max="15633" width="7.7109375" style="733" bestFit="1" customWidth="1"/>
    <col min="15634" max="15634" width="0" style="733" hidden="1" customWidth="1"/>
    <col min="15635" max="15635" width="10.28515625" style="733" bestFit="1" customWidth="1"/>
    <col min="15636" max="15636" width="10" style="733" customWidth="1"/>
    <col min="15637" max="15637" width="9.28515625" style="733"/>
    <col min="15638" max="15638" width="35.42578125" style="733" customWidth="1"/>
    <col min="15639" max="15874" width="9.28515625" style="733"/>
    <col min="15875" max="15875" width="14" style="733" customWidth="1"/>
    <col min="15876" max="15876" width="45.28515625" style="733" bestFit="1" customWidth="1"/>
    <col min="15877" max="15877" width="0" style="733" hidden="1" customWidth="1"/>
    <col min="15878" max="15880" width="7.5703125" style="733" customWidth="1"/>
    <col min="15881" max="15881" width="7.42578125" style="733" bestFit="1" customWidth="1"/>
    <col min="15882" max="15883" width="7.5703125" style="733" bestFit="1" customWidth="1"/>
    <col min="15884" max="15884" width="8.7109375" style="733" bestFit="1" customWidth="1"/>
    <col min="15885" max="15885" width="7.5703125" style="733" bestFit="1" customWidth="1"/>
    <col min="15886" max="15889" width="7.7109375" style="733" bestFit="1" customWidth="1"/>
    <col min="15890" max="15890" width="0" style="733" hidden="1" customWidth="1"/>
    <col min="15891" max="15891" width="10.28515625" style="733" bestFit="1" customWidth="1"/>
    <col min="15892" max="15892" width="10" style="733" customWidth="1"/>
    <col min="15893" max="15893" width="9.28515625" style="733"/>
    <col min="15894" max="15894" width="35.42578125" style="733" customWidth="1"/>
    <col min="15895" max="16130" width="9.28515625" style="733"/>
    <col min="16131" max="16131" width="14" style="733" customWidth="1"/>
    <col min="16132" max="16132" width="45.28515625" style="733" bestFit="1" customWidth="1"/>
    <col min="16133" max="16133" width="0" style="733" hidden="1" customWidth="1"/>
    <col min="16134" max="16136" width="7.5703125" style="733" customWidth="1"/>
    <col min="16137" max="16137" width="7.42578125" style="733" bestFit="1" customWidth="1"/>
    <col min="16138" max="16139" width="7.5703125" style="733" bestFit="1" customWidth="1"/>
    <col min="16140" max="16140" width="8.7109375" style="733" bestFit="1" customWidth="1"/>
    <col min="16141" max="16141" width="7.5703125" style="733" bestFit="1" customWidth="1"/>
    <col min="16142" max="16145" width="7.7109375" style="733" bestFit="1" customWidth="1"/>
    <col min="16146" max="16146" width="0" style="733" hidden="1" customWidth="1"/>
    <col min="16147" max="16147" width="10.28515625" style="733" bestFit="1" customWidth="1"/>
    <col min="16148" max="16148" width="10" style="733" customWidth="1"/>
    <col min="16149" max="16149" width="9.28515625" style="733"/>
    <col min="16150" max="16150" width="35.42578125" style="733" customWidth="1"/>
    <col min="16151" max="16382" width="9.28515625" style="733"/>
    <col min="16383" max="16384" width="9.28515625" style="733" customWidth="1"/>
  </cols>
  <sheetData>
    <row r="1" spans="1:24" ht="15.75" x14ac:dyDescent="0.25">
      <c r="B1" s="252" t="s">
        <v>682</v>
      </c>
      <c r="Q1" s="978">
        <v>890</v>
      </c>
    </row>
    <row r="2" spans="1:24" ht="18" customHeight="1" x14ac:dyDescent="0.25">
      <c r="B2" s="789" t="s">
        <v>1486</v>
      </c>
      <c r="Q2" s="735" t="s">
        <v>1530</v>
      </c>
      <c r="R2" s="735"/>
      <c r="S2" s="1211"/>
      <c r="T2" s="735"/>
      <c r="U2" s="735"/>
    </row>
    <row r="3" spans="1:24" ht="16.5" customHeight="1" thickBot="1" x14ac:dyDescent="0.25">
      <c r="A3" s="784"/>
      <c r="C3" s="736" t="s">
        <v>296</v>
      </c>
      <c r="D3" s="964" t="s">
        <v>586</v>
      </c>
      <c r="E3" s="1081"/>
      <c r="F3" s="1081"/>
      <c r="G3" s="1081"/>
      <c r="H3" s="1081"/>
      <c r="I3" s="1081"/>
      <c r="J3" s="1081"/>
      <c r="K3" s="1081"/>
      <c r="L3" s="964"/>
      <c r="N3" s="1081"/>
      <c r="O3" s="788"/>
      <c r="P3" s="620"/>
      <c r="Q3" s="1118" t="s">
        <v>1574</v>
      </c>
      <c r="R3" s="1199"/>
      <c r="S3" s="1118" t="s">
        <v>1574</v>
      </c>
      <c r="T3" s="1118"/>
      <c r="U3" s="1118" t="s">
        <v>346</v>
      </c>
    </row>
    <row r="4" spans="1:24" ht="34.5" thickTop="1" x14ac:dyDescent="0.2">
      <c r="B4" s="852"/>
      <c r="C4" s="737" t="s">
        <v>333</v>
      </c>
      <c r="D4" s="621" t="s">
        <v>334</v>
      </c>
      <c r="E4" s="621" t="s">
        <v>683</v>
      </c>
      <c r="F4" s="621" t="s">
        <v>335</v>
      </c>
      <c r="G4" s="621" t="s">
        <v>336</v>
      </c>
      <c r="H4" s="621" t="s">
        <v>337</v>
      </c>
      <c r="I4" s="621" t="s">
        <v>338</v>
      </c>
      <c r="J4" s="621" t="s">
        <v>339</v>
      </c>
      <c r="K4" s="621" t="s">
        <v>340</v>
      </c>
      <c r="L4" s="621" t="s">
        <v>341</v>
      </c>
      <c r="M4" s="621" t="s">
        <v>342</v>
      </c>
      <c r="N4" s="621" t="s">
        <v>343</v>
      </c>
      <c r="O4" s="621" t="s">
        <v>344</v>
      </c>
      <c r="P4" s="738" t="s">
        <v>345</v>
      </c>
      <c r="Q4" s="739" t="s">
        <v>586</v>
      </c>
      <c r="R4" s="1141" t="s">
        <v>1455</v>
      </c>
      <c r="S4" s="739" t="s">
        <v>1531</v>
      </c>
      <c r="T4" s="1141" t="s">
        <v>1455</v>
      </c>
      <c r="U4" s="739"/>
      <c r="V4" s="852"/>
    </row>
    <row r="5" spans="1:24" ht="15.75" x14ac:dyDescent="0.25">
      <c r="B5" s="853" t="s">
        <v>347</v>
      </c>
      <c r="C5" s="741"/>
      <c r="D5" s="622"/>
      <c r="E5" s="622"/>
      <c r="F5" s="622"/>
      <c r="G5" s="622"/>
      <c r="H5" s="622"/>
      <c r="I5" s="622"/>
      <c r="J5" s="622"/>
      <c r="K5" s="622"/>
      <c r="L5" s="622"/>
      <c r="M5" s="622"/>
      <c r="N5" s="622"/>
      <c r="O5" s="622"/>
      <c r="P5" s="623"/>
      <c r="Q5" s="1109"/>
      <c r="R5" s="1142"/>
      <c r="S5" s="1109"/>
      <c r="T5" s="1142"/>
      <c r="U5" s="1109"/>
      <c r="V5" s="742"/>
    </row>
    <row r="6" spans="1:24" x14ac:dyDescent="0.2">
      <c r="B6" s="854" t="s">
        <v>348</v>
      </c>
      <c r="C6" s="743"/>
      <c r="D6" s="1043"/>
      <c r="E6" s="1043"/>
      <c r="F6" s="1043"/>
      <c r="G6" s="1043"/>
      <c r="H6" s="1043"/>
      <c r="I6" s="1043"/>
      <c r="J6" s="1043"/>
      <c r="K6" s="1043"/>
      <c r="L6" s="1043"/>
      <c r="M6" s="1043"/>
      <c r="N6" s="1043"/>
      <c r="O6" s="1043"/>
      <c r="P6" s="626"/>
      <c r="Q6" s="627"/>
      <c r="R6" s="1143"/>
      <c r="S6" s="627"/>
      <c r="T6" s="1143"/>
      <c r="U6" s="627"/>
      <c r="V6" s="742"/>
    </row>
    <row r="7" spans="1:24" x14ac:dyDescent="0.2">
      <c r="A7" s="790" t="s">
        <v>684</v>
      </c>
      <c r="B7" s="791" t="s">
        <v>349</v>
      </c>
      <c r="C7" s="792"/>
      <c r="D7" s="1044">
        <f>+$Q$7/12</f>
        <v>562989.9488258427</v>
      </c>
      <c r="E7" s="1044">
        <f t="shared" ref="E7:O7" si="0">+$Q$7/12</f>
        <v>562989.9488258427</v>
      </c>
      <c r="F7" s="1044">
        <f t="shared" si="0"/>
        <v>562989.9488258427</v>
      </c>
      <c r="G7" s="1044">
        <f t="shared" si="0"/>
        <v>562989.9488258427</v>
      </c>
      <c r="H7" s="1044">
        <f t="shared" si="0"/>
        <v>562989.9488258427</v>
      </c>
      <c r="I7" s="1044">
        <f t="shared" si="0"/>
        <v>562989.9488258427</v>
      </c>
      <c r="J7" s="1044">
        <f t="shared" si="0"/>
        <v>562989.9488258427</v>
      </c>
      <c r="K7" s="1044">
        <f t="shared" si="0"/>
        <v>562989.9488258427</v>
      </c>
      <c r="L7" s="1044">
        <f t="shared" si="0"/>
        <v>562989.9488258427</v>
      </c>
      <c r="M7" s="1044">
        <f t="shared" si="0"/>
        <v>562989.9488258427</v>
      </c>
      <c r="N7" s="1044">
        <f t="shared" si="0"/>
        <v>562989.9488258427</v>
      </c>
      <c r="O7" s="1044">
        <f t="shared" si="0"/>
        <v>562989.9488258427</v>
      </c>
      <c r="P7" s="881">
        <f>Q7+Q8</f>
        <v>6772571.0259101121</v>
      </c>
      <c r="Q7" s="794">
        <f>+'All charter school calculator'!H99*1.044</f>
        <v>6755879.3859101124</v>
      </c>
      <c r="R7" s="1144"/>
      <c r="S7" s="794">
        <v>6527357</v>
      </c>
      <c r="T7" s="1144"/>
      <c r="U7" s="794">
        <f>+Q7-S7</f>
        <v>228522.38591011241</v>
      </c>
      <c r="V7" s="970"/>
      <c r="X7" s="1190">
        <f t="shared" ref="X7:X39" si="1">+R7-T7</f>
        <v>0</v>
      </c>
    </row>
    <row r="8" spans="1:24" x14ac:dyDescent="0.2">
      <c r="A8" s="744" t="s">
        <v>685</v>
      </c>
      <c r="B8" s="745" t="s">
        <v>350</v>
      </c>
      <c r="C8" s="746"/>
      <c r="D8" s="1045">
        <f>+'Trend Report'!H22</f>
        <v>0</v>
      </c>
      <c r="E8" s="1045">
        <f>+'Trend Report'!I22</f>
        <v>0</v>
      </c>
      <c r="F8" s="1045">
        <f>+'Trend Report'!J22</f>
        <v>16691.64</v>
      </c>
      <c r="G8" s="1045">
        <f>+'Trend Report'!K22</f>
        <v>0</v>
      </c>
      <c r="H8" s="1045">
        <f>+'Trend Report'!L22</f>
        <v>0</v>
      </c>
      <c r="I8" s="1045">
        <f>+'Trend Report'!M22</f>
        <v>0</v>
      </c>
      <c r="J8" s="1045">
        <f>+'Trend Report'!N22</f>
        <v>0</v>
      </c>
      <c r="K8" s="1045">
        <f>+'Trend Report'!O22</f>
        <v>0</v>
      </c>
      <c r="L8" s="1045">
        <v>0</v>
      </c>
      <c r="M8" s="1045">
        <v>0</v>
      </c>
      <c r="N8" s="1045">
        <v>0</v>
      </c>
      <c r="O8" s="1045">
        <v>0</v>
      </c>
      <c r="P8" s="628"/>
      <c r="Q8" s="747">
        <f>SUM(D8:P8)</f>
        <v>16691.64</v>
      </c>
      <c r="R8" s="1200"/>
      <c r="S8" s="747">
        <v>16048.68</v>
      </c>
      <c r="T8" s="1145"/>
      <c r="U8" s="794">
        <f t="shared" ref="U8:U71" si="2">+Q8-S8</f>
        <v>642.95999999999913</v>
      </c>
      <c r="V8" s="742"/>
      <c r="X8" s="1190">
        <f t="shared" si="1"/>
        <v>0</v>
      </c>
    </row>
    <row r="9" spans="1:24" x14ac:dyDescent="0.2">
      <c r="A9" s="744" t="s">
        <v>929</v>
      </c>
      <c r="B9" s="745" t="s">
        <v>930</v>
      </c>
      <c r="C9" s="746"/>
      <c r="D9" s="1045">
        <f>+'Trend Report'!H23</f>
        <v>0</v>
      </c>
      <c r="E9" s="1045">
        <f>+'Trend Report'!I23</f>
        <v>0</v>
      </c>
      <c r="F9" s="1045">
        <f>+'Trend Report'!J23</f>
        <v>0</v>
      </c>
      <c r="G9" s="1045">
        <f>+'Trend Report'!K23</f>
        <v>0</v>
      </c>
      <c r="H9" s="1045"/>
      <c r="I9" s="1045">
        <f>+'Trend Report'!M23</f>
        <v>0</v>
      </c>
      <c r="J9" s="1045">
        <f>+'Trend Report'!N23</f>
        <v>0</v>
      </c>
      <c r="K9" s="1045">
        <f>+'Trend Report'!O23</f>
        <v>0</v>
      </c>
      <c r="L9" s="1045">
        <v>0</v>
      </c>
      <c r="M9" s="1045">
        <v>0</v>
      </c>
      <c r="N9" s="1045">
        <v>0</v>
      </c>
      <c r="O9" s="1045">
        <v>0</v>
      </c>
      <c r="P9" s="628"/>
      <c r="Q9" s="747">
        <f>SUM(D9:P9)</f>
        <v>0</v>
      </c>
      <c r="R9" s="1145"/>
      <c r="S9" s="747">
        <v>156107</v>
      </c>
      <c r="T9" s="1145"/>
      <c r="U9" s="794">
        <f t="shared" si="2"/>
        <v>-156107</v>
      </c>
      <c r="V9" s="742"/>
      <c r="X9" s="1190">
        <f t="shared" si="1"/>
        <v>0</v>
      </c>
    </row>
    <row r="10" spans="1:24" ht="10.15" customHeight="1" x14ac:dyDescent="0.2">
      <c r="A10" s="744" t="s">
        <v>686</v>
      </c>
      <c r="B10" s="745" t="s">
        <v>351</v>
      </c>
      <c r="C10" s="746"/>
      <c r="D10" s="1044">
        <f>+'Trend Report'!H25</f>
        <v>0</v>
      </c>
      <c r="E10" s="1044">
        <f>+$Q10/12</f>
        <v>39679.166666666664</v>
      </c>
      <c r="F10" s="1044">
        <f t="shared" ref="F10:N10" si="3">+$Q10/12</f>
        <v>39679.166666666664</v>
      </c>
      <c r="G10" s="1044">
        <f t="shared" si="3"/>
        <v>39679.166666666664</v>
      </c>
      <c r="H10" s="1044">
        <f t="shared" si="3"/>
        <v>39679.166666666664</v>
      </c>
      <c r="I10" s="1044">
        <f t="shared" si="3"/>
        <v>39679.166666666664</v>
      </c>
      <c r="J10" s="1044">
        <f t="shared" si="3"/>
        <v>39679.166666666664</v>
      </c>
      <c r="K10" s="1044">
        <f t="shared" si="3"/>
        <v>39679.166666666664</v>
      </c>
      <c r="L10" s="1044">
        <f t="shared" si="3"/>
        <v>39679.166666666664</v>
      </c>
      <c r="M10" s="1044">
        <f t="shared" si="3"/>
        <v>39679.166666666664</v>
      </c>
      <c r="N10" s="1044">
        <f t="shared" si="3"/>
        <v>39679.166666666664</v>
      </c>
      <c r="O10" s="1044">
        <f>+$Q10/12*2</f>
        <v>79358.333333333328</v>
      </c>
      <c r="P10" s="628"/>
      <c r="Q10" s="747">
        <f>+'All charter school calculator'!C27*535</f>
        <v>476150</v>
      </c>
      <c r="R10" s="1145"/>
      <c r="S10" s="747">
        <v>470130.95093394077</v>
      </c>
      <c r="T10" s="1145"/>
      <c r="U10" s="794">
        <f t="shared" si="2"/>
        <v>6019.0490660592332</v>
      </c>
      <c r="V10" s="1187"/>
      <c r="X10" s="1190">
        <f t="shared" si="1"/>
        <v>0</v>
      </c>
    </row>
    <row r="11" spans="1:24" x14ac:dyDescent="0.2">
      <c r="A11" s="744"/>
      <c r="B11" s="745" t="s">
        <v>352</v>
      </c>
      <c r="C11" s="746"/>
      <c r="D11" s="1045">
        <v>0</v>
      </c>
      <c r="E11" s="1045">
        <v>0</v>
      </c>
      <c r="F11" s="1045">
        <v>0</v>
      </c>
      <c r="G11" s="1045">
        <v>0</v>
      </c>
      <c r="H11" s="1045">
        <v>0</v>
      </c>
      <c r="I11" s="1045">
        <v>0</v>
      </c>
      <c r="J11" s="1045">
        <v>0</v>
      </c>
      <c r="K11" s="1045">
        <v>0</v>
      </c>
      <c r="L11" s="1045">
        <v>0</v>
      </c>
      <c r="M11" s="1045">
        <v>0</v>
      </c>
      <c r="N11" s="1045">
        <v>0</v>
      </c>
      <c r="O11" s="1046">
        <v>0</v>
      </c>
      <c r="P11" s="607">
        <v>0</v>
      </c>
      <c r="Q11" s="747">
        <v>443407</v>
      </c>
      <c r="R11" s="1145"/>
      <c r="S11" s="747"/>
      <c r="T11" s="1145"/>
      <c r="U11" s="794">
        <f t="shared" si="2"/>
        <v>443407</v>
      </c>
      <c r="V11" s="742"/>
      <c r="X11" s="1190">
        <f t="shared" si="1"/>
        <v>0</v>
      </c>
    </row>
    <row r="12" spans="1:24" x14ac:dyDescent="0.2">
      <c r="A12" s="744"/>
      <c r="B12" s="745" t="s">
        <v>687</v>
      </c>
      <c r="C12" s="746"/>
      <c r="D12" s="1045"/>
      <c r="E12" s="1045"/>
      <c r="F12" s="1045"/>
      <c r="G12" s="1045"/>
      <c r="H12" s="1045"/>
      <c r="I12" s="1045"/>
      <c r="J12" s="1045"/>
      <c r="K12" s="1045"/>
      <c r="L12" s="1045"/>
      <c r="M12" s="1045"/>
      <c r="N12" s="1045"/>
      <c r="O12" s="1045"/>
      <c r="P12" s="607">
        <v>0</v>
      </c>
      <c r="Q12" s="747"/>
      <c r="R12" s="1145"/>
      <c r="S12" s="747">
        <v>0</v>
      </c>
      <c r="T12" s="1145"/>
      <c r="U12" s="794">
        <f t="shared" si="2"/>
        <v>0</v>
      </c>
      <c r="V12" s="742"/>
      <c r="X12" s="1190">
        <f t="shared" si="1"/>
        <v>0</v>
      </c>
    </row>
    <row r="13" spans="1:24" x14ac:dyDescent="0.2">
      <c r="A13" s="744" t="s">
        <v>688</v>
      </c>
      <c r="B13" s="745" t="s">
        <v>657</v>
      </c>
      <c r="C13" s="746"/>
      <c r="D13" s="1045">
        <v>0</v>
      </c>
      <c r="E13" s="1045">
        <v>0</v>
      </c>
      <c r="F13" s="1045">
        <v>0</v>
      </c>
      <c r="G13" s="1045">
        <v>0</v>
      </c>
      <c r="H13" s="1045">
        <v>0</v>
      </c>
      <c r="I13" s="1045">
        <v>0</v>
      </c>
      <c r="J13" s="1045">
        <v>0</v>
      </c>
      <c r="K13" s="1045">
        <v>0</v>
      </c>
      <c r="L13" s="1045">
        <v>0</v>
      </c>
      <c r="M13" s="1045">
        <v>0</v>
      </c>
      <c r="N13" s="1045">
        <v>0</v>
      </c>
      <c r="O13" s="1046">
        <v>0</v>
      </c>
      <c r="P13" s="1083">
        <v>0</v>
      </c>
      <c r="Q13" s="747">
        <f>SUM(D13:P13)</f>
        <v>0</v>
      </c>
      <c r="R13" s="1145"/>
      <c r="S13" s="747">
        <v>0</v>
      </c>
      <c r="T13" s="1145"/>
      <c r="U13" s="794">
        <f t="shared" si="2"/>
        <v>0</v>
      </c>
      <c r="V13" s="742"/>
      <c r="X13" s="1190">
        <f t="shared" si="1"/>
        <v>0</v>
      </c>
    </row>
    <row r="14" spans="1:24" x14ac:dyDescent="0.2">
      <c r="A14" s="744" t="s">
        <v>688</v>
      </c>
      <c r="B14" s="745" t="s">
        <v>689</v>
      </c>
      <c r="C14" s="746"/>
      <c r="D14" s="1045">
        <v>0</v>
      </c>
      <c r="E14" s="1045">
        <v>0</v>
      </c>
      <c r="F14" s="1045">
        <f>153872+69789</f>
        <v>223661</v>
      </c>
      <c r="G14" s="1045">
        <v>0</v>
      </c>
      <c r="H14" s="1045">
        <v>0</v>
      </c>
      <c r="I14" s="1045">
        <v>0</v>
      </c>
      <c r="J14" s="1045">
        <v>0</v>
      </c>
      <c r="K14" s="1045">
        <v>0</v>
      </c>
      <c r="L14" s="1045">
        <v>0</v>
      </c>
      <c r="M14" s="1045">
        <v>0</v>
      </c>
      <c r="N14" s="1045">
        <v>0</v>
      </c>
      <c r="O14" s="1045">
        <v>357500</v>
      </c>
      <c r="P14" s="628">
        <v>0</v>
      </c>
      <c r="Q14" s="747">
        <f>SUM(D14:P14)</f>
        <v>581161</v>
      </c>
      <c r="R14" s="1145"/>
      <c r="S14" s="747">
        <v>760237.08</v>
      </c>
      <c r="T14" s="1145"/>
      <c r="U14" s="794">
        <f t="shared" si="2"/>
        <v>-179076.07999999996</v>
      </c>
      <c r="V14" s="872"/>
      <c r="X14" s="1190">
        <f t="shared" si="1"/>
        <v>0</v>
      </c>
    </row>
    <row r="15" spans="1:24" ht="12" thickBot="1" x14ac:dyDescent="0.25">
      <c r="B15" s="855" t="s">
        <v>353</v>
      </c>
      <c r="C15" s="743"/>
      <c r="D15" s="1048">
        <f t="shared" ref="D15:L15" si="4">SUM(D7:D14)</f>
        <v>562989.9488258427</v>
      </c>
      <c r="E15" s="1048">
        <f t="shared" si="4"/>
        <v>602669.11549250933</v>
      </c>
      <c r="F15" s="1048">
        <f t="shared" si="4"/>
        <v>843021.75549250934</v>
      </c>
      <c r="G15" s="1048">
        <f t="shared" si="4"/>
        <v>602669.11549250933</v>
      </c>
      <c r="H15" s="1048">
        <f t="shared" si="4"/>
        <v>602669.11549250933</v>
      </c>
      <c r="I15" s="1048">
        <f t="shared" si="4"/>
        <v>602669.11549250933</v>
      </c>
      <c r="J15" s="1048">
        <f t="shared" ref="J15:K15" si="5">SUM(J7:J14)</f>
        <v>602669.11549250933</v>
      </c>
      <c r="K15" s="1048">
        <f t="shared" si="5"/>
        <v>602669.11549250933</v>
      </c>
      <c r="L15" s="1048">
        <f t="shared" si="4"/>
        <v>602669.11549250933</v>
      </c>
      <c r="M15" s="1048">
        <f t="shared" ref="M15:O15" si="6">SUM(M7:M14)</f>
        <v>602669.11549250933</v>
      </c>
      <c r="N15" s="1048">
        <f t="shared" si="6"/>
        <v>602669.11549250933</v>
      </c>
      <c r="O15" s="1048">
        <f t="shared" si="6"/>
        <v>999848.28215917607</v>
      </c>
      <c r="P15" s="626"/>
      <c r="Q15" s="629">
        <f>SUM(Q7:Q14)</f>
        <v>8273289.0259101121</v>
      </c>
      <c r="R15" s="1146"/>
      <c r="S15" s="629">
        <v>7929880.7109339405</v>
      </c>
      <c r="T15" s="1146"/>
      <c r="U15" s="794">
        <f t="shared" si="2"/>
        <v>343408.31497617159</v>
      </c>
      <c r="V15" s="742"/>
      <c r="X15" s="1190">
        <f t="shared" si="1"/>
        <v>0</v>
      </c>
    </row>
    <row r="16" spans="1:24" ht="12" thickTop="1" x14ac:dyDescent="0.2">
      <c r="B16" s="742"/>
      <c r="C16" s="743"/>
      <c r="D16" s="1049"/>
      <c r="E16" s="1049"/>
      <c r="F16" s="1049"/>
      <c r="G16" s="1049"/>
      <c r="H16" s="1049"/>
      <c r="I16" s="1049"/>
      <c r="J16" s="1049"/>
      <c r="K16" s="1049"/>
      <c r="L16" s="1049"/>
      <c r="M16" s="1049"/>
      <c r="N16" s="1049"/>
      <c r="O16" s="1049"/>
      <c r="P16" s="626"/>
      <c r="Q16" s="630"/>
      <c r="R16" s="1147"/>
      <c r="S16" s="630"/>
      <c r="T16" s="1147"/>
      <c r="U16" s="794"/>
      <c r="V16" s="742"/>
      <c r="X16" s="1190">
        <f t="shared" si="1"/>
        <v>0</v>
      </c>
    </row>
    <row r="17" spans="1:24" x14ac:dyDescent="0.2">
      <c r="B17" s="854" t="s">
        <v>302</v>
      </c>
      <c r="C17" s="743"/>
      <c r="D17" s="1049"/>
      <c r="E17" s="1049"/>
      <c r="F17" s="1049"/>
      <c r="G17" s="1049"/>
      <c r="H17" s="1049"/>
      <c r="I17" s="1049"/>
      <c r="J17" s="1049"/>
      <c r="K17" s="1049"/>
      <c r="L17" s="1049"/>
      <c r="M17" s="1049"/>
      <c r="N17" s="1049"/>
      <c r="O17" s="1049"/>
      <c r="P17" s="626"/>
      <c r="Q17" s="631"/>
      <c r="R17" s="1148"/>
      <c r="S17" s="631"/>
      <c r="T17" s="1148"/>
      <c r="U17" s="794">
        <f t="shared" si="2"/>
        <v>0</v>
      </c>
      <c r="V17" s="742"/>
      <c r="X17" s="1190">
        <f t="shared" si="1"/>
        <v>0</v>
      </c>
    </row>
    <row r="18" spans="1:24" x14ac:dyDescent="0.2">
      <c r="A18" s="744" t="s">
        <v>690</v>
      </c>
      <c r="B18" s="745" t="s">
        <v>354</v>
      </c>
      <c r="C18" s="746"/>
      <c r="D18" s="1050">
        <v>2000</v>
      </c>
      <c r="E18" s="1050">
        <v>2000</v>
      </c>
      <c r="F18" s="1050">
        <v>2000</v>
      </c>
      <c r="G18" s="1050">
        <v>2000</v>
      </c>
      <c r="H18" s="1050">
        <v>2000</v>
      </c>
      <c r="I18" s="1050">
        <v>2000</v>
      </c>
      <c r="J18" s="1050">
        <v>2000</v>
      </c>
      <c r="K18" s="1050">
        <v>2000</v>
      </c>
      <c r="L18" s="1050">
        <v>2000</v>
      </c>
      <c r="M18" s="1050">
        <v>2000</v>
      </c>
      <c r="N18" s="1050">
        <v>2000</v>
      </c>
      <c r="O18" s="1050">
        <v>2000</v>
      </c>
      <c r="P18" s="626"/>
      <c r="Q18" s="747">
        <f t="shared" ref="Q18:Q30" si="7">SUM(D18:P18)</f>
        <v>24000</v>
      </c>
      <c r="R18" s="1145"/>
      <c r="S18" s="747">
        <v>31156.09</v>
      </c>
      <c r="T18" s="1145"/>
      <c r="U18" s="794">
        <f t="shared" si="2"/>
        <v>-7156.09</v>
      </c>
      <c r="V18" s="742"/>
      <c r="X18" s="1190">
        <f t="shared" si="1"/>
        <v>0</v>
      </c>
    </row>
    <row r="19" spans="1:24" x14ac:dyDescent="0.2">
      <c r="A19" s="744" t="s">
        <v>691</v>
      </c>
      <c r="B19" s="745" t="s">
        <v>692</v>
      </c>
      <c r="C19" s="746"/>
      <c r="D19" s="1045">
        <v>0</v>
      </c>
      <c r="E19" s="1045">
        <v>0</v>
      </c>
      <c r="F19" s="1045">
        <v>0</v>
      </c>
      <c r="G19" s="1045">
        <v>0</v>
      </c>
      <c r="H19" s="1045">
        <v>0</v>
      </c>
      <c r="I19" s="1045">
        <v>0</v>
      </c>
      <c r="J19" s="1045">
        <v>0</v>
      </c>
      <c r="K19" s="1045">
        <v>0</v>
      </c>
      <c r="L19" s="1045">
        <v>0</v>
      </c>
      <c r="M19" s="1045"/>
      <c r="N19" s="1045">
        <v>0</v>
      </c>
      <c r="O19" s="1045">
        <v>0</v>
      </c>
      <c r="P19" s="626"/>
      <c r="Q19" s="747">
        <f t="shared" si="7"/>
        <v>0</v>
      </c>
      <c r="R19" s="1145"/>
      <c r="S19" s="747">
        <v>0</v>
      </c>
      <c r="T19" s="1145"/>
      <c r="U19" s="794">
        <f t="shared" si="2"/>
        <v>0</v>
      </c>
      <c r="V19" s="742"/>
      <c r="X19" s="1190">
        <f t="shared" si="1"/>
        <v>0</v>
      </c>
    </row>
    <row r="20" spans="1:24" x14ac:dyDescent="0.2">
      <c r="A20" s="744" t="s">
        <v>693</v>
      </c>
      <c r="B20" s="745" t="s">
        <v>584</v>
      </c>
      <c r="C20" s="746"/>
      <c r="D20" s="1045">
        <v>0</v>
      </c>
      <c r="E20" s="1045">
        <v>0</v>
      </c>
      <c r="F20" s="1045">
        <v>0</v>
      </c>
      <c r="G20" s="1045">
        <v>0</v>
      </c>
      <c r="H20" s="1045">
        <v>0</v>
      </c>
      <c r="I20" s="1045">
        <v>0</v>
      </c>
      <c r="J20" s="1045">
        <v>0</v>
      </c>
      <c r="K20" s="1045">
        <v>0</v>
      </c>
      <c r="L20" s="1045">
        <v>0</v>
      </c>
      <c r="M20" s="1045">
        <v>0</v>
      </c>
      <c r="N20" s="1045">
        <v>0</v>
      </c>
      <c r="O20" s="1045">
        <v>0</v>
      </c>
      <c r="P20" s="626"/>
      <c r="Q20" s="747">
        <f t="shared" si="7"/>
        <v>0</v>
      </c>
      <c r="R20" s="1145"/>
      <c r="S20" s="747">
        <v>0</v>
      </c>
      <c r="T20" s="1145"/>
      <c r="U20" s="794">
        <f t="shared" si="2"/>
        <v>0</v>
      </c>
      <c r="V20" s="742"/>
      <c r="X20" s="1190">
        <f t="shared" si="1"/>
        <v>0</v>
      </c>
    </row>
    <row r="21" spans="1:24" x14ac:dyDescent="0.2">
      <c r="A21" s="744" t="s">
        <v>694</v>
      </c>
      <c r="B21" s="745" t="s">
        <v>695</v>
      </c>
      <c r="C21" s="746"/>
      <c r="D21" s="1045">
        <v>0</v>
      </c>
      <c r="E21" s="1045">
        <v>0</v>
      </c>
      <c r="F21" s="1045">
        <v>0</v>
      </c>
      <c r="G21" s="1045">
        <v>0</v>
      </c>
      <c r="H21" s="1045">
        <v>0</v>
      </c>
      <c r="I21" s="1045">
        <v>0</v>
      </c>
      <c r="J21" s="1045">
        <v>0</v>
      </c>
      <c r="K21" s="1045">
        <v>0</v>
      </c>
      <c r="L21" s="1045">
        <v>0</v>
      </c>
      <c r="M21" s="1045">
        <v>0</v>
      </c>
      <c r="N21" s="1045">
        <v>0</v>
      </c>
      <c r="O21" s="1045">
        <v>0</v>
      </c>
      <c r="P21" s="626"/>
      <c r="Q21" s="747">
        <f t="shared" si="7"/>
        <v>0</v>
      </c>
      <c r="R21" s="1145"/>
      <c r="S21" s="747">
        <v>0</v>
      </c>
      <c r="T21" s="1145"/>
      <c r="U21" s="794">
        <f t="shared" si="2"/>
        <v>0</v>
      </c>
      <c r="V21" s="742"/>
      <c r="X21" s="1190">
        <f t="shared" si="1"/>
        <v>0</v>
      </c>
    </row>
    <row r="22" spans="1:24" x14ac:dyDescent="0.2">
      <c r="A22" s="744" t="s">
        <v>696</v>
      </c>
      <c r="B22" s="745" t="s">
        <v>697</v>
      </c>
      <c r="C22" s="746"/>
      <c r="D22" s="1045">
        <v>0</v>
      </c>
      <c r="E22" s="1045">
        <v>0</v>
      </c>
      <c r="F22" s="1045">
        <v>0</v>
      </c>
      <c r="G22" s="1045">
        <v>0</v>
      </c>
      <c r="H22" s="1045">
        <v>0</v>
      </c>
      <c r="I22" s="1045">
        <v>0</v>
      </c>
      <c r="J22" s="1045">
        <v>0</v>
      </c>
      <c r="K22" s="1045">
        <v>0</v>
      </c>
      <c r="L22" s="1045">
        <v>0</v>
      </c>
      <c r="M22" s="1045">
        <v>0</v>
      </c>
      <c r="N22" s="1045">
        <v>0</v>
      </c>
      <c r="O22" s="1045">
        <v>0</v>
      </c>
      <c r="P22" s="626"/>
      <c r="Q22" s="747">
        <f t="shared" si="7"/>
        <v>0</v>
      </c>
      <c r="R22" s="1145"/>
      <c r="S22" s="747">
        <v>0</v>
      </c>
      <c r="T22" s="1145"/>
      <c r="U22" s="794">
        <f t="shared" si="2"/>
        <v>0</v>
      </c>
      <c r="V22" s="742"/>
      <c r="W22" s="1139">
        <f>+Q22+Q23-'Master Salary List'!AA187</f>
        <v>65013.128520000006</v>
      </c>
      <c r="X22" s="1190">
        <f t="shared" si="1"/>
        <v>0</v>
      </c>
    </row>
    <row r="23" spans="1:24" x14ac:dyDescent="0.2">
      <c r="A23" s="744" t="s">
        <v>698</v>
      </c>
      <c r="B23" s="745" t="s">
        <v>355</v>
      </c>
      <c r="C23" s="746"/>
      <c r="D23" s="1045"/>
      <c r="E23" s="1045">
        <v>11230</v>
      </c>
      <c r="F23" s="1045">
        <v>11230</v>
      </c>
      <c r="G23" s="1045">
        <v>11230</v>
      </c>
      <c r="H23" s="1045">
        <v>11230</v>
      </c>
      <c r="I23" s="1045">
        <v>11230</v>
      </c>
      <c r="J23" s="1045">
        <v>11230</v>
      </c>
      <c r="K23" s="1045">
        <v>11230</v>
      </c>
      <c r="L23" s="1045">
        <v>11230</v>
      </c>
      <c r="M23" s="1045">
        <v>11230</v>
      </c>
      <c r="N23" s="1045">
        <v>11230</v>
      </c>
      <c r="O23" s="1045">
        <v>0</v>
      </c>
      <c r="P23" s="626"/>
      <c r="Q23" s="747">
        <f t="shared" si="7"/>
        <v>112300</v>
      </c>
      <c r="R23" s="1145"/>
      <c r="S23" s="747">
        <v>118844.98999999999</v>
      </c>
      <c r="T23" s="1145"/>
      <c r="U23" s="794">
        <f t="shared" si="2"/>
        <v>-6544.9899999999907</v>
      </c>
      <c r="V23" s="742"/>
      <c r="X23" s="1190">
        <f t="shared" si="1"/>
        <v>0</v>
      </c>
    </row>
    <row r="24" spans="1:24" x14ac:dyDescent="0.2">
      <c r="A24" s="744" t="s">
        <v>699</v>
      </c>
      <c r="B24" s="745" t="s">
        <v>356</v>
      </c>
      <c r="C24" s="746"/>
      <c r="D24" s="1045">
        <v>0</v>
      </c>
      <c r="E24" s="1045">
        <v>0</v>
      </c>
      <c r="F24" s="1045"/>
      <c r="G24" s="1045">
        <v>0</v>
      </c>
      <c r="H24" s="1045">
        <v>0</v>
      </c>
      <c r="I24" s="1045">
        <v>0</v>
      </c>
      <c r="J24" s="1045">
        <v>0</v>
      </c>
      <c r="K24" s="1045">
        <v>0</v>
      </c>
      <c r="L24" s="1045">
        <v>0</v>
      </c>
      <c r="M24" s="1045">
        <v>0</v>
      </c>
      <c r="N24" s="1045">
        <v>0</v>
      </c>
      <c r="O24" s="1045">
        <v>0</v>
      </c>
      <c r="P24" s="626"/>
      <c r="Q24" s="747">
        <f t="shared" si="7"/>
        <v>0</v>
      </c>
      <c r="R24" s="1145"/>
      <c r="S24" s="747">
        <v>0</v>
      </c>
      <c r="T24" s="1145"/>
      <c r="U24" s="794">
        <f t="shared" si="2"/>
        <v>0</v>
      </c>
      <c r="V24" s="742"/>
      <c r="X24" s="1190">
        <f t="shared" si="1"/>
        <v>0</v>
      </c>
    </row>
    <row r="25" spans="1:24" ht="10.15" customHeight="1" x14ac:dyDescent="0.2">
      <c r="A25" s="790" t="s">
        <v>700</v>
      </c>
      <c r="B25" s="791" t="s">
        <v>934</v>
      </c>
      <c r="C25" s="746"/>
      <c r="D25" s="1045">
        <v>16976</v>
      </c>
      <c r="E25" s="1045">
        <v>16976</v>
      </c>
      <c r="F25" s="1045">
        <v>16976</v>
      </c>
      <c r="G25" s="1045">
        <v>16976</v>
      </c>
      <c r="H25" s="1045">
        <v>16976</v>
      </c>
      <c r="I25" s="1045">
        <v>16976</v>
      </c>
      <c r="J25" s="1045">
        <v>16976</v>
      </c>
      <c r="K25" s="1045">
        <v>16976</v>
      </c>
      <c r="L25" s="1045">
        <v>16976</v>
      </c>
      <c r="M25" s="1045">
        <v>16976</v>
      </c>
      <c r="N25" s="1045">
        <v>0</v>
      </c>
      <c r="O25" s="1045">
        <v>0</v>
      </c>
      <c r="P25" s="626"/>
      <c r="Q25" s="747">
        <f t="shared" si="7"/>
        <v>169760</v>
      </c>
      <c r="R25" s="1145"/>
      <c r="S25" s="747">
        <v>183793.53</v>
      </c>
      <c r="T25" s="1145"/>
      <c r="U25" s="794">
        <f t="shared" si="2"/>
        <v>-14033.529999999999</v>
      </c>
      <c r="V25" s="1032"/>
      <c r="X25" s="1190">
        <f t="shared" si="1"/>
        <v>0</v>
      </c>
    </row>
    <row r="26" spans="1:24" x14ac:dyDescent="0.2">
      <c r="A26" s="744" t="s">
        <v>859</v>
      </c>
      <c r="B26" s="745" t="s">
        <v>860</v>
      </c>
      <c r="C26" s="746"/>
      <c r="D26" s="1045">
        <v>0</v>
      </c>
      <c r="E26" s="1045">
        <v>9525</v>
      </c>
      <c r="F26" s="1045">
        <v>9525</v>
      </c>
      <c r="G26" s="1045">
        <v>9525</v>
      </c>
      <c r="H26" s="1045">
        <v>9525</v>
      </c>
      <c r="I26" s="1045">
        <v>9525</v>
      </c>
      <c r="J26" s="1045">
        <v>9525</v>
      </c>
      <c r="K26" s="1045">
        <v>9525</v>
      </c>
      <c r="L26" s="1045">
        <v>9525</v>
      </c>
      <c r="M26" s="1045">
        <v>9525</v>
      </c>
      <c r="N26" s="1045">
        <v>9525</v>
      </c>
      <c r="O26" s="1045">
        <v>0</v>
      </c>
      <c r="P26" s="626"/>
      <c r="Q26" s="747">
        <f t="shared" si="7"/>
        <v>95250</v>
      </c>
      <c r="R26" s="1145"/>
      <c r="S26" s="747">
        <v>0.34999999999854481</v>
      </c>
      <c r="T26" s="1145"/>
      <c r="U26" s="794">
        <f t="shared" si="2"/>
        <v>95249.65</v>
      </c>
      <c r="V26" s="872"/>
      <c r="X26" s="1190">
        <f t="shared" si="1"/>
        <v>0</v>
      </c>
    </row>
    <row r="27" spans="1:24" x14ac:dyDescent="0.2">
      <c r="A27" s="744" t="s">
        <v>701</v>
      </c>
      <c r="B27" s="745" t="s">
        <v>1031</v>
      </c>
      <c r="C27" s="746"/>
      <c r="D27" s="1045">
        <v>0</v>
      </c>
      <c r="E27" s="1045">
        <v>2435</v>
      </c>
      <c r="F27" s="1045">
        <v>2435</v>
      </c>
      <c r="G27" s="1045">
        <v>2435</v>
      </c>
      <c r="H27" s="1045">
        <v>2435</v>
      </c>
      <c r="I27" s="1045">
        <v>2435</v>
      </c>
      <c r="J27" s="1045">
        <v>2435</v>
      </c>
      <c r="K27" s="1045">
        <v>2435</v>
      </c>
      <c r="L27" s="1045">
        <v>2435</v>
      </c>
      <c r="M27" s="1045">
        <v>2435</v>
      </c>
      <c r="N27" s="1045">
        <v>2435</v>
      </c>
      <c r="O27" s="1045">
        <v>0</v>
      </c>
      <c r="P27" s="626"/>
      <c r="Q27" s="747">
        <f t="shared" si="7"/>
        <v>24350</v>
      </c>
      <c r="R27" s="1145"/>
      <c r="S27" s="747">
        <v>21720</v>
      </c>
      <c r="T27" s="1145"/>
      <c r="U27" s="794">
        <f t="shared" si="2"/>
        <v>2630</v>
      </c>
      <c r="V27" s="742"/>
      <c r="X27" s="1190">
        <f t="shared" si="1"/>
        <v>0</v>
      </c>
    </row>
    <row r="28" spans="1:24" x14ac:dyDescent="0.2">
      <c r="A28" s="744" t="s">
        <v>702</v>
      </c>
      <c r="B28" s="745" t="s">
        <v>357</v>
      </c>
      <c r="C28" s="746"/>
      <c r="D28" s="1045"/>
      <c r="E28" s="1045">
        <v>3036</v>
      </c>
      <c r="F28" s="1045">
        <v>3036</v>
      </c>
      <c r="G28" s="1045">
        <v>3036</v>
      </c>
      <c r="H28" s="1045">
        <v>3036</v>
      </c>
      <c r="I28" s="1045">
        <v>3036</v>
      </c>
      <c r="J28" s="1045">
        <v>3036</v>
      </c>
      <c r="K28" s="1045">
        <v>3036</v>
      </c>
      <c r="L28" s="1045">
        <v>3036</v>
      </c>
      <c r="M28" s="1045">
        <v>3036</v>
      </c>
      <c r="N28" s="1045">
        <v>3036</v>
      </c>
      <c r="O28" s="1045">
        <v>0</v>
      </c>
      <c r="P28" s="626"/>
      <c r="Q28" s="747">
        <f t="shared" si="7"/>
        <v>30360</v>
      </c>
      <c r="R28" s="1145"/>
      <c r="S28" s="747">
        <v>1201</v>
      </c>
      <c r="T28" s="1145"/>
      <c r="U28" s="794">
        <f t="shared" si="2"/>
        <v>29159</v>
      </c>
      <c r="V28" s="1178"/>
      <c r="X28" s="1190">
        <f t="shared" si="1"/>
        <v>0</v>
      </c>
    </row>
    <row r="29" spans="1:24" ht="23.25" customHeight="1" x14ac:dyDescent="0.2">
      <c r="A29" s="790" t="s">
        <v>703</v>
      </c>
      <c r="B29" s="791" t="s">
        <v>303</v>
      </c>
      <c r="C29" s="792"/>
      <c r="D29" s="1045">
        <v>8753</v>
      </c>
      <c r="E29" s="1045">
        <v>8753</v>
      </c>
      <c r="F29" s="1045">
        <v>8753</v>
      </c>
      <c r="G29" s="1045">
        <v>8753</v>
      </c>
      <c r="H29" s="1045">
        <v>8753</v>
      </c>
      <c r="I29" s="1045">
        <v>8753</v>
      </c>
      <c r="J29" s="1045">
        <v>8753</v>
      </c>
      <c r="K29" s="1045">
        <v>8753</v>
      </c>
      <c r="L29" s="1045">
        <v>8753</v>
      </c>
      <c r="M29" s="1045">
        <v>8753</v>
      </c>
      <c r="N29" s="1045">
        <v>8753</v>
      </c>
      <c r="O29" s="1045">
        <v>8753</v>
      </c>
      <c r="P29" s="793"/>
      <c r="Q29" s="747">
        <f t="shared" si="7"/>
        <v>105036</v>
      </c>
      <c r="R29" s="1145"/>
      <c r="S29" s="747">
        <v>81069.430000000008</v>
      </c>
      <c r="T29" s="1145"/>
      <c r="U29" s="794">
        <f t="shared" si="2"/>
        <v>23966.569999999992</v>
      </c>
      <c r="V29" s="872"/>
      <c r="W29" s="929"/>
      <c r="X29" s="1190">
        <f t="shared" si="1"/>
        <v>0</v>
      </c>
    </row>
    <row r="30" spans="1:24" ht="10.15" customHeight="1" x14ac:dyDescent="0.2">
      <c r="A30" s="790"/>
      <c r="B30" s="791" t="s">
        <v>1006</v>
      </c>
      <c r="C30" s="792"/>
      <c r="D30" s="1045">
        <v>0</v>
      </c>
      <c r="E30" s="1045">
        <v>0</v>
      </c>
      <c r="F30" s="1045">
        <v>0</v>
      </c>
      <c r="G30" s="1045">
        <v>0</v>
      </c>
      <c r="H30" s="1045">
        <v>0</v>
      </c>
      <c r="I30" s="1045">
        <v>0</v>
      </c>
      <c r="J30" s="1045">
        <v>0</v>
      </c>
      <c r="K30" s="1045">
        <v>0</v>
      </c>
      <c r="L30" s="1045">
        <v>0</v>
      </c>
      <c r="M30" s="1045">
        <v>0</v>
      </c>
      <c r="N30" s="1045">
        <v>0</v>
      </c>
      <c r="O30" s="1046">
        <v>0</v>
      </c>
      <c r="P30" s="793"/>
      <c r="Q30" s="747">
        <f t="shared" si="7"/>
        <v>0</v>
      </c>
      <c r="R30" s="1145"/>
      <c r="S30" s="747">
        <v>88.12</v>
      </c>
      <c r="T30" s="1145"/>
      <c r="U30" s="794">
        <f t="shared" si="2"/>
        <v>-88.12</v>
      </c>
      <c r="V30" s="872"/>
      <c r="W30" s="929"/>
      <c r="X30" s="1190">
        <f t="shared" si="1"/>
        <v>0</v>
      </c>
    </row>
    <row r="31" spans="1:24" x14ac:dyDescent="0.2">
      <c r="A31" s="744" t="s">
        <v>704</v>
      </c>
      <c r="B31" s="745" t="s">
        <v>705</v>
      </c>
      <c r="C31" s="746"/>
      <c r="D31" s="1045">
        <v>0</v>
      </c>
      <c r="E31" s="1045">
        <v>0</v>
      </c>
      <c r="F31" s="1045">
        <v>0</v>
      </c>
      <c r="G31" s="1045">
        <v>0</v>
      </c>
      <c r="H31" s="1045">
        <v>0</v>
      </c>
      <c r="I31" s="1045">
        <v>0</v>
      </c>
      <c r="J31" s="1045">
        <v>0</v>
      </c>
      <c r="K31" s="1045">
        <v>0</v>
      </c>
      <c r="L31" s="1045">
        <v>0</v>
      </c>
      <c r="M31" s="1045">
        <v>0</v>
      </c>
      <c r="N31" s="1045">
        <v>0</v>
      </c>
      <c r="O31" s="1045">
        <v>0</v>
      </c>
      <c r="P31" s="626"/>
      <c r="Q31" s="747">
        <f>SUM(D31:O31)</f>
        <v>0</v>
      </c>
      <c r="R31" s="1145"/>
      <c r="S31" s="747">
        <v>0</v>
      </c>
      <c r="T31" s="1145"/>
      <c r="U31" s="794">
        <f t="shared" si="2"/>
        <v>0</v>
      </c>
      <c r="V31" s="742"/>
      <c r="X31" s="1190">
        <f t="shared" si="1"/>
        <v>0</v>
      </c>
    </row>
    <row r="32" spans="1:24" ht="12" thickBot="1" x14ac:dyDescent="0.25">
      <c r="B32" s="855" t="s">
        <v>358</v>
      </c>
      <c r="C32" s="743"/>
      <c r="D32" s="1048">
        <f t="shared" ref="D32:F32" si="8">SUM(D18:D31)</f>
        <v>27729</v>
      </c>
      <c r="E32" s="1048">
        <f t="shared" si="8"/>
        <v>53955</v>
      </c>
      <c r="F32" s="1048">
        <f t="shared" si="8"/>
        <v>53955</v>
      </c>
      <c r="G32" s="1048">
        <f t="shared" ref="G32:L32" si="9">SUM(G18:G31)</f>
        <v>53955</v>
      </c>
      <c r="H32" s="1048">
        <f t="shared" si="9"/>
        <v>53955</v>
      </c>
      <c r="I32" s="1048">
        <f t="shared" si="9"/>
        <v>53955</v>
      </c>
      <c r="J32" s="1048">
        <f t="shared" si="9"/>
        <v>53955</v>
      </c>
      <c r="K32" s="1048">
        <f t="shared" ref="K32" si="10">SUM(K18:K31)</f>
        <v>53955</v>
      </c>
      <c r="L32" s="1048">
        <f t="shared" si="9"/>
        <v>53955</v>
      </c>
      <c r="M32" s="1048">
        <f t="shared" ref="M32:O32" si="11">SUM(M18:M31)</f>
        <v>53955</v>
      </c>
      <c r="N32" s="1048">
        <f t="shared" si="11"/>
        <v>36979</v>
      </c>
      <c r="O32" s="1048">
        <f t="shared" si="11"/>
        <v>10753</v>
      </c>
      <c r="P32" s="626"/>
      <c r="Q32" s="749">
        <f>SUM(Q18:Q31)</f>
        <v>561056</v>
      </c>
      <c r="R32" s="1149">
        <f>SUM(R18:R31)</f>
        <v>0</v>
      </c>
      <c r="S32" s="749">
        <v>437873.50999999995</v>
      </c>
      <c r="T32" s="1149">
        <v>0</v>
      </c>
      <c r="U32" s="794">
        <f t="shared" si="2"/>
        <v>123182.49000000005</v>
      </c>
      <c r="V32" s="742"/>
      <c r="X32" s="1190">
        <f t="shared" si="1"/>
        <v>0</v>
      </c>
    </row>
    <row r="33" spans="1:25" ht="12" thickTop="1" x14ac:dyDescent="0.2">
      <c r="B33" s="855"/>
      <c r="C33" s="743"/>
      <c r="D33" s="1049"/>
      <c r="E33" s="1049"/>
      <c r="F33" s="1049"/>
      <c r="G33" s="1049"/>
      <c r="H33" s="1049"/>
      <c r="I33" s="1049"/>
      <c r="J33" s="1049"/>
      <c r="K33" s="1049"/>
      <c r="L33" s="1049"/>
      <c r="M33" s="1049"/>
      <c r="N33" s="1049"/>
      <c r="O33" s="1051"/>
      <c r="P33" s="625"/>
      <c r="Q33" s="625"/>
      <c r="R33" s="1150"/>
      <c r="S33" s="625"/>
      <c r="T33" s="1150"/>
      <c r="U33" s="794">
        <f t="shared" si="2"/>
        <v>0</v>
      </c>
      <c r="V33" s="742"/>
      <c r="X33" s="1190">
        <f t="shared" si="1"/>
        <v>0</v>
      </c>
    </row>
    <row r="34" spans="1:25" ht="12" thickBot="1" x14ac:dyDescent="0.25">
      <c r="A34" s="888">
        <f>(+$Q34-$D34-$E34)/10</f>
        <v>0</v>
      </c>
      <c r="B34" s="856" t="s">
        <v>706</v>
      </c>
      <c r="C34" s="743"/>
      <c r="D34" s="1048"/>
      <c r="E34" s="1048"/>
      <c r="F34" s="1048">
        <v>0</v>
      </c>
      <c r="G34" s="1048">
        <v>0</v>
      </c>
      <c r="H34" s="1048">
        <v>0</v>
      </c>
      <c r="I34" s="1048">
        <v>0</v>
      </c>
      <c r="J34" s="1048">
        <v>0</v>
      </c>
      <c r="K34" s="1048">
        <v>0</v>
      </c>
      <c r="L34" s="1048"/>
      <c r="M34" s="1048"/>
      <c r="N34" s="1048"/>
      <c r="O34" s="1048">
        <v>0</v>
      </c>
      <c r="P34" s="626"/>
      <c r="Q34" s="629">
        <f>SUM(D34:O34)</f>
        <v>0</v>
      </c>
      <c r="R34" s="1146">
        <f>SUM(E34:P34)</f>
        <v>0</v>
      </c>
      <c r="S34" s="629">
        <v>0</v>
      </c>
      <c r="T34" s="1146">
        <v>0</v>
      </c>
      <c r="U34" s="794">
        <f t="shared" si="2"/>
        <v>0</v>
      </c>
      <c r="V34" s="742"/>
      <c r="X34" s="1190">
        <f t="shared" si="1"/>
        <v>0</v>
      </c>
    </row>
    <row r="35" spans="1:25" ht="12" thickTop="1" x14ac:dyDescent="0.2">
      <c r="A35" s="733" t="s">
        <v>966</v>
      </c>
      <c r="B35" s="742"/>
      <c r="C35" s="751"/>
      <c r="D35" s="1049"/>
      <c r="E35" s="1049"/>
      <c r="F35" s="1049"/>
      <c r="G35" s="1049"/>
      <c r="H35" s="1049"/>
      <c r="I35" s="1049"/>
      <c r="J35" s="1049"/>
      <c r="K35" s="1049"/>
      <c r="L35" s="1049"/>
      <c r="M35" s="1049"/>
      <c r="N35" s="1049"/>
      <c r="O35" s="1049"/>
      <c r="P35" s="626"/>
      <c r="Q35" s="628"/>
      <c r="R35" s="1151"/>
      <c r="S35" s="628"/>
      <c r="T35" s="1151"/>
      <c r="U35" s="794">
        <f t="shared" si="2"/>
        <v>0</v>
      </c>
      <c r="V35" s="742"/>
      <c r="X35" s="1190">
        <f t="shared" si="1"/>
        <v>0</v>
      </c>
    </row>
    <row r="36" spans="1:25" ht="12" thickBot="1" x14ac:dyDescent="0.25">
      <c r="B36" s="857" t="s">
        <v>359</v>
      </c>
      <c r="C36" s="752"/>
      <c r="D36" s="1052">
        <f t="shared" ref="D36:F36" si="12">D15+D32+D34</f>
        <v>590718.9488258427</v>
      </c>
      <c r="E36" s="1052">
        <f t="shared" si="12"/>
        <v>656624.11549250933</v>
      </c>
      <c r="F36" s="1052">
        <f t="shared" si="12"/>
        <v>896976.75549250934</v>
      </c>
      <c r="G36" s="1052">
        <f t="shared" ref="G36:L36" si="13">G15+G32+G34</f>
        <v>656624.11549250933</v>
      </c>
      <c r="H36" s="1052">
        <f t="shared" si="13"/>
        <v>656624.11549250933</v>
      </c>
      <c r="I36" s="1052">
        <f t="shared" si="13"/>
        <v>656624.11549250933</v>
      </c>
      <c r="J36" s="1052">
        <f t="shared" si="13"/>
        <v>656624.11549250933</v>
      </c>
      <c r="K36" s="1052">
        <f t="shared" ref="K36" si="14">K15+K32+K34</f>
        <v>656624.11549250933</v>
      </c>
      <c r="L36" s="1052">
        <f t="shared" si="13"/>
        <v>656624.11549250933</v>
      </c>
      <c r="M36" s="1052">
        <f t="shared" ref="M36:O36" si="15">M15+M32+M34</f>
        <v>656624.11549250933</v>
      </c>
      <c r="N36" s="1052">
        <f t="shared" si="15"/>
        <v>639648.11549250933</v>
      </c>
      <c r="O36" s="1052">
        <f t="shared" si="15"/>
        <v>1010601.2821591761</v>
      </c>
      <c r="P36" s="626"/>
      <c r="Q36" s="753">
        <f>Q15+Q32+Q34</f>
        <v>8834345.025910113</v>
      </c>
      <c r="R36" s="1152">
        <f>R15+R32+R34</f>
        <v>0</v>
      </c>
      <c r="S36" s="753">
        <v>8367754.2209339403</v>
      </c>
      <c r="T36" s="1152">
        <v>0</v>
      </c>
      <c r="U36" s="794">
        <f t="shared" si="2"/>
        <v>466590.80497617275</v>
      </c>
      <c r="V36" s="742"/>
      <c r="X36" s="1190">
        <f t="shared" si="1"/>
        <v>0</v>
      </c>
    </row>
    <row r="37" spans="1:25" x14ac:dyDescent="0.2">
      <c r="B37" s="742"/>
      <c r="C37" s="751"/>
      <c r="D37" s="1049"/>
      <c r="E37" s="1049"/>
      <c r="F37" s="1049"/>
      <c r="G37" s="1049"/>
      <c r="H37" s="1049"/>
      <c r="I37" s="1049"/>
      <c r="J37" s="1049"/>
      <c r="K37" s="1049"/>
      <c r="L37" s="1049"/>
      <c r="M37" s="1049"/>
      <c r="N37" s="1049"/>
      <c r="O37" s="1049"/>
      <c r="P37" s="626"/>
      <c r="Q37" s="625"/>
      <c r="R37" s="1150"/>
      <c r="S37" s="625"/>
      <c r="T37" s="1150"/>
      <c r="U37" s="794">
        <f t="shared" si="2"/>
        <v>0</v>
      </c>
      <c r="V37" s="742"/>
      <c r="X37" s="1190">
        <f t="shared" si="1"/>
        <v>0</v>
      </c>
    </row>
    <row r="38" spans="1:25" ht="16.5" thickBot="1" x14ac:dyDescent="0.3">
      <c r="B38" s="858" t="s">
        <v>360</v>
      </c>
      <c r="C38" s="751"/>
      <c r="D38" s="1099">
        <v>21</v>
      </c>
      <c r="E38" s="1099">
        <v>23</v>
      </c>
      <c r="F38" s="1099">
        <v>21</v>
      </c>
      <c r="G38" s="1099">
        <v>22</v>
      </c>
      <c r="H38" s="1099">
        <v>22</v>
      </c>
      <c r="I38" s="1099">
        <v>21</v>
      </c>
      <c r="J38" s="1099">
        <v>23</v>
      </c>
      <c r="K38" s="1099">
        <v>21</v>
      </c>
      <c r="L38" s="1099">
        <v>21</v>
      </c>
      <c r="M38" s="1099">
        <v>22</v>
      </c>
      <c r="N38" s="1099">
        <v>23</v>
      </c>
      <c r="O38" s="1099">
        <v>20</v>
      </c>
      <c r="P38" s="1100">
        <v>23</v>
      </c>
      <c r="Q38" s="634"/>
      <c r="R38" s="1153"/>
      <c r="S38" s="634"/>
      <c r="T38" s="1153"/>
      <c r="U38" s="794">
        <f t="shared" si="2"/>
        <v>0</v>
      </c>
      <c r="V38" s="742"/>
      <c r="X38" s="1190">
        <f t="shared" si="1"/>
        <v>0</v>
      </c>
    </row>
    <row r="39" spans="1:25" ht="12" thickTop="1" x14ac:dyDescent="0.2">
      <c r="B39" s="854" t="s">
        <v>361</v>
      </c>
      <c r="C39" s="751"/>
      <c r="D39" s="1049"/>
      <c r="E39" s="1049"/>
      <c r="F39" s="1049"/>
      <c r="G39" s="1049"/>
      <c r="H39" s="1049"/>
      <c r="I39" s="1049"/>
      <c r="J39" s="1049"/>
      <c r="K39" s="1049"/>
      <c r="L39" s="1049"/>
      <c r="M39" s="1049"/>
      <c r="N39" s="1049"/>
      <c r="O39" s="1054"/>
      <c r="P39" s="626"/>
      <c r="Q39" s="634"/>
      <c r="R39" s="1153"/>
      <c r="S39" s="634"/>
      <c r="T39" s="1153"/>
      <c r="U39" s="794">
        <f t="shared" si="2"/>
        <v>0</v>
      </c>
      <c r="V39" s="742"/>
      <c r="X39" s="1190">
        <f t="shared" si="1"/>
        <v>0</v>
      </c>
    </row>
    <row r="40" spans="1:25" s="756" customFormat="1" x14ac:dyDescent="0.2">
      <c r="A40" s="744" t="s">
        <v>707</v>
      </c>
      <c r="B40" s="745" t="s">
        <v>708</v>
      </c>
      <c r="C40" s="751"/>
      <c r="D40" s="1045">
        <v>32981.730000000003</v>
      </c>
      <c r="E40" s="1045">
        <f>(+SUM('Master Salary List'!$N$5:$N$75)-'Master Salary List'!$N$63)/26/10*'Monthly Budget'!E$38</f>
        <v>205105.81288461538</v>
      </c>
      <c r="F40" s="1045">
        <f>(+SUM('Master Salary List'!$N$5:$N$75)-'Master Salary List'!$N$63)/26/10*'Monthly Budget'!F$38</f>
        <v>187270.5248076923</v>
      </c>
      <c r="G40" s="1045">
        <f>(+SUM('Master Salary List'!$N$5:$N$75)-'Master Salary List'!$N$63)/26/10*'Monthly Budget'!G$38</f>
        <v>196188.16884615383</v>
      </c>
      <c r="H40" s="1045">
        <f>(+SUM('Master Salary List'!$N$5:$N$75)-'Master Salary List'!$N$63)/26/10*'Monthly Budget'!H$38</f>
        <v>196188.16884615383</v>
      </c>
      <c r="I40" s="1045">
        <f>(+SUM('Master Salary List'!$N$5:$N$75)-'Master Salary List'!$N$63)/26/10*'Monthly Budget'!I$38</f>
        <v>187270.5248076923</v>
      </c>
      <c r="J40" s="1045">
        <f>(+SUM('Master Salary List'!$N$5:$N$75)-'Master Salary List'!$N$63)/26/10*'Monthly Budget'!J$38</f>
        <v>205105.81288461538</v>
      </c>
      <c r="K40" s="1045">
        <f>(+SUM('Master Salary List'!$N$5:$N$75)-'Master Salary List'!$N$63)/26/10*'Monthly Budget'!K$38</f>
        <v>187270.5248076923</v>
      </c>
      <c r="L40" s="1045">
        <f>(+SUM('Master Salary List'!$N$5:$N$75)-'Master Salary List'!$N$63)/26/10*'Monthly Budget'!L$38</f>
        <v>187270.5248076923</v>
      </c>
      <c r="M40" s="1045">
        <f>(+SUM('Master Salary List'!$N$5:$N$75)-'Master Salary List'!$N$63)/26/10*'Monthly Budget'!M$38</f>
        <v>196188.16884615383</v>
      </c>
      <c r="N40" s="1045">
        <f>(+SUM('Master Salary List'!$N$5:$N$75)-'Master Salary List'!$N$63)/26/10*'Monthly Budget'!N$38</f>
        <v>205105.81288461538</v>
      </c>
      <c r="O40" s="1046">
        <f>(+SUM('Master Salary List'!$N$5:$N$75)-'Master Salary List'!$N$63)/26/10*'Monthly Budget'!O$38</f>
        <v>178352.88076923077</v>
      </c>
      <c r="P40" s="1208">
        <f>(+SUM('Master Salary List'!$N$5:$N$75)-'Master Salary List'!$N$63-'Master Salary List'!N66)/26/10*'Monthly Budget'!P$38-D40</f>
        <v>172124.08288461537</v>
      </c>
      <c r="Q40" s="747">
        <f>SUM(C40:P40)</f>
        <v>2336422.7380769229</v>
      </c>
      <c r="R40" s="1145"/>
      <c r="S40" s="747">
        <v>2399665.5115384613</v>
      </c>
      <c r="T40" s="1145"/>
      <c r="U40" s="794">
        <f t="shared" si="2"/>
        <v>-63242.773461538367</v>
      </c>
      <c r="V40" s="972"/>
      <c r="X40" s="1190">
        <f>SUM('Master Salary List'!N5:N48)+SUM('Master Salary List'!N66:N71)</f>
        <v>2304085.4500000002</v>
      </c>
      <c r="Y40" s="756">
        <f>+Q40-X40</f>
        <v>32337.288076922763</v>
      </c>
    </row>
    <row r="41" spans="1:25" s="756" customFormat="1" x14ac:dyDescent="0.2">
      <c r="A41" s="744" t="s">
        <v>707</v>
      </c>
      <c r="B41" s="745" t="s">
        <v>945</v>
      </c>
      <c r="C41" s="751"/>
      <c r="D41" s="1045">
        <v>0</v>
      </c>
      <c r="E41" s="1045">
        <f>+$Q$41/10</f>
        <v>900</v>
      </c>
      <c r="F41" s="1045">
        <f t="shared" ref="F41:N41" si="16">+$Q$41/10</f>
        <v>900</v>
      </c>
      <c r="G41" s="1045">
        <f t="shared" si="16"/>
        <v>900</v>
      </c>
      <c r="H41" s="1045">
        <f t="shared" si="16"/>
        <v>900</v>
      </c>
      <c r="I41" s="1045">
        <f t="shared" si="16"/>
        <v>900</v>
      </c>
      <c r="J41" s="1045">
        <f t="shared" si="16"/>
        <v>900</v>
      </c>
      <c r="K41" s="1045">
        <f t="shared" si="16"/>
        <v>900</v>
      </c>
      <c r="L41" s="1045">
        <f t="shared" si="16"/>
        <v>900</v>
      </c>
      <c r="M41" s="1045">
        <f t="shared" si="16"/>
        <v>900</v>
      </c>
      <c r="N41" s="1045">
        <f t="shared" si="16"/>
        <v>900</v>
      </c>
      <c r="O41" s="1046">
        <v>0</v>
      </c>
      <c r="P41" s="607"/>
      <c r="Q41" s="747">
        <f>+'Master Salary List'!J63</f>
        <v>9000</v>
      </c>
      <c r="R41" s="1145"/>
      <c r="S41" s="747">
        <v>18464</v>
      </c>
      <c r="T41" s="1145"/>
      <c r="U41" s="794">
        <f t="shared" si="2"/>
        <v>-9464</v>
      </c>
      <c r="V41" s="972"/>
      <c r="X41" s="1190">
        <f>+'Master Salary List'!N63</f>
        <v>9000</v>
      </c>
      <c r="Y41" s="756">
        <f>+X41-Q41</f>
        <v>0</v>
      </c>
    </row>
    <row r="42" spans="1:25" s="756" customFormat="1" x14ac:dyDescent="0.2">
      <c r="A42" s="760" t="s">
        <v>709</v>
      </c>
      <c r="B42" s="966" t="s">
        <v>362</v>
      </c>
      <c r="C42" s="751"/>
      <c r="D42" s="1045">
        <v>968.79</v>
      </c>
      <c r="E42" s="1045">
        <f>SUM('Master Salary List'!$N$76:$N$88)/26/10*'Monthly Budget'!E38</f>
        <v>31017.339999999997</v>
      </c>
      <c r="F42" s="1045">
        <f>SUM('Master Salary List'!$N$76:$N$88)/26/10*'Monthly Budget'!F38</f>
        <v>28320.18</v>
      </c>
      <c r="G42" s="1045">
        <f>SUM('Master Salary List'!$N$76:$N$88)/26/10*'Monthly Budget'!G38</f>
        <v>29668.76</v>
      </c>
      <c r="H42" s="1045">
        <f>SUM('Master Salary List'!$N$76:$N$88)/26/10*'Monthly Budget'!H38</f>
        <v>29668.76</v>
      </c>
      <c r="I42" s="1045">
        <f>SUM('Master Salary List'!$N$76:$N$88)/26/10*'Monthly Budget'!I38</f>
        <v>28320.18</v>
      </c>
      <c r="J42" s="1045">
        <f>SUM('Master Salary List'!$N$76:$N$88)/26/10*'Monthly Budget'!J38</f>
        <v>31017.339999999997</v>
      </c>
      <c r="K42" s="1045">
        <f>SUM('Master Salary List'!$N$76:$N$88)/26/10*'Monthly Budget'!K38</f>
        <v>28320.18</v>
      </c>
      <c r="L42" s="1045">
        <f>SUM('Master Salary List'!$N$76:$N$88)/26/10*'Monthly Budget'!L38</f>
        <v>28320.18</v>
      </c>
      <c r="M42" s="1045">
        <f>SUM('Master Salary List'!$N$76:$N$88)/26/10*'Monthly Budget'!M38</f>
        <v>29668.76</v>
      </c>
      <c r="N42" s="1045">
        <f>SUM('Master Salary List'!$N$76:$N$88)/26/10*'Monthly Budget'!N38</f>
        <v>31017.339999999997</v>
      </c>
      <c r="O42" s="1046">
        <f>SUM('Master Salary List'!$N$76:$N$88)/26/10*'Monthly Budget'!O38</f>
        <v>26971.599999999999</v>
      </c>
      <c r="P42" s="1247">
        <f>(SUM('Master Salary List'!$N$77:$N$82))/26/10*P$38-D42</f>
        <v>25565.24846153846</v>
      </c>
      <c r="Q42" s="747">
        <f t="shared" ref="Q42:Q61" si="17">SUM(C42:P42)</f>
        <v>348844.65846153838</v>
      </c>
      <c r="R42" s="1145"/>
      <c r="S42" s="747">
        <v>359352.29538461543</v>
      </c>
      <c r="T42" s="1145"/>
      <c r="U42" s="794">
        <f t="shared" si="2"/>
        <v>-10507.636923077051</v>
      </c>
      <c r="V42" s="755"/>
      <c r="X42" s="1190">
        <f>SUM('Master Salary List'!N76:N86)</f>
        <v>350630.8</v>
      </c>
      <c r="Y42" s="756">
        <f>+X42-Q42</f>
        <v>1786.1415384616121</v>
      </c>
    </row>
    <row r="43" spans="1:25" s="756" customFormat="1" x14ac:dyDescent="0.2">
      <c r="A43" s="760" t="s">
        <v>710</v>
      </c>
      <c r="B43" s="967" t="s">
        <v>363</v>
      </c>
      <c r="C43" s="751"/>
      <c r="D43" s="1045">
        <v>0</v>
      </c>
      <c r="E43" s="1045">
        <v>0</v>
      </c>
      <c r="F43" s="1045">
        <v>0</v>
      </c>
      <c r="G43" s="1045">
        <v>0</v>
      </c>
      <c r="H43" s="1045">
        <v>0</v>
      </c>
      <c r="I43" s="1045">
        <v>0</v>
      </c>
      <c r="J43" s="1045">
        <v>0</v>
      </c>
      <c r="K43" s="1045">
        <v>0</v>
      </c>
      <c r="L43" s="1045">
        <v>0</v>
      </c>
      <c r="M43" s="1045">
        <v>0</v>
      </c>
      <c r="N43" s="1045">
        <v>0</v>
      </c>
      <c r="O43" s="1046">
        <v>0</v>
      </c>
      <c r="P43" s="625">
        <f>SUM('Master Salary List'!$N$91:$N$93)/26/10*'Monthly Budget'!P$38</f>
        <v>0</v>
      </c>
      <c r="Q43" s="747">
        <f t="shared" si="17"/>
        <v>0</v>
      </c>
      <c r="R43" s="1145"/>
      <c r="S43" s="747">
        <v>0</v>
      </c>
      <c r="T43" s="1145"/>
      <c r="U43" s="794">
        <f t="shared" si="2"/>
        <v>0</v>
      </c>
      <c r="V43" s="755"/>
      <c r="X43" s="1190">
        <f>+R43-T43</f>
        <v>0</v>
      </c>
    </row>
    <row r="44" spans="1:25" s="756" customFormat="1" x14ac:dyDescent="0.2">
      <c r="A44" s="760" t="s">
        <v>711</v>
      </c>
      <c r="B44" s="967" t="s">
        <v>364</v>
      </c>
      <c r="C44" s="751"/>
      <c r="D44" s="1045">
        <v>3980.71</v>
      </c>
      <c r="E44" s="1045">
        <f>SUM('Master Salary List'!$N$94:$N$98)/26/10*E38</f>
        <v>14359.202538461537</v>
      </c>
      <c r="F44" s="1045">
        <f>SUM('Master Salary List'!$N$94:$N$98)/26/10*F38</f>
        <v>13110.576230769229</v>
      </c>
      <c r="G44" s="1045">
        <f>SUM('Master Salary List'!$N$94:$N$98)/26/10*G38</f>
        <v>13734.889384615384</v>
      </c>
      <c r="H44" s="1045">
        <f>SUM('Master Salary List'!$N$94:$N$98)/26/10*H38</f>
        <v>13734.889384615384</v>
      </c>
      <c r="I44" s="1045">
        <f>SUM('Master Salary List'!$N$94:$N$98)/26/10*I38</f>
        <v>13110.576230769229</v>
      </c>
      <c r="J44" s="1045">
        <f>SUM('Master Salary List'!$N$94:$N$98)/26/10*J38</f>
        <v>14359.202538461537</v>
      </c>
      <c r="K44" s="1045">
        <f>SUM('Master Salary List'!$N$94:$N$98)/26/10*K38</f>
        <v>13110.576230769229</v>
      </c>
      <c r="L44" s="1045">
        <f>SUM('Master Salary List'!$N$94:$N$98)/26/10*L38</f>
        <v>13110.576230769229</v>
      </c>
      <c r="M44" s="1045">
        <f>SUM('Master Salary List'!$N$94:$N$98)/26/10*M38</f>
        <v>13734.889384615384</v>
      </c>
      <c r="N44" s="1045">
        <f>SUM('Master Salary List'!$N$94:$N$98)/26/10*N38</f>
        <v>14359.202538461537</v>
      </c>
      <c r="O44" s="1046">
        <f>SUM('Master Salary List'!$N$94:$N$98)/26/10*O38</f>
        <v>12486.263076923076</v>
      </c>
      <c r="P44" s="1247">
        <f>SUM('Master Salary List'!$N$94:$N$98)/26/10*P38-D44</f>
        <v>10378.492538461538</v>
      </c>
      <c r="Q44" s="747">
        <f t="shared" si="17"/>
        <v>163570.04630769233</v>
      </c>
      <c r="R44" s="1145"/>
      <c r="S44" s="747">
        <v>165006.74076923079</v>
      </c>
      <c r="T44" s="1145"/>
      <c r="U44" s="794">
        <f t="shared" si="2"/>
        <v>-1436.6944615384564</v>
      </c>
      <c r="V44" s="755"/>
      <c r="X44" s="1190">
        <f>SUM('Master Salary List'!N94:N97)</f>
        <v>162321.41999999998</v>
      </c>
      <c r="Y44" s="756">
        <f>+X44-Q44</f>
        <v>-1248.6263076923497</v>
      </c>
    </row>
    <row r="45" spans="1:25" s="756" customFormat="1" x14ac:dyDescent="0.2">
      <c r="A45" s="760" t="s">
        <v>712</v>
      </c>
      <c r="B45" s="968" t="s">
        <v>713</v>
      </c>
      <c r="C45" s="751"/>
      <c r="D45" s="1045">
        <v>0</v>
      </c>
      <c r="E45" s="1045">
        <v>0</v>
      </c>
      <c r="F45" s="1045">
        <v>0</v>
      </c>
      <c r="G45" s="1045">
        <v>0</v>
      </c>
      <c r="H45" s="1045">
        <v>0</v>
      </c>
      <c r="I45" s="1045">
        <v>0</v>
      </c>
      <c r="J45" s="1045">
        <v>0</v>
      </c>
      <c r="K45" s="1045">
        <v>0</v>
      </c>
      <c r="L45" s="1045">
        <v>0</v>
      </c>
      <c r="M45" s="1045">
        <v>0</v>
      </c>
      <c r="N45" s="1045">
        <v>0</v>
      </c>
      <c r="O45" s="1046">
        <v>0</v>
      </c>
      <c r="P45" s="625"/>
      <c r="Q45" s="747">
        <f t="shared" si="17"/>
        <v>0</v>
      </c>
      <c r="R45" s="1145"/>
      <c r="S45" s="747">
        <v>0</v>
      </c>
      <c r="T45" s="1145"/>
      <c r="U45" s="794">
        <f t="shared" si="2"/>
        <v>0</v>
      </c>
      <c r="V45" s="755"/>
      <c r="X45" s="1190">
        <f t="shared" ref="X45:X51" si="18">+R45-T45</f>
        <v>0</v>
      </c>
    </row>
    <row r="46" spans="1:25" s="756" customFormat="1" x14ac:dyDescent="0.2">
      <c r="A46" s="760" t="s">
        <v>714</v>
      </c>
      <c r="B46" s="745" t="s">
        <v>715</v>
      </c>
      <c r="C46" s="751"/>
      <c r="D46" s="1045">
        <v>0</v>
      </c>
      <c r="E46" s="1045">
        <v>0</v>
      </c>
      <c r="F46" s="1045">
        <v>0</v>
      </c>
      <c r="G46" s="1045">
        <v>0</v>
      </c>
      <c r="H46" s="1045">
        <v>0</v>
      </c>
      <c r="I46" s="1045">
        <v>0</v>
      </c>
      <c r="J46" s="1045">
        <v>0</v>
      </c>
      <c r="K46" s="1045">
        <v>0</v>
      </c>
      <c r="L46" s="1045">
        <v>0</v>
      </c>
      <c r="M46" s="1045">
        <v>0</v>
      </c>
      <c r="N46" s="1045">
        <v>0</v>
      </c>
      <c r="O46" s="1046">
        <v>0</v>
      </c>
      <c r="P46" s="625"/>
      <c r="Q46" s="747">
        <f t="shared" si="17"/>
        <v>0</v>
      </c>
      <c r="R46" s="1145"/>
      <c r="S46" s="747">
        <v>0</v>
      </c>
      <c r="T46" s="1145"/>
      <c r="U46" s="794">
        <f t="shared" si="2"/>
        <v>0</v>
      </c>
      <c r="V46" s="755"/>
      <c r="X46" s="1190">
        <f t="shared" si="18"/>
        <v>0</v>
      </c>
    </row>
    <row r="47" spans="1:25" s="756" customFormat="1" x14ac:dyDescent="0.2">
      <c r="A47" s="760" t="s">
        <v>716</v>
      </c>
      <c r="B47" s="968" t="s">
        <v>367</v>
      </c>
      <c r="C47" s="751"/>
      <c r="D47" s="1045">
        <v>0</v>
      </c>
      <c r="E47" s="1045">
        <v>0</v>
      </c>
      <c r="F47" s="1045">
        <v>0</v>
      </c>
      <c r="G47" s="1045">
        <v>0</v>
      </c>
      <c r="H47" s="1045">
        <v>0</v>
      </c>
      <c r="I47" s="1045">
        <v>0</v>
      </c>
      <c r="J47" s="1045">
        <v>0</v>
      </c>
      <c r="K47" s="1045">
        <v>0</v>
      </c>
      <c r="L47" s="1045">
        <v>0</v>
      </c>
      <c r="M47" s="1045">
        <v>0</v>
      </c>
      <c r="N47" s="1045">
        <v>0</v>
      </c>
      <c r="O47" s="1046">
        <v>0</v>
      </c>
      <c r="P47" s="625"/>
      <c r="Q47" s="747">
        <f t="shared" si="17"/>
        <v>0</v>
      </c>
      <c r="R47" s="1145"/>
      <c r="S47" s="747">
        <v>0</v>
      </c>
      <c r="T47" s="1145"/>
      <c r="U47" s="794">
        <f t="shared" si="2"/>
        <v>0</v>
      </c>
      <c r="V47" s="755"/>
      <c r="X47" s="1190">
        <f t="shared" si="18"/>
        <v>0</v>
      </c>
    </row>
    <row r="48" spans="1:25" s="756" customFormat="1" x14ac:dyDescent="0.2">
      <c r="A48" s="761" t="s">
        <v>717</v>
      </c>
      <c r="B48" s="965" t="s">
        <v>369</v>
      </c>
      <c r="C48" s="751"/>
      <c r="D48" s="1045">
        <v>0</v>
      </c>
      <c r="E48" s="1045">
        <v>0</v>
      </c>
      <c r="F48" s="1045">
        <v>0</v>
      </c>
      <c r="G48" s="1045">
        <v>0</v>
      </c>
      <c r="H48" s="1045">
        <v>0</v>
      </c>
      <c r="I48" s="1045">
        <v>0</v>
      </c>
      <c r="J48" s="1045">
        <v>0</v>
      </c>
      <c r="K48" s="1045">
        <v>0</v>
      </c>
      <c r="L48" s="1045">
        <v>0</v>
      </c>
      <c r="M48" s="1045">
        <v>0</v>
      </c>
      <c r="N48" s="1045">
        <v>0</v>
      </c>
      <c r="O48" s="1046">
        <v>0</v>
      </c>
      <c r="P48" s="625"/>
      <c r="Q48" s="747">
        <f t="shared" si="17"/>
        <v>0</v>
      </c>
      <c r="R48" s="1145"/>
      <c r="S48" s="747">
        <v>0</v>
      </c>
      <c r="T48" s="1145"/>
      <c r="U48" s="794">
        <f t="shared" si="2"/>
        <v>0</v>
      </c>
      <c r="V48" s="755"/>
      <c r="X48" s="1190">
        <f t="shared" si="18"/>
        <v>0</v>
      </c>
    </row>
    <row r="49" spans="1:25" s="756" customFormat="1" x14ac:dyDescent="0.2">
      <c r="A49" s="760" t="s">
        <v>718</v>
      </c>
      <c r="B49" s="968" t="s">
        <v>370</v>
      </c>
      <c r="C49" s="751"/>
      <c r="D49" s="1045">
        <v>0</v>
      </c>
      <c r="E49" s="1045">
        <v>0</v>
      </c>
      <c r="F49" s="1045">
        <v>0</v>
      </c>
      <c r="G49" s="1045">
        <v>0</v>
      </c>
      <c r="H49" s="1045">
        <v>0</v>
      </c>
      <c r="I49" s="1045">
        <v>0</v>
      </c>
      <c r="J49" s="1045">
        <v>0</v>
      </c>
      <c r="K49" s="1045">
        <v>0</v>
      </c>
      <c r="L49" s="1045">
        <v>0</v>
      </c>
      <c r="M49" s="1045">
        <v>0</v>
      </c>
      <c r="N49" s="1045">
        <v>0</v>
      </c>
      <c r="O49" s="1046">
        <v>0</v>
      </c>
      <c r="P49" s="625"/>
      <c r="Q49" s="747">
        <f t="shared" si="17"/>
        <v>0</v>
      </c>
      <c r="R49" s="1145"/>
      <c r="S49" s="747">
        <v>0</v>
      </c>
      <c r="T49" s="1145"/>
      <c r="U49" s="794">
        <f t="shared" si="2"/>
        <v>0</v>
      </c>
      <c r="V49" s="755"/>
      <c r="X49" s="1190">
        <f t="shared" si="18"/>
        <v>0</v>
      </c>
    </row>
    <row r="50" spans="1:25" s="756" customFormat="1" x14ac:dyDescent="0.2">
      <c r="A50" s="760" t="s">
        <v>719</v>
      </c>
      <c r="B50" s="968" t="s">
        <v>372</v>
      </c>
      <c r="C50" s="751"/>
      <c r="D50" s="1045">
        <v>0</v>
      </c>
      <c r="E50" s="1045">
        <v>0</v>
      </c>
      <c r="F50" s="1045">
        <v>0</v>
      </c>
      <c r="G50" s="1045">
        <v>0</v>
      </c>
      <c r="H50" s="1045">
        <v>0</v>
      </c>
      <c r="I50" s="1045">
        <v>0</v>
      </c>
      <c r="J50" s="1045">
        <v>0</v>
      </c>
      <c r="K50" s="1045">
        <v>0</v>
      </c>
      <c r="L50" s="1045">
        <v>0</v>
      </c>
      <c r="M50" s="1045">
        <v>0</v>
      </c>
      <c r="N50" s="1045">
        <v>0</v>
      </c>
      <c r="O50" s="1046">
        <v>0</v>
      </c>
      <c r="P50" s="625"/>
      <c r="Q50" s="747">
        <f t="shared" si="17"/>
        <v>0</v>
      </c>
      <c r="R50" s="1145"/>
      <c r="S50" s="747">
        <v>0</v>
      </c>
      <c r="T50" s="1145"/>
      <c r="U50" s="794">
        <f t="shared" si="2"/>
        <v>0</v>
      </c>
      <c r="V50" s="755"/>
      <c r="X50" s="1190">
        <f t="shared" si="18"/>
        <v>0</v>
      </c>
    </row>
    <row r="51" spans="1:25" s="756" customFormat="1" x14ac:dyDescent="0.2">
      <c r="A51" s="760" t="s">
        <v>720</v>
      </c>
      <c r="B51" s="968" t="s">
        <v>721</v>
      </c>
      <c r="C51" s="751"/>
      <c r="D51" s="1045">
        <v>0</v>
      </c>
      <c r="E51" s="1045">
        <v>0</v>
      </c>
      <c r="F51" s="1045">
        <v>0</v>
      </c>
      <c r="G51" s="1045">
        <v>0</v>
      </c>
      <c r="H51" s="1045">
        <v>0</v>
      </c>
      <c r="I51" s="1045">
        <v>0</v>
      </c>
      <c r="J51" s="1045">
        <v>0</v>
      </c>
      <c r="K51" s="1045">
        <v>0</v>
      </c>
      <c r="L51" s="1045">
        <v>0</v>
      </c>
      <c r="M51" s="1045">
        <v>0</v>
      </c>
      <c r="N51" s="1045">
        <v>0</v>
      </c>
      <c r="O51" s="1046">
        <v>0</v>
      </c>
      <c r="P51" s="625"/>
      <c r="Q51" s="747">
        <f t="shared" si="17"/>
        <v>0</v>
      </c>
      <c r="R51" s="1145"/>
      <c r="S51" s="747">
        <v>0</v>
      </c>
      <c r="T51" s="1145"/>
      <c r="U51" s="794">
        <f t="shared" si="2"/>
        <v>0</v>
      </c>
      <c r="V51" s="755"/>
      <c r="X51" s="1190">
        <f t="shared" si="18"/>
        <v>0</v>
      </c>
    </row>
    <row r="52" spans="1:25" s="756" customFormat="1" x14ac:dyDescent="0.2">
      <c r="A52" s="760" t="s">
        <v>722</v>
      </c>
      <c r="B52" s="967" t="s">
        <v>723</v>
      </c>
      <c r="C52" s="751"/>
      <c r="D52" s="1045">
        <v>1992.3600000000001</v>
      </c>
      <c r="E52" s="1045">
        <f>+'Master Salary List'!$N$137/26/10*E38</f>
        <v>5026.9153846153849</v>
      </c>
      <c r="F52" s="1045">
        <f>+'Master Salary List'!$N$137/26/10*F38</f>
        <v>4589.792307692308</v>
      </c>
      <c r="G52" s="1045">
        <f>+'Master Salary List'!$N$137/26/10*G38</f>
        <v>4808.3538461538465</v>
      </c>
      <c r="H52" s="1045">
        <f>+'Master Salary List'!$N$137/26/10*H38</f>
        <v>4808.3538461538465</v>
      </c>
      <c r="I52" s="1045">
        <f>+'Master Salary List'!$N$137/26/10*I38</f>
        <v>4589.792307692308</v>
      </c>
      <c r="J52" s="1045">
        <f>+'Master Salary List'!$N$137/26/10*J38</f>
        <v>5026.9153846153849</v>
      </c>
      <c r="K52" s="1045">
        <f>+'Master Salary List'!$N$137/26/10*K38</f>
        <v>4589.792307692308</v>
      </c>
      <c r="L52" s="1045">
        <f>+'Master Salary List'!$N$137/26/10*L38</f>
        <v>4589.792307692308</v>
      </c>
      <c r="M52" s="1045">
        <f>+'Master Salary List'!$N$137/26/10*M38</f>
        <v>4808.3538461538465</v>
      </c>
      <c r="N52" s="1045">
        <f>+'Master Salary List'!$N$137/26/10*N38</f>
        <v>5026.9153846153849</v>
      </c>
      <c r="O52" s="1046">
        <f>+'Master Salary List'!$N$137/26/10*O38</f>
        <v>4371.2307692307695</v>
      </c>
      <c r="P52" s="1247">
        <f>+'Master Salary List'!$N$137/26/10*P38-D52</f>
        <v>3034.5553846153848</v>
      </c>
      <c r="Q52" s="747">
        <f t="shared" si="17"/>
        <v>57263.123076923082</v>
      </c>
      <c r="R52" s="1145"/>
      <c r="S52" s="747">
        <v>58922.400769230771</v>
      </c>
      <c r="T52" s="1145"/>
      <c r="U52" s="794">
        <f t="shared" si="2"/>
        <v>-1659.277692307689</v>
      </c>
      <c r="V52" s="755"/>
      <c r="X52" s="1190">
        <f>SUM('Master Salary List'!N137)</f>
        <v>56826</v>
      </c>
      <c r="Y52" s="756">
        <f>+X52-Q52</f>
        <v>-437.12307692308241</v>
      </c>
    </row>
    <row r="53" spans="1:25" s="756" customFormat="1" x14ac:dyDescent="0.2">
      <c r="A53" s="760" t="s">
        <v>724</v>
      </c>
      <c r="B53" s="967" t="s">
        <v>374</v>
      </c>
      <c r="C53" s="751"/>
      <c r="D53" s="1045">
        <f>SUM('Master Salary List'!$N$141:$N$151)/26/10*D$38</f>
        <v>27920.642076923075</v>
      </c>
      <c r="E53" s="1045">
        <f>SUM('Master Salary List'!$N$141:$N$151)/26/10*E$38</f>
        <v>30579.750846153845</v>
      </c>
      <c r="F53" s="1045">
        <f>SUM('Master Salary List'!$N$141:$N$151)/26/10*F$38</f>
        <v>27920.642076923075</v>
      </c>
      <c r="G53" s="1045">
        <f>SUM('Master Salary List'!$N$141:$N$151)/26/10*G$38</f>
        <v>29250.19646153846</v>
      </c>
      <c r="H53" s="1045">
        <f>SUM('Master Salary List'!$N$141:$N$151)/26/10*H$38</f>
        <v>29250.19646153846</v>
      </c>
      <c r="I53" s="1045">
        <f>SUM('Master Salary List'!$N$141:$N$151)/26/10*I$38</f>
        <v>27920.642076923075</v>
      </c>
      <c r="J53" s="1045">
        <f>SUM('Master Salary List'!$N$141:$N$151)/26/10*J$38</f>
        <v>30579.750846153845</v>
      </c>
      <c r="K53" s="1045">
        <f>SUM('Master Salary List'!$N$141:$N$151)/26/10*K$38</f>
        <v>27920.642076923075</v>
      </c>
      <c r="L53" s="1045">
        <f>SUM('Master Salary List'!$N$141:$N$151)/26/10*L$38</f>
        <v>27920.642076923075</v>
      </c>
      <c r="M53" s="1045">
        <f>SUM('Master Salary List'!$N$141:$N$151)/26/10*M$38</f>
        <v>29250.19646153846</v>
      </c>
      <c r="N53" s="1045">
        <f>SUM('Master Salary List'!$N$141:$N$151)/26/10*N$38</f>
        <v>30579.750846153845</v>
      </c>
      <c r="O53" s="1046">
        <f>SUM('Master Salary List'!$N$141:$N$151)/26/10*O$38</f>
        <v>26591.087692307694</v>
      </c>
      <c r="P53" s="625"/>
      <c r="Q53" s="747">
        <f t="shared" si="17"/>
        <v>345684.14</v>
      </c>
      <c r="R53" s="1145"/>
      <c r="S53" s="747">
        <v>344067.89</v>
      </c>
      <c r="T53" s="1145"/>
      <c r="U53" s="794">
        <f t="shared" si="2"/>
        <v>1616.25</v>
      </c>
      <c r="V53" s="755"/>
      <c r="X53" s="1190">
        <f>SUM('Master Salary List'!N142:N147)</f>
        <v>291184.14</v>
      </c>
      <c r="Y53" s="756">
        <f>+X53-Q53</f>
        <v>-54500</v>
      </c>
    </row>
    <row r="54" spans="1:25" s="756" customFormat="1" x14ac:dyDescent="0.2">
      <c r="A54" s="760" t="s">
        <v>725</v>
      </c>
      <c r="B54" s="967" t="s">
        <v>726</v>
      </c>
      <c r="C54" s="751"/>
      <c r="D54" s="1055">
        <f>SUM('Master Salary List'!$J$153:$J$154)/26/10*D$38</f>
        <v>7522.4423076923076</v>
      </c>
      <c r="E54" s="1055">
        <f>SUM('Master Salary List'!$J$153:$J$154)/26/10*E$38</f>
        <v>8238.8653846153848</v>
      </c>
      <c r="F54" s="1055">
        <f>SUM('Master Salary List'!$J$153:$J$154)/26/10*F$38</f>
        <v>7522.4423076923076</v>
      </c>
      <c r="G54" s="1055">
        <f>SUM('Master Salary List'!$J$153:$J$154)/26/10*G$38</f>
        <v>7880.6538461538457</v>
      </c>
      <c r="H54" s="1055">
        <f>SUM('Master Salary List'!$J$153:$J$154)/26/10*H$38</f>
        <v>7880.6538461538457</v>
      </c>
      <c r="I54" s="1055">
        <f>SUM('Master Salary List'!$J$153:$J$154)/26/10*I$38</f>
        <v>7522.4423076923076</v>
      </c>
      <c r="J54" s="1055">
        <f>SUM('Master Salary List'!$J$153:$J$154)/26/10*J$38</f>
        <v>8238.8653846153848</v>
      </c>
      <c r="K54" s="1055">
        <f>SUM('Master Salary List'!$J$153:$J$154)/26/10*K$38</f>
        <v>7522.4423076923076</v>
      </c>
      <c r="L54" s="1055">
        <f>SUM('Master Salary List'!$J$153:$J$154)/26/10*L$38</f>
        <v>7522.4423076923076</v>
      </c>
      <c r="M54" s="1055">
        <f>SUM('Master Salary List'!$J$153:$J$154)/26/10*M$38</f>
        <v>7880.6538461538457</v>
      </c>
      <c r="N54" s="1055">
        <f>SUM('Master Salary List'!$J$153:$J$154)/26/10*N$38</f>
        <v>8238.8653846153848</v>
      </c>
      <c r="O54" s="1056">
        <f>SUM('Master Salary List'!$J$153:$J$154)/26/10*O$38</f>
        <v>7164.2307692307695</v>
      </c>
      <c r="P54" s="625"/>
      <c r="Q54" s="747">
        <f t="shared" si="17"/>
        <v>93134.999999999985</v>
      </c>
      <c r="R54" s="1145"/>
      <c r="S54" s="747">
        <v>99095.128461538465</v>
      </c>
      <c r="T54" s="1145"/>
      <c r="U54" s="794">
        <f t="shared" si="2"/>
        <v>-5960.1284615384793</v>
      </c>
      <c r="V54" s="755"/>
      <c r="X54" s="1190">
        <f>SUM('Master Salary List'!N153:N154)</f>
        <v>99929.05</v>
      </c>
      <c r="Y54" s="756">
        <f>+X54-Q54</f>
        <v>6794.0500000000175</v>
      </c>
    </row>
    <row r="55" spans="1:25" s="756" customFormat="1" x14ac:dyDescent="0.2">
      <c r="A55" s="760" t="s">
        <v>727</v>
      </c>
      <c r="B55" s="967" t="s">
        <v>728</v>
      </c>
      <c r="C55" s="751"/>
      <c r="D55" s="1055">
        <f>SUM('Master Salary List'!$J$157:$J$161)/26/10*D$38</f>
        <v>0</v>
      </c>
      <c r="E55" s="1055">
        <f>SUM('Master Salary List'!$J$157:$J$161)/26/10*E$38</f>
        <v>0</v>
      </c>
      <c r="F55" s="1055">
        <f>SUM('Master Salary List'!$J$157:$J$161)/26/10*F$38</f>
        <v>0</v>
      </c>
      <c r="G55" s="1055">
        <f>SUM('Master Salary List'!$J$157:$J$161)/26/10*G$38</f>
        <v>0</v>
      </c>
      <c r="H55" s="1055">
        <f>SUM('Master Salary List'!$J$157:$J$161)/26/10*H$38</f>
        <v>0</v>
      </c>
      <c r="I55" s="1055">
        <f>SUM('Master Salary List'!$J$157:$J$161)/26/10*I$38</f>
        <v>0</v>
      </c>
      <c r="J55" s="1055">
        <f>SUM('Master Salary List'!$J$157:$J$161)/26/10*J$38</f>
        <v>0</v>
      </c>
      <c r="K55" s="1055">
        <f>SUM('Master Salary List'!$J$157:$J$161)/26/10*K$38</f>
        <v>0</v>
      </c>
      <c r="L55" s="1055">
        <f>SUM('Master Salary List'!$J$157:$J$161)/26/10*L$38</f>
        <v>0</v>
      </c>
      <c r="M55" s="1055">
        <f>SUM('Master Salary List'!$J$157:$J$161)/26/10*M$38</f>
        <v>0</v>
      </c>
      <c r="N55" s="1055">
        <f>SUM('Master Salary List'!$J$157:$J$161)/26/10*N$38</f>
        <v>0</v>
      </c>
      <c r="O55" s="1056">
        <f>SUM('Master Salary List'!$J$157:$J$161)/26/10*O$38</f>
        <v>0</v>
      </c>
      <c r="P55" s="625"/>
      <c r="Q55" s="747">
        <f t="shared" si="17"/>
        <v>0</v>
      </c>
      <c r="R55" s="1145"/>
      <c r="S55" s="747">
        <v>34507.94</v>
      </c>
      <c r="T55" s="1145"/>
      <c r="U55" s="794">
        <f t="shared" si="2"/>
        <v>-34507.94</v>
      </c>
      <c r="V55" s="755"/>
      <c r="X55" s="1190">
        <f>SUM('Master Salary List'!N157:N161)</f>
        <v>0</v>
      </c>
      <c r="Y55" s="756">
        <f>+X55-Q55</f>
        <v>0</v>
      </c>
    </row>
    <row r="56" spans="1:25" s="756" customFormat="1" x14ac:dyDescent="0.2">
      <c r="A56" s="760" t="s">
        <v>729</v>
      </c>
      <c r="B56" s="967" t="s">
        <v>730</v>
      </c>
      <c r="C56" s="751"/>
      <c r="D56" s="1055">
        <f>SUM('Master Salary List'!$N$163:$N$166)/26/10*'Monthly Budget'!D$38</f>
        <v>5946.7315384615404</v>
      </c>
      <c r="E56" s="1055">
        <f>SUM('Master Salary List'!$N$163:$N$166)/26/10*'Monthly Budget'!E$38</f>
        <v>6513.0869230769249</v>
      </c>
      <c r="F56" s="1055">
        <f>SUM('Master Salary List'!$N$163:$N$166)/26/10*'Monthly Budget'!F$38</f>
        <v>5946.7315384615404</v>
      </c>
      <c r="G56" s="1055">
        <f>SUM('Master Salary List'!$N$163:$N$166)/26/10*'Monthly Budget'!G$38</f>
        <v>6229.9092307692326</v>
      </c>
      <c r="H56" s="1055">
        <f>SUM('Master Salary List'!$N$163:$N$166)/26/10*'Monthly Budget'!H$38</f>
        <v>6229.9092307692326</v>
      </c>
      <c r="I56" s="1055">
        <f>SUM('Master Salary List'!$N$163:$N$166)/26/10*'Monthly Budget'!I$38</f>
        <v>5946.7315384615404</v>
      </c>
      <c r="J56" s="1055">
        <f>SUM('Master Salary List'!$N$163:$N$166)/26/10*'Monthly Budget'!J$38</f>
        <v>6513.0869230769249</v>
      </c>
      <c r="K56" s="1055">
        <f>SUM('Master Salary List'!$N$163:$N$166)/26/10*'Monthly Budget'!K$38</f>
        <v>5946.7315384615404</v>
      </c>
      <c r="L56" s="1055">
        <f>SUM('Master Salary List'!$N$163:$N$166)/26/10*'Monthly Budget'!L$38</f>
        <v>5946.7315384615404</v>
      </c>
      <c r="M56" s="1055">
        <f>SUM('Master Salary List'!$N$163:$N$166)/26/10*'Monthly Budget'!M$38</f>
        <v>6229.9092307692326</v>
      </c>
      <c r="N56" s="1055">
        <f>SUM('Master Salary List'!$N$163:$N$166)/26/10*'Monthly Budget'!N$38</f>
        <v>6513.0869230769249</v>
      </c>
      <c r="O56" s="1056">
        <f>SUM('Master Salary List'!$N$163:$N$166)/26/10*'Monthly Budget'!O$38</f>
        <v>5663.5538461538472</v>
      </c>
      <c r="P56" s="811">
        <v>0</v>
      </c>
      <c r="Q56" s="747">
        <f t="shared" si="17"/>
        <v>73626.200000000041</v>
      </c>
      <c r="R56" s="1145"/>
      <c r="S56" s="747">
        <v>85810.390000000014</v>
      </c>
      <c r="T56" s="1145"/>
      <c r="U56" s="794">
        <f t="shared" si="2"/>
        <v>-12184.189999999973</v>
      </c>
      <c r="V56" s="872"/>
      <c r="X56" s="1190">
        <f>SUM('Master Salary List'!N163:N166)</f>
        <v>73626.200000000012</v>
      </c>
      <c r="Y56" s="756">
        <f>+X56-Q56</f>
        <v>0</v>
      </c>
    </row>
    <row r="57" spans="1:25" s="756" customFormat="1" x14ac:dyDescent="0.2">
      <c r="A57" s="760" t="s">
        <v>731</v>
      </c>
      <c r="B57" s="968" t="s">
        <v>732</v>
      </c>
      <c r="C57" s="751"/>
      <c r="D57" s="1045">
        <f>+'Trend Report'!H84</f>
        <v>0</v>
      </c>
      <c r="E57" s="1045">
        <v>0</v>
      </c>
      <c r="F57" s="1045">
        <v>0</v>
      </c>
      <c r="G57" s="1045">
        <v>0</v>
      </c>
      <c r="H57" s="1045">
        <v>0</v>
      </c>
      <c r="I57" s="1045">
        <v>0</v>
      </c>
      <c r="J57" s="1045">
        <v>0</v>
      </c>
      <c r="K57" s="1045">
        <v>0</v>
      </c>
      <c r="L57" s="1045">
        <v>0</v>
      </c>
      <c r="M57" s="1045">
        <v>0</v>
      </c>
      <c r="N57" s="1045">
        <v>0</v>
      </c>
      <c r="O57" s="1046">
        <v>0</v>
      </c>
      <c r="P57" s="859"/>
      <c r="Q57" s="747">
        <f t="shared" si="17"/>
        <v>0</v>
      </c>
      <c r="R57" s="1145"/>
      <c r="S57" s="747">
        <v>0</v>
      </c>
      <c r="T57" s="1145"/>
      <c r="U57" s="794">
        <f t="shared" si="2"/>
        <v>0</v>
      </c>
      <c r="V57" s="755"/>
      <c r="X57" s="1190">
        <f>+R57-T57</f>
        <v>0</v>
      </c>
    </row>
    <row r="58" spans="1:25" s="756" customFormat="1" x14ac:dyDescent="0.2">
      <c r="A58" s="760" t="s">
        <v>733</v>
      </c>
      <c r="B58" s="967" t="s">
        <v>734</v>
      </c>
      <c r="C58" s="751"/>
      <c r="D58" s="1045">
        <f>SUM('Master Salary List'!$N$170:$N$173)/26/10*'Monthly Budget'!D$38</f>
        <v>9382.2749999999996</v>
      </c>
      <c r="E58" s="1045">
        <f>SUM('Master Salary List'!$N$170:$N$173)/26/10*'Monthly Budget'!E$38</f>
        <v>10275.824999999999</v>
      </c>
      <c r="F58" s="1045">
        <f>SUM('Master Salary List'!$N$170:$N$173)/26/10*'Monthly Budget'!F$38</f>
        <v>9382.2749999999996</v>
      </c>
      <c r="G58" s="1045">
        <f>SUM('Master Salary List'!$N$170:$N$173)/26/10*'Monthly Budget'!G$38</f>
        <v>9829.0499999999993</v>
      </c>
      <c r="H58" s="1045">
        <f>SUM('Master Salary List'!$N$170:$N$173)/26/10*'Monthly Budget'!H$38</f>
        <v>9829.0499999999993</v>
      </c>
      <c r="I58" s="1045">
        <f>SUM('Master Salary List'!$N$170:$N$173)/26/10*'Monthly Budget'!I$38</f>
        <v>9382.2749999999996</v>
      </c>
      <c r="J58" s="1045">
        <f>SUM('Master Salary List'!$N$170:$N$173)/26/10*'Monthly Budget'!J$38</f>
        <v>10275.824999999999</v>
      </c>
      <c r="K58" s="1045">
        <f>SUM('Master Salary List'!$N$170:$N$173)/26/10*'Monthly Budget'!K$38</f>
        <v>9382.2749999999996</v>
      </c>
      <c r="L58" s="1045">
        <f>SUM('Master Salary List'!$N$170:$N$173)/26/10*'Monthly Budget'!L$38</f>
        <v>9382.2749999999996</v>
      </c>
      <c r="M58" s="1045">
        <f>SUM('Master Salary List'!$N$170:$N$173)/26/10*'Monthly Budget'!M$38</f>
        <v>9829.0499999999993</v>
      </c>
      <c r="N58" s="1045">
        <f>SUM('Master Salary List'!$N$170:$N$173)/26/10*'Monthly Budget'!N$38</f>
        <v>10275.824999999999</v>
      </c>
      <c r="O58" s="1046">
        <f>SUM('Master Salary List'!$N$170:$N$173)/26/10*'Monthly Budget'!O$38</f>
        <v>8935.5</v>
      </c>
      <c r="P58" s="860"/>
      <c r="Q58" s="747">
        <f t="shared" si="17"/>
        <v>116161.5</v>
      </c>
      <c r="R58" s="1145"/>
      <c r="S58" s="747">
        <v>36030.478461538456</v>
      </c>
      <c r="T58" s="1145"/>
      <c r="U58" s="794">
        <f t="shared" si="2"/>
        <v>80131.021538461544</v>
      </c>
      <c r="V58" s="755"/>
      <c r="X58" s="1190">
        <f>SUM('Master Salary List'!N171)</f>
        <v>36000</v>
      </c>
      <c r="Y58" s="756">
        <f>+X58-Q58</f>
        <v>-80161.5</v>
      </c>
    </row>
    <row r="59" spans="1:25" s="756" customFormat="1" x14ac:dyDescent="0.2">
      <c r="A59" s="760" t="s">
        <v>735</v>
      </c>
      <c r="B59" s="967" t="s">
        <v>736</v>
      </c>
      <c r="C59" s="751"/>
      <c r="D59" s="1055">
        <f>SUM('Master Salary List'!$J$179:$J$186)/26/10*D$38</f>
        <v>3449.3307692307694</v>
      </c>
      <c r="E59" s="1055">
        <f>SUM('Master Salary List'!$J$179:$J$186)/26/10*E$38</f>
        <v>3777.8384615384616</v>
      </c>
      <c r="F59" s="1055">
        <f>SUM('Master Salary List'!$J$179:$J$186)/26/10*F$38</f>
        <v>3449.3307692307694</v>
      </c>
      <c r="G59" s="1055">
        <f>SUM('Master Salary List'!$J$179:$J$186)/26/10*G$38</f>
        <v>3613.5846153846155</v>
      </c>
      <c r="H59" s="1055">
        <f>SUM('Master Salary List'!$J$179:$J$186)/26/10*H$38</f>
        <v>3613.5846153846155</v>
      </c>
      <c r="I59" s="1055">
        <f>SUM('Master Salary List'!$J$179:$J$186)/26/10*I$38</f>
        <v>3449.3307692307694</v>
      </c>
      <c r="J59" s="1055">
        <f>SUM('Master Salary List'!$J$179:$J$186)/26/10*J$38</f>
        <v>3777.8384615384616</v>
      </c>
      <c r="K59" s="1055">
        <f>SUM('Master Salary List'!$J$179:$J$186)/26/10*K$38</f>
        <v>3449.3307692307694</v>
      </c>
      <c r="L59" s="1055">
        <f>SUM('Master Salary List'!$J$179:$J$186)/26/10*L$38</f>
        <v>3449.3307692307694</v>
      </c>
      <c r="M59" s="1055">
        <f>SUM('Master Salary List'!$J$179:$J$186)/26/10*M$38</f>
        <v>3613.5846153846155</v>
      </c>
      <c r="N59" s="1055">
        <f>SUM('Master Salary List'!$J$179:$J$186)/26/10*N$38</f>
        <v>3777.8384615384616</v>
      </c>
      <c r="O59" s="1055">
        <f>SUM('Master Salary List'!$J$179:$J$186)/26/10*O$38</f>
        <v>3285.0769230769229</v>
      </c>
      <c r="P59" s="607">
        <v>0</v>
      </c>
      <c r="Q59" s="747">
        <f t="shared" si="17"/>
        <v>42706</v>
      </c>
      <c r="R59" s="1145"/>
      <c r="S59" s="747">
        <v>78742.570000000022</v>
      </c>
      <c r="T59" s="1145"/>
      <c r="U59" s="794">
        <f t="shared" si="2"/>
        <v>-36036.570000000022</v>
      </c>
      <c r="V59" s="755"/>
      <c r="X59" s="1190">
        <f>SUM('Master Salary List'!N180:N185)</f>
        <v>34706</v>
      </c>
      <c r="Y59" s="756">
        <f>+X59-Q59</f>
        <v>-8000</v>
      </c>
    </row>
    <row r="60" spans="1:25" s="756" customFormat="1" x14ac:dyDescent="0.2">
      <c r="A60" s="757"/>
      <c r="B60" s="758"/>
      <c r="C60" s="751"/>
      <c r="D60" s="1045"/>
      <c r="E60" s="1045"/>
      <c r="F60" s="1045"/>
      <c r="G60" s="1045"/>
      <c r="H60" s="1045"/>
      <c r="I60" s="1045"/>
      <c r="J60" s="1045"/>
      <c r="K60" s="1045"/>
      <c r="L60" s="1045"/>
      <c r="M60" s="1045"/>
      <c r="N60" s="1045"/>
      <c r="O60" s="1046"/>
      <c r="P60" s="861"/>
      <c r="Q60" s="747">
        <f t="shared" si="17"/>
        <v>0</v>
      </c>
      <c r="R60" s="1145"/>
      <c r="S60" s="747">
        <v>0</v>
      </c>
      <c r="T60" s="1145"/>
      <c r="U60" s="794">
        <f t="shared" si="2"/>
        <v>0</v>
      </c>
      <c r="V60" s="755"/>
      <c r="X60" s="1190">
        <f t="shared" ref="X60:X71" si="19">+R60-T60</f>
        <v>0</v>
      </c>
    </row>
    <row r="61" spans="1:25" x14ac:dyDescent="0.2">
      <c r="A61" s="756"/>
      <c r="B61" s="862" t="s">
        <v>583</v>
      </c>
      <c r="C61" s="751"/>
      <c r="D61" s="1045">
        <f>SUM('Trend Report'!H87:H174)</f>
        <v>17854.690000000002</v>
      </c>
      <c r="E61" s="1045">
        <f>SUM('Master Salary List'!$R$188:$W$188)/12+('Master Salary List'!$Y$188+'Master Salary List'!$Y$192)/6</f>
        <v>102678.6999891875</v>
      </c>
      <c r="F61" s="1045">
        <f>SUM('Master Salary List'!$R$188:$W$188)/12+('Master Salary List'!$Y$188+'Master Salary List'!$Y$192)/6</f>
        <v>102678.6999891875</v>
      </c>
      <c r="G61" s="1045">
        <f>SUM('Master Salary List'!$R$188:$W$188)/12+('Master Salary List'!$Y$188+'Master Salary List'!$Y$192)/6</f>
        <v>102678.6999891875</v>
      </c>
      <c r="H61" s="1045">
        <f>SUM('Master Salary List'!$R$188:$W$188)/12+('Master Salary List'!$Y$188+'Master Salary List'!$Y$192)/6</f>
        <v>102678.6999891875</v>
      </c>
      <c r="I61" s="1045">
        <f>SUM('Master Salary List'!$R$188:$W$188)/12+('Master Salary List'!$Y$188+'Master Salary List'!$Y$192)/6</f>
        <v>102678.6999891875</v>
      </c>
      <c r="J61" s="1045">
        <f>SUM('Master Salary List'!$R$188:$W$188)/12+('Master Salary List'!$Y$188+'Master Salary List'!$Y$192)/6</f>
        <v>102678.6999891875</v>
      </c>
      <c r="K61" s="1045">
        <f>SUM('Master Salary List'!$R$188:$W$188)/12+('Master Salary List'!$Y$188+'Master Salary List'!$Y$192)/6</f>
        <v>102678.6999891875</v>
      </c>
      <c r="L61" s="1045">
        <f>SUM('Master Salary List'!$R$188:$W$188)/12+('Master Salary List'!$Y$188+'Master Salary List'!$Y$192)/6</f>
        <v>102678.6999891875</v>
      </c>
      <c r="M61" s="1045">
        <f>SUM('Master Salary List'!$R$188:$W$188)/12+('Master Salary List'!$Y$188+'Master Salary List'!$Y$192)/6</f>
        <v>102678.6999891875</v>
      </c>
      <c r="N61" s="1045">
        <f>SUM('Master Salary List'!$R$188:$W$188)/12+('Master Salary List'!$Y$188+'Master Salary List'!$Y$192)/6</f>
        <v>102678.6999891875</v>
      </c>
      <c r="O61" s="1047">
        <f>SUM('Master Salary List'!$R$188:$W$188)/12+('Master Salary List'!$Y$188+'Master Salary List'!$Y$192)/6</f>
        <v>102678.6999891875</v>
      </c>
      <c r="P61" s="607">
        <f>+O61-D61</f>
        <v>84824.0099891875</v>
      </c>
      <c r="Q61" s="747">
        <f t="shared" si="17"/>
        <v>1232144.3998702504</v>
      </c>
      <c r="R61" s="1145"/>
      <c r="S61" s="747">
        <v>1226259.4979487497</v>
      </c>
      <c r="T61" s="1145"/>
      <c r="U61" s="794">
        <f t="shared" si="2"/>
        <v>5884.9019215006847</v>
      </c>
      <c r="V61" s="742"/>
      <c r="W61" s="1119"/>
      <c r="X61" s="1190">
        <f t="shared" si="19"/>
        <v>0</v>
      </c>
    </row>
    <row r="62" spans="1:25" ht="12" thickBot="1" x14ac:dyDescent="0.25">
      <c r="B62" s="863" t="s">
        <v>378</v>
      </c>
      <c r="C62" s="1034"/>
      <c r="D62" s="1057">
        <f t="shared" ref="D62:L62" si="20">SUM(D40:D61)</f>
        <v>111999.70169230769</v>
      </c>
      <c r="E62" s="1057">
        <f t="shared" si="20"/>
        <v>418473.33741226443</v>
      </c>
      <c r="F62" s="1057">
        <f t="shared" si="20"/>
        <v>391091.19502764905</v>
      </c>
      <c r="G62" s="1057">
        <f>SUM(G40:G61)</f>
        <v>404782.26621995668</v>
      </c>
      <c r="H62" s="1057">
        <f>SUM(H40:H61)</f>
        <v>404782.26621995668</v>
      </c>
      <c r="I62" s="1057">
        <f>SUM(I40:I61)</f>
        <v>391091.19502764905</v>
      </c>
      <c r="J62" s="1057">
        <f>SUM(J40:J61)</f>
        <v>418473.33741226443</v>
      </c>
      <c r="K62" s="1057">
        <f>SUM(K40:K61)</f>
        <v>391091.19502764905</v>
      </c>
      <c r="L62" s="1057">
        <f t="shared" si="20"/>
        <v>391091.19502764905</v>
      </c>
      <c r="M62" s="1057">
        <f t="shared" ref="M62:R62" si="21">SUM(M40:M61)</f>
        <v>404782.26621995668</v>
      </c>
      <c r="N62" s="1057">
        <f t="shared" si="21"/>
        <v>418473.33741226443</v>
      </c>
      <c r="O62" s="1058">
        <f t="shared" si="21"/>
        <v>376500.12383534142</v>
      </c>
      <c r="P62" s="817">
        <f t="shared" si="21"/>
        <v>295926.38925841823</v>
      </c>
      <c r="Q62" s="629">
        <f t="shared" si="21"/>
        <v>4818557.8057933282</v>
      </c>
      <c r="R62" s="1146">
        <f t="shared" si="21"/>
        <v>0</v>
      </c>
      <c r="S62" s="629">
        <v>4905924.8433333645</v>
      </c>
      <c r="T62" s="1146">
        <v>0</v>
      </c>
      <c r="U62" s="794">
        <f t="shared" si="2"/>
        <v>-87367.037540036254</v>
      </c>
      <c r="V62" s="972"/>
      <c r="X62" s="1190">
        <f t="shared" si="19"/>
        <v>0</v>
      </c>
    </row>
    <row r="63" spans="1:25" ht="12" thickTop="1" x14ac:dyDescent="0.2">
      <c r="B63" s="863"/>
      <c r="C63" s="751"/>
      <c r="D63" s="1059"/>
      <c r="E63" s="1059"/>
      <c r="F63" s="1059"/>
      <c r="G63" s="1059"/>
      <c r="H63" s="1059"/>
      <c r="I63" s="1059"/>
      <c r="J63" s="1059"/>
      <c r="K63" s="1059"/>
      <c r="L63" s="1059"/>
      <c r="M63" s="1059"/>
      <c r="N63" s="1059"/>
      <c r="O63" s="1060"/>
      <c r="P63" s="1101">
        <f>+Q62/(Q36-F14)</f>
        <v>0.55960220945211459</v>
      </c>
      <c r="Q63" s="747"/>
      <c r="R63" s="1145"/>
      <c r="S63" s="747"/>
      <c r="T63" s="1145"/>
      <c r="U63" s="794">
        <f t="shared" si="2"/>
        <v>0</v>
      </c>
      <c r="V63" s="742"/>
      <c r="X63" s="1190">
        <f t="shared" si="19"/>
        <v>0</v>
      </c>
    </row>
    <row r="64" spans="1:25" x14ac:dyDescent="0.2">
      <c r="B64" s="864" t="s">
        <v>307</v>
      </c>
      <c r="C64" s="751"/>
      <c r="D64" s="1049"/>
      <c r="E64" s="1049"/>
      <c r="F64" s="1049"/>
      <c r="G64" s="1049"/>
      <c r="H64" s="1049"/>
      <c r="I64" s="1049"/>
      <c r="J64" s="1049"/>
      <c r="K64" s="1049"/>
      <c r="L64" s="1049"/>
      <c r="M64" s="1049"/>
      <c r="N64" s="1049"/>
      <c r="O64" s="1061"/>
      <c r="P64" s="810"/>
      <c r="Q64" s="747">
        <f>SUM(D64:P64)</f>
        <v>0</v>
      </c>
      <c r="R64" s="1145"/>
      <c r="S64" s="747">
        <v>0</v>
      </c>
      <c r="T64" s="1145"/>
      <c r="U64" s="794">
        <f t="shared" si="2"/>
        <v>0</v>
      </c>
      <c r="V64" s="765"/>
      <c r="W64" s="766"/>
      <c r="X64" s="1190">
        <f t="shared" si="19"/>
        <v>0</v>
      </c>
    </row>
    <row r="65" spans="1:24" x14ac:dyDescent="0.2">
      <c r="A65" s="744" t="s">
        <v>737</v>
      </c>
      <c r="B65" s="745" t="s">
        <v>379</v>
      </c>
      <c r="C65" s="1035"/>
      <c r="D65" s="1045">
        <v>0</v>
      </c>
      <c r="E65" s="1045">
        <v>0</v>
      </c>
      <c r="F65" s="1045">
        <v>0</v>
      </c>
      <c r="G65" s="1045">
        <v>0</v>
      </c>
      <c r="H65" s="1045">
        <v>0</v>
      </c>
      <c r="I65" s="1045">
        <v>0</v>
      </c>
      <c r="J65" s="1045">
        <v>0</v>
      </c>
      <c r="K65" s="1045">
        <v>0</v>
      </c>
      <c r="L65" s="1045">
        <v>0</v>
      </c>
      <c r="M65" s="1045"/>
      <c r="N65" s="1045"/>
      <c r="O65" s="1046"/>
      <c r="P65" s="625"/>
      <c r="Q65" s="747">
        <f>SUM(D65:P65)</f>
        <v>0</v>
      </c>
      <c r="R65" s="1145"/>
      <c r="S65" s="747">
        <v>0</v>
      </c>
      <c r="T65" s="1145"/>
      <c r="U65" s="794">
        <f t="shared" si="2"/>
        <v>0</v>
      </c>
      <c r="V65" s="742"/>
      <c r="X65" s="1190">
        <f t="shared" si="19"/>
        <v>0</v>
      </c>
    </row>
    <row r="66" spans="1:24" x14ac:dyDescent="0.2">
      <c r="A66" s="744" t="s">
        <v>959</v>
      </c>
      <c r="B66" s="745" t="s">
        <v>960</v>
      </c>
      <c r="C66" s="1035"/>
      <c r="D66" s="1045">
        <v>727</v>
      </c>
      <c r="E66" s="1045">
        <v>727</v>
      </c>
      <c r="F66" s="1045">
        <v>716</v>
      </c>
      <c r="G66" s="1045">
        <v>514</v>
      </c>
      <c r="H66" s="1045">
        <v>984</v>
      </c>
      <c r="I66" s="1045">
        <v>981</v>
      </c>
      <c r="J66" s="1045">
        <v>899</v>
      </c>
      <c r="K66" s="1045">
        <v>1075.2</v>
      </c>
      <c r="L66" s="1045">
        <v>750.9</v>
      </c>
      <c r="M66" s="1045">
        <v>480</v>
      </c>
      <c r="N66" s="1045">
        <v>480</v>
      </c>
      <c r="O66" s="1046">
        <f>64+161</f>
        <v>225</v>
      </c>
      <c r="P66" s="625"/>
      <c r="Q66" s="747">
        <f>SUM(D66:P66)</f>
        <v>8559.0999999999985</v>
      </c>
      <c r="R66" s="1145"/>
      <c r="S66" s="747">
        <v>12974.52</v>
      </c>
      <c r="T66" s="1145"/>
      <c r="U66" s="794">
        <f t="shared" si="2"/>
        <v>-4415.4200000000019</v>
      </c>
      <c r="V66" s="742"/>
      <c r="X66" s="1190">
        <f t="shared" si="19"/>
        <v>0</v>
      </c>
    </row>
    <row r="67" spans="1:24" x14ac:dyDescent="0.2">
      <c r="A67" s="767" t="s">
        <v>738</v>
      </c>
      <c r="B67" s="745" t="s">
        <v>380</v>
      </c>
      <c r="C67" s="1035"/>
      <c r="D67" s="1045">
        <v>1350</v>
      </c>
      <c r="E67" s="1045">
        <v>1350</v>
      </c>
      <c r="F67" s="1045">
        <v>1350</v>
      </c>
      <c r="G67" s="1045">
        <v>1350</v>
      </c>
      <c r="H67" s="1045">
        <v>1350</v>
      </c>
      <c r="I67" s="1045">
        <v>1350</v>
      </c>
      <c r="J67" s="1045">
        <v>1350</v>
      </c>
      <c r="K67" s="1045">
        <v>1350</v>
      </c>
      <c r="L67" s="1045">
        <v>1350</v>
      </c>
      <c r="M67" s="1045">
        <v>1350</v>
      </c>
      <c r="N67" s="1045">
        <v>1350</v>
      </c>
      <c r="O67" s="1045">
        <v>1350</v>
      </c>
      <c r="P67" s="810"/>
      <c r="Q67" s="747">
        <f>SUM(D67:P67)</f>
        <v>16200</v>
      </c>
      <c r="R67" s="1145"/>
      <c r="S67" s="747">
        <v>15531.48</v>
      </c>
      <c r="T67" s="1145"/>
      <c r="U67" s="794">
        <f t="shared" si="2"/>
        <v>668.52000000000044</v>
      </c>
      <c r="V67" s="742"/>
      <c r="X67" s="1190">
        <f t="shared" si="19"/>
        <v>0</v>
      </c>
    </row>
    <row r="68" spans="1:24" ht="12" thickBot="1" x14ac:dyDescent="0.25">
      <c r="A68" s="744"/>
      <c r="B68" s="855" t="s">
        <v>381</v>
      </c>
      <c r="C68" s="751"/>
      <c r="D68" s="1048">
        <f t="shared" ref="D68:L68" si="22">SUM(D65:D67)</f>
        <v>2077</v>
      </c>
      <c r="E68" s="1048">
        <f t="shared" si="22"/>
        <v>2077</v>
      </c>
      <c r="F68" s="1048">
        <f t="shared" si="22"/>
        <v>2066</v>
      </c>
      <c r="G68" s="1048">
        <f t="shared" si="22"/>
        <v>1864</v>
      </c>
      <c r="H68" s="1048">
        <f t="shared" si="22"/>
        <v>2334</v>
      </c>
      <c r="I68" s="1048">
        <f t="shared" si="22"/>
        <v>2331</v>
      </c>
      <c r="J68" s="1048">
        <f t="shared" ref="J68:K68" si="23">SUM(J65:J67)</f>
        <v>2249</v>
      </c>
      <c r="K68" s="1048">
        <f t="shared" si="23"/>
        <v>2425.1999999999998</v>
      </c>
      <c r="L68" s="1048">
        <f t="shared" si="22"/>
        <v>2100.9</v>
      </c>
      <c r="M68" s="1048">
        <f t="shared" ref="M68:O68" si="24">SUM(M65:M67)</f>
        <v>1830</v>
      </c>
      <c r="N68" s="1048">
        <f t="shared" si="24"/>
        <v>1830</v>
      </c>
      <c r="O68" s="1062">
        <f t="shared" si="24"/>
        <v>1575</v>
      </c>
      <c r="P68" s="625"/>
      <c r="Q68" s="629">
        <f>SUM(Q65:Q67)</f>
        <v>24759.1</v>
      </c>
      <c r="R68" s="1146">
        <f>SUM(R65:R67)</f>
        <v>0</v>
      </c>
      <c r="S68" s="629">
        <v>28506</v>
      </c>
      <c r="T68" s="1146">
        <v>0</v>
      </c>
      <c r="U68" s="794">
        <f t="shared" si="2"/>
        <v>-3746.9000000000015</v>
      </c>
      <c r="V68" s="742"/>
      <c r="X68" s="1190">
        <f t="shared" si="19"/>
        <v>0</v>
      </c>
    </row>
    <row r="69" spans="1:24" ht="12" thickTop="1" x14ac:dyDescent="0.2">
      <c r="A69" s="744"/>
      <c r="B69" s="855"/>
      <c r="C69" s="751"/>
      <c r="D69" s="1049"/>
      <c r="E69" s="1049"/>
      <c r="F69" s="1049"/>
      <c r="G69" s="1049"/>
      <c r="H69" s="1049"/>
      <c r="I69" s="1049"/>
      <c r="J69" s="1049"/>
      <c r="K69" s="1049"/>
      <c r="L69" s="1049"/>
      <c r="M69" s="1049"/>
      <c r="N69" s="1049"/>
      <c r="O69" s="1061"/>
      <c r="P69" s="625"/>
      <c r="Q69" s="635"/>
      <c r="R69" s="1154"/>
      <c r="S69" s="635"/>
      <c r="T69" s="1154"/>
      <c r="U69" s="794">
        <f t="shared" si="2"/>
        <v>0</v>
      </c>
      <c r="V69" s="742"/>
      <c r="X69" s="1190">
        <f t="shared" si="19"/>
        <v>0</v>
      </c>
    </row>
    <row r="70" spans="1:24" x14ac:dyDescent="0.2">
      <c r="B70" s="854" t="s">
        <v>308</v>
      </c>
      <c r="C70" s="751"/>
      <c r="D70" s="1049"/>
      <c r="E70" s="1049"/>
      <c r="F70" s="1049"/>
      <c r="G70" s="1049"/>
      <c r="H70" s="1049"/>
      <c r="I70" s="1049"/>
      <c r="J70" s="1049"/>
      <c r="K70" s="1049"/>
      <c r="L70" s="1049"/>
      <c r="M70" s="1049"/>
      <c r="N70" s="1049"/>
      <c r="O70" s="1061"/>
      <c r="P70" s="625"/>
      <c r="Q70" s="634"/>
      <c r="R70" s="1153"/>
      <c r="S70" s="634"/>
      <c r="T70" s="1153"/>
      <c r="U70" s="794">
        <f t="shared" si="2"/>
        <v>0</v>
      </c>
      <c r="V70" s="742"/>
      <c r="X70" s="1190">
        <f t="shared" si="19"/>
        <v>0</v>
      </c>
    </row>
    <row r="71" spans="1:24" x14ac:dyDescent="0.2">
      <c r="A71" s="744" t="s">
        <v>739</v>
      </c>
      <c r="B71" s="745" t="s">
        <v>740</v>
      </c>
      <c r="C71" s="1035"/>
      <c r="D71" s="1045">
        <v>0</v>
      </c>
      <c r="E71" s="1045">
        <v>0</v>
      </c>
      <c r="F71" s="1045">
        <v>0</v>
      </c>
      <c r="G71" s="1045">
        <v>0</v>
      </c>
      <c r="H71" s="1045">
        <v>0</v>
      </c>
      <c r="I71" s="1045">
        <v>0</v>
      </c>
      <c r="J71" s="1045">
        <v>0</v>
      </c>
      <c r="K71" s="1045">
        <v>0</v>
      </c>
      <c r="L71" s="1045">
        <v>0</v>
      </c>
      <c r="M71" s="1045">
        <v>0</v>
      </c>
      <c r="N71" s="1045">
        <v>0</v>
      </c>
      <c r="O71" s="1046">
        <v>0</v>
      </c>
      <c r="P71" s="810"/>
      <c r="Q71" s="747">
        <f t="shared" ref="Q71:Q96" si="25">SUM(D71:P71)</f>
        <v>0</v>
      </c>
      <c r="R71" s="1145"/>
      <c r="S71" s="747">
        <v>0</v>
      </c>
      <c r="T71" s="1145"/>
      <c r="U71" s="794">
        <f t="shared" si="2"/>
        <v>0</v>
      </c>
      <c r="V71" s="742"/>
      <c r="X71" s="1190">
        <f t="shared" si="19"/>
        <v>0</v>
      </c>
    </row>
    <row r="72" spans="1:24" x14ac:dyDescent="0.2">
      <c r="A72" s="744" t="s">
        <v>741</v>
      </c>
      <c r="B72" s="745" t="s">
        <v>382</v>
      </c>
      <c r="C72" s="1035"/>
      <c r="D72" s="1045"/>
      <c r="E72" s="1045">
        <v>430</v>
      </c>
      <c r="F72" s="1045">
        <v>16691.82</v>
      </c>
      <c r="G72" s="1045">
        <v>430</v>
      </c>
      <c r="H72" s="1045">
        <v>430</v>
      </c>
      <c r="I72" s="1045">
        <v>430</v>
      </c>
      <c r="J72" s="1045">
        <v>430</v>
      </c>
      <c r="K72" s="1045">
        <v>430</v>
      </c>
      <c r="L72" s="1045">
        <v>430</v>
      </c>
      <c r="M72" s="1045">
        <v>430</v>
      </c>
      <c r="N72" s="1045">
        <v>430</v>
      </c>
      <c r="O72" s="1046">
        <v>0</v>
      </c>
      <c r="P72" s="810"/>
      <c r="Q72" s="747">
        <f t="shared" si="25"/>
        <v>20561.82</v>
      </c>
      <c r="R72" s="1145"/>
      <c r="S72" s="747">
        <v>20438.82</v>
      </c>
      <c r="T72" s="1145"/>
      <c r="U72" s="794">
        <f t="shared" ref="U72:U135" si="26">+Q72-S72</f>
        <v>123</v>
      </c>
      <c r="V72" s="742"/>
      <c r="X72" s="1190">
        <f t="shared" ref="X72:X135" si="27">+R72-T72</f>
        <v>0</v>
      </c>
    </row>
    <row r="73" spans="1:24" x14ac:dyDescent="0.2">
      <c r="A73" s="744" t="s">
        <v>742</v>
      </c>
      <c r="B73" s="745" t="s">
        <v>384</v>
      </c>
      <c r="C73" s="1035"/>
      <c r="D73" s="1045">
        <v>0</v>
      </c>
      <c r="E73" s="1045">
        <v>0</v>
      </c>
      <c r="F73" s="1045">
        <v>0</v>
      </c>
      <c r="G73" s="1045">
        <v>12251.6</v>
      </c>
      <c r="H73" s="1045">
        <v>0</v>
      </c>
      <c r="I73" s="1045">
        <v>0</v>
      </c>
      <c r="J73" s="1045">
        <v>0</v>
      </c>
      <c r="K73" s="1045">
        <v>0</v>
      </c>
      <c r="L73" s="1045">
        <v>0</v>
      </c>
      <c r="M73" s="1045">
        <v>0</v>
      </c>
      <c r="N73" s="1045">
        <v>0</v>
      </c>
      <c r="O73" s="1046">
        <v>0</v>
      </c>
      <c r="P73" s="810"/>
      <c r="Q73" s="747">
        <f t="shared" si="25"/>
        <v>12251.6</v>
      </c>
      <c r="R73" s="1145"/>
      <c r="S73" s="747">
        <v>7671.3</v>
      </c>
      <c r="T73" s="1145"/>
      <c r="U73" s="794">
        <f t="shared" si="26"/>
        <v>4580.3</v>
      </c>
      <c r="V73" s="872"/>
      <c r="X73" s="1190">
        <f t="shared" si="27"/>
        <v>0</v>
      </c>
    </row>
    <row r="74" spans="1:24" x14ac:dyDescent="0.2">
      <c r="A74" s="744" t="s">
        <v>743</v>
      </c>
      <c r="B74" s="745" t="s">
        <v>383</v>
      </c>
      <c r="C74" s="1035"/>
      <c r="D74" s="1045">
        <v>111000</v>
      </c>
      <c r="E74" s="1045">
        <v>0</v>
      </c>
      <c r="F74" s="1045">
        <v>0</v>
      </c>
      <c r="G74" s="1045">
        <v>0</v>
      </c>
      <c r="H74" s="1045"/>
      <c r="I74" s="1045">
        <v>0</v>
      </c>
      <c r="J74" s="1045">
        <v>0</v>
      </c>
      <c r="K74" s="1045">
        <v>0</v>
      </c>
      <c r="L74" s="1045"/>
      <c r="M74" s="1045">
        <v>0</v>
      </c>
      <c r="N74" s="1045">
        <v>0</v>
      </c>
      <c r="O74" s="1046"/>
      <c r="P74" s="810"/>
      <c r="Q74" s="747">
        <f t="shared" si="25"/>
        <v>111000</v>
      </c>
      <c r="R74" s="1145"/>
      <c r="S74" s="747">
        <v>120520.55999999997</v>
      </c>
      <c r="T74" s="1145">
        <v>35079</v>
      </c>
      <c r="U74" s="794">
        <f t="shared" si="26"/>
        <v>-9520.5599999999686</v>
      </c>
      <c r="V74" s="742"/>
      <c r="X74" s="1190">
        <f t="shared" si="27"/>
        <v>-35079</v>
      </c>
    </row>
    <row r="75" spans="1:24" x14ac:dyDescent="0.2">
      <c r="A75" s="744" t="s">
        <v>744</v>
      </c>
      <c r="B75" s="745" t="s">
        <v>745</v>
      </c>
      <c r="C75" s="1035"/>
      <c r="D75" s="1045">
        <v>0</v>
      </c>
      <c r="E75" s="1045">
        <v>0</v>
      </c>
      <c r="F75" s="1045">
        <v>0</v>
      </c>
      <c r="G75" s="1045">
        <v>0</v>
      </c>
      <c r="H75" s="1045">
        <v>0</v>
      </c>
      <c r="I75" s="1045">
        <v>0</v>
      </c>
      <c r="J75" s="1045">
        <v>0</v>
      </c>
      <c r="K75" s="1045">
        <v>0</v>
      </c>
      <c r="L75" s="1045">
        <v>0</v>
      </c>
      <c r="M75" s="1045">
        <v>0</v>
      </c>
      <c r="N75" s="1045">
        <v>0</v>
      </c>
      <c r="O75" s="1046">
        <v>0</v>
      </c>
      <c r="P75" s="810"/>
      <c r="Q75" s="747">
        <f t="shared" si="25"/>
        <v>0</v>
      </c>
      <c r="R75" s="1145"/>
      <c r="S75" s="747">
        <v>0</v>
      </c>
      <c r="T75" s="1145"/>
      <c r="U75" s="794">
        <f t="shared" si="26"/>
        <v>0</v>
      </c>
      <c r="V75" s="742"/>
      <c r="X75" s="1190">
        <f t="shared" si="27"/>
        <v>0</v>
      </c>
    </row>
    <row r="76" spans="1:24" x14ac:dyDescent="0.2">
      <c r="A76" s="744" t="s">
        <v>1387</v>
      </c>
      <c r="B76" s="745" t="s">
        <v>1389</v>
      </c>
      <c r="C76" s="1035"/>
      <c r="D76" s="1045">
        <v>0</v>
      </c>
      <c r="E76" s="1045">
        <v>0</v>
      </c>
      <c r="F76" s="1045">
        <v>0</v>
      </c>
      <c r="G76" s="1045">
        <v>0</v>
      </c>
      <c r="H76" s="1045">
        <v>0</v>
      </c>
      <c r="I76" s="1045">
        <v>0</v>
      </c>
      <c r="J76" s="1045">
        <v>0</v>
      </c>
      <c r="K76" s="1045">
        <v>0</v>
      </c>
      <c r="L76" s="1045">
        <v>0</v>
      </c>
      <c r="M76" s="1045">
        <v>0</v>
      </c>
      <c r="N76" s="1045">
        <v>0</v>
      </c>
      <c r="O76" s="1046">
        <v>0</v>
      </c>
      <c r="P76" s="810"/>
      <c r="Q76" s="747">
        <f t="shared" si="25"/>
        <v>0</v>
      </c>
      <c r="R76" s="1145"/>
      <c r="S76" s="747">
        <v>0</v>
      </c>
      <c r="T76" s="1145"/>
      <c r="U76" s="794">
        <f t="shared" si="26"/>
        <v>0</v>
      </c>
      <c r="V76" s="742"/>
      <c r="X76" s="1190">
        <f t="shared" si="27"/>
        <v>0</v>
      </c>
    </row>
    <row r="77" spans="1:24" x14ac:dyDescent="0.2">
      <c r="A77" s="744" t="s">
        <v>1388</v>
      </c>
      <c r="B77" s="745" t="s">
        <v>1390</v>
      </c>
      <c r="C77" s="1035"/>
      <c r="D77" s="1045">
        <v>0</v>
      </c>
      <c r="E77" s="1045">
        <v>0</v>
      </c>
      <c r="F77" s="1045">
        <v>0</v>
      </c>
      <c r="G77" s="1045">
        <v>0</v>
      </c>
      <c r="H77" s="1045">
        <v>0</v>
      </c>
      <c r="I77" s="1045">
        <v>0</v>
      </c>
      <c r="J77" s="1045">
        <v>0</v>
      </c>
      <c r="K77" s="1045">
        <v>0</v>
      </c>
      <c r="L77" s="1045">
        <v>0</v>
      </c>
      <c r="M77" s="1045">
        <v>0</v>
      </c>
      <c r="N77" s="1045">
        <v>0</v>
      </c>
      <c r="O77" s="1046">
        <v>0</v>
      </c>
      <c r="P77" s="810"/>
      <c r="Q77" s="747">
        <f t="shared" si="25"/>
        <v>0</v>
      </c>
      <c r="R77" s="1145"/>
      <c r="S77" s="747">
        <v>0</v>
      </c>
      <c r="T77" s="1145"/>
      <c r="U77" s="794">
        <f t="shared" si="26"/>
        <v>0</v>
      </c>
      <c r="V77" s="742"/>
      <c r="X77" s="1190">
        <f t="shared" si="27"/>
        <v>0</v>
      </c>
    </row>
    <row r="78" spans="1:24" x14ac:dyDescent="0.2">
      <c r="A78" s="744" t="s">
        <v>746</v>
      </c>
      <c r="B78" s="745" t="s">
        <v>386</v>
      </c>
      <c r="C78" s="1035"/>
      <c r="D78" s="1045">
        <v>0</v>
      </c>
      <c r="E78" s="1045">
        <v>0</v>
      </c>
      <c r="F78" s="1045">
        <v>0</v>
      </c>
      <c r="G78" s="1045">
        <v>0</v>
      </c>
      <c r="H78" s="1045">
        <v>0</v>
      </c>
      <c r="I78" s="1045">
        <v>0</v>
      </c>
      <c r="J78" s="1045">
        <v>0</v>
      </c>
      <c r="K78" s="1045">
        <v>0</v>
      </c>
      <c r="L78" s="1045">
        <v>0</v>
      </c>
      <c r="M78" s="1045">
        <v>0</v>
      </c>
      <c r="N78" s="1045">
        <v>0</v>
      </c>
      <c r="O78" s="1046">
        <v>0</v>
      </c>
      <c r="P78" s="810"/>
      <c r="Q78" s="747">
        <f t="shared" si="25"/>
        <v>0</v>
      </c>
      <c r="R78" s="1145"/>
      <c r="S78" s="747">
        <v>0</v>
      </c>
      <c r="T78" s="1145"/>
      <c r="U78" s="794">
        <f t="shared" si="26"/>
        <v>0</v>
      </c>
      <c r="V78" s="742"/>
      <c r="X78" s="1190">
        <f t="shared" si="27"/>
        <v>0</v>
      </c>
    </row>
    <row r="79" spans="1:24" x14ac:dyDescent="0.2">
      <c r="A79" s="744" t="s">
        <v>747</v>
      </c>
      <c r="B79" s="745" t="s">
        <v>387</v>
      </c>
      <c r="C79" s="1035"/>
      <c r="D79" s="1045">
        <v>0</v>
      </c>
      <c r="E79" s="1045">
        <v>0</v>
      </c>
      <c r="F79" s="1045">
        <v>0</v>
      </c>
      <c r="G79" s="1045">
        <v>0</v>
      </c>
      <c r="H79" s="1045">
        <v>0</v>
      </c>
      <c r="I79" s="1045">
        <v>0</v>
      </c>
      <c r="J79" s="1045">
        <v>0</v>
      </c>
      <c r="K79" s="1045">
        <v>0</v>
      </c>
      <c r="L79" s="1045">
        <v>0</v>
      </c>
      <c r="M79" s="1045">
        <v>0</v>
      </c>
      <c r="N79" s="1045">
        <v>0</v>
      </c>
      <c r="O79" s="1046">
        <v>0</v>
      </c>
      <c r="P79" s="810"/>
      <c r="Q79" s="747">
        <f t="shared" si="25"/>
        <v>0</v>
      </c>
      <c r="R79" s="1145"/>
      <c r="S79" s="747">
        <v>0</v>
      </c>
      <c r="T79" s="1145"/>
      <c r="U79" s="794">
        <f t="shared" si="26"/>
        <v>0</v>
      </c>
      <c r="V79" s="742"/>
      <c r="X79" s="1190">
        <f t="shared" si="27"/>
        <v>0</v>
      </c>
    </row>
    <row r="80" spans="1:24" x14ac:dyDescent="0.2">
      <c r="A80" s="744" t="s">
        <v>748</v>
      </c>
      <c r="B80" s="745" t="s">
        <v>749</v>
      </c>
      <c r="C80" s="1035"/>
      <c r="D80" s="1045">
        <v>0</v>
      </c>
      <c r="E80" s="1045">
        <v>1687</v>
      </c>
      <c r="F80" s="1045">
        <v>1687</v>
      </c>
      <c r="G80" s="1045">
        <v>1687</v>
      </c>
      <c r="H80" s="1045">
        <v>1687</v>
      </c>
      <c r="I80" s="1045">
        <v>1687</v>
      </c>
      <c r="J80" s="1045">
        <v>1687</v>
      </c>
      <c r="K80" s="1045">
        <v>1687</v>
      </c>
      <c r="L80" s="1045">
        <v>1687</v>
      </c>
      <c r="M80" s="1045">
        <v>1687</v>
      </c>
      <c r="N80" s="1045">
        <v>1687</v>
      </c>
      <c r="O80" s="1046">
        <v>0</v>
      </c>
      <c r="P80" s="810"/>
      <c r="Q80" s="747">
        <f t="shared" si="25"/>
        <v>16870</v>
      </c>
      <c r="R80" s="1145"/>
      <c r="S80" s="747">
        <v>-0.45999999999912689</v>
      </c>
      <c r="T80" s="1145"/>
      <c r="U80" s="794">
        <f t="shared" si="26"/>
        <v>16870.46</v>
      </c>
      <c r="V80" s="974"/>
      <c r="X80" s="1190">
        <f t="shared" si="27"/>
        <v>0</v>
      </c>
    </row>
    <row r="81" spans="1:24" x14ac:dyDescent="0.2">
      <c r="A81" s="744" t="s">
        <v>750</v>
      </c>
      <c r="B81" s="745" t="s">
        <v>388</v>
      </c>
      <c r="C81" s="1035"/>
      <c r="D81" s="1045">
        <v>0</v>
      </c>
      <c r="E81" s="1045">
        <v>162.6</v>
      </c>
      <c r="F81" s="1045">
        <v>162.6</v>
      </c>
      <c r="G81" s="1045">
        <v>162.6</v>
      </c>
      <c r="H81" s="1045">
        <v>162.6</v>
      </c>
      <c r="I81" s="1045">
        <v>162.6</v>
      </c>
      <c r="J81" s="1045">
        <v>162.6</v>
      </c>
      <c r="K81" s="1045">
        <v>162.6</v>
      </c>
      <c r="L81" s="1045">
        <v>162.6</v>
      </c>
      <c r="M81" s="1045">
        <v>162.6</v>
      </c>
      <c r="N81" s="1045">
        <v>162.6</v>
      </c>
      <c r="O81" s="1046">
        <v>0</v>
      </c>
      <c r="P81" s="810"/>
      <c r="Q81" s="747">
        <f t="shared" si="25"/>
        <v>1625.9999999999998</v>
      </c>
      <c r="R81" s="1145"/>
      <c r="S81" s="747">
        <v>2446.9899999999998</v>
      </c>
      <c r="T81" s="1145"/>
      <c r="U81" s="794">
        <f t="shared" si="26"/>
        <v>-820.99</v>
      </c>
      <c r="V81" s="742"/>
      <c r="X81" s="1190">
        <f t="shared" si="27"/>
        <v>0</v>
      </c>
    </row>
    <row r="82" spans="1:24" x14ac:dyDescent="0.2">
      <c r="A82" s="744" t="s">
        <v>751</v>
      </c>
      <c r="B82" s="745" t="s">
        <v>391</v>
      </c>
      <c r="C82" s="1035"/>
      <c r="D82" s="1045">
        <v>0</v>
      </c>
      <c r="E82" s="1045">
        <v>0</v>
      </c>
      <c r="F82" s="1045">
        <v>0</v>
      </c>
      <c r="G82" s="1045">
        <v>0</v>
      </c>
      <c r="H82" s="1045">
        <v>0</v>
      </c>
      <c r="I82" s="1045">
        <v>0</v>
      </c>
      <c r="J82" s="1045">
        <v>0</v>
      </c>
      <c r="K82" s="1045">
        <v>0</v>
      </c>
      <c r="L82" s="1045">
        <v>0</v>
      </c>
      <c r="M82" s="1045">
        <v>0</v>
      </c>
      <c r="N82" s="1045">
        <v>0</v>
      </c>
      <c r="O82" s="1046">
        <v>0</v>
      </c>
      <c r="P82" s="810"/>
      <c r="Q82" s="747">
        <f t="shared" si="25"/>
        <v>0</v>
      </c>
      <c r="R82" s="1145"/>
      <c r="S82" s="747">
        <v>0</v>
      </c>
      <c r="T82" s="1145"/>
      <c r="U82" s="794">
        <f t="shared" si="26"/>
        <v>0</v>
      </c>
      <c r="V82" s="742"/>
      <c r="X82" s="1190">
        <f t="shared" si="27"/>
        <v>0</v>
      </c>
    </row>
    <row r="83" spans="1:24" x14ac:dyDescent="0.2">
      <c r="A83" s="744" t="s">
        <v>752</v>
      </c>
      <c r="B83" s="745" t="s">
        <v>753</v>
      </c>
      <c r="C83" s="1035"/>
      <c r="D83" s="1045">
        <v>0</v>
      </c>
      <c r="E83" s="1045">
        <v>0</v>
      </c>
      <c r="F83" s="1045">
        <v>0</v>
      </c>
      <c r="G83" s="1045">
        <v>0</v>
      </c>
      <c r="H83" s="1045">
        <v>0</v>
      </c>
      <c r="I83" s="1045">
        <v>0</v>
      </c>
      <c r="J83" s="1045">
        <v>0</v>
      </c>
      <c r="K83" s="1045">
        <v>0</v>
      </c>
      <c r="L83" s="1045">
        <v>0</v>
      </c>
      <c r="M83" s="1045">
        <v>0</v>
      </c>
      <c r="N83" s="1045">
        <v>0</v>
      </c>
      <c r="O83" s="1046">
        <v>0</v>
      </c>
      <c r="P83" s="810"/>
      <c r="Q83" s="747">
        <f t="shared" si="25"/>
        <v>0</v>
      </c>
      <c r="R83" s="1145"/>
      <c r="S83" s="747">
        <v>0</v>
      </c>
      <c r="T83" s="1145"/>
      <c r="U83" s="794">
        <f t="shared" si="26"/>
        <v>0</v>
      </c>
      <c r="V83" s="742"/>
      <c r="X83" s="1190">
        <f t="shared" si="27"/>
        <v>0</v>
      </c>
    </row>
    <row r="84" spans="1:24" x14ac:dyDescent="0.2">
      <c r="A84" s="790" t="s">
        <v>754</v>
      </c>
      <c r="B84" s="791" t="s">
        <v>390</v>
      </c>
      <c r="C84" s="1036"/>
      <c r="D84" s="1063">
        <v>0</v>
      </c>
      <c r="E84" s="1063">
        <v>5386</v>
      </c>
      <c r="F84" s="1063">
        <v>5386</v>
      </c>
      <c r="G84" s="1063">
        <v>5386</v>
      </c>
      <c r="H84" s="1063">
        <v>5386</v>
      </c>
      <c r="I84" s="1063">
        <v>5386</v>
      </c>
      <c r="J84" s="1063">
        <v>5386</v>
      </c>
      <c r="K84" s="1063">
        <v>5386</v>
      </c>
      <c r="L84" s="1063">
        <v>5386</v>
      </c>
      <c r="M84" s="1063">
        <v>5386</v>
      </c>
      <c r="N84" s="1063">
        <v>5386</v>
      </c>
      <c r="O84" s="1064">
        <v>0</v>
      </c>
      <c r="P84" s="1013"/>
      <c r="Q84" s="794">
        <f t="shared" si="25"/>
        <v>53860</v>
      </c>
      <c r="R84" s="1144"/>
      <c r="S84" s="794">
        <v>50688.210000000006</v>
      </c>
      <c r="T84" s="1144"/>
      <c r="U84" s="1192">
        <f t="shared" si="26"/>
        <v>3171.7899999999936</v>
      </c>
      <c r="V84" s="872"/>
      <c r="X84" s="1190">
        <f t="shared" si="27"/>
        <v>0</v>
      </c>
    </row>
    <row r="85" spans="1:24" x14ac:dyDescent="0.2">
      <c r="A85" s="744" t="s">
        <v>755</v>
      </c>
      <c r="B85" s="745" t="s">
        <v>392</v>
      </c>
      <c r="C85" s="1035"/>
      <c r="D85" s="1045">
        <v>0</v>
      </c>
      <c r="E85" s="1045">
        <v>2744</v>
      </c>
      <c r="F85" s="1045">
        <v>2744</v>
      </c>
      <c r="G85" s="1045">
        <v>2744</v>
      </c>
      <c r="H85" s="1045">
        <v>2744</v>
      </c>
      <c r="I85" s="1045">
        <v>2744</v>
      </c>
      <c r="J85" s="1045">
        <v>2744</v>
      </c>
      <c r="K85" s="1045">
        <v>2744</v>
      </c>
      <c r="L85" s="1045">
        <v>2744</v>
      </c>
      <c r="M85" s="1045">
        <v>2744</v>
      </c>
      <c r="N85" s="1045">
        <v>2744</v>
      </c>
      <c r="O85" s="1046">
        <v>0</v>
      </c>
      <c r="P85" s="810"/>
      <c r="Q85" s="747">
        <f t="shared" si="25"/>
        <v>27440</v>
      </c>
      <c r="R85" s="1145"/>
      <c r="S85" s="747">
        <v>23474.440000000002</v>
      </c>
      <c r="T85" s="1145"/>
      <c r="U85" s="1192">
        <f t="shared" si="26"/>
        <v>3965.5599999999977</v>
      </c>
      <c r="V85" s="742"/>
      <c r="X85" s="1190">
        <f t="shared" si="27"/>
        <v>0</v>
      </c>
    </row>
    <row r="86" spans="1:24" x14ac:dyDescent="0.2">
      <c r="A86" s="744" t="s">
        <v>756</v>
      </c>
      <c r="B86" s="745" t="s">
        <v>389</v>
      </c>
      <c r="C86" s="1035"/>
      <c r="D86" s="1045">
        <v>0</v>
      </c>
      <c r="E86" s="1045">
        <v>0</v>
      </c>
      <c r="F86" s="1045">
        <v>0</v>
      </c>
      <c r="G86" s="1045">
        <v>0</v>
      </c>
      <c r="H86" s="1045">
        <v>0</v>
      </c>
      <c r="I86" s="1045">
        <v>0</v>
      </c>
      <c r="J86" s="1045">
        <v>0</v>
      </c>
      <c r="K86" s="1045">
        <v>0</v>
      </c>
      <c r="L86" s="1045">
        <v>0</v>
      </c>
      <c r="M86" s="1045">
        <v>0</v>
      </c>
      <c r="N86" s="1045">
        <v>0</v>
      </c>
      <c r="O86" s="1046">
        <v>0</v>
      </c>
      <c r="P86" s="810"/>
      <c r="Q86" s="747">
        <f t="shared" si="25"/>
        <v>0</v>
      </c>
      <c r="R86" s="1145"/>
      <c r="S86" s="747">
        <v>0</v>
      </c>
      <c r="T86" s="1145"/>
      <c r="U86" s="794">
        <f t="shared" si="26"/>
        <v>0</v>
      </c>
      <c r="V86" s="742"/>
      <c r="X86" s="1190">
        <f t="shared" si="27"/>
        <v>0</v>
      </c>
    </row>
    <row r="87" spans="1:24" x14ac:dyDescent="0.2">
      <c r="A87" s="744" t="s">
        <v>757</v>
      </c>
      <c r="B87" s="745" t="s">
        <v>393</v>
      </c>
      <c r="C87" s="1035"/>
      <c r="D87" s="1045"/>
      <c r="E87" s="1045">
        <v>5000</v>
      </c>
      <c r="F87" s="1045">
        <v>5000</v>
      </c>
      <c r="G87" s="1045">
        <v>5000</v>
      </c>
      <c r="H87" s="1045">
        <v>5000</v>
      </c>
      <c r="I87" s="1045">
        <v>5000</v>
      </c>
      <c r="J87" s="1045">
        <v>5000</v>
      </c>
      <c r="K87" s="1045">
        <v>5000</v>
      </c>
      <c r="L87" s="1045">
        <v>5000</v>
      </c>
      <c r="M87" s="1045">
        <v>5000</v>
      </c>
      <c r="N87" s="1045">
        <v>5000</v>
      </c>
      <c r="O87" s="1046">
        <v>0</v>
      </c>
      <c r="P87" s="810"/>
      <c r="Q87" s="747">
        <f t="shared" si="25"/>
        <v>50000</v>
      </c>
      <c r="R87" s="1145"/>
      <c r="S87" s="747">
        <v>204071.87</v>
      </c>
      <c r="T87" s="1145"/>
      <c r="U87" s="794">
        <f t="shared" si="26"/>
        <v>-154071.87</v>
      </c>
      <c r="V87" s="742"/>
      <c r="X87" s="1190">
        <f t="shared" si="27"/>
        <v>0</v>
      </c>
    </row>
    <row r="88" spans="1:24" x14ac:dyDescent="0.2">
      <c r="A88" s="744" t="s">
        <v>758</v>
      </c>
      <c r="B88" s="745" t="s">
        <v>394</v>
      </c>
      <c r="C88" s="1035"/>
      <c r="D88" s="1045">
        <v>0</v>
      </c>
      <c r="E88" s="1045"/>
      <c r="F88" s="1045">
        <v>0</v>
      </c>
      <c r="G88" s="1045">
        <v>0</v>
      </c>
      <c r="H88" s="1045">
        <v>0</v>
      </c>
      <c r="I88" s="1045">
        <v>0</v>
      </c>
      <c r="J88" s="1045">
        <v>0</v>
      </c>
      <c r="K88" s="1045">
        <v>0</v>
      </c>
      <c r="L88" s="1045">
        <v>0</v>
      </c>
      <c r="M88" s="1045">
        <v>0</v>
      </c>
      <c r="N88" s="1045">
        <v>0</v>
      </c>
      <c r="O88" s="1046">
        <v>0</v>
      </c>
      <c r="P88" s="810"/>
      <c r="Q88" s="747">
        <f t="shared" si="25"/>
        <v>0</v>
      </c>
      <c r="R88" s="1145"/>
      <c r="S88" s="747">
        <v>0</v>
      </c>
      <c r="T88" s="1145"/>
      <c r="U88" s="794">
        <f t="shared" si="26"/>
        <v>0</v>
      </c>
      <c r="V88" s="742"/>
      <c r="X88" s="1190">
        <f t="shared" si="27"/>
        <v>0</v>
      </c>
    </row>
    <row r="89" spans="1:24" x14ac:dyDescent="0.2">
      <c r="A89" s="744" t="s">
        <v>759</v>
      </c>
      <c r="B89" s="745" t="s">
        <v>760</v>
      </c>
      <c r="C89" s="1035"/>
      <c r="D89" s="1045">
        <v>0</v>
      </c>
      <c r="E89" s="1045">
        <v>0</v>
      </c>
      <c r="F89" s="1045">
        <v>0</v>
      </c>
      <c r="G89" s="1045">
        <v>0</v>
      </c>
      <c r="H89" s="1045">
        <v>0</v>
      </c>
      <c r="I89" s="1045">
        <v>0</v>
      </c>
      <c r="J89" s="1045"/>
      <c r="K89" s="1045">
        <v>0</v>
      </c>
      <c r="L89" s="1045">
        <v>0</v>
      </c>
      <c r="M89" s="1045">
        <v>0</v>
      </c>
      <c r="N89" s="1045">
        <v>0</v>
      </c>
      <c r="O89" s="1046">
        <v>0</v>
      </c>
      <c r="P89" s="810">
        <v>0</v>
      </c>
      <c r="Q89" s="747">
        <f t="shared" si="25"/>
        <v>0</v>
      </c>
      <c r="R89" s="1145"/>
      <c r="S89" s="747">
        <v>46</v>
      </c>
      <c r="T89" s="1145"/>
      <c r="U89" s="794">
        <f t="shared" si="26"/>
        <v>-46</v>
      </c>
      <c r="V89" s="872"/>
      <c r="X89" s="1190">
        <f t="shared" si="27"/>
        <v>0</v>
      </c>
    </row>
    <row r="90" spans="1:24" x14ac:dyDescent="0.2">
      <c r="A90" s="744" t="s">
        <v>761</v>
      </c>
      <c r="B90" s="745" t="s">
        <v>762</v>
      </c>
      <c r="C90" s="1035"/>
      <c r="D90" s="1045">
        <v>0</v>
      </c>
      <c r="E90" s="1045">
        <v>0</v>
      </c>
      <c r="F90" s="1045">
        <v>0</v>
      </c>
      <c r="G90" s="1045">
        <v>0</v>
      </c>
      <c r="H90" s="1045">
        <v>0</v>
      </c>
      <c r="I90" s="1045">
        <v>0</v>
      </c>
      <c r="J90" s="1045">
        <v>0</v>
      </c>
      <c r="K90" s="1045">
        <v>0</v>
      </c>
      <c r="L90" s="1045">
        <v>0</v>
      </c>
      <c r="M90" s="1045">
        <v>0</v>
      </c>
      <c r="N90" s="1045">
        <v>0</v>
      </c>
      <c r="O90" s="1046">
        <v>0</v>
      </c>
      <c r="P90" s="810"/>
      <c r="Q90" s="747">
        <f t="shared" si="25"/>
        <v>0</v>
      </c>
      <c r="R90" s="1145"/>
      <c r="S90" s="747">
        <v>0</v>
      </c>
      <c r="T90" s="1145"/>
      <c r="U90" s="794">
        <f t="shared" si="26"/>
        <v>0</v>
      </c>
      <c r="V90" s="742"/>
      <c r="X90" s="1190">
        <f t="shared" si="27"/>
        <v>0</v>
      </c>
    </row>
    <row r="91" spans="1:24" x14ac:dyDescent="0.2">
      <c r="A91" s="744" t="s">
        <v>763</v>
      </c>
      <c r="B91" s="745" t="s">
        <v>385</v>
      </c>
      <c r="C91" s="1035"/>
      <c r="D91" s="1045">
        <v>2500</v>
      </c>
      <c r="E91" s="1045">
        <v>0</v>
      </c>
      <c r="F91" s="1045">
        <v>0</v>
      </c>
      <c r="G91" s="1045">
        <v>0</v>
      </c>
      <c r="H91" s="1045">
        <v>0</v>
      </c>
      <c r="I91" s="1045">
        <v>0</v>
      </c>
      <c r="J91" s="1045">
        <v>0</v>
      </c>
      <c r="K91" s="1045">
        <v>0</v>
      </c>
      <c r="L91" s="1045">
        <v>0</v>
      </c>
      <c r="M91" s="1045">
        <v>0</v>
      </c>
      <c r="N91" s="1045">
        <v>0</v>
      </c>
      <c r="O91" s="1046">
        <v>0</v>
      </c>
      <c r="P91" s="810"/>
      <c r="Q91" s="747">
        <f t="shared" si="25"/>
        <v>2500</v>
      </c>
      <c r="R91" s="1145"/>
      <c r="S91" s="747">
        <v>0</v>
      </c>
      <c r="T91" s="1145"/>
      <c r="U91" s="794">
        <f t="shared" si="26"/>
        <v>2500</v>
      </c>
      <c r="V91" s="742"/>
      <c r="X91" s="1190">
        <f t="shared" si="27"/>
        <v>0</v>
      </c>
    </row>
    <row r="92" spans="1:24" x14ac:dyDescent="0.2">
      <c r="A92" s="744" t="s">
        <v>764</v>
      </c>
      <c r="B92" s="745" t="s">
        <v>395</v>
      </c>
      <c r="C92" s="1035"/>
      <c r="D92" s="1045">
        <v>0</v>
      </c>
      <c r="E92" s="1045">
        <v>0</v>
      </c>
      <c r="F92" s="1045">
        <v>0</v>
      </c>
      <c r="G92" s="1045">
        <v>0</v>
      </c>
      <c r="H92" s="1045">
        <v>0</v>
      </c>
      <c r="I92" s="1045">
        <v>0</v>
      </c>
      <c r="J92" s="1045">
        <v>0</v>
      </c>
      <c r="K92" s="1045">
        <v>0</v>
      </c>
      <c r="L92" s="1045">
        <v>0</v>
      </c>
      <c r="M92" s="1045">
        <v>0</v>
      </c>
      <c r="N92" s="1045">
        <v>0</v>
      </c>
      <c r="O92" s="1046">
        <v>0</v>
      </c>
      <c r="P92" s="810"/>
      <c r="Q92" s="747">
        <f t="shared" si="25"/>
        <v>0</v>
      </c>
      <c r="R92" s="1145"/>
      <c r="S92" s="747">
        <v>0</v>
      </c>
      <c r="T92" s="1145"/>
      <c r="U92" s="794">
        <f t="shared" si="26"/>
        <v>0</v>
      </c>
      <c r="V92" s="742"/>
      <c r="X92" s="1190">
        <f t="shared" si="27"/>
        <v>0</v>
      </c>
    </row>
    <row r="93" spans="1:24" x14ac:dyDescent="0.2">
      <c r="A93" s="744" t="s">
        <v>765</v>
      </c>
      <c r="B93" s="745" t="s">
        <v>766</v>
      </c>
      <c r="C93" s="1035"/>
      <c r="D93" s="1045">
        <v>0</v>
      </c>
      <c r="E93" s="1045">
        <v>0</v>
      </c>
      <c r="F93" s="1045">
        <v>0</v>
      </c>
      <c r="G93" s="1045">
        <v>0</v>
      </c>
      <c r="H93" s="1045">
        <v>0</v>
      </c>
      <c r="I93" s="1045">
        <v>0</v>
      </c>
      <c r="J93" s="1045">
        <v>0</v>
      </c>
      <c r="K93" s="1045">
        <v>0</v>
      </c>
      <c r="L93" s="1045">
        <v>0</v>
      </c>
      <c r="M93" s="1045">
        <v>0</v>
      </c>
      <c r="N93" s="1045">
        <v>0</v>
      </c>
      <c r="O93" s="1046">
        <v>0</v>
      </c>
      <c r="P93" s="810"/>
      <c r="Q93" s="747">
        <f t="shared" si="25"/>
        <v>0</v>
      </c>
      <c r="R93" s="1145"/>
      <c r="S93" s="747">
        <v>0</v>
      </c>
      <c r="T93" s="1145"/>
      <c r="U93" s="794">
        <f t="shared" si="26"/>
        <v>0</v>
      </c>
      <c r="V93" s="742"/>
      <c r="X93" s="1190">
        <f t="shared" si="27"/>
        <v>0</v>
      </c>
    </row>
    <row r="94" spans="1:24" x14ac:dyDescent="0.2">
      <c r="A94" s="744" t="s">
        <v>767</v>
      </c>
      <c r="B94" s="745" t="s">
        <v>396</v>
      </c>
      <c r="C94" s="1035"/>
      <c r="D94" s="1045">
        <v>0</v>
      </c>
      <c r="E94" s="1045">
        <v>3258</v>
      </c>
      <c r="F94" s="1045">
        <v>3258</v>
      </c>
      <c r="G94" s="1045">
        <v>3258</v>
      </c>
      <c r="H94" s="1045">
        <v>3258</v>
      </c>
      <c r="I94" s="1045">
        <v>3258</v>
      </c>
      <c r="J94" s="1045">
        <v>3258</v>
      </c>
      <c r="K94" s="1045">
        <v>3258</v>
      </c>
      <c r="L94" s="1045">
        <v>3258</v>
      </c>
      <c r="M94" s="1045">
        <v>3258</v>
      </c>
      <c r="N94" s="1045">
        <v>3258</v>
      </c>
      <c r="O94" s="1046"/>
      <c r="P94" s="810"/>
      <c r="Q94" s="747">
        <f t="shared" si="25"/>
        <v>32580</v>
      </c>
      <c r="R94" s="1145"/>
      <c r="S94" s="747">
        <v>22033.190000000002</v>
      </c>
      <c r="T94" s="1145"/>
      <c r="U94" s="794">
        <f t="shared" si="26"/>
        <v>10546.809999999998</v>
      </c>
      <c r="V94" s="742"/>
      <c r="X94" s="1190">
        <f t="shared" si="27"/>
        <v>0</v>
      </c>
    </row>
    <row r="95" spans="1:24" x14ac:dyDescent="0.2">
      <c r="A95" s="744" t="s">
        <v>768</v>
      </c>
      <c r="B95" s="745" t="s">
        <v>769</v>
      </c>
      <c r="C95" s="1035"/>
      <c r="D95" s="1045">
        <v>0</v>
      </c>
      <c r="E95" s="1045">
        <v>0</v>
      </c>
      <c r="F95" s="1045">
        <v>0</v>
      </c>
      <c r="G95" s="1045">
        <v>0</v>
      </c>
      <c r="H95" s="1045">
        <v>0</v>
      </c>
      <c r="I95" s="1045">
        <v>0</v>
      </c>
      <c r="J95" s="1045">
        <v>0</v>
      </c>
      <c r="K95" s="1045">
        <v>0</v>
      </c>
      <c r="L95" s="1045">
        <v>0</v>
      </c>
      <c r="M95" s="1045">
        <v>0</v>
      </c>
      <c r="N95" s="1045">
        <v>0</v>
      </c>
      <c r="O95" s="1046">
        <v>0</v>
      </c>
      <c r="P95" s="810"/>
      <c r="Q95" s="747">
        <f t="shared" si="25"/>
        <v>0</v>
      </c>
      <c r="R95" s="1145"/>
      <c r="S95" s="747">
        <v>0</v>
      </c>
      <c r="T95" s="1145"/>
      <c r="U95" s="794">
        <f t="shared" si="26"/>
        <v>0</v>
      </c>
      <c r="V95" s="742"/>
      <c r="X95" s="1190">
        <f t="shared" si="27"/>
        <v>0</v>
      </c>
    </row>
    <row r="96" spans="1:24" x14ac:dyDescent="0.2">
      <c r="A96" s="744"/>
      <c r="B96" s="745"/>
      <c r="C96" s="1035"/>
      <c r="D96" s="1045"/>
      <c r="E96" s="1045"/>
      <c r="F96" s="1045"/>
      <c r="G96" s="1045"/>
      <c r="H96" s="1045"/>
      <c r="I96" s="1045"/>
      <c r="J96" s="1045"/>
      <c r="K96" s="1045"/>
      <c r="L96" s="1045"/>
      <c r="M96" s="1045"/>
      <c r="N96" s="1045"/>
      <c r="O96" s="1046"/>
      <c r="P96" s="810"/>
      <c r="Q96" s="747">
        <f t="shared" si="25"/>
        <v>0</v>
      </c>
      <c r="R96" s="1145"/>
      <c r="S96" s="747">
        <v>0</v>
      </c>
      <c r="T96" s="1145"/>
      <c r="U96" s="794">
        <f t="shared" si="26"/>
        <v>0</v>
      </c>
      <c r="V96" s="742"/>
      <c r="X96" s="1190">
        <f t="shared" si="27"/>
        <v>0</v>
      </c>
    </row>
    <row r="97" spans="1:25" ht="12" thickBot="1" x14ac:dyDescent="0.25">
      <c r="B97" s="855" t="s">
        <v>397</v>
      </c>
      <c r="C97" s="751"/>
      <c r="D97" s="1048">
        <f t="shared" ref="D97:I97" si="28">SUM(D71:D96)</f>
        <v>113500</v>
      </c>
      <c r="E97" s="1048">
        <f t="shared" si="28"/>
        <v>18667.599999999999</v>
      </c>
      <c r="F97" s="1048">
        <f t="shared" si="28"/>
        <v>34929.42</v>
      </c>
      <c r="G97" s="1048">
        <f t="shared" si="28"/>
        <v>30919.200000000001</v>
      </c>
      <c r="H97" s="1048">
        <f t="shared" si="28"/>
        <v>18667.599999999999</v>
      </c>
      <c r="I97" s="1048">
        <f t="shared" si="28"/>
        <v>18667.599999999999</v>
      </c>
      <c r="J97" s="1048">
        <f t="shared" ref="J97:K97" si="29">SUM(J71:J96)</f>
        <v>18667.599999999999</v>
      </c>
      <c r="K97" s="1048">
        <f t="shared" si="29"/>
        <v>18667.599999999999</v>
      </c>
      <c r="L97" s="1048">
        <f t="shared" ref="L97:O97" si="30">SUM(L71:L96)</f>
        <v>18667.599999999999</v>
      </c>
      <c r="M97" s="1048">
        <f t="shared" si="30"/>
        <v>18667.599999999999</v>
      </c>
      <c r="N97" s="1048">
        <f t="shared" si="30"/>
        <v>18667.599999999999</v>
      </c>
      <c r="O97" s="1062">
        <f t="shared" si="30"/>
        <v>0</v>
      </c>
      <c r="P97" s="625"/>
      <c r="Q97" s="629">
        <f>SUM(Q71:Q96)</f>
        <v>328689.42</v>
      </c>
      <c r="R97" s="1146">
        <f>SUM(R71:R96)</f>
        <v>0</v>
      </c>
      <c r="S97" s="629">
        <v>451390.92</v>
      </c>
      <c r="T97" s="1146">
        <v>35079</v>
      </c>
      <c r="U97" s="794">
        <f t="shared" si="26"/>
        <v>-122701.5</v>
      </c>
      <c r="V97" s="742"/>
      <c r="X97" s="1190">
        <f t="shared" si="27"/>
        <v>-35079</v>
      </c>
    </row>
    <row r="98" spans="1:25" ht="12" thickTop="1" x14ac:dyDescent="0.2">
      <c r="B98" s="855"/>
      <c r="C98" s="751"/>
      <c r="D98" s="1049"/>
      <c r="E98" s="1049"/>
      <c r="F98" s="1049"/>
      <c r="G98" s="1049"/>
      <c r="H98" s="1049"/>
      <c r="I98" s="1049"/>
      <c r="J98" s="1049"/>
      <c r="K98" s="1049"/>
      <c r="L98" s="1049"/>
      <c r="M98" s="1049"/>
      <c r="N98" s="1049"/>
      <c r="O98" s="1061"/>
      <c r="P98" s="625"/>
      <c r="Q98" s="635"/>
      <c r="R98" s="1154"/>
      <c r="S98" s="635"/>
      <c r="T98" s="1154"/>
      <c r="U98" s="794">
        <f t="shared" si="26"/>
        <v>0</v>
      </c>
      <c r="V98" s="742"/>
      <c r="X98" s="1190">
        <f t="shared" si="27"/>
        <v>0</v>
      </c>
    </row>
    <row r="99" spans="1:25" x14ac:dyDescent="0.2">
      <c r="B99" s="771" t="s">
        <v>398</v>
      </c>
      <c r="C99" s="751"/>
      <c r="D99" s="1049"/>
      <c r="E99" s="1049"/>
      <c r="F99" s="1049"/>
      <c r="G99" s="1049"/>
      <c r="H99" s="1049"/>
      <c r="I99" s="1049"/>
      <c r="J99" s="1049"/>
      <c r="K99" s="1049"/>
      <c r="L99" s="1049"/>
      <c r="M99" s="1049"/>
      <c r="N99" s="1049"/>
      <c r="O99" s="1061"/>
      <c r="P99" s="625"/>
      <c r="Q99" s="634"/>
      <c r="R99" s="1153"/>
      <c r="S99" s="634"/>
      <c r="T99" s="1153"/>
      <c r="U99" s="794">
        <f t="shared" si="26"/>
        <v>0</v>
      </c>
      <c r="V99" s="742"/>
      <c r="X99" s="1190">
        <f t="shared" si="27"/>
        <v>0</v>
      </c>
    </row>
    <row r="100" spans="1:25" x14ac:dyDescent="0.2">
      <c r="A100" s="744" t="s">
        <v>770</v>
      </c>
      <c r="B100" s="745" t="s">
        <v>399</v>
      </c>
      <c r="C100" s="1035"/>
      <c r="D100" s="1045">
        <f>+'Trend Report'!H217</f>
        <v>0</v>
      </c>
      <c r="E100" s="1045">
        <f>+'Trend Report'!I217</f>
        <v>0</v>
      </c>
      <c r="F100" s="1045">
        <f>+'Trend Report'!J216</f>
        <v>0</v>
      </c>
      <c r="G100" s="1045">
        <f>+'Trend Report'!K216</f>
        <v>0</v>
      </c>
      <c r="H100" s="1045">
        <f>+'Trend Report'!L216</f>
        <v>0</v>
      </c>
      <c r="I100" s="1045">
        <f>+'Trend Report'!M216</f>
        <v>0</v>
      </c>
      <c r="J100" s="1045">
        <f>+'Trend Report'!N216</f>
        <v>0</v>
      </c>
      <c r="K100" s="1045">
        <f>+'Trend Report'!O216</f>
        <v>0</v>
      </c>
      <c r="L100" s="1045">
        <v>0</v>
      </c>
      <c r="M100" s="1045">
        <v>386</v>
      </c>
      <c r="N100" s="1045">
        <v>0</v>
      </c>
      <c r="O100" s="1046">
        <v>0</v>
      </c>
      <c r="P100" s="810"/>
      <c r="Q100" s="747">
        <f>SUM(D100:P100)</f>
        <v>386</v>
      </c>
      <c r="R100" s="1145"/>
      <c r="S100" s="747">
        <v>386</v>
      </c>
      <c r="T100" s="1145"/>
      <c r="U100" s="794">
        <f t="shared" si="26"/>
        <v>0</v>
      </c>
      <c r="V100" s="742"/>
      <c r="X100" s="1190">
        <f t="shared" si="27"/>
        <v>0</v>
      </c>
    </row>
    <row r="101" spans="1:25" x14ac:dyDescent="0.2">
      <c r="A101" s="744" t="s">
        <v>961</v>
      </c>
      <c r="B101" s="745" t="s">
        <v>963</v>
      </c>
      <c r="C101" s="1035"/>
      <c r="D101" s="1045">
        <f>+'Trend Report'!H218</f>
        <v>0</v>
      </c>
      <c r="E101" s="1045">
        <f>+'Trend Report'!I218</f>
        <v>0</v>
      </c>
      <c r="F101" s="1045">
        <f>+'Trend Report'!J218</f>
        <v>0</v>
      </c>
      <c r="G101" s="1045">
        <f>+'Trend Report'!K218</f>
        <v>0</v>
      </c>
      <c r="H101" s="1045">
        <f>+'Trend Report'!L218</f>
        <v>0</v>
      </c>
      <c r="I101" s="1045">
        <f>+'Trend Report'!M218</f>
        <v>0</v>
      </c>
      <c r="J101" s="1045">
        <f>+'Trend Report'!N218</f>
        <v>0</v>
      </c>
      <c r="K101" s="1045">
        <f>+'Trend Report'!O218</f>
        <v>0</v>
      </c>
      <c r="L101" s="1045">
        <v>0</v>
      </c>
      <c r="M101" s="1045">
        <v>0</v>
      </c>
      <c r="N101" s="1045">
        <v>0</v>
      </c>
      <c r="O101" s="1046">
        <v>0</v>
      </c>
      <c r="P101" s="810"/>
      <c r="Q101" s="747">
        <f>SUM(D101:P101)</f>
        <v>0</v>
      </c>
      <c r="R101" s="1145"/>
      <c r="S101" s="747">
        <v>3814.84</v>
      </c>
      <c r="T101" s="1145">
        <v>16891</v>
      </c>
      <c r="U101" s="794">
        <f t="shared" si="26"/>
        <v>-3814.84</v>
      </c>
      <c r="V101" s="742"/>
      <c r="X101" s="1190">
        <f t="shared" si="27"/>
        <v>-16891</v>
      </c>
    </row>
    <row r="102" spans="1:25" x14ac:dyDescent="0.2">
      <c r="A102" s="744" t="s">
        <v>962</v>
      </c>
      <c r="B102" s="745" t="s">
        <v>964</v>
      </c>
      <c r="C102" s="1035"/>
      <c r="D102" s="1045">
        <f>+'Trend Report'!H220</f>
        <v>0</v>
      </c>
      <c r="E102" s="1045">
        <f>+'Trend Report'!I220</f>
        <v>0</v>
      </c>
      <c r="F102" s="1045">
        <v>0</v>
      </c>
      <c r="G102" s="1045">
        <v>0</v>
      </c>
      <c r="H102" s="1045">
        <f>+'Trend Report'!L217</f>
        <v>0</v>
      </c>
      <c r="I102" s="1045">
        <f>+'Trend Report'!M217</f>
        <v>0</v>
      </c>
      <c r="J102" s="1045">
        <v>0</v>
      </c>
      <c r="K102" s="1045">
        <f>+'Trend Report'!O217</f>
        <v>0</v>
      </c>
      <c r="L102" s="1045">
        <v>0</v>
      </c>
      <c r="M102" s="1045">
        <v>0</v>
      </c>
      <c r="N102" s="1045">
        <v>0</v>
      </c>
      <c r="O102" s="1047">
        <v>0</v>
      </c>
      <c r="P102" s="810"/>
      <c r="Q102" s="1175">
        <f>SUM(D102:P102)-R102</f>
        <v>0</v>
      </c>
      <c r="R102" s="1176">
        <f>+F102+G102+J102</f>
        <v>0</v>
      </c>
      <c r="S102" s="1175">
        <v>0</v>
      </c>
      <c r="T102" s="1176">
        <v>0</v>
      </c>
      <c r="U102" s="794">
        <f t="shared" si="26"/>
        <v>0</v>
      </c>
      <c r="V102" s="1032"/>
      <c r="X102" s="1191">
        <f t="shared" si="27"/>
        <v>0</v>
      </c>
      <c r="Y102" s="733" t="s">
        <v>1472</v>
      </c>
    </row>
    <row r="103" spans="1:25" ht="12" thickBot="1" x14ac:dyDescent="0.25">
      <c r="B103" s="855" t="s">
        <v>400</v>
      </c>
      <c r="C103" s="751"/>
      <c r="D103" s="1048">
        <f t="shared" ref="D103:F103" si="31">SUM(D100:D102)</f>
        <v>0</v>
      </c>
      <c r="E103" s="1048">
        <f t="shared" si="31"/>
        <v>0</v>
      </c>
      <c r="F103" s="1048">
        <f t="shared" si="31"/>
        <v>0</v>
      </c>
      <c r="G103" s="1048">
        <f t="shared" ref="G103:L103" si="32">SUM(G100:G102)</f>
        <v>0</v>
      </c>
      <c r="H103" s="1048">
        <f t="shared" si="32"/>
        <v>0</v>
      </c>
      <c r="I103" s="1048">
        <f t="shared" si="32"/>
        <v>0</v>
      </c>
      <c r="J103" s="1048">
        <f t="shared" si="32"/>
        <v>0</v>
      </c>
      <c r="K103" s="1048">
        <f t="shared" ref="K103" si="33">SUM(K100:K102)</f>
        <v>0</v>
      </c>
      <c r="L103" s="1048">
        <f t="shared" si="32"/>
        <v>0</v>
      </c>
      <c r="M103" s="1048">
        <f t="shared" ref="M103:O103" si="34">SUM(M100:M102)</f>
        <v>386</v>
      </c>
      <c r="N103" s="1048">
        <f t="shared" si="34"/>
        <v>0</v>
      </c>
      <c r="O103" s="1062">
        <f t="shared" si="34"/>
        <v>0</v>
      </c>
      <c r="P103" s="625"/>
      <c r="Q103" s="633">
        <f>SUM(Q100:Q102)</f>
        <v>386</v>
      </c>
      <c r="R103" s="1155">
        <f>SUM(R100:R102)</f>
        <v>0</v>
      </c>
      <c r="S103" s="633">
        <v>4200.84</v>
      </c>
      <c r="T103" s="1155">
        <v>16891</v>
      </c>
      <c r="U103" s="794">
        <f t="shared" si="26"/>
        <v>-3814.84</v>
      </c>
      <c r="V103" s="742"/>
      <c r="X103" s="1190">
        <f t="shared" si="27"/>
        <v>-16891</v>
      </c>
    </row>
    <row r="104" spans="1:25" ht="12" thickTop="1" x14ac:dyDescent="0.2">
      <c r="B104" s="742"/>
      <c r="C104" s="751"/>
      <c r="D104" s="1049"/>
      <c r="E104" s="1049"/>
      <c r="F104" s="1049"/>
      <c r="G104" s="1049"/>
      <c r="H104" s="1049"/>
      <c r="I104" s="1049"/>
      <c r="J104" s="1049"/>
      <c r="K104" s="1049"/>
      <c r="L104" s="1049"/>
      <c r="M104" s="1049"/>
      <c r="N104" s="1049"/>
      <c r="O104" s="1061"/>
      <c r="P104" s="625"/>
      <c r="Q104" s="635"/>
      <c r="R104" s="1154"/>
      <c r="S104" s="635"/>
      <c r="T104" s="1154"/>
      <c r="U104" s="794">
        <f t="shared" si="26"/>
        <v>0</v>
      </c>
      <c r="V104" s="742"/>
      <c r="X104" s="1190">
        <f t="shared" si="27"/>
        <v>0</v>
      </c>
    </row>
    <row r="105" spans="1:25" x14ac:dyDescent="0.2">
      <c r="B105" s="854" t="s">
        <v>401</v>
      </c>
      <c r="C105" s="751"/>
      <c r="D105" s="1049"/>
      <c r="E105" s="1049"/>
      <c r="F105" s="1049"/>
      <c r="G105" s="1049"/>
      <c r="H105" s="1049"/>
      <c r="I105" s="1049"/>
      <c r="J105" s="1049"/>
      <c r="K105" s="1049"/>
      <c r="L105" s="1049"/>
      <c r="M105" s="1049"/>
      <c r="N105" s="1049"/>
      <c r="O105" s="1061"/>
      <c r="P105" s="625"/>
      <c r="Q105" s="634"/>
      <c r="R105" s="1153"/>
      <c r="S105" s="634"/>
      <c r="T105" s="1153"/>
      <c r="U105" s="794">
        <f t="shared" si="26"/>
        <v>0</v>
      </c>
      <c r="V105" s="742"/>
      <c r="X105" s="1190">
        <f t="shared" si="27"/>
        <v>0</v>
      </c>
    </row>
    <row r="106" spans="1:25" x14ac:dyDescent="0.2">
      <c r="A106" s="744" t="s">
        <v>771</v>
      </c>
      <c r="B106" s="745" t="s">
        <v>402</v>
      </c>
      <c r="C106" s="1035"/>
      <c r="D106" s="1049">
        <v>8000</v>
      </c>
      <c r="E106" s="1049">
        <v>10000</v>
      </c>
      <c r="F106" s="1049">
        <v>10000</v>
      </c>
      <c r="G106" s="1049">
        <v>10000</v>
      </c>
      <c r="H106" s="1049">
        <v>10000</v>
      </c>
      <c r="I106" s="1049">
        <v>10000</v>
      </c>
      <c r="J106" s="1049">
        <v>10000</v>
      </c>
      <c r="K106" s="1049">
        <v>10000</v>
      </c>
      <c r="L106" s="1049">
        <v>10000</v>
      </c>
      <c r="M106" s="1049">
        <v>10000</v>
      </c>
      <c r="N106" s="1049">
        <v>10000</v>
      </c>
      <c r="O106" s="1049">
        <v>8000</v>
      </c>
      <c r="P106" s="625"/>
      <c r="Q106" s="747">
        <f t="shared" ref="Q106:Q114" si="35">SUM(D106:P106)</f>
        <v>116000</v>
      </c>
      <c r="R106" s="1145"/>
      <c r="S106" s="747">
        <v>100275.12</v>
      </c>
      <c r="T106" s="1145"/>
      <c r="U106" s="794">
        <f t="shared" si="26"/>
        <v>15724.880000000005</v>
      </c>
      <c r="V106" s="742"/>
      <c r="X106" s="1190">
        <f t="shared" si="27"/>
        <v>0</v>
      </c>
    </row>
    <row r="107" spans="1:25" x14ac:dyDescent="0.2">
      <c r="A107" s="744" t="s">
        <v>773</v>
      </c>
      <c r="B107" s="745" t="s">
        <v>404</v>
      </c>
      <c r="C107" s="1035"/>
      <c r="D107" s="1045">
        <v>0</v>
      </c>
      <c r="E107" s="1045">
        <v>0</v>
      </c>
      <c r="F107" s="1045">
        <v>0</v>
      </c>
      <c r="G107" s="1045">
        <v>0</v>
      </c>
      <c r="H107" s="1045">
        <v>0</v>
      </c>
      <c r="I107" s="1045">
        <v>0</v>
      </c>
      <c r="J107" s="1045">
        <v>0</v>
      </c>
      <c r="K107" s="1045">
        <v>0</v>
      </c>
      <c r="L107" s="1045">
        <v>0</v>
      </c>
      <c r="M107" s="1045">
        <v>0</v>
      </c>
      <c r="N107" s="1045">
        <v>0</v>
      </c>
      <c r="O107" s="1046">
        <v>0</v>
      </c>
      <c r="P107" s="625"/>
      <c r="Q107" s="747">
        <f t="shared" si="35"/>
        <v>0</v>
      </c>
      <c r="R107" s="1145"/>
      <c r="S107" s="747">
        <v>0</v>
      </c>
      <c r="T107" s="1145"/>
      <c r="U107" s="794">
        <f t="shared" si="26"/>
        <v>0</v>
      </c>
      <c r="V107" s="742"/>
      <c r="X107" s="1190">
        <f t="shared" si="27"/>
        <v>0</v>
      </c>
    </row>
    <row r="108" spans="1:25" x14ac:dyDescent="0.2">
      <c r="A108" s="744" t="s">
        <v>778</v>
      </c>
      <c r="B108" s="745" t="s">
        <v>405</v>
      </c>
      <c r="C108" s="1035"/>
      <c r="D108" s="1049">
        <v>583</v>
      </c>
      <c r="E108" s="1049">
        <v>583</v>
      </c>
      <c r="F108" s="1049">
        <v>583</v>
      </c>
      <c r="G108" s="1049">
        <v>583</v>
      </c>
      <c r="H108" s="1049">
        <v>583</v>
      </c>
      <c r="I108" s="1049">
        <v>583</v>
      </c>
      <c r="J108" s="1049">
        <v>583</v>
      </c>
      <c r="K108" s="1049">
        <v>583</v>
      </c>
      <c r="L108" s="1049">
        <v>583</v>
      </c>
      <c r="M108" s="1049">
        <v>583</v>
      </c>
      <c r="N108" s="1049">
        <v>583</v>
      </c>
      <c r="O108" s="1049">
        <v>583</v>
      </c>
      <c r="P108" s="625"/>
      <c r="Q108" s="747">
        <f t="shared" si="35"/>
        <v>6996</v>
      </c>
      <c r="R108" s="1145"/>
      <c r="S108" s="747">
        <v>5807.05</v>
      </c>
      <c r="T108" s="1145"/>
      <c r="U108" s="794">
        <f t="shared" si="26"/>
        <v>1188.9499999999998</v>
      </c>
      <c r="V108" s="742"/>
      <c r="W108" s="1084"/>
      <c r="X108" s="1190">
        <f t="shared" si="27"/>
        <v>0</v>
      </c>
    </row>
    <row r="109" spans="1:25" x14ac:dyDescent="0.2">
      <c r="A109" s="744" t="s">
        <v>861</v>
      </c>
      <c r="B109" s="745" t="s">
        <v>406</v>
      </c>
      <c r="C109" s="1035"/>
      <c r="D109" s="1049">
        <v>630</v>
      </c>
      <c r="E109" s="1049">
        <v>630</v>
      </c>
      <c r="F109" s="1049">
        <v>630</v>
      </c>
      <c r="G109" s="1049">
        <v>630</v>
      </c>
      <c r="H109" s="1049">
        <v>630</v>
      </c>
      <c r="I109" s="1049">
        <v>630</v>
      </c>
      <c r="J109" s="1049">
        <v>630</v>
      </c>
      <c r="K109" s="1049">
        <v>630</v>
      </c>
      <c r="L109" s="1049">
        <v>630</v>
      </c>
      <c r="M109" s="1049">
        <v>630</v>
      </c>
      <c r="N109" s="1049">
        <v>630</v>
      </c>
      <c r="O109" s="1049">
        <v>630</v>
      </c>
      <c r="P109" s="625"/>
      <c r="Q109" s="747">
        <f t="shared" si="35"/>
        <v>7560</v>
      </c>
      <c r="R109" s="1145"/>
      <c r="S109" s="747">
        <v>5016.9299999999994</v>
      </c>
      <c r="T109" s="1145"/>
      <c r="U109" s="794">
        <f t="shared" si="26"/>
        <v>2543.0700000000006</v>
      </c>
      <c r="V109" s="742"/>
      <c r="X109" s="1190">
        <f t="shared" si="27"/>
        <v>0</v>
      </c>
    </row>
    <row r="110" spans="1:25" x14ac:dyDescent="0.2">
      <c r="A110" s="744" t="s">
        <v>774</v>
      </c>
      <c r="B110" s="745" t="s">
        <v>407</v>
      </c>
      <c r="C110" s="1035"/>
      <c r="D110" s="1045">
        <v>0</v>
      </c>
      <c r="E110" s="1045">
        <v>0</v>
      </c>
      <c r="F110" s="1045">
        <v>0</v>
      </c>
      <c r="G110" s="1045">
        <v>0</v>
      </c>
      <c r="H110" s="1045">
        <v>0</v>
      </c>
      <c r="I110" s="1045">
        <v>0</v>
      </c>
      <c r="J110" s="1045">
        <v>0</v>
      </c>
      <c r="K110" s="1045">
        <v>0</v>
      </c>
      <c r="L110" s="1045">
        <v>0</v>
      </c>
      <c r="M110" s="1045"/>
      <c r="N110" s="1045"/>
      <c r="O110" s="1046"/>
      <c r="P110" s="625"/>
      <c r="Q110" s="747">
        <f t="shared" si="35"/>
        <v>0</v>
      </c>
      <c r="R110" s="1145"/>
      <c r="S110" s="747">
        <v>0</v>
      </c>
      <c r="T110" s="1145"/>
      <c r="U110" s="794">
        <f t="shared" si="26"/>
        <v>0</v>
      </c>
      <c r="V110" s="742"/>
      <c r="X110" s="1190">
        <f t="shared" si="27"/>
        <v>0</v>
      </c>
    </row>
    <row r="111" spans="1:25" x14ac:dyDescent="0.2">
      <c r="A111" s="744" t="s">
        <v>776</v>
      </c>
      <c r="B111" s="745" t="s">
        <v>409</v>
      </c>
      <c r="C111" s="1035"/>
      <c r="D111" s="1045">
        <v>200</v>
      </c>
      <c r="E111" s="1045">
        <v>200</v>
      </c>
      <c r="F111" s="1045">
        <v>200</v>
      </c>
      <c r="G111" s="1045">
        <v>200</v>
      </c>
      <c r="H111" s="1045">
        <v>200</v>
      </c>
      <c r="I111" s="1045">
        <v>200</v>
      </c>
      <c r="J111" s="1045">
        <v>200</v>
      </c>
      <c r="K111" s="1045">
        <v>200</v>
      </c>
      <c r="L111" s="1045">
        <v>200</v>
      </c>
      <c r="M111" s="1045">
        <v>200</v>
      </c>
      <c r="N111" s="1045">
        <v>200</v>
      </c>
      <c r="O111" s="1045">
        <v>200</v>
      </c>
      <c r="P111" s="625"/>
      <c r="Q111" s="747">
        <f t="shared" si="35"/>
        <v>2400</v>
      </c>
      <c r="R111" s="1145"/>
      <c r="S111" s="747">
        <v>26354.62</v>
      </c>
      <c r="T111" s="1145"/>
      <c r="U111" s="794">
        <f t="shared" si="26"/>
        <v>-23954.62</v>
      </c>
      <c r="V111" s="872"/>
      <c r="X111" s="1190">
        <f t="shared" si="27"/>
        <v>0</v>
      </c>
    </row>
    <row r="112" spans="1:25" x14ac:dyDescent="0.2">
      <c r="A112" s="744" t="s">
        <v>777</v>
      </c>
      <c r="B112" s="745" t="s">
        <v>410</v>
      </c>
      <c r="C112" s="1035"/>
      <c r="D112" s="951">
        <v>5635</v>
      </c>
      <c r="E112" s="951">
        <v>5635</v>
      </c>
      <c r="F112" s="951">
        <v>5635</v>
      </c>
      <c r="G112" s="951">
        <v>5635</v>
      </c>
      <c r="H112" s="951">
        <v>5635</v>
      </c>
      <c r="I112" s="951">
        <v>5635</v>
      </c>
      <c r="J112" s="951">
        <v>5635</v>
      </c>
      <c r="K112" s="951">
        <v>5635</v>
      </c>
      <c r="L112" s="951">
        <v>5635</v>
      </c>
      <c r="M112" s="951">
        <v>5635</v>
      </c>
      <c r="N112" s="951">
        <v>5635</v>
      </c>
      <c r="O112" s="951">
        <v>5635</v>
      </c>
      <c r="P112" s="625"/>
      <c r="Q112" s="747">
        <f>SUM(D112:P112)-R112</f>
        <v>67620</v>
      </c>
      <c r="R112" s="1145">
        <v>0</v>
      </c>
      <c r="S112" s="747">
        <v>77573.229999999981</v>
      </c>
      <c r="T112" s="1145">
        <v>0</v>
      </c>
      <c r="U112" s="1192">
        <f t="shared" si="26"/>
        <v>-9953.2299999999814</v>
      </c>
      <c r="V112" s="872"/>
      <c r="X112" s="1191">
        <f t="shared" si="27"/>
        <v>0</v>
      </c>
      <c r="Y112" s="733" t="s">
        <v>1473</v>
      </c>
    </row>
    <row r="113" spans="1:24" x14ac:dyDescent="0.2">
      <c r="A113" s="744" t="s">
        <v>853</v>
      </c>
      <c r="B113" s="745" t="s">
        <v>854</v>
      </c>
      <c r="C113" s="1035"/>
      <c r="D113" s="1045">
        <v>0</v>
      </c>
      <c r="E113" s="1045">
        <v>0</v>
      </c>
      <c r="F113" s="1045">
        <v>0</v>
      </c>
      <c r="G113" s="1045">
        <v>0</v>
      </c>
      <c r="H113" s="1045">
        <v>0</v>
      </c>
      <c r="I113" s="1045">
        <v>0</v>
      </c>
      <c r="J113" s="1045">
        <v>0</v>
      </c>
      <c r="K113" s="1045">
        <v>0</v>
      </c>
      <c r="L113" s="1045">
        <v>0</v>
      </c>
      <c r="M113" s="1045">
        <v>0</v>
      </c>
      <c r="N113" s="1045">
        <v>0</v>
      </c>
      <c r="O113" s="1046">
        <v>0</v>
      </c>
      <c r="P113" s="625"/>
      <c r="Q113" s="747">
        <f t="shared" si="35"/>
        <v>0</v>
      </c>
      <c r="R113" s="1145"/>
      <c r="S113" s="747">
        <v>0</v>
      </c>
      <c r="T113" s="1145"/>
      <c r="U113" s="794">
        <f t="shared" si="26"/>
        <v>0</v>
      </c>
      <c r="V113" s="742"/>
      <c r="X113" s="1190">
        <f t="shared" si="27"/>
        <v>0</v>
      </c>
    </row>
    <row r="114" spans="1:24" x14ac:dyDescent="0.2">
      <c r="A114" s="744" t="s">
        <v>772</v>
      </c>
      <c r="B114" s="745" t="s">
        <v>403</v>
      </c>
      <c r="C114" s="1035"/>
      <c r="D114" s="1045">
        <v>1528</v>
      </c>
      <c r="E114" s="1045">
        <v>1714.95</v>
      </c>
      <c r="F114" s="1045">
        <v>1528</v>
      </c>
      <c r="G114" s="1045">
        <v>1528</v>
      </c>
      <c r="H114" s="1045">
        <v>1528</v>
      </c>
      <c r="I114" s="1045">
        <v>1528</v>
      </c>
      <c r="J114" s="1045">
        <v>1528</v>
      </c>
      <c r="K114" s="1045">
        <v>1528</v>
      </c>
      <c r="L114" s="1045">
        <v>1528</v>
      </c>
      <c r="M114" s="1045">
        <v>1528</v>
      </c>
      <c r="N114" s="1045">
        <v>1528</v>
      </c>
      <c r="O114" s="1045">
        <v>1528</v>
      </c>
      <c r="P114" s="625"/>
      <c r="Q114" s="747">
        <f t="shared" si="35"/>
        <v>18522.95</v>
      </c>
      <c r="R114" s="1145"/>
      <c r="S114" s="747">
        <v>17124.239999999998</v>
      </c>
      <c r="T114" s="1145"/>
      <c r="U114" s="794">
        <f t="shared" si="26"/>
        <v>1398.7100000000028</v>
      </c>
      <c r="V114" s="742"/>
      <c r="X114" s="1190">
        <f t="shared" si="27"/>
        <v>0</v>
      </c>
    </row>
    <row r="115" spans="1:24" ht="12" thickBot="1" x14ac:dyDescent="0.25">
      <c r="B115" s="855" t="s">
        <v>411</v>
      </c>
      <c r="C115" s="751"/>
      <c r="D115" s="1048">
        <f t="shared" ref="D115:L115" si="36">SUM(D106:D114)</f>
        <v>16576</v>
      </c>
      <c r="E115" s="1048">
        <f t="shared" si="36"/>
        <v>18762.95</v>
      </c>
      <c r="F115" s="1048">
        <f t="shared" si="36"/>
        <v>18576</v>
      </c>
      <c r="G115" s="1048">
        <f t="shared" si="36"/>
        <v>18576</v>
      </c>
      <c r="H115" s="1048">
        <f t="shared" si="36"/>
        <v>18576</v>
      </c>
      <c r="I115" s="1048">
        <f t="shared" si="36"/>
        <v>18576</v>
      </c>
      <c r="J115" s="1048">
        <f t="shared" ref="J115:K115" si="37">SUM(J106:J114)</f>
        <v>18576</v>
      </c>
      <c r="K115" s="1048">
        <f t="shared" si="37"/>
        <v>18576</v>
      </c>
      <c r="L115" s="1048">
        <f t="shared" si="36"/>
        <v>18576</v>
      </c>
      <c r="M115" s="1048">
        <f t="shared" ref="M115:O115" si="38">SUM(M106:M114)</f>
        <v>18576</v>
      </c>
      <c r="N115" s="1048">
        <f t="shared" si="38"/>
        <v>18576</v>
      </c>
      <c r="O115" s="1062">
        <f t="shared" si="38"/>
        <v>16576</v>
      </c>
      <c r="P115" s="625"/>
      <c r="Q115" s="632">
        <f>SUM(Q106:Q114)</f>
        <v>219098.95</v>
      </c>
      <c r="R115" s="1156">
        <f>SUM(R106:R114)</f>
        <v>0</v>
      </c>
      <c r="S115" s="632">
        <v>232151.18999999997</v>
      </c>
      <c r="T115" s="1156">
        <v>0</v>
      </c>
      <c r="U115" s="794">
        <f t="shared" si="26"/>
        <v>-13052.239999999962</v>
      </c>
      <c r="V115" s="742"/>
      <c r="X115" s="1190">
        <f t="shared" si="27"/>
        <v>0</v>
      </c>
    </row>
    <row r="116" spans="1:24" ht="12" thickTop="1" x14ac:dyDescent="0.2">
      <c r="B116" s="742"/>
      <c r="C116" s="751"/>
      <c r="D116" s="1049"/>
      <c r="E116" s="1049"/>
      <c r="F116" s="1049"/>
      <c r="G116" s="1049"/>
      <c r="H116" s="1049"/>
      <c r="I116" s="1049"/>
      <c r="J116" s="1049"/>
      <c r="K116" s="1049"/>
      <c r="L116" s="1049"/>
      <c r="M116" s="1049"/>
      <c r="N116" s="1049"/>
      <c r="O116" s="1061"/>
      <c r="P116" s="625"/>
      <c r="Q116" s="635"/>
      <c r="R116" s="1154"/>
      <c r="S116" s="635"/>
      <c r="T116" s="1154"/>
      <c r="U116" s="794">
        <f t="shared" si="26"/>
        <v>0</v>
      </c>
      <c r="V116" s="742"/>
      <c r="X116" s="1190">
        <f t="shared" si="27"/>
        <v>0</v>
      </c>
    </row>
    <row r="117" spans="1:24" x14ac:dyDescent="0.2">
      <c r="B117" s="771" t="s">
        <v>314</v>
      </c>
      <c r="C117" s="751"/>
      <c r="D117" s="1049"/>
      <c r="E117" s="1049"/>
      <c r="F117" s="1049"/>
      <c r="G117" s="1049"/>
      <c r="H117" s="1049"/>
      <c r="I117" s="1049"/>
      <c r="J117" s="1049"/>
      <c r="K117" s="1049"/>
      <c r="L117" s="1049"/>
      <c r="M117" s="1049"/>
      <c r="N117" s="1049"/>
      <c r="O117" s="1061"/>
      <c r="P117" s="625"/>
      <c r="Q117" s="634"/>
      <c r="R117" s="1153"/>
      <c r="S117" s="634"/>
      <c r="T117" s="1153"/>
      <c r="U117" s="794">
        <f t="shared" si="26"/>
        <v>0</v>
      </c>
      <c r="V117" s="742"/>
      <c r="X117" s="1190">
        <f t="shared" si="27"/>
        <v>0</v>
      </c>
    </row>
    <row r="118" spans="1:24" x14ac:dyDescent="0.2">
      <c r="A118" s="744" t="s">
        <v>779</v>
      </c>
      <c r="B118" s="745" t="s">
        <v>412</v>
      </c>
      <c r="C118" s="1035"/>
      <c r="D118" s="1045">
        <v>0</v>
      </c>
      <c r="E118" s="1045">
        <v>0</v>
      </c>
      <c r="F118" s="1045">
        <v>0</v>
      </c>
      <c r="G118" s="1045">
        <v>0</v>
      </c>
      <c r="H118" s="1045">
        <v>0</v>
      </c>
      <c r="I118" s="1045">
        <v>0</v>
      </c>
      <c r="J118" s="1045">
        <v>0</v>
      </c>
      <c r="K118" s="1045">
        <v>0</v>
      </c>
      <c r="L118" s="1045">
        <v>0</v>
      </c>
      <c r="M118" s="1045">
        <v>0</v>
      </c>
      <c r="N118" s="1045">
        <v>0</v>
      </c>
      <c r="O118" s="1046">
        <v>0</v>
      </c>
      <c r="P118" s="810"/>
      <c r="Q118" s="636">
        <f>SUM(D118:O118)</f>
        <v>0</v>
      </c>
      <c r="R118" s="1157"/>
      <c r="S118" s="636">
        <v>0</v>
      </c>
      <c r="T118" s="1157"/>
      <c r="U118" s="794">
        <f t="shared" si="26"/>
        <v>0</v>
      </c>
      <c r="V118" s="742"/>
      <c r="X118" s="1190">
        <f t="shared" si="27"/>
        <v>0</v>
      </c>
    </row>
    <row r="119" spans="1:24" ht="12" thickBot="1" x14ac:dyDescent="0.25">
      <c r="B119" s="855" t="s">
        <v>413</v>
      </c>
      <c r="C119" s="751"/>
      <c r="D119" s="1048">
        <f t="shared" ref="D119:L119" si="39">SUM(D118)</f>
        <v>0</v>
      </c>
      <c r="E119" s="1048">
        <f t="shared" si="39"/>
        <v>0</v>
      </c>
      <c r="F119" s="1048">
        <f t="shared" si="39"/>
        <v>0</v>
      </c>
      <c r="G119" s="1048">
        <f t="shared" si="39"/>
        <v>0</v>
      </c>
      <c r="H119" s="1048">
        <f t="shared" si="39"/>
        <v>0</v>
      </c>
      <c r="I119" s="1048">
        <f t="shared" si="39"/>
        <v>0</v>
      </c>
      <c r="J119" s="1048">
        <f t="shared" ref="J119:K119" si="40">SUM(J118)</f>
        <v>0</v>
      </c>
      <c r="K119" s="1048">
        <f t="shared" si="40"/>
        <v>0</v>
      </c>
      <c r="L119" s="1048">
        <f t="shared" si="39"/>
        <v>0</v>
      </c>
      <c r="M119" s="1048">
        <f t="shared" ref="M119:O119" si="41">SUM(M118)</f>
        <v>0</v>
      </c>
      <c r="N119" s="1048">
        <f t="shared" si="41"/>
        <v>0</v>
      </c>
      <c r="O119" s="1062">
        <f t="shared" si="41"/>
        <v>0</v>
      </c>
      <c r="P119" s="625"/>
      <c r="Q119" s="633">
        <f>SUM(Q118)</f>
        <v>0</v>
      </c>
      <c r="R119" s="1155">
        <f>SUM(R118)</f>
        <v>0</v>
      </c>
      <c r="S119" s="633">
        <v>0</v>
      </c>
      <c r="T119" s="1155">
        <v>0</v>
      </c>
      <c r="U119" s="794">
        <f t="shared" si="26"/>
        <v>0</v>
      </c>
      <c r="V119" s="742"/>
      <c r="X119" s="1190">
        <f t="shared" si="27"/>
        <v>0</v>
      </c>
    </row>
    <row r="120" spans="1:24" ht="12" thickTop="1" x14ac:dyDescent="0.2">
      <c r="B120" s="855"/>
      <c r="C120" s="751"/>
      <c r="D120" s="1049"/>
      <c r="E120" s="1049"/>
      <c r="F120" s="1049"/>
      <c r="G120" s="1049"/>
      <c r="H120" s="1049"/>
      <c r="I120" s="1049"/>
      <c r="J120" s="1049"/>
      <c r="K120" s="1049"/>
      <c r="L120" s="1049"/>
      <c r="M120" s="1049"/>
      <c r="N120" s="1049"/>
      <c r="O120" s="1061"/>
      <c r="P120" s="625"/>
      <c r="Q120" s="635"/>
      <c r="R120" s="1154"/>
      <c r="S120" s="635"/>
      <c r="T120" s="1154"/>
      <c r="U120" s="794">
        <f t="shared" si="26"/>
        <v>0</v>
      </c>
      <c r="V120" s="742"/>
      <c r="X120" s="1190">
        <f t="shared" si="27"/>
        <v>0</v>
      </c>
    </row>
    <row r="121" spans="1:24" x14ac:dyDescent="0.2">
      <c r="B121" s="771" t="s">
        <v>414</v>
      </c>
      <c r="C121" s="751"/>
      <c r="D121" s="1049"/>
      <c r="E121" s="1049"/>
      <c r="F121" s="1049"/>
      <c r="G121" s="1049"/>
      <c r="H121" s="1049"/>
      <c r="I121" s="1049"/>
      <c r="J121" s="1049"/>
      <c r="K121" s="1049"/>
      <c r="L121" s="1049"/>
      <c r="M121" s="1049"/>
      <c r="N121" s="1049"/>
      <c r="O121" s="1061"/>
      <c r="P121" s="625"/>
      <c r="Q121" s="634"/>
      <c r="R121" s="1153"/>
      <c r="S121" s="634"/>
      <c r="T121" s="1153"/>
      <c r="U121" s="794">
        <f t="shared" si="26"/>
        <v>0</v>
      </c>
      <c r="V121" s="742"/>
      <c r="X121" s="1190">
        <f t="shared" si="27"/>
        <v>0</v>
      </c>
    </row>
    <row r="122" spans="1:24" x14ac:dyDescent="0.2">
      <c r="B122" s="771" t="s">
        <v>780</v>
      </c>
      <c r="C122" s="751"/>
      <c r="D122" s="1045">
        <v>2500</v>
      </c>
      <c r="E122" s="1045">
        <v>2500</v>
      </c>
      <c r="F122" s="1045">
        <v>2500</v>
      </c>
      <c r="G122" s="1045">
        <v>2500</v>
      </c>
      <c r="H122" s="1045">
        <v>2500</v>
      </c>
      <c r="I122" s="1045">
        <v>2500</v>
      </c>
      <c r="J122" s="1045">
        <v>2500</v>
      </c>
      <c r="K122" s="1045">
        <v>2500</v>
      </c>
      <c r="L122" s="1045">
        <v>2500</v>
      </c>
      <c r="M122" s="1045">
        <v>2500</v>
      </c>
      <c r="N122" s="1045">
        <v>2500</v>
      </c>
      <c r="O122" s="1046">
        <v>2500</v>
      </c>
      <c r="P122" s="625"/>
      <c r="Q122" s="747">
        <f>SUM(D122:P122)</f>
        <v>30000</v>
      </c>
      <c r="R122" s="1145"/>
      <c r="S122" s="747">
        <v>30000</v>
      </c>
      <c r="T122" s="1145"/>
      <c r="U122" s="794">
        <f t="shared" si="26"/>
        <v>0</v>
      </c>
      <c r="V122" s="742"/>
      <c r="X122" s="1190">
        <f t="shared" si="27"/>
        <v>0</v>
      </c>
    </row>
    <row r="123" spans="1:24" x14ac:dyDescent="0.2">
      <c r="A123" s="744" t="s">
        <v>781</v>
      </c>
      <c r="B123" s="768" t="s">
        <v>415</v>
      </c>
      <c r="C123" s="751"/>
      <c r="D123" s="951">
        <v>69282</v>
      </c>
      <c r="E123" s="951">
        <v>69282</v>
      </c>
      <c r="F123" s="951">
        <v>69282</v>
      </c>
      <c r="G123" s="951">
        <v>69282</v>
      </c>
      <c r="H123" s="951">
        <v>69282</v>
      </c>
      <c r="I123" s="951">
        <v>69282</v>
      </c>
      <c r="J123" s="951">
        <v>69282</v>
      </c>
      <c r="K123" s="951">
        <v>69282</v>
      </c>
      <c r="L123" s="951">
        <v>69282</v>
      </c>
      <c r="M123" s="951">
        <v>69282</v>
      </c>
      <c r="N123" s="951">
        <v>69282</v>
      </c>
      <c r="O123" s="951">
        <v>69282</v>
      </c>
      <c r="P123" s="608"/>
      <c r="Q123" s="747">
        <f>+'Assumptions '!B15</f>
        <v>849059.92630921351</v>
      </c>
      <c r="R123" s="1145"/>
      <c r="S123" s="747">
        <v>821322.11411207286</v>
      </c>
      <c r="T123" s="1145"/>
      <c r="U123" s="794">
        <f t="shared" si="26"/>
        <v>27737.812197140651</v>
      </c>
      <c r="V123" s="974"/>
      <c r="W123" s="1210">
        <f>Q123*1.02</f>
        <v>866041.12483539782</v>
      </c>
      <c r="X123" s="1190">
        <f t="shared" si="27"/>
        <v>0</v>
      </c>
    </row>
    <row r="124" spans="1:24" ht="12" thickBot="1" x14ac:dyDescent="0.25">
      <c r="B124" s="855" t="s">
        <v>416</v>
      </c>
      <c r="C124" s="751"/>
      <c r="D124" s="1048">
        <f t="shared" ref="D124:L124" si="42">SUM(D122:D123)</f>
        <v>71782</v>
      </c>
      <c r="E124" s="1048">
        <f t="shared" si="42"/>
        <v>71782</v>
      </c>
      <c r="F124" s="1048">
        <f t="shared" si="42"/>
        <v>71782</v>
      </c>
      <c r="G124" s="1048">
        <f t="shared" si="42"/>
        <v>71782</v>
      </c>
      <c r="H124" s="1048">
        <f t="shared" si="42"/>
        <v>71782</v>
      </c>
      <c r="I124" s="1048">
        <f t="shared" si="42"/>
        <v>71782</v>
      </c>
      <c r="J124" s="1048">
        <f t="shared" ref="J124:K124" si="43">SUM(J122:J123)</f>
        <v>71782</v>
      </c>
      <c r="K124" s="1048">
        <f t="shared" si="43"/>
        <v>71782</v>
      </c>
      <c r="L124" s="1048">
        <f t="shared" si="42"/>
        <v>71782</v>
      </c>
      <c r="M124" s="1048">
        <f t="shared" ref="M124:O124" si="44">SUM(M122:M123)</f>
        <v>71782</v>
      </c>
      <c r="N124" s="1048">
        <f t="shared" si="44"/>
        <v>71782</v>
      </c>
      <c r="O124" s="1062">
        <f t="shared" si="44"/>
        <v>71782</v>
      </c>
      <c r="P124" s="625"/>
      <c r="Q124" s="629">
        <f>SUM(Q122:Q123)</f>
        <v>879059.92630921351</v>
      </c>
      <c r="R124" s="1146">
        <f>SUM(R122:R123)</f>
        <v>0</v>
      </c>
      <c r="S124" s="629">
        <v>851322.11411207286</v>
      </c>
      <c r="T124" s="1146">
        <v>0</v>
      </c>
      <c r="U124" s="794">
        <f t="shared" si="26"/>
        <v>27737.812197140651</v>
      </c>
      <c r="V124" s="742"/>
      <c r="W124" s="733">
        <v>12</v>
      </c>
      <c r="X124" s="1190">
        <f t="shared" si="27"/>
        <v>0</v>
      </c>
    </row>
    <row r="125" spans="1:24" ht="12" thickTop="1" x14ac:dyDescent="0.2">
      <c r="B125" s="742"/>
      <c r="C125" s="751"/>
      <c r="D125" s="1049"/>
      <c r="E125" s="1049"/>
      <c r="F125" s="1049"/>
      <c r="G125" s="1049"/>
      <c r="H125" s="1049"/>
      <c r="I125" s="1049"/>
      <c r="J125" s="1049"/>
      <c r="K125" s="1049"/>
      <c r="L125" s="1049"/>
      <c r="M125" s="1049"/>
      <c r="N125" s="1049"/>
      <c r="O125" s="1061"/>
      <c r="P125" s="625"/>
      <c r="Q125" s="635"/>
      <c r="R125" s="1154"/>
      <c r="S125" s="635"/>
      <c r="T125" s="1154"/>
      <c r="U125" s="794">
        <f t="shared" si="26"/>
        <v>0</v>
      </c>
      <c r="V125" s="742"/>
      <c r="W125" s="1210">
        <f>W123/W124</f>
        <v>72170.093736283146</v>
      </c>
      <c r="X125" s="1190">
        <f t="shared" si="27"/>
        <v>0</v>
      </c>
    </row>
    <row r="126" spans="1:24" x14ac:dyDescent="0.2">
      <c r="B126" s="854" t="s">
        <v>417</v>
      </c>
      <c r="C126" s="751"/>
      <c r="D126" s="1049"/>
      <c r="E126" s="1049"/>
      <c r="F126" s="1049"/>
      <c r="G126" s="1049"/>
      <c r="H126" s="1049"/>
      <c r="I126" s="1049"/>
      <c r="J126" s="1049"/>
      <c r="K126" s="1049"/>
      <c r="L126" s="1049"/>
      <c r="M126" s="1049"/>
      <c r="N126" s="1049"/>
      <c r="O126" s="1061"/>
      <c r="P126" s="625"/>
      <c r="Q126" s="634"/>
      <c r="R126" s="1153"/>
      <c r="S126" s="634"/>
      <c r="T126" s="1153"/>
      <c r="U126" s="794">
        <f t="shared" si="26"/>
        <v>0</v>
      </c>
      <c r="V126" s="742"/>
      <c r="X126" s="1190">
        <f t="shared" si="27"/>
        <v>0</v>
      </c>
    </row>
    <row r="127" spans="1:24" x14ac:dyDescent="0.2">
      <c r="A127" s="744" t="s">
        <v>782</v>
      </c>
      <c r="B127" s="745" t="s">
        <v>418</v>
      </c>
      <c r="C127" s="1035"/>
      <c r="D127" s="1045">
        <f>+'Trend Report'!H207</f>
        <v>0</v>
      </c>
      <c r="E127" s="1045">
        <f>+'Trend Report'!I207</f>
        <v>0</v>
      </c>
      <c r="F127" s="1045">
        <f>+'Trend Report'!J207</f>
        <v>0</v>
      </c>
      <c r="G127" s="1045">
        <f>+'Trend Report'!K207</f>
        <v>0</v>
      </c>
      <c r="H127" s="1045">
        <f>+'Trend Report'!L207</f>
        <v>0</v>
      </c>
      <c r="I127" s="1045">
        <f>+'Trend Report'!M207</f>
        <v>0</v>
      </c>
      <c r="J127" s="1045">
        <f>+'Trend Report'!N207</f>
        <v>0</v>
      </c>
      <c r="K127" s="1045">
        <f>+'Trend Report'!O207</f>
        <v>0</v>
      </c>
      <c r="L127" s="1045">
        <v>0</v>
      </c>
      <c r="M127" s="1045">
        <v>0</v>
      </c>
      <c r="N127" s="1045">
        <v>0</v>
      </c>
      <c r="O127" s="1046">
        <v>0</v>
      </c>
      <c r="P127" s="810"/>
      <c r="Q127" s="634">
        <f>SUM(D127:O127)</f>
        <v>0</v>
      </c>
      <c r="R127" s="1153"/>
      <c r="S127" s="634">
        <v>0</v>
      </c>
      <c r="T127" s="1153"/>
      <c r="U127" s="794">
        <f t="shared" si="26"/>
        <v>0</v>
      </c>
      <c r="V127" s="742"/>
      <c r="X127" s="1190">
        <f t="shared" si="27"/>
        <v>0</v>
      </c>
    </row>
    <row r="128" spans="1:24" x14ac:dyDescent="0.2">
      <c r="A128" s="744" t="s">
        <v>783</v>
      </c>
      <c r="B128" s="745" t="s">
        <v>419</v>
      </c>
      <c r="C128" s="1035"/>
      <c r="D128" s="1045">
        <v>450</v>
      </c>
      <c r="E128" s="1045">
        <v>450</v>
      </c>
      <c r="F128" s="1045">
        <v>450</v>
      </c>
      <c r="G128" s="1045">
        <v>450</v>
      </c>
      <c r="H128" s="1045">
        <v>450</v>
      </c>
      <c r="I128" s="1045">
        <v>450</v>
      </c>
      <c r="J128" s="1045">
        <v>450</v>
      </c>
      <c r="K128" s="1045">
        <v>450</v>
      </c>
      <c r="L128" s="1045">
        <v>450</v>
      </c>
      <c r="M128" s="1045">
        <v>450</v>
      </c>
      <c r="N128" s="1045">
        <v>450</v>
      </c>
      <c r="O128" s="1045">
        <v>450</v>
      </c>
      <c r="P128" s="810">
        <v>0</v>
      </c>
      <c r="Q128" s="747">
        <f>SUM(D128:P128)</f>
        <v>5400</v>
      </c>
      <c r="R128" s="1145"/>
      <c r="S128" s="747">
        <v>4495.9400000000005</v>
      </c>
      <c r="T128" s="1145"/>
      <c r="U128" s="794">
        <f t="shared" si="26"/>
        <v>904.05999999999949</v>
      </c>
      <c r="V128" s="742"/>
      <c r="X128" s="1190">
        <f t="shared" si="27"/>
        <v>0</v>
      </c>
    </row>
    <row r="129" spans="1:24" ht="12" thickBot="1" x14ac:dyDescent="0.25">
      <c r="B129" s="855" t="s">
        <v>420</v>
      </c>
      <c r="C129" s="751"/>
      <c r="D129" s="1048">
        <f t="shared" ref="D129:L129" si="45">SUM(D127:D128)</f>
        <v>450</v>
      </c>
      <c r="E129" s="1048">
        <f t="shared" si="45"/>
        <v>450</v>
      </c>
      <c r="F129" s="1048">
        <f t="shared" si="45"/>
        <v>450</v>
      </c>
      <c r="G129" s="1048">
        <f t="shared" si="45"/>
        <v>450</v>
      </c>
      <c r="H129" s="1048">
        <f t="shared" si="45"/>
        <v>450</v>
      </c>
      <c r="I129" s="1048">
        <f t="shared" si="45"/>
        <v>450</v>
      </c>
      <c r="J129" s="1048">
        <f t="shared" ref="J129:K129" si="46">SUM(J127:J128)</f>
        <v>450</v>
      </c>
      <c r="K129" s="1048">
        <f t="shared" si="46"/>
        <v>450</v>
      </c>
      <c r="L129" s="1048">
        <f t="shared" si="45"/>
        <v>450</v>
      </c>
      <c r="M129" s="1048">
        <f t="shared" ref="M129:O129" si="47">SUM(M127:M128)</f>
        <v>450</v>
      </c>
      <c r="N129" s="1048">
        <f t="shared" si="47"/>
        <v>450</v>
      </c>
      <c r="O129" s="1062">
        <f t="shared" si="47"/>
        <v>450</v>
      </c>
      <c r="P129" s="625"/>
      <c r="Q129" s="629">
        <f>SUM(Q127:Q128)</f>
        <v>5400</v>
      </c>
      <c r="R129" s="1146">
        <f>SUM(R127:R128)</f>
        <v>0</v>
      </c>
      <c r="S129" s="629">
        <v>4495.9400000000005</v>
      </c>
      <c r="T129" s="1146">
        <v>0</v>
      </c>
      <c r="U129" s="794">
        <f t="shared" si="26"/>
        <v>904.05999999999949</v>
      </c>
      <c r="V129" s="742"/>
      <c r="X129" s="1190">
        <f t="shared" si="27"/>
        <v>0</v>
      </c>
    </row>
    <row r="130" spans="1:24" ht="12" thickTop="1" x14ac:dyDescent="0.2">
      <c r="B130" s="855"/>
      <c r="C130" s="751"/>
      <c r="D130" s="1049"/>
      <c r="E130" s="1049"/>
      <c r="F130" s="1049"/>
      <c r="G130" s="1049"/>
      <c r="H130" s="1049"/>
      <c r="I130" s="1049"/>
      <c r="J130" s="1049"/>
      <c r="K130" s="1049"/>
      <c r="L130" s="1049"/>
      <c r="M130" s="1049"/>
      <c r="N130" s="1049"/>
      <c r="O130" s="1061"/>
      <c r="P130" s="625"/>
      <c r="Q130" s="635"/>
      <c r="R130" s="1154"/>
      <c r="S130" s="635"/>
      <c r="T130" s="1154"/>
      <c r="U130" s="794">
        <f t="shared" si="26"/>
        <v>0</v>
      </c>
      <c r="V130" s="742"/>
      <c r="X130" s="1190">
        <f t="shared" si="27"/>
        <v>0</v>
      </c>
    </row>
    <row r="131" spans="1:24" x14ac:dyDescent="0.2">
      <c r="B131" s="854" t="s">
        <v>316</v>
      </c>
      <c r="C131" s="751"/>
      <c r="D131" s="1049"/>
      <c r="E131" s="1049"/>
      <c r="F131" s="1049"/>
      <c r="G131" s="1049"/>
      <c r="H131" s="1049"/>
      <c r="I131" s="1049"/>
      <c r="J131" s="1049"/>
      <c r="K131" s="1049"/>
      <c r="L131" s="1049"/>
      <c r="M131" s="1049"/>
      <c r="N131" s="1049"/>
      <c r="O131" s="1061"/>
      <c r="P131" s="625"/>
      <c r="Q131" s="634"/>
      <c r="R131" s="1153"/>
      <c r="S131" s="634"/>
      <c r="T131" s="1153"/>
      <c r="U131" s="794">
        <f t="shared" si="26"/>
        <v>0</v>
      </c>
      <c r="V131" s="742"/>
      <c r="X131" s="1190">
        <f t="shared" si="27"/>
        <v>0</v>
      </c>
    </row>
    <row r="132" spans="1:24" x14ac:dyDescent="0.2">
      <c r="A132" s="733" t="s">
        <v>784</v>
      </c>
      <c r="B132" s="742" t="s">
        <v>785</v>
      </c>
      <c r="C132" s="1035"/>
      <c r="D132" s="1045">
        <v>0</v>
      </c>
      <c r="E132" s="1045">
        <v>0</v>
      </c>
      <c r="F132" s="1045">
        <v>0</v>
      </c>
      <c r="G132" s="1045">
        <v>0</v>
      </c>
      <c r="H132" s="1045">
        <v>0</v>
      </c>
      <c r="I132" s="1045">
        <v>0</v>
      </c>
      <c r="J132" s="1045">
        <v>0</v>
      </c>
      <c r="K132" s="1045">
        <v>0</v>
      </c>
      <c r="L132" s="1045">
        <v>0</v>
      </c>
      <c r="M132" s="1045"/>
      <c r="N132" s="1045"/>
      <c r="O132" s="1046"/>
      <c r="P132" s="810"/>
      <c r="Q132" s="747">
        <f t="shared" ref="Q132:Q161" si="48">SUM(D132:P132)</f>
        <v>0</v>
      </c>
      <c r="R132" s="1145"/>
      <c r="S132" s="747">
        <v>0</v>
      </c>
      <c r="T132" s="1145"/>
      <c r="U132" s="794">
        <f t="shared" si="26"/>
        <v>0</v>
      </c>
      <c r="V132" s="742"/>
      <c r="X132" s="1190">
        <f t="shared" si="27"/>
        <v>0</v>
      </c>
    </row>
    <row r="133" spans="1:24" x14ac:dyDescent="0.2">
      <c r="A133" s="733" t="s">
        <v>786</v>
      </c>
      <c r="B133" s="742" t="s">
        <v>421</v>
      </c>
      <c r="C133" s="1035"/>
      <c r="D133" s="1045">
        <v>0</v>
      </c>
      <c r="E133" s="1045">
        <v>0</v>
      </c>
      <c r="F133" s="1045">
        <v>0</v>
      </c>
      <c r="G133" s="1045">
        <v>0</v>
      </c>
      <c r="H133" s="1045">
        <v>0</v>
      </c>
      <c r="I133" s="1045">
        <v>0</v>
      </c>
      <c r="J133" s="1045">
        <v>0</v>
      </c>
      <c r="K133" s="1045">
        <v>0</v>
      </c>
      <c r="L133" s="1045">
        <v>0</v>
      </c>
      <c r="M133" s="1045"/>
      <c r="N133" s="1045"/>
      <c r="O133" s="1046"/>
      <c r="P133" s="810"/>
      <c r="Q133" s="747">
        <f t="shared" si="48"/>
        <v>0</v>
      </c>
      <c r="R133" s="1145"/>
      <c r="S133" s="747">
        <v>0</v>
      </c>
      <c r="T133" s="1145"/>
      <c r="U133" s="794">
        <f t="shared" si="26"/>
        <v>0</v>
      </c>
      <c r="V133" s="742"/>
      <c r="X133" s="1190">
        <f t="shared" si="27"/>
        <v>0</v>
      </c>
    </row>
    <row r="134" spans="1:24" x14ac:dyDescent="0.2">
      <c r="B134" s="742" t="s">
        <v>1008</v>
      </c>
      <c r="C134" s="1035"/>
      <c r="D134" s="1110">
        <v>65650</v>
      </c>
      <c r="E134" s="1110">
        <v>65650</v>
      </c>
      <c r="F134" s="1110">
        <v>65650</v>
      </c>
      <c r="G134" s="1110">
        <v>65650</v>
      </c>
      <c r="H134" s="1110">
        <v>65650</v>
      </c>
      <c r="I134" s="1110">
        <v>65650</v>
      </c>
      <c r="J134" s="1110">
        <v>65650</v>
      </c>
      <c r="K134" s="1110">
        <v>65650</v>
      </c>
      <c r="L134" s="1110">
        <v>65650</v>
      </c>
      <c r="M134" s="1110">
        <v>65650</v>
      </c>
      <c r="N134" s="1110">
        <v>65650</v>
      </c>
      <c r="O134" s="1110">
        <v>65650</v>
      </c>
      <c r="P134" s="810"/>
      <c r="Q134" s="747">
        <f t="shared" si="48"/>
        <v>787800</v>
      </c>
      <c r="R134" s="1145"/>
      <c r="S134" s="747">
        <v>728970.59999999986</v>
      </c>
      <c r="T134" s="1145"/>
      <c r="U134" s="794">
        <f t="shared" si="26"/>
        <v>58829.40000000014</v>
      </c>
      <c r="V134" s="742"/>
      <c r="X134" s="1190">
        <f t="shared" si="27"/>
        <v>0</v>
      </c>
    </row>
    <row r="135" spans="1:24" x14ac:dyDescent="0.2">
      <c r="B135" s="742" t="s">
        <v>1007</v>
      </c>
      <c r="C135" s="1035"/>
      <c r="D135" s="1045">
        <v>1416.2599999999984</v>
      </c>
      <c r="E135" s="1045">
        <v>1416.25</v>
      </c>
      <c r="F135" s="1045">
        <v>1416.2600000000002</v>
      </c>
      <c r="G135" s="1045">
        <v>1416.25</v>
      </c>
      <c r="H135" s="1045">
        <v>1416.25</v>
      </c>
      <c r="I135" s="1045">
        <v>4416.25</v>
      </c>
      <c r="J135" s="1045">
        <v>1416.25</v>
      </c>
      <c r="K135" s="1045">
        <v>4749.58</v>
      </c>
      <c r="L135" s="1045">
        <v>6916.2800000000007</v>
      </c>
      <c r="M135" s="1045">
        <f>4749.58-3333.33+3225-3000</f>
        <v>1641.25</v>
      </c>
      <c r="N135" s="1045">
        <f>4749.58-3333.33</f>
        <v>1416.25</v>
      </c>
      <c r="O135" s="1046">
        <f>4749.58-3333.33</f>
        <v>1416.25</v>
      </c>
      <c r="P135" s="810"/>
      <c r="Q135" s="747">
        <f t="shared" si="48"/>
        <v>29053.379999999997</v>
      </c>
      <c r="R135" s="1145"/>
      <c r="S135" s="747">
        <v>31720.03</v>
      </c>
      <c r="T135" s="1145"/>
      <c r="U135" s="794">
        <f t="shared" si="26"/>
        <v>-2666.6500000000015</v>
      </c>
      <c r="V135" s="742"/>
      <c r="X135" s="1190">
        <f t="shared" si="27"/>
        <v>0</v>
      </c>
    </row>
    <row r="136" spans="1:24" x14ac:dyDescent="0.2">
      <c r="A136" s="733" t="s">
        <v>787</v>
      </c>
      <c r="B136" s="742" t="s">
        <v>788</v>
      </c>
      <c r="C136" s="1035"/>
      <c r="D136" s="1066">
        <v>0</v>
      </c>
      <c r="E136" s="1066">
        <v>0</v>
      </c>
      <c r="F136" s="1066">
        <v>0</v>
      </c>
      <c r="G136" s="1066">
        <v>0</v>
      </c>
      <c r="H136" s="1066">
        <v>0</v>
      </c>
      <c r="I136" s="1066">
        <v>0</v>
      </c>
      <c r="J136" s="1066">
        <v>0</v>
      </c>
      <c r="K136" s="1066">
        <v>0</v>
      </c>
      <c r="L136" s="1066">
        <v>0</v>
      </c>
      <c r="M136" s="1066"/>
      <c r="N136" s="1066"/>
      <c r="O136" s="1179"/>
      <c r="P136" s="810"/>
      <c r="Q136" s="747">
        <f t="shared" si="48"/>
        <v>0</v>
      </c>
      <c r="R136" s="1145"/>
      <c r="S136" s="747">
        <v>0</v>
      </c>
      <c r="T136" s="1145"/>
      <c r="U136" s="794">
        <f t="shared" ref="U136:U199" si="49">+Q136-S136</f>
        <v>0</v>
      </c>
      <c r="V136" s="742"/>
      <c r="X136" s="1190">
        <f t="shared" ref="X136:X167" si="50">+R136-T136</f>
        <v>0</v>
      </c>
    </row>
    <row r="137" spans="1:24" x14ac:dyDescent="0.2">
      <c r="A137" s="733" t="s">
        <v>789</v>
      </c>
      <c r="B137" s="742" t="s">
        <v>790</v>
      </c>
      <c r="C137" s="1035"/>
      <c r="D137" s="1045">
        <v>0</v>
      </c>
      <c r="E137" s="1045">
        <v>0</v>
      </c>
      <c r="F137" s="1045">
        <v>0</v>
      </c>
      <c r="G137" s="1045">
        <v>30821</v>
      </c>
      <c r="H137" s="1045">
        <v>0</v>
      </c>
      <c r="I137" s="1045">
        <v>0</v>
      </c>
      <c r="J137" s="1045">
        <v>0</v>
      </c>
      <c r="K137" s="1045">
        <v>0</v>
      </c>
      <c r="L137" s="1067">
        <v>0</v>
      </c>
      <c r="M137" s="1067">
        <v>0</v>
      </c>
      <c r="N137" s="1045">
        <v>0</v>
      </c>
      <c r="O137" s="1046">
        <v>0</v>
      </c>
      <c r="P137" s="810"/>
      <c r="Q137" s="747">
        <f t="shared" si="48"/>
        <v>30821</v>
      </c>
      <c r="R137" s="1145"/>
      <c r="S137" s="747">
        <v>29353</v>
      </c>
      <c r="T137" s="1145"/>
      <c r="U137" s="794">
        <f t="shared" si="49"/>
        <v>1468</v>
      </c>
      <c r="V137" s="742"/>
      <c r="X137" s="1190">
        <f t="shared" si="50"/>
        <v>0</v>
      </c>
    </row>
    <row r="138" spans="1:24" x14ac:dyDescent="0.2">
      <c r="A138" s="733" t="s">
        <v>791</v>
      </c>
      <c r="B138" s="742" t="s">
        <v>792</v>
      </c>
      <c r="C138" s="1035"/>
      <c r="D138" s="1045">
        <v>10736</v>
      </c>
      <c r="E138" s="1045">
        <v>0</v>
      </c>
      <c r="F138" s="1045">
        <v>0</v>
      </c>
      <c r="G138" s="1045">
        <v>169685</v>
      </c>
      <c r="H138" s="1045">
        <v>0</v>
      </c>
      <c r="I138" s="1045">
        <v>0</v>
      </c>
      <c r="J138" s="1045">
        <v>0</v>
      </c>
      <c r="K138" s="1045">
        <v>0</v>
      </c>
      <c r="L138" s="1045">
        <v>0</v>
      </c>
      <c r="M138" s="1045"/>
      <c r="N138" s="1045">
        <v>0</v>
      </c>
      <c r="O138" s="1046">
        <v>0</v>
      </c>
      <c r="P138" s="810"/>
      <c r="Q138" s="747">
        <f t="shared" si="48"/>
        <v>180421</v>
      </c>
      <c r="R138" s="1145"/>
      <c r="S138" s="747">
        <v>172630.29</v>
      </c>
      <c r="T138" s="1145"/>
      <c r="U138" s="794">
        <f t="shared" si="49"/>
        <v>7790.7099999999919</v>
      </c>
      <c r="V138" s="742"/>
      <c r="X138" s="1190">
        <f t="shared" si="50"/>
        <v>0</v>
      </c>
    </row>
    <row r="139" spans="1:24" x14ac:dyDescent="0.2">
      <c r="A139" s="733" t="s">
        <v>946</v>
      </c>
      <c r="B139" s="742" t="s">
        <v>947</v>
      </c>
      <c r="C139" s="1035"/>
      <c r="D139" s="1045">
        <v>0</v>
      </c>
      <c r="E139" s="1045">
        <v>0</v>
      </c>
      <c r="F139" s="1045">
        <v>0</v>
      </c>
      <c r="G139" s="1045">
        <v>0</v>
      </c>
      <c r="H139" s="1045">
        <v>0</v>
      </c>
      <c r="I139" s="1045">
        <v>0</v>
      </c>
      <c r="J139" s="1045">
        <v>0</v>
      </c>
      <c r="K139" s="1045">
        <v>0</v>
      </c>
      <c r="L139" s="1045">
        <v>0</v>
      </c>
      <c r="M139" s="1045">
        <v>0</v>
      </c>
      <c r="N139" s="1045">
        <v>0</v>
      </c>
      <c r="O139" s="1046">
        <v>0</v>
      </c>
      <c r="P139" s="810"/>
      <c r="Q139" s="747">
        <f t="shared" si="48"/>
        <v>0</v>
      </c>
      <c r="R139" s="1145"/>
      <c r="S139" s="747">
        <v>0</v>
      </c>
      <c r="T139" s="1145"/>
      <c r="U139" s="794">
        <f t="shared" si="49"/>
        <v>0</v>
      </c>
      <c r="V139" s="742"/>
      <c r="X139" s="1190">
        <f t="shared" si="50"/>
        <v>0</v>
      </c>
    </row>
    <row r="140" spans="1:24" x14ac:dyDescent="0.2">
      <c r="A140" s="733" t="s">
        <v>793</v>
      </c>
      <c r="B140" s="742" t="s">
        <v>794</v>
      </c>
      <c r="C140" s="1035"/>
      <c r="D140" s="1045">
        <v>0</v>
      </c>
      <c r="E140" s="1045">
        <v>12500</v>
      </c>
      <c r="F140" s="1045">
        <v>0</v>
      </c>
      <c r="G140" s="1045">
        <v>0</v>
      </c>
      <c r="H140" s="1045"/>
      <c r="I140" s="1045">
        <v>0</v>
      </c>
      <c r="J140" s="1045">
        <v>0</v>
      </c>
      <c r="K140" s="1045">
        <v>0</v>
      </c>
      <c r="L140" s="1045">
        <v>0</v>
      </c>
      <c r="M140" s="1045">
        <v>0</v>
      </c>
      <c r="N140" s="1045">
        <v>0</v>
      </c>
      <c r="O140" s="1046">
        <v>0</v>
      </c>
      <c r="P140" s="810"/>
      <c r="Q140" s="747">
        <f t="shared" si="48"/>
        <v>12500</v>
      </c>
      <c r="R140" s="1145"/>
      <c r="S140" s="747">
        <v>9500</v>
      </c>
      <c r="T140" s="1145"/>
      <c r="U140" s="794">
        <f t="shared" si="49"/>
        <v>3000</v>
      </c>
      <c r="V140" s="742"/>
      <c r="X140" s="1190">
        <f t="shared" si="50"/>
        <v>0</v>
      </c>
    </row>
    <row r="141" spans="1:24" x14ac:dyDescent="0.2">
      <c r="A141" s="733" t="s">
        <v>795</v>
      </c>
      <c r="B141" s="742" t="s">
        <v>422</v>
      </c>
      <c r="C141" s="1035"/>
      <c r="D141" s="1045">
        <v>0</v>
      </c>
      <c r="E141" s="1045">
        <v>0</v>
      </c>
      <c r="F141" s="1045">
        <v>0</v>
      </c>
      <c r="G141" s="1045"/>
      <c r="H141" s="1045">
        <v>0</v>
      </c>
      <c r="I141" s="1045">
        <v>0</v>
      </c>
      <c r="J141" s="1045">
        <v>0</v>
      </c>
      <c r="K141" s="1045">
        <v>0</v>
      </c>
      <c r="L141" s="1045"/>
      <c r="M141" s="1045">
        <v>0</v>
      </c>
      <c r="N141" s="1045">
        <v>0</v>
      </c>
      <c r="O141" s="1046">
        <v>0</v>
      </c>
      <c r="P141" s="810"/>
      <c r="Q141" s="747">
        <f t="shared" si="48"/>
        <v>0</v>
      </c>
      <c r="R141" s="1145"/>
      <c r="S141" s="747">
        <v>9.9999999998544808E-2</v>
      </c>
      <c r="T141" s="1145"/>
      <c r="U141" s="794">
        <f t="shared" si="49"/>
        <v>-9.9999999998544808E-2</v>
      </c>
      <c r="V141" s="742"/>
      <c r="X141" s="1190">
        <f t="shared" si="50"/>
        <v>0</v>
      </c>
    </row>
    <row r="142" spans="1:24" x14ac:dyDescent="0.2">
      <c r="A142" s="733" t="s">
        <v>796</v>
      </c>
      <c r="B142" s="742" t="s">
        <v>424</v>
      </c>
      <c r="C142" s="1035"/>
      <c r="D142" s="1045">
        <v>0</v>
      </c>
      <c r="E142" s="1045"/>
      <c r="F142" s="1045">
        <v>0</v>
      </c>
      <c r="G142" s="1045">
        <v>0</v>
      </c>
      <c r="H142" s="1045">
        <v>0</v>
      </c>
      <c r="I142" s="1045">
        <v>0</v>
      </c>
      <c r="J142" s="1045">
        <v>0</v>
      </c>
      <c r="K142" s="1045">
        <v>0</v>
      </c>
      <c r="L142" s="1045">
        <v>0</v>
      </c>
      <c r="M142" s="1045">
        <v>0</v>
      </c>
      <c r="N142" s="1045"/>
      <c r="O142" s="1046"/>
      <c r="P142" s="810"/>
      <c r="Q142" s="747">
        <f t="shared" si="48"/>
        <v>0</v>
      </c>
      <c r="R142" s="1145"/>
      <c r="S142" s="747">
        <v>136.91</v>
      </c>
      <c r="T142" s="1145"/>
      <c r="U142" s="794">
        <f t="shared" si="49"/>
        <v>-136.91</v>
      </c>
      <c r="V142" s="742"/>
      <c r="X142" s="1190">
        <f t="shared" si="50"/>
        <v>0</v>
      </c>
    </row>
    <row r="143" spans="1:24" x14ac:dyDescent="0.2">
      <c r="A143" s="733" t="s">
        <v>797</v>
      </c>
      <c r="B143" s="742" t="s">
        <v>798</v>
      </c>
      <c r="C143" s="1035"/>
      <c r="D143" s="1045">
        <v>0</v>
      </c>
      <c r="E143" s="1045">
        <v>87.92</v>
      </c>
      <c r="F143" s="1045">
        <v>98.53</v>
      </c>
      <c r="G143" s="1045">
        <v>1169.6300000000001</v>
      </c>
      <c r="H143" s="1045">
        <v>99.710000000000008</v>
      </c>
      <c r="I143" s="1045">
        <v>132.02000000000001</v>
      </c>
      <c r="J143" s="1045">
        <v>99.83</v>
      </c>
      <c r="K143" s="1045">
        <v>107.01</v>
      </c>
      <c r="L143" s="1045">
        <v>124.47</v>
      </c>
      <c r="M143" s="1045">
        <f>300-132</f>
        <v>168</v>
      </c>
      <c r="N143" s="1045">
        <v>300</v>
      </c>
      <c r="O143" s="1046">
        <f>394+420+199</f>
        <v>1013</v>
      </c>
      <c r="P143" s="811"/>
      <c r="Q143" s="747">
        <f t="shared" si="48"/>
        <v>3400.12</v>
      </c>
      <c r="R143" s="1145"/>
      <c r="S143" s="747">
        <v>3156.1099999999997</v>
      </c>
      <c r="T143" s="1145"/>
      <c r="U143" s="794">
        <f t="shared" si="49"/>
        <v>244.01000000000022</v>
      </c>
      <c r="V143" s="742"/>
      <c r="X143" s="1190">
        <f t="shared" si="50"/>
        <v>0</v>
      </c>
    </row>
    <row r="144" spans="1:24" x14ac:dyDescent="0.2">
      <c r="A144" s="744" t="s">
        <v>775</v>
      </c>
      <c r="B144" s="745" t="s">
        <v>408</v>
      </c>
      <c r="C144" s="1035"/>
      <c r="D144" s="1045">
        <v>2225</v>
      </c>
      <c r="E144" s="1045">
        <v>2225</v>
      </c>
      <c r="F144" s="1045">
        <v>2225</v>
      </c>
      <c r="G144" s="1045">
        <v>2225</v>
      </c>
      <c r="H144" s="1045">
        <v>2225</v>
      </c>
      <c r="I144" s="1045">
        <v>2225</v>
      </c>
      <c r="J144" s="1045">
        <v>2225</v>
      </c>
      <c r="K144" s="1045">
        <v>2225</v>
      </c>
      <c r="L144" s="1045">
        <v>2225</v>
      </c>
      <c r="M144" s="1045">
        <v>2225</v>
      </c>
      <c r="N144" s="1045">
        <v>2225</v>
      </c>
      <c r="O144" s="1045">
        <v>2225</v>
      </c>
      <c r="P144" s="810"/>
      <c r="Q144" s="747">
        <f t="shared" si="48"/>
        <v>26700</v>
      </c>
      <c r="R144" s="1145"/>
      <c r="S144" s="747">
        <v>20158.62</v>
      </c>
      <c r="T144" s="1145"/>
      <c r="U144" s="794">
        <f t="shared" si="49"/>
        <v>6541.380000000001</v>
      </c>
      <c r="V144" s="872"/>
      <c r="X144" s="1190">
        <f t="shared" si="50"/>
        <v>0</v>
      </c>
    </row>
    <row r="145" spans="1:24" x14ac:dyDescent="0.2">
      <c r="A145" s="733" t="s">
        <v>799</v>
      </c>
      <c r="B145" s="742" t="s">
        <v>423</v>
      </c>
      <c r="C145" s="1035"/>
      <c r="D145" s="1045">
        <v>3568</v>
      </c>
      <c r="E145" s="1045">
        <v>3568</v>
      </c>
      <c r="F145" s="1045">
        <v>3568</v>
      </c>
      <c r="G145" s="1045">
        <v>3568</v>
      </c>
      <c r="H145" s="1045">
        <v>3568</v>
      </c>
      <c r="I145" s="1045">
        <v>3568</v>
      </c>
      <c r="J145" s="1045">
        <v>3568</v>
      </c>
      <c r="K145" s="1045">
        <v>3568</v>
      </c>
      <c r="L145" s="1045">
        <v>3568</v>
      </c>
      <c r="M145" s="1045">
        <v>3568</v>
      </c>
      <c r="N145" s="1045">
        <v>3568</v>
      </c>
      <c r="O145" s="1045">
        <v>3568</v>
      </c>
      <c r="P145" s="810"/>
      <c r="Q145" s="747">
        <f t="shared" si="48"/>
        <v>42816</v>
      </c>
      <c r="R145" s="1145"/>
      <c r="S145" s="747">
        <v>27004.240000000002</v>
      </c>
      <c r="T145" s="1145"/>
      <c r="U145" s="794">
        <f t="shared" si="49"/>
        <v>15811.759999999998</v>
      </c>
      <c r="V145" s="742"/>
      <c r="X145" s="1190">
        <f t="shared" si="50"/>
        <v>0</v>
      </c>
    </row>
    <row r="146" spans="1:24" x14ac:dyDescent="0.2">
      <c r="A146" s="733" t="s">
        <v>948</v>
      </c>
      <c r="B146" s="742" t="s">
        <v>423</v>
      </c>
      <c r="C146" s="1035"/>
      <c r="D146" s="1045"/>
      <c r="E146" s="1045">
        <v>0</v>
      </c>
      <c r="F146" s="1045">
        <v>0</v>
      </c>
      <c r="G146" s="1045">
        <v>0</v>
      </c>
      <c r="H146" s="1045">
        <v>0</v>
      </c>
      <c r="I146" s="1045">
        <v>0</v>
      </c>
      <c r="J146" s="1045">
        <v>0</v>
      </c>
      <c r="K146" s="1045">
        <v>0</v>
      </c>
      <c r="L146" s="1045">
        <v>0</v>
      </c>
      <c r="M146" s="1045">
        <v>0</v>
      </c>
      <c r="N146" s="1045">
        <v>0</v>
      </c>
      <c r="O146" s="1046">
        <v>0</v>
      </c>
      <c r="P146" s="810"/>
      <c r="Q146" s="747">
        <f t="shared" si="48"/>
        <v>0</v>
      </c>
      <c r="R146" s="1145"/>
      <c r="S146" s="747">
        <v>748</v>
      </c>
      <c r="T146" s="1145"/>
      <c r="U146" s="794">
        <f t="shared" si="49"/>
        <v>-748</v>
      </c>
      <c r="V146" s="742"/>
      <c r="X146" s="1190">
        <f t="shared" si="50"/>
        <v>0</v>
      </c>
    </row>
    <row r="147" spans="1:24" x14ac:dyDescent="0.2">
      <c r="A147" s="733" t="s">
        <v>800</v>
      </c>
      <c r="B147" s="742" t="s">
        <v>425</v>
      </c>
      <c r="C147" s="1035"/>
      <c r="D147" s="1045">
        <v>3698.23</v>
      </c>
      <c r="E147" s="1045">
        <v>3698.23</v>
      </c>
      <c r="F147" s="1045">
        <v>3698.23</v>
      </c>
      <c r="G147" s="1045">
        <v>3698.23</v>
      </c>
      <c r="H147" s="1045">
        <v>3698.23</v>
      </c>
      <c r="I147" s="1045">
        <v>3698.23</v>
      </c>
      <c r="J147" s="1045">
        <v>3698.23</v>
      </c>
      <c r="K147" s="1045">
        <v>3698.23</v>
      </c>
      <c r="L147" s="1045">
        <v>3698.23</v>
      </c>
      <c r="M147" s="1045">
        <v>3698.23</v>
      </c>
      <c r="N147" s="1045">
        <v>3698.23</v>
      </c>
      <c r="O147" s="1046">
        <v>3698.23</v>
      </c>
      <c r="P147" s="810"/>
      <c r="Q147" s="747">
        <f t="shared" si="48"/>
        <v>44378.760000000009</v>
      </c>
      <c r="R147" s="1145"/>
      <c r="S147" s="747">
        <v>33281.279999999992</v>
      </c>
      <c r="T147" s="1145"/>
      <c r="U147" s="794">
        <f t="shared" si="49"/>
        <v>11097.480000000018</v>
      </c>
      <c r="V147" s="742"/>
      <c r="X147" s="1190">
        <f t="shared" si="50"/>
        <v>0</v>
      </c>
    </row>
    <row r="148" spans="1:24" x14ac:dyDescent="0.2">
      <c r="A148" s="733" t="s">
        <v>801</v>
      </c>
      <c r="B148" s="742" t="s">
        <v>802</v>
      </c>
      <c r="C148" s="1035"/>
      <c r="D148" s="1045">
        <v>0</v>
      </c>
      <c r="E148" s="1045">
        <v>0</v>
      </c>
      <c r="F148" s="1045">
        <v>0</v>
      </c>
      <c r="G148" s="1045">
        <v>0</v>
      </c>
      <c r="H148" s="1045">
        <v>0</v>
      </c>
      <c r="I148" s="1045">
        <v>0</v>
      </c>
      <c r="J148" s="1045">
        <v>0</v>
      </c>
      <c r="K148" s="1045">
        <v>0</v>
      </c>
      <c r="L148" s="1045">
        <v>0</v>
      </c>
      <c r="M148" s="1045">
        <v>0</v>
      </c>
      <c r="N148" s="1045">
        <v>0</v>
      </c>
      <c r="O148" s="1046">
        <v>0</v>
      </c>
      <c r="P148" s="810"/>
      <c r="Q148" s="747">
        <f t="shared" si="48"/>
        <v>0</v>
      </c>
      <c r="R148" s="1145"/>
      <c r="S148" s="747">
        <v>0</v>
      </c>
      <c r="T148" s="1145"/>
      <c r="U148" s="794">
        <f t="shared" si="49"/>
        <v>0</v>
      </c>
      <c r="V148" s="742"/>
      <c r="X148" s="1190">
        <f t="shared" si="50"/>
        <v>0</v>
      </c>
    </row>
    <row r="149" spans="1:24" x14ac:dyDescent="0.2">
      <c r="A149" s="733" t="s">
        <v>803</v>
      </c>
      <c r="B149" s="742" t="s">
        <v>426</v>
      </c>
      <c r="C149" s="1035"/>
      <c r="D149" s="1045">
        <v>34080.559999999998</v>
      </c>
      <c r="E149" s="1045">
        <v>34080.559999999998</v>
      </c>
      <c r="F149" s="1045">
        <v>34080.559999999998</v>
      </c>
      <c r="G149" s="1045">
        <v>34080.559999999998</v>
      </c>
      <c r="H149" s="1045">
        <v>34080.559999999998</v>
      </c>
      <c r="I149" s="1045">
        <v>34080.559999999998</v>
      </c>
      <c r="J149" s="1045">
        <v>34080.559999999998</v>
      </c>
      <c r="K149" s="1045">
        <v>34080.559999999998</v>
      </c>
      <c r="L149" s="1045">
        <v>34080.559999999998</v>
      </c>
      <c r="M149" s="1045">
        <v>34080.559999999998</v>
      </c>
      <c r="N149" s="1045">
        <v>34080.559999999998</v>
      </c>
      <c r="O149" s="1046">
        <v>34080.559999999998</v>
      </c>
      <c r="P149" s="810"/>
      <c r="Q149" s="747">
        <f t="shared" si="48"/>
        <v>408966.72</v>
      </c>
      <c r="R149" s="1145"/>
      <c r="S149" s="747">
        <v>408014.40000000008</v>
      </c>
      <c r="T149" s="1145"/>
      <c r="U149" s="794">
        <f t="shared" si="49"/>
        <v>952.31999999989057</v>
      </c>
      <c r="V149" s="742"/>
      <c r="X149" s="1190">
        <f t="shared" si="50"/>
        <v>0</v>
      </c>
    </row>
    <row r="150" spans="1:24" x14ac:dyDescent="0.2">
      <c r="A150" s="733" t="s">
        <v>804</v>
      </c>
      <c r="B150" s="742" t="s">
        <v>427</v>
      </c>
      <c r="C150" s="1035"/>
      <c r="D150" s="1045">
        <v>345.83</v>
      </c>
      <c r="E150" s="1045">
        <v>345.83</v>
      </c>
      <c r="F150" s="1045">
        <v>345.83</v>
      </c>
      <c r="G150" s="1045">
        <v>345.83</v>
      </c>
      <c r="H150" s="1045">
        <v>345.83</v>
      </c>
      <c r="I150" s="1045">
        <v>345.83</v>
      </c>
      <c r="J150" s="1045">
        <v>345.83</v>
      </c>
      <c r="K150" s="1045">
        <v>345.83</v>
      </c>
      <c r="L150" s="1045">
        <v>345.83</v>
      </c>
      <c r="M150" s="1045">
        <v>345.83</v>
      </c>
      <c r="N150" s="1045">
        <v>345.83</v>
      </c>
      <c r="O150" s="1046">
        <v>345.83</v>
      </c>
      <c r="P150" s="810"/>
      <c r="Q150" s="747">
        <f t="shared" si="48"/>
        <v>4149.96</v>
      </c>
      <c r="R150" s="1145"/>
      <c r="S150" s="747">
        <v>39693.239999999991</v>
      </c>
      <c r="T150" s="1145"/>
      <c r="U150" s="794">
        <f t="shared" si="49"/>
        <v>-35543.279999999992</v>
      </c>
      <c r="V150" s="742"/>
      <c r="X150" s="1190">
        <f t="shared" si="50"/>
        <v>0</v>
      </c>
    </row>
    <row r="151" spans="1:24" x14ac:dyDescent="0.2">
      <c r="A151" s="733" t="s">
        <v>805</v>
      </c>
      <c r="B151" s="742" t="s">
        <v>428</v>
      </c>
      <c r="C151" s="1035"/>
      <c r="D151" s="1045">
        <v>4646.67</v>
      </c>
      <c r="E151" s="1045">
        <v>4646.67</v>
      </c>
      <c r="F151" s="1045">
        <v>4646.67</v>
      </c>
      <c r="G151" s="1045">
        <v>4646.67</v>
      </c>
      <c r="H151" s="1045">
        <v>4646.67</v>
      </c>
      <c r="I151" s="1045">
        <v>4646.67</v>
      </c>
      <c r="J151" s="1045">
        <v>4646.67</v>
      </c>
      <c r="K151" s="1045">
        <v>4646.67</v>
      </c>
      <c r="L151" s="1045">
        <v>4646.67</v>
      </c>
      <c r="M151" s="1045">
        <v>4646.67</v>
      </c>
      <c r="N151" s="1045">
        <v>4646.67</v>
      </c>
      <c r="O151" s="1046">
        <v>4646.67</v>
      </c>
      <c r="P151" s="810"/>
      <c r="Q151" s="747">
        <f t="shared" si="48"/>
        <v>55760.039999999986</v>
      </c>
      <c r="R151" s="1145"/>
      <c r="S151" s="747">
        <v>55760.039999999986</v>
      </c>
      <c r="T151" s="1145"/>
      <c r="U151" s="794">
        <f t="shared" si="49"/>
        <v>0</v>
      </c>
      <c r="V151" s="742"/>
      <c r="X151" s="1190">
        <f t="shared" si="50"/>
        <v>0</v>
      </c>
    </row>
    <row r="152" spans="1:24" x14ac:dyDescent="0.2">
      <c r="A152" s="733" t="s">
        <v>806</v>
      </c>
      <c r="B152" s="742" t="s">
        <v>429</v>
      </c>
      <c r="C152" s="1035"/>
      <c r="D152" s="1045">
        <v>0</v>
      </c>
      <c r="E152" s="1045">
        <v>0</v>
      </c>
      <c r="F152" s="1045">
        <v>0</v>
      </c>
      <c r="G152" s="1045">
        <v>0</v>
      </c>
      <c r="H152" s="1045">
        <v>0</v>
      </c>
      <c r="I152" s="1045">
        <v>0</v>
      </c>
      <c r="J152" s="1045">
        <v>0</v>
      </c>
      <c r="K152" s="1045">
        <v>0</v>
      </c>
      <c r="L152" s="1045">
        <v>0</v>
      </c>
      <c r="M152" s="1045">
        <v>0</v>
      </c>
      <c r="N152" s="1045">
        <v>0</v>
      </c>
      <c r="O152" s="1046">
        <v>0</v>
      </c>
      <c r="P152" s="810"/>
      <c r="Q152" s="747">
        <f t="shared" si="48"/>
        <v>0</v>
      </c>
      <c r="R152" s="1145"/>
      <c r="S152" s="747">
        <v>0</v>
      </c>
      <c r="T152" s="1145"/>
      <c r="U152" s="794">
        <f t="shared" si="49"/>
        <v>0</v>
      </c>
      <c r="V152" s="742"/>
      <c r="X152" s="1190">
        <f t="shared" si="50"/>
        <v>0</v>
      </c>
    </row>
    <row r="153" spans="1:24" x14ac:dyDescent="0.2">
      <c r="A153" s="733" t="s">
        <v>807</v>
      </c>
      <c r="B153" s="742" t="s">
        <v>430</v>
      </c>
      <c r="C153" s="1035"/>
      <c r="D153" s="1045">
        <v>188</v>
      </c>
      <c r="E153" s="1045">
        <v>188</v>
      </c>
      <c r="F153" s="1045">
        <v>188</v>
      </c>
      <c r="G153" s="1045">
        <v>188</v>
      </c>
      <c r="H153" s="1045">
        <v>188</v>
      </c>
      <c r="I153" s="1045">
        <v>188</v>
      </c>
      <c r="J153" s="1045">
        <v>188</v>
      </c>
      <c r="K153" s="1045">
        <v>188</v>
      </c>
      <c r="L153" s="1045">
        <v>188</v>
      </c>
      <c r="M153" s="1045">
        <v>188</v>
      </c>
      <c r="N153" s="1045">
        <v>188</v>
      </c>
      <c r="O153" s="1045">
        <v>188</v>
      </c>
      <c r="P153" s="810"/>
      <c r="Q153" s="747">
        <f t="shared" si="48"/>
        <v>2256</v>
      </c>
      <c r="R153" s="1145"/>
      <c r="S153" s="747">
        <v>1680.55</v>
      </c>
      <c r="T153" s="1145"/>
      <c r="U153" s="794">
        <f t="shared" si="49"/>
        <v>575.45000000000005</v>
      </c>
      <c r="V153" s="742"/>
      <c r="X153" s="1190">
        <f t="shared" si="50"/>
        <v>0</v>
      </c>
    </row>
    <row r="154" spans="1:24" x14ac:dyDescent="0.2">
      <c r="A154" s="733" t="s">
        <v>808</v>
      </c>
      <c r="B154" s="742" t="s">
        <v>431</v>
      </c>
      <c r="C154" s="1035"/>
      <c r="D154" s="1045">
        <v>2006</v>
      </c>
      <c r="E154" s="1045">
        <v>2006</v>
      </c>
      <c r="F154" s="1045">
        <v>2006</v>
      </c>
      <c r="G154" s="1045">
        <v>2006</v>
      </c>
      <c r="H154" s="1045">
        <v>2006</v>
      </c>
      <c r="I154" s="1045">
        <v>2006</v>
      </c>
      <c r="J154" s="1045">
        <v>2006</v>
      </c>
      <c r="K154" s="1045">
        <v>2006</v>
      </c>
      <c r="L154" s="1045">
        <v>2006</v>
      </c>
      <c r="M154" s="1045">
        <v>2006</v>
      </c>
      <c r="N154" s="1045">
        <v>2006</v>
      </c>
      <c r="O154" s="1045">
        <v>2006</v>
      </c>
      <c r="P154" s="810"/>
      <c r="Q154" s="747">
        <f t="shared" si="48"/>
        <v>24072</v>
      </c>
      <c r="R154" s="1145"/>
      <c r="S154" s="747">
        <v>18417.09</v>
      </c>
      <c r="T154" s="1145"/>
      <c r="U154" s="794">
        <f t="shared" si="49"/>
        <v>5654.91</v>
      </c>
      <c r="V154" s="742"/>
      <c r="X154" s="1190">
        <f t="shared" si="50"/>
        <v>0</v>
      </c>
    </row>
    <row r="155" spans="1:24" x14ac:dyDescent="0.2">
      <c r="A155" s="733" t="s">
        <v>809</v>
      </c>
      <c r="B155" s="742" t="s">
        <v>432</v>
      </c>
      <c r="C155" s="1035"/>
      <c r="D155" s="1045">
        <v>0</v>
      </c>
      <c r="E155" s="1045">
        <v>0</v>
      </c>
      <c r="F155" s="1045">
        <v>0</v>
      </c>
      <c r="G155" s="1045">
        <v>0</v>
      </c>
      <c r="H155" s="1045">
        <v>0</v>
      </c>
      <c r="I155" s="1045">
        <v>0</v>
      </c>
      <c r="J155" s="1045">
        <v>0</v>
      </c>
      <c r="K155" s="1045">
        <v>0</v>
      </c>
      <c r="L155" s="1045">
        <v>0</v>
      </c>
      <c r="M155" s="1045">
        <v>0</v>
      </c>
      <c r="N155" s="1045">
        <v>0</v>
      </c>
      <c r="O155" s="1046">
        <v>0</v>
      </c>
      <c r="P155" s="810"/>
      <c r="Q155" s="747">
        <f t="shared" si="48"/>
        <v>0</v>
      </c>
      <c r="R155" s="1145"/>
      <c r="S155" s="747">
        <v>0</v>
      </c>
      <c r="T155" s="1145"/>
      <c r="U155" s="794">
        <f t="shared" si="49"/>
        <v>0</v>
      </c>
      <c r="V155" s="742"/>
      <c r="X155" s="1190">
        <f t="shared" si="50"/>
        <v>0</v>
      </c>
    </row>
    <row r="156" spans="1:24" x14ac:dyDescent="0.2">
      <c r="A156" s="733" t="s">
        <v>810</v>
      </c>
      <c r="B156" s="742" t="s">
        <v>433</v>
      </c>
      <c r="C156" s="1035"/>
      <c r="D156" s="1045">
        <v>0</v>
      </c>
      <c r="E156" s="1045">
        <v>0</v>
      </c>
      <c r="F156" s="1045">
        <v>0</v>
      </c>
      <c r="G156" s="1045">
        <v>0</v>
      </c>
      <c r="H156" s="1045">
        <v>0</v>
      </c>
      <c r="I156" s="1045">
        <v>0</v>
      </c>
      <c r="J156" s="1045">
        <v>0</v>
      </c>
      <c r="K156" s="1045">
        <v>0</v>
      </c>
      <c r="L156" s="1045">
        <v>0</v>
      </c>
      <c r="M156" s="1045">
        <v>0</v>
      </c>
      <c r="N156" s="1045">
        <v>0</v>
      </c>
      <c r="O156" s="1046">
        <v>0</v>
      </c>
      <c r="P156" s="810"/>
      <c r="Q156" s="747">
        <f t="shared" si="48"/>
        <v>0</v>
      </c>
      <c r="R156" s="1145"/>
      <c r="S156" s="747">
        <v>0</v>
      </c>
      <c r="T156" s="1145"/>
      <c r="U156" s="794">
        <f t="shared" si="49"/>
        <v>0</v>
      </c>
      <c r="V156" s="742"/>
      <c r="X156" s="1190">
        <f t="shared" si="50"/>
        <v>0</v>
      </c>
    </row>
    <row r="157" spans="1:24" x14ac:dyDescent="0.2">
      <c r="A157" s="733" t="s">
        <v>811</v>
      </c>
      <c r="B157" s="742" t="s">
        <v>434</v>
      </c>
      <c r="C157" s="1035"/>
      <c r="D157" s="1045">
        <v>41</v>
      </c>
      <c r="E157" s="1045">
        <v>41</v>
      </c>
      <c r="F157" s="1045">
        <v>41</v>
      </c>
      <c r="G157" s="1045">
        <v>41</v>
      </c>
      <c r="H157" s="1045">
        <v>41</v>
      </c>
      <c r="I157" s="1045">
        <v>41</v>
      </c>
      <c r="J157" s="1045">
        <v>41</v>
      </c>
      <c r="K157" s="1045">
        <v>41</v>
      </c>
      <c r="L157" s="1045">
        <v>41</v>
      </c>
      <c r="M157" s="1045">
        <v>41</v>
      </c>
      <c r="N157" s="1045">
        <v>41</v>
      </c>
      <c r="O157" s="1045">
        <v>41</v>
      </c>
      <c r="P157" s="810"/>
      <c r="Q157" s="747">
        <f t="shared" si="48"/>
        <v>492</v>
      </c>
      <c r="R157" s="1145"/>
      <c r="S157" s="747">
        <v>1061.6500000000001</v>
      </c>
      <c r="T157" s="1145"/>
      <c r="U157" s="794">
        <f t="shared" si="49"/>
        <v>-569.65000000000009</v>
      </c>
      <c r="V157" s="742"/>
      <c r="X157" s="1190">
        <f t="shared" si="50"/>
        <v>0</v>
      </c>
    </row>
    <row r="158" spans="1:24" x14ac:dyDescent="0.2">
      <c r="A158" s="733" t="s">
        <v>812</v>
      </c>
      <c r="B158" s="742" t="s">
        <v>435</v>
      </c>
      <c r="C158" s="1035"/>
      <c r="D158" s="1045"/>
      <c r="E158" s="1045">
        <v>0</v>
      </c>
      <c r="F158" s="1045">
        <v>0</v>
      </c>
      <c r="G158" s="1045">
        <v>61.25</v>
      </c>
      <c r="H158" s="1045">
        <v>0</v>
      </c>
      <c r="I158" s="1045">
        <v>0</v>
      </c>
      <c r="J158" s="1045">
        <v>0</v>
      </c>
      <c r="K158" s="1045">
        <v>0</v>
      </c>
      <c r="L158" s="1045">
        <v>0</v>
      </c>
      <c r="M158" s="1045">
        <v>0</v>
      </c>
      <c r="N158" s="1045">
        <v>0</v>
      </c>
      <c r="O158" s="1046">
        <v>0</v>
      </c>
      <c r="P158" s="810"/>
      <c r="Q158" s="747">
        <f t="shared" si="48"/>
        <v>61.25</v>
      </c>
      <c r="R158" s="1145"/>
      <c r="S158" s="747">
        <v>184.25</v>
      </c>
      <c r="T158" s="1145"/>
      <c r="U158" s="794">
        <f t="shared" si="49"/>
        <v>-123</v>
      </c>
      <c r="V158" s="742"/>
      <c r="X158" s="1190">
        <f t="shared" si="50"/>
        <v>0</v>
      </c>
    </row>
    <row r="159" spans="1:24" x14ac:dyDescent="0.2">
      <c r="A159" s="733" t="s">
        <v>813</v>
      </c>
      <c r="B159" s="742" t="s">
        <v>814</v>
      </c>
      <c r="C159" s="1035"/>
      <c r="D159" s="1045">
        <v>0</v>
      </c>
      <c r="E159" s="1045">
        <v>0</v>
      </c>
      <c r="F159" s="1045">
        <v>0</v>
      </c>
      <c r="G159" s="1045">
        <v>0</v>
      </c>
      <c r="H159" s="1045">
        <v>0</v>
      </c>
      <c r="I159" s="1045">
        <v>0</v>
      </c>
      <c r="J159" s="1045">
        <v>0</v>
      </c>
      <c r="K159" s="1045">
        <v>0</v>
      </c>
      <c r="L159" s="1045">
        <v>0</v>
      </c>
      <c r="M159" s="1045">
        <v>0</v>
      </c>
      <c r="N159" s="1045">
        <v>0</v>
      </c>
      <c r="O159" s="1046">
        <v>0</v>
      </c>
      <c r="P159" s="810"/>
      <c r="Q159" s="747">
        <f t="shared" si="48"/>
        <v>0</v>
      </c>
      <c r="R159" s="1145"/>
      <c r="S159" s="747">
        <v>0</v>
      </c>
      <c r="T159" s="1145"/>
      <c r="U159" s="794">
        <f t="shared" si="49"/>
        <v>0</v>
      </c>
      <c r="V159" s="872"/>
      <c r="X159" s="1190">
        <f t="shared" si="50"/>
        <v>0</v>
      </c>
    </row>
    <row r="160" spans="1:24" x14ac:dyDescent="0.2">
      <c r="A160" s="733" t="s">
        <v>815</v>
      </c>
      <c r="B160" s="742" t="s">
        <v>436</v>
      </c>
      <c r="C160" s="1035"/>
      <c r="D160" s="1045">
        <v>10073</v>
      </c>
      <c r="E160" s="1045">
        <v>10073</v>
      </c>
      <c r="F160" s="1045">
        <v>10073</v>
      </c>
      <c r="G160" s="1045">
        <v>10073</v>
      </c>
      <c r="H160" s="1045">
        <v>10073</v>
      </c>
      <c r="I160" s="1045">
        <v>10073</v>
      </c>
      <c r="J160" s="1045">
        <v>10073</v>
      </c>
      <c r="K160" s="1045">
        <v>10073</v>
      </c>
      <c r="L160" s="1045">
        <v>10073</v>
      </c>
      <c r="M160" s="1045">
        <v>10073</v>
      </c>
      <c r="N160" s="1045"/>
      <c r="O160" s="1045"/>
      <c r="P160" s="810"/>
      <c r="Q160" s="747">
        <f t="shared" si="48"/>
        <v>100730</v>
      </c>
      <c r="R160" s="1145"/>
      <c r="S160" s="747">
        <v>96291.349999999991</v>
      </c>
      <c r="T160" s="1145"/>
      <c r="U160" s="794">
        <f t="shared" si="49"/>
        <v>4438.6500000000087</v>
      </c>
      <c r="V160" s="742"/>
      <c r="X160" s="1190">
        <f t="shared" si="50"/>
        <v>0</v>
      </c>
    </row>
    <row r="161" spans="1:24" x14ac:dyDescent="0.2">
      <c r="B161" s="742"/>
      <c r="C161" s="1035"/>
      <c r="D161" s="1045"/>
      <c r="E161" s="1045"/>
      <c r="F161" s="1045"/>
      <c r="G161" s="1045"/>
      <c r="H161" s="1045"/>
      <c r="I161" s="1045"/>
      <c r="J161" s="1045"/>
      <c r="K161" s="1045"/>
      <c r="L161" s="1045"/>
      <c r="M161" s="1045"/>
      <c r="N161" s="1045"/>
      <c r="O161" s="1046"/>
      <c r="P161" s="810"/>
      <c r="Q161" s="747">
        <f t="shared" si="48"/>
        <v>0</v>
      </c>
      <c r="R161" s="1145"/>
      <c r="S161" s="747">
        <v>0</v>
      </c>
      <c r="T161" s="1145"/>
      <c r="U161" s="794">
        <f t="shared" si="49"/>
        <v>0</v>
      </c>
      <c r="V161" s="742"/>
      <c r="X161" s="1190">
        <f t="shared" si="50"/>
        <v>0</v>
      </c>
    </row>
    <row r="162" spans="1:24" ht="12" thickBot="1" x14ac:dyDescent="0.25">
      <c r="B162" s="855" t="s">
        <v>437</v>
      </c>
      <c r="C162" s="751"/>
      <c r="D162" s="1048">
        <f t="shared" ref="D162:L162" si="51">SUM(D132:D161)</f>
        <v>138674.54999999999</v>
      </c>
      <c r="E162" s="1048">
        <f t="shared" si="51"/>
        <v>140526.46</v>
      </c>
      <c r="F162" s="1048">
        <f t="shared" si="51"/>
        <v>128037.07999999999</v>
      </c>
      <c r="G162" s="1048">
        <f t="shared" si="51"/>
        <v>329675.42</v>
      </c>
      <c r="H162" s="1048">
        <f t="shared" si="51"/>
        <v>128038.25</v>
      </c>
      <c r="I162" s="1048">
        <f t="shared" si="51"/>
        <v>131070.56</v>
      </c>
      <c r="J162" s="1048">
        <f t="shared" ref="J162:K162" si="52">SUM(J132:J161)</f>
        <v>128038.37</v>
      </c>
      <c r="K162" s="1048">
        <f t="shared" si="52"/>
        <v>131378.88</v>
      </c>
      <c r="L162" s="1048">
        <f t="shared" si="51"/>
        <v>133563.03999999998</v>
      </c>
      <c r="M162" s="1048">
        <f t="shared" ref="M162:O162" si="53">SUM(M132:M161)</f>
        <v>128331.54</v>
      </c>
      <c r="N162" s="1048">
        <f t="shared" si="53"/>
        <v>118165.54</v>
      </c>
      <c r="O162" s="1062">
        <f t="shared" si="53"/>
        <v>118878.54</v>
      </c>
      <c r="P162" s="625"/>
      <c r="Q162" s="629">
        <f>SUM(Q132:Q161)</f>
        <v>1754378.23</v>
      </c>
      <c r="R162" s="1146">
        <f>SUM(R132:R161)</f>
        <v>0</v>
      </c>
      <c r="S162" s="629">
        <v>1677761.7500000002</v>
      </c>
      <c r="T162" s="1146">
        <v>0</v>
      </c>
      <c r="U162" s="794">
        <f t="shared" si="49"/>
        <v>76616.479999999749</v>
      </c>
      <c r="V162" s="742"/>
      <c r="X162" s="1190">
        <f t="shared" si="50"/>
        <v>0</v>
      </c>
    </row>
    <row r="163" spans="1:24" ht="12" thickTop="1" x14ac:dyDescent="0.2">
      <c r="B163" s="855"/>
      <c r="C163" s="751"/>
      <c r="D163" s="1049"/>
      <c r="E163" s="1049"/>
      <c r="F163" s="1049"/>
      <c r="G163" s="1049"/>
      <c r="H163" s="1049"/>
      <c r="I163" s="1049"/>
      <c r="J163" s="1049"/>
      <c r="K163" s="1049"/>
      <c r="L163" s="1049"/>
      <c r="M163" s="1049"/>
      <c r="N163" s="1049"/>
      <c r="O163" s="1061"/>
      <c r="P163" s="625"/>
      <c r="Q163" s="634"/>
      <c r="R163" s="1153"/>
      <c r="S163" s="634"/>
      <c r="T163" s="1153"/>
      <c r="U163" s="794">
        <f t="shared" si="49"/>
        <v>0</v>
      </c>
      <c r="V163" s="742"/>
      <c r="X163" s="1190">
        <f t="shared" si="50"/>
        <v>0</v>
      </c>
    </row>
    <row r="164" spans="1:24" ht="12" x14ac:dyDescent="0.2">
      <c r="B164" s="865" t="s">
        <v>438</v>
      </c>
      <c r="C164" s="751"/>
      <c r="D164" s="1049"/>
      <c r="E164" s="1049"/>
      <c r="F164" s="1049"/>
      <c r="G164" s="1049"/>
      <c r="H164" s="1049"/>
      <c r="I164" s="1049"/>
      <c r="J164" s="1049"/>
      <c r="K164" s="1049"/>
      <c r="L164" s="1049"/>
      <c r="M164" s="1049"/>
      <c r="N164" s="1049"/>
      <c r="O164" s="1061"/>
      <c r="P164" s="625"/>
      <c r="Q164" s="634"/>
      <c r="R164" s="1153"/>
      <c r="S164" s="634"/>
      <c r="T164" s="1153"/>
      <c r="U164" s="794">
        <f t="shared" si="49"/>
        <v>0</v>
      </c>
      <c r="V164" s="742"/>
      <c r="X164" s="1190">
        <f t="shared" si="50"/>
        <v>0</v>
      </c>
    </row>
    <row r="165" spans="1:24" x14ac:dyDescent="0.2">
      <c r="A165" s="744" t="s">
        <v>816</v>
      </c>
      <c r="B165" s="768" t="s">
        <v>439</v>
      </c>
      <c r="C165" s="1035"/>
      <c r="D165" s="1045">
        <v>0</v>
      </c>
      <c r="E165" s="1045">
        <v>0</v>
      </c>
      <c r="F165" s="1045">
        <v>0</v>
      </c>
      <c r="G165" s="1045">
        <v>0</v>
      </c>
      <c r="H165" s="1045">
        <v>0</v>
      </c>
      <c r="I165" s="1045">
        <v>0</v>
      </c>
      <c r="J165" s="1045">
        <v>0</v>
      </c>
      <c r="K165" s="1045">
        <v>0</v>
      </c>
      <c r="L165" s="1045">
        <v>0</v>
      </c>
      <c r="M165" s="1045">
        <v>0</v>
      </c>
      <c r="N165" s="1045">
        <v>0</v>
      </c>
      <c r="O165" s="1046">
        <v>150000</v>
      </c>
      <c r="P165" s="810"/>
      <c r="Q165" s="634">
        <f>SUM(D165:O165)</f>
        <v>150000</v>
      </c>
      <c r="R165" s="1153"/>
      <c r="S165" s="634">
        <v>0</v>
      </c>
      <c r="T165" s="1153"/>
      <c r="U165" s="794">
        <f t="shared" si="49"/>
        <v>150000</v>
      </c>
      <c r="V165" s="742"/>
      <c r="X165" s="1190">
        <f t="shared" si="50"/>
        <v>0</v>
      </c>
    </row>
    <row r="166" spans="1:24" ht="12" thickBot="1" x14ac:dyDescent="0.25">
      <c r="A166" s="744"/>
      <c r="B166" s="855" t="s">
        <v>440</v>
      </c>
      <c r="C166" s="1035"/>
      <c r="D166" s="1068">
        <f t="shared" ref="D166:F166" si="54">D165</f>
        <v>0</v>
      </c>
      <c r="E166" s="1068">
        <f t="shared" si="54"/>
        <v>0</v>
      </c>
      <c r="F166" s="1068">
        <f t="shared" si="54"/>
        <v>0</v>
      </c>
      <c r="G166" s="1068">
        <f>G165</f>
        <v>0</v>
      </c>
      <c r="H166" s="1068">
        <f>H165</f>
        <v>0</v>
      </c>
      <c r="I166" s="1068">
        <f>I165</f>
        <v>0</v>
      </c>
      <c r="J166" s="1068">
        <f>J165</f>
        <v>0</v>
      </c>
      <c r="K166" s="1068">
        <f>K165</f>
        <v>0</v>
      </c>
      <c r="L166" s="1068">
        <f t="shared" ref="L166:O166" si="55">L165</f>
        <v>0</v>
      </c>
      <c r="M166" s="1068">
        <f t="shared" si="55"/>
        <v>0</v>
      </c>
      <c r="N166" s="1068">
        <f t="shared" si="55"/>
        <v>0</v>
      </c>
      <c r="O166" s="1069">
        <f t="shared" si="55"/>
        <v>150000</v>
      </c>
      <c r="P166" s="810"/>
      <c r="Q166" s="769">
        <f>SUM(Q165)</f>
        <v>150000</v>
      </c>
      <c r="R166" s="1158">
        <f>SUM(R165)</f>
        <v>0</v>
      </c>
      <c r="S166" s="769">
        <v>0</v>
      </c>
      <c r="T166" s="1158">
        <v>0</v>
      </c>
      <c r="U166" s="794">
        <f t="shared" si="49"/>
        <v>150000</v>
      </c>
      <c r="V166" s="742"/>
      <c r="X166" s="1190">
        <f t="shared" si="50"/>
        <v>0</v>
      </c>
    </row>
    <row r="167" spans="1:24" ht="12" thickTop="1" x14ac:dyDescent="0.2">
      <c r="B167" s="742"/>
      <c r="C167" s="751"/>
      <c r="D167" s="1049"/>
      <c r="E167" s="1049"/>
      <c r="F167" s="1049"/>
      <c r="G167" s="1049"/>
      <c r="H167" s="1049"/>
      <c r="I167" s="1049"/>
      <c r="J167" s="1049"/>
      <c r="K167" s="1049"/>
      <c r="L167" s="1049"/>
      <c r="M167" s="1049"/>
      <c r="N167" s="1049"/>
      <c r="O167" s="1061"/>
      <c r="P167" s="625"/>
      <c r="Q167" s="634"/>
      <c r="R167" s="1153"/>
      <c r="S167" s="634"/>
      <c r="T167" s="1153"/>
      <c r="U167" s="794">
        <f t="shared" si="49"/>
        <v>0</v>
      </c>
      <c r="V167" s="742"/>
      <c r="X167" s="1190">
        <f t="shared" si="50"/>
        <v>0</v>
      </c>
    </row>
    <row r="168" spans="1:24" s="829" customFormat="1" x14ac:dyDescent="0.2">
      <c r="A168" s="733"/>
      <c r="B168" s="854" t="s">
        <v>441</v>
      </c>
      <c r="C168" s="751"/>
      <c r="D168" s="1049"/>
      <c r="E168" s="1049"/>
      <c r="F168" s="1049"/>
      <c r="G168" s="1049"/>
      <c r="H168" s="1049"/>
      <c r="I168" s="1049"/>
      <c r="J168" s="1049"/>
      <c r="K168" s="1049"/>
      <c r="L168" s="1049"/>
      <c r="M168" s="1049"/>
      <c r="N168" s="1049"/>
      <c r="O168" s="1061"/>
      <c r="P168" s="625"/>
      <c r="Q168" s="634"/>
      <c r="R168" s="1153"/>
      <c r="S168" s="634"/>
      <c r="T168" s="1153"/>
      <c r="U168" s="794">
        <f t="shared" si="49"/>
        <v>0</v>
      </c>
      <c r="V168" s="742"/>
      <c r="X168" s="1190">
        <f t="shared" ref="X168:X186" si="56">+R168-T168</f>
        <v>0</v>
      </c>
    </row>
    <row r="169" spans="1:24" x14ac:dyDescent="0.2">
      <c r="A169" s="733" t="s">
        <v>817</v>
      </c>
      <c r="B169" s="742" t="s">
        <v>443</v>
      </c>
      <c r="C169" s="1035"/>
      <c r="D169" s="1045">
        <v>0</v>
      </c>
      <c r="E169" s="1045">
        <v>6337</v>
      </c>
      <c r="F169" s="1045">
        <v>6337</v>
      </c>
      <c r="G169" s="1045">
        <v>6337</v>
      </c>
      <c r="H169" s="1045">
        <v>6337</v>
      </c>
      <c r="I169" s="1045">
        <v>6337</v>
      </c>
      <c r="J169" s="1045">
        <v>6337</v>
      </c>
      <c r="K169" s="1045">
        <v>6337</v>
      </c>
      <c r="L169" s="1045">
        <v>6337</v>
      </c>
      <c r="M169" s="1045">
        <v>6337</v>
      </c>
      <c r="N169" s="1045">
        <v>6337</v>
      </c>
      <c r="O169" s="1056">
        <v>0</v>
      </c>
      <c r="P169" s="810"/>
      <c r="Q169" s="747">
        <f t="shared" ref="Q169:Q184" si="57">SUM(D169:P169)</f>
        <v>63370</v>
      </c>
      <c r="R169" s="1145"/>
      <c r="S169" s="747">
        <v>-0.13000000000465661</v>
      </c>
      <c r="T169" s="1145"/>
      <c r="U169" s="794">
        <f t="shared" si="49"/>
        <v>63370.130000000005</v>
      </c>
      <c r="V169" s="830"/>
      <c r="X169" s="1190">
        <f t="shared" si="56"/>
        <v>0</v>
      </c>
    </row>
    <row r="170" spans="1:24" x14ac:dyDescent="0.2">
      <c r="A170" s="829" t="s">
        <v>818</v>
      </c>
      <c r="B170" s="830" t="s">
        <v>442</v>
      </c>
      <c r="C170" s="1037"/>
      <c r="D170" s="1045">
        <v>0</v>
      </c>
      <c r="E170" s="1045">
        <v>0</v>
      </c>
      <c r="F170" s="1045">
        <v>0</v>
      </c>
      <c r="G170" s="1045">
        <v>0</v>
      </c>
      <c r="H170" s="1045">
        <v>0</v>
      </c>
      <c r="I170" s="1045">
        <v>0</v>
      </c>
      <c r="J170" s="1045">
        <v>0</v>
      </c>
      <c r="K170" s="1045">
        <v>0</v>
      </c>
      <c r="L170" s="1045">
        <v>0</v>
      </c>
      <c r="M170" s="1045">
        <v>0</v>
      </c>
      <c r="N170" s="1045">
        <v>0</v>
      </c>
      <c r="O170" s="1046">
        <v>0</v>
      </c>
      <c r="P170" s="828"/>
      <c r="Q170" s="747">
        <f t="shared" si="57"/>
        <v>0</v>
      </c>
      <c r="R170" s="1145"/>
      <c r="S170" s="747">
        <v>0</v>
      </c>
      <c r="T170" s="1145"/>
      <c r="U170" s="794">
        <f t="shared" si="49"/>
        <v>0</v>
      </c>
      <c r="V170" s="742"/>
      <c r="X170" s="1190">
        <f t="shared" si="56"/>
        <v>0</v>
      </c>
    </row>
    <row r="171" spans="1:24" x14ac:dyDescent="0.2">
      <c r="A171" s="733" t="s">
        <v>819</v>
      </c>
      <c r="B171" s="881" t="s">
        <v>444</v>
      </c>
      <c r="C171" s="1035"/>
      <c r="D171" s="1045">
        <v>951</v>
      </c>
      <c r="E171" s="1045">
        <v>951</v>
      </c>
      <c r="F171" s="1045">
        <v>951</v>
      </c>
      <c r="G171" s="1045">
        <v>951</v>
      </c>
      <c r="H171" s="1045">
        <v>951</v>
      </c>
      <c r="I171" s="1045">
        <v>951</v>
      </c>
      <c r="J171" s="1045">
        <v>951</v>
      </c>
      <c r="K171" s="1045">
        <v>951</v>
      </c>
      <c r="L171" s="1045">
        <v>951</v>
      </c>
      <c r="M171" s="1045">
        <v>951</v>
      </c>
      <c r="N171" s="1045">
        <v>951</v>
      </c>
      <c r="O171" s="1045">
        <v>951</v>
      </c>
      <c r="P171" s="810"/>
      <c r="Q171" s="747">
        <f t="shared" si="57"/>
        <v>11412</v>
      </c>
      <c r="R171" s="1145"/>
      <c r="S171" s="747">
        <v>9952.7899999999991</v>
      </c>
      <c r="T171" s="1145"/>
      <c r="U171" s="794">
        <f t="shared" si="49"/>
        <v>1459.2100000000009</v>
      </c>
      <c r="V171" s="742"/>
      <c r="X171" s="1190">
        <f t="shared" si="56"/>
        <v>0</v>
      </c>
    </row>
    <row r="172" spans="1:24" x14ac:dyDescent="0.2">
      <c r="A172" s="733" t="s">
        <v>820</v>
      </c>
      <c r="B172" s="742" t="s">
        <v>445</v>
      </c>
      <c r="C172" s="1035"/>
      <c r="D172" s="1045">
        <v>2863</v>
      </c>
      <c r="E172" s="1045">
        <v>2863</v>
      </c>
      <c r="F172" s="1045">
        <v>2863</v>
      </c>
      <c r="G172" s="1045">
        <v>2863</v>
      </c>
      <c r="H172" s="1045">
        <v>2863</v>
      </c>
      <c r="I172" s="1045">
        <v>2863</v>
      </c>
      <c r="J172" s="1045">
        <v>2863</v>
      </c>
      <c r="K172" s="1045">
        <v>2863</v>
      </c>
      <c r="L172" s="1045">
        <v>2863</v>
      </c>
      <c r="M172" s="1045">
        <v>2863</v>
      </c>
      <c r="N172" s="1045">
        <v>2863</v>
      </c>
      <c r="O172" s="1045">
        <v>2863</v>
      </c>
      <c r="P172" s="810"/>
      <c r="Q172" s="747">
        <f t="shared" si="57"/>
        <v>34356</v>
      </c>
      <c r="R172" s="1145"/>
      <c r="S172" s="747">
        <v>28192.23</v>
      </c>
      <c r="T172" s="1145"/>
      <c r="U172" s="794">
        <f t="shared" si="49"/>
        <v>6163.77</v>
      </c>
      <c r="V172" s="742"/>
      <c r="X172" s="1190">
        <f t="shared" si="56"/>
        <v>0</v>
      </c>
    </row>
    <row r="173" spans="1:24" x14ac:dyDescent="0.2">
      <c r="A173" s="733" t="s">
        <v>821</v>
      </c>
      <c r="B173" s="742" t="s">
        <v>446</v>
      </c>
      <c r="C173" s="1035"/>
      <c r="D173" s="1045">
        <v>0</v>
      </c>
      <c r="E173" s="1045">
        <v>0</v>
      </c>
      <c r="F173" s="1045">
        <v>0</v>
      </c>
      <c r="G173" s="1045">
        <v>0</v>
      </c>
      <c r="H173" s="1045">
        <v>0</v>
      </c>
      <c r="I173" s="1045">
        <v>0</v>
      </c>
      <c r="J173" s="1045">
        <v>0</v>
      </c>
      <c r="K173" s="1045">
        <v>0</v>
      </c>
      <c r="L173" s="1045">
        <v>0</v>
      </c>
      <c r="M173" s="1045">
        <v>0</v>
      </c>
      <c r="N173" s="1045">
        <v>0</v>
      </c>
      <c r="O173" s="1046">
        <v>0</v>
      </c>
      <c r="P173" s="810"/>
      <c r="Q173" s="747">
        <f t="shared" si="57"/>
        <v>0</v>
      </c>
      <c r="R173" s="1145"/>
      <c r="S173" s="747">
        <v>0</v>
      </c>
      <c r="T173" s="1145"/>
      <c r="U173" s="794">
        <f t="shared" si="49"/>
        <v>0</v>
      </c>
      <c r="V173" s="742"/>
      <c r="X173" s="1190">
        <f t="shared" si="56"/>
        <v>0</v>
      </c>
    </row>
    <row r="174" spans="1:24" x14ac:dyDescent="0.2">
      <c r="A174" s="733" t="s">
        <v>822</v>
      </c>
      <c r="B174" s="742" t="s">
        <v>447</v>
      </c>
      <c r="C174" s="1035"/>
      <c r="D174" s="1045">
        <v>2908</v>
      </c>
      <c r="E174" s="1045">
        <v>2908</v>
      </c>
      <c r="F174" s="1045">
        <v>2908</v>
      </c>
      <c r="G174" s="1045">
        <v>2908</v>
      </c>
      <c r="H174" s="1045">
        <v>2908</v>
      </c>
      <c r="I174" s="1045">
        <v>2908</v>
      </c>
      <c r="J174" s="1045">
        <v>2908</v>
      </c>
      <c r="K174" s="1045">
        <v>2908</v>
      </c>
      <c r="L174" s="1045">
        <v>2908</v>
      </c>
      <c r="M174" s="1045">
        <v>2908</v>
      </c>
      <c r="N174" s="1045">
        <v>2908</v>
      </c>
      <c r="O174" s="1045">
        <v>2908</v>
      </c>
      <c r="P174" s="810"/>
      <c r="Q174" s="747">
        <f t="shared" si="57"/>
        <v>34896</v>
      </c>
      <c r="R174" s="1145"/>
      <c r="S174" s="747">
        <v>24814.27</v>
      </c>
      <c r="T174" s="1145"/>
      <c r="U174" s="794">
        <f t="shared" si="49"/>
        <v>10081.73</v>
      </c>
      <c r="V174" s="742"/>
      <c r="X174" s="1190">
        <f t="shared" si="56"/>
        <v>0</v>
      </c>
    </row>
    <row r="175" spans="1:24" x14ac:dyDescent="0.2">
      <c r="A175" s="733" t="s">
        <v>950</v>
      </c>
      <c r="B175" s="742" t="s">
        <v>949</v>
      </c>
      <c r="C175" s="1035"/>
      <c r="D175" s="1045">
        <v>0</v>
      </c>
      <c r="E175" s="1045">
        <v>0</v>
      </c>
      <c r="F175" s="1045">
        <v>0</v>
      </c>
      <c r="G175" s="1045">
        <v>0</v>
      </c>
      <c r="H175" s="1045">
        <v>2135.25</v>
      </c>
      <c r="I175" s="1045">
        <v>0</v>
      </c>
      <c r="J175" s="1045">
        <v>0</v>
      </c>
      <c r="K175" s="1045">
        <v>7.75</v>
      </c>
      <c r="L175" s="1045">
        <v>0</v>
      </c>
      <c r="M175" s="1045">
        <v>0</v>
      </c>
      <c r="N175" s="1045">
        <v>0</v>
      </c>
      <c r="O175" s="1046">
        <v>29</v>
      </c>
      <c r="P175" s="810"/>
      <c r="Q175" s="747">
        <f t="shared" si="57"/>
        <v>2172</v>
      </c>
      <c r="R175" s="1145"/>
      <c r="S175" s="747">
        <v>2165.0500000000002</v>
      </c>
      <c r="T175" s="1145"/>
      <c r="U175" s="794">
        <f t="shared" si="49"/>
        <v>6.9499999999998181</v>
      </c>
      <c r="V175" s="742"/>
      <c r="X175" s="1190">
        <f t="shared" si="56"/>
        <v>0</v>
      </c>
    </row>
    <row r="176" spans="1:24" x14ac:dyDescent="0.2">
      <c r="A176" s="733" t="s">
        <v>823</v>
      </c>
      <c r="B176" s="742" t="s">
        <v>448</v>
      </c>
      <c r="C176" s="1035"/>
      <c r="D176" s="1045">
        <v>0</v>
      </c>
      <c r="E176" s="1045">
        <v>0</v>
      </c>
      <c r="F176" s="1045">
        <v>0</v>
      </c>
      <c r="G176" s="1045">
        <v>0</v>
      </c>
      <c r="H176" s="1045">
        <v>134</v>
      </c>
      <c r="I176" s="1045">
        <v>0</v>
      </c>
      <c r="J176" s="1045">
        <v>0</v>
      </c>
      <c r="K176" s="1045">
        <v>0</v>
      </c>
      <c r="L176" s="1045">
        <v>75</v>
      </c>
      <c r="M176" s="1045">
        <f>350+113</f>
        <v>463</v>
      </c>
      <c r="N176" s="1045">
        <v>538</v>
      </c>
      <c r="O176" s="1046">
        <f>262+203.5</f>
        <v>465.5</v>
      </c>
      <c r="P176" s="810"/>
      <c r="Q176" s="747">
        <f t="shared" si="57"/>
        <v>1675.5</v>
      </c>
      <c r="R176" s="1145"/>
      <c r="S176" s="747">
        <v>1675.5</v>
      </c>
      <c r="T176" s="1145"/>
      <c r="U176" s="794">
        <f t="shared" si="49"/>
        <v>0</v>
      </c>
      <c r="V176" s="742"/>
      <c r="X176" s="1190">
        <f t="shared" si="56"/>
        <v>0</v>
      </c>
    </row>
    <row r="177" spans="1:24" x14ac:dyDescent="0.2">
      <c r="A177" s="733" t="s">
        <v>824</v>
      </c>
      <c r="B177" s="742" t="s">
        <v>449</v>
      </c>
      <c r="C177" s="1035"/>
      <c r="D177" s="1045">
        <v>0</v>
      </c>
      <c r="E177" s="1045">
        <v>0</v>
      </c>
      <c r="F177" s="1045">
        <v>2993.76</v>
      </c>
      <c r="G177" s="1045">
        <v>3641.84</v>
      </c>
      <c r="H177" s="1045">
        <v>3810.2400000000002</v>
      </c>
      <c r="I177" s="1045">
        <v>3094.26</v>
      </c>
      <c r="J177" s="1045">
        <v>2576.92</v>
      </c>
      <c r="K177" s="1045">
        <v>3218.46</v>
      </c>
      <c r="L177" s="1045">
        <v>3466.25</v>
      </c>
      <c r="M177" s="1045">
        <f>3200-113</f>
        <v>3087</v>
      </c>
      <c r="N177" s="1045">
        <v>3200</v>
      </c>
      <c r="O177" s="1046">
        <f>1504+134-444+73</f>
        <v>1267</v>
      </c>
      <c r="P177" s="810"/>
      <c r="Q177" s="747">
        <f t="shared" si="57"/>
        <v>30355.73</v>
      </c>
      <c r="R177" s="1145"/>
      <c r="S177" s="747">
        <v>30359.190000000002</v>
      </c>
      <c r="T177" s="1145"/>
      <c r="U177" s="794">
        <f t="shared" si="49"/>
        <v>-3.4600000000027649</v>
      </c>
      <c r="V177" s="742"/>
      <c r="X177" s="1190">
        <f t="shared" si="56"/>
        <v>0</v>
      </c>
    </row>
    <row r="178" spans="1:24" x14ac:dyDescent="0.2">
      <c r="A178" s="733" t="s">
        <v>825</v>
      </c>
      <c r="B178" s="742" t="s">
        <v>826</v>
      </c>
      <c r="C178" s="1035"/>
      <c r="D178" s="1045">
        <v>0</v>
      </c>
      <c r="E178" s="1045">
        <v>0</v>
      </c>
      <c r="F178" s="1045">
        <v>0</v>
      </c>
      <c r="G178" s="1045">
        <v>0</v>
      </c>
      <c r="H178" s="1045">
        <v>0</v>
      </c>
      <c r="I178" s="1045">
        <v>0</v>
      </c>
      <c r="J178" s="1045">
        <v>0</v>
      </c>
      <c r="K178" s="1045">
        <v>0</v>
      </c>
      <c r="L178" s="1045">
        <v>0</v>
      </c>
      <c r="M178" s="1045"/>
      <c r="N178" s="1045"/>
      <c r="O178" s="1046">
        <v>0</v>
      </c>
      <c r="P178" s="810"/>
      <c r="Q178" s="747">
        <v>0</v>
      </c>
      <c r="R178" s="1145"/>
      <c r="S178" s="747">
        <v>0</v>
      </c>
      <c r="T178" s="1145"/>
      <c r="U178" s="794">
        <f t="shared" si="49"/>
        <v>0</v>
      </c>
      <c r="V178" s="742"/>
      <c r="X178" s="1190">
        <f t="shared" si="56"/>
        <v>0</v>
      </c>
    </row>
    <row r="179" spans="1:24" x14ac:dyDescent="0.2">
      <c r="A179" s="733" t="s">
        <v>827</v>
      </c>
      <c r="B179" s="742" t="s">
        <v>450</v>
      </c>
      <c r="C179" s="1035"/>
      <c r="D179" s="1045">
        <v>0</v>
      </c>
      <c r="E179" s="1045">
        <v>0</v>
      </c>
      <c r="F179" s="1045">
        <v>0</v>
      </c>
      <c r="G179" s="1045">
        <v>0</v>
      </c>
      <c r="H179" s="1045">
        <v>0</v>
      </c>
      <c r="I179" s="1045">
        <v>0</v>
      </c>
      <c r="J179" s="1045">
        <v>0</v>
      </c>
      <c r="K179" s="1045">
        <v>0</v>
      </c>
      <c r="L179" s="1045">
        <v>0</v>
      </c>
      <c r="M179" s="1045"/>
      <c r="N179" s="1045"/>
      <c r="O179" s="1046">
        <v>996</v>
      </c>
      <c r="P179" s="810"/>
      <c r="Q179" s="747">
        <f t="shared" si="57"/>
        <v>996</v>
      </c>
      <c r="R179" s="1145"/>
      <c r="S179" s="747">
        <v>996</v>
      </c>
      <c r="T179" s="1145"/>
      <c r="U179" s="794">
        <f t="shared" si="49"/>
        <v>0</v>
      </c>
      <c r="V179" s="872"/>
      <c r="X179" s="1190">
        <f t="shared" si="56"/>
        <v>0</v>
      </c>
    </row>
    <row r="180" spans="1:24" x14ac:dyDescent="0.2">
      <c r="A180" s="733" t="s">
        <v>828</v>
      </c>
      <c r="B180" s="742" t="s">
        <v>451</v>
      </c>
      <c r="C180" s="1035"/>
      <c r="D180" s="1045">
        <v>0</v>
      </c>
      <c r="E180" s="1045">
        <v>0</v>
      </c>
      <c r="F180" s="1045">
        <v>0</v>
      </c>
      <c r="G180" s="1045">
        <v>0</v>
      </c>
      <c r="H180" s="1045">
        <v>0</v>
      </c>
      <c r="I180" s="1045">
        <v>0</v>
      </c>
      <c r="J180" s="1045">
        <v>0</v>
      </c>
      <c r="K180" s="1045">
        <v>0</v>
      </c>
      <c r="L180" s="1045">
        <v>0</v>
      </c>
      <c r="M180" s="1045">
        <v>0</v>
      </c>
      <c r="N180" s="1045">
        <v>0</v>
      </c>
      <c r="O180" s="1046">
        <v>0</v>
      </c>
      <c r="P180" s="810"/>
      <c r="Q180" s="747">
        <f t="shared" si="57"/>
        <v>0</v>
      </c>
      <c r="R180" s="1145"/>
      <c r="S180" s="747">
        <v>0</v>
      </c>
      <c r="T180" s="1145"/>
      <c r="U180" s="794">
        <f t="shared" si="49"/>
        <v>0</v>
      </c>
      <c r="V180" s="742"/>
      <c r="X180" s="1190">
        <f t="shared" si="56"/>
        <v>0</v>
      </c>
    </row>
    <row r="181" spans="1:24" x14ac:dyDescent="0.2">
      <c r="A181" s="733" t="s">
        <v>829</v>
      </c>
      <c r="B181" s="742" t="s">
        <v>452</v>
      </c>
      <c r="C181" s="1035"/>
      <c r="D181" s="1049">
        <v>13247</v>
      </c>
      <c r="E181" s="1049">
        <v>13247</v>
      </c>
      <c r="F181" s="1049">
        <v>13247</v>
      </c>
      <c r="G181" s="1049">
        <v>13247</v>
      </c>
      <c r="H181" s="1049">
        <v>13247</v>
      </c>
      <c r="I181" s="1049">
        <v>13247</v>
      </c>
      <c r="J181" s="1049">
        <v>13247</v>
      </c>
      <c r="K181" s="1049">
        <v>13247</v>
      </c>
      <c r="L181" s="1049">
        <v>13247</v>
      </c>
      <c r="M181" s="1049">
        <v>13247</v>
      </c>
      <c r="N181" s="1049">
        <v>13247</v>
      </c>
      <c r="O181" s="1049">
        <v>13247</v>
      </c>
      <c r="P181" s="810"/>
      <c r="Q181" s="747">
        <f t="shared" si="57"/>
        <v>158964</v>
      </c>
      <c r="R181" s="1145"/>
      <c r="S181" s="747">
        <v>137941.56</v>
      </c>
      <c r="T181" s="1145"/>
      <c r="U181" s="794">
        <f t="shared" si="49"/>
        <v>21022.440000000002</v>
      </c>
      <c r="V181" s="742"/>
      <c r="X181" s="1190">
        <f t="shared" si="56"/>
        <v>0</v>
      </c>
    </row>
    <row r="182" spans="1:24" x14ac:dyDescent="0.2">
      <c r="A182" s="733" t="s">
        <v>830</v>
      </c>
      <c r="B182" s="742" t="s">
        <v>831</v>
      </c>
      <c r="C182" s="1035"/>
      <c r="D182" s="1045">
        <v>0</v>
      </c>
      <c r="E182" s="1045"/>
      <c r="F182" s="1045">
        <v>0</v>
      </c>
      <c r="G182" s="1045"/>
      <c r="H182" s="1045"/>
      <c r="I182" s="1045">
        <v>0</v>
      </c>
      <c r="J182" s="1045">
        <v>0</v>
      </c>
      <c r="K182" s="1045"/>
      <c r="L182" s="1045">
        <v>0</v>
      </c>
      <c r="M182" s="1045"/>
      <c r="N182" s="1045">
        <v>0</v>
      </c>
      <c r="O182" s="1046" t="s">
        <v>296</v>
      </c>
      <c r="P182" s="810"/>
      <c r="Q182" s="747">
        <f t="shared" si="57"/>
        <v>0</v>
      </c>
      <c r="R182" s="1145"/>
      <c r="S182" s="747">
        <v>3218.25</v>
      </c>
      <c r="T182" s="1145"/>
      <c r="U182" s="794">
        <f t="shared" si="49"/>
        <v>-3218.25</v>
      </c>
      <c r="V182" s="742"/>
      <c r="X182" s="1190">
        <f t="shared" si="56"/>
        <v>0</v>
      </c>
    </row>
    <row r="183" spans="1:24" x14ac:dyDescent="0.2">
      <c r="A183" s="733" t="s">
        <v>832</v>
      </c>
      <c r="B183" s="742" t="s">
        <v>833</v>
      </c>
      <c r="C183" s="1035"/>
      <c r="D183" s="1045">
        <v>0</v>
      </c>
      <c r="E183" s="1045">
        <v>0</v>
      </c>
      <c r="F183" s="1045">
        <v>0</v>
      </c>
      <c r="G183" s="1045">
        <v>0</v>
      </c>
      <c r="H183" s="1045">
        <v>0</v>
      </c>
      <c r="I183" s="1045">
        <v>0</v>
      </c>
      <c r="J183" s="1045">
        <v>0</v>
      </c>
      <c r="K183" s="1045">
        <v>0</v>
      </c>
      <c r="L183" s="1045">
        <v>0</v>
      </c>
      <c r="M183" s="1045"/>
      <c r="N183" s="1045">
        <v>0</v>
      </c>
      <c r="O183" s="1046">
        <v>0</v>
      </c>
      <c r="P183" s="810"/>
      <c r="Q183" s="747">
        <v>0</v>
      </c>
      <c r="R183" s="1145"/>
      <c r="S183" s="747">
        <v>0</v>
      </c>
      <c r="T183" s="1145"/>
      <c r="U183" s="794">
        <f t="shared" si="49"/>
        <v>0</v>
      </c>
      <c r="V183" s="742"/>
      <c r="X183" s="1190">
        <f t="shared" si="56"/>
        <v>0</v>
      </c>
    </row>
    <row r="184" spans="1:24" x14ac:dyDescent="0.2">
      <c r="A184" s="733" t="s">
        <v>834</v>
      </c>
      <c r="B184" s="742" t="s">
        <v>453</v>
      </c>
      <c r="C184" s="1035"/>
      <c r="D184" s="1045">
        <v>0</v>
      </c>
      <c r="E184" s="1045">
        <v>7345</v>
      </c>
      <c r="F184" s="1045">
        <v>7345</v>
      </c>
      <c r="G184" s="1045">
        <v>7345</v>
      </c>
      <c r="H184" s="1045">
        <v>7345</v>
      </c>
      <c r="I184" s="1045">
        <v>7345</v>
      </c>
      <c r="J184" s="1045">
        <v>7345</v>
      </c>
      <c r="K184" s="1045">
        <v>7345</v>
      </c>
      <c r="L184" s="1045">
        <v>7345</v>
      </c>
      <c r="M184" s="1045">
        <v>7345</v>
      </c>
      <c r="N184" s="1045">
        <v>7345</v>
      </c>
      <c r="O184" s="1046"/>
      <c r="P184" s="810"/>
      <c r="Q184" s="747">
        <f t="shared" si="57"/>
        <v>73450</v>
      </c>
      <c r="R184" s="1145"/>
      <c r="S184" s="747">
        <v>82960.600000000006</v>
      </c>
      <c r="T184" s="1145"/>
      <c r="U184" s="794">
        <f t="shared" si="49"/>
        <v>-9510.6000000000058</v>
      </c>
      <c r="V184" s="742"/>
      <c r="X184" s="1190">
        <f t="shared" si="56"/>
        <v>0</v>
      </c>
    </row>
    <row r="185" spans="1:24" ht="12" thickBot="1" x14ac:dyDescent="0.25">
      <c r="B185" s="855"/>
      <c r="C185" s="751"/>
      <c r="D185" s="1048">
        <f t="shared" ref="D185:L185" si="58">SUM(D169:D184)</f>
        <v>19969</v>
      </c>
      <c r="E185" s="1048">
        <f t="shared" si="58"/>
        <v>33651</v>
      </c>
      <c r="F185" s="1048">
        <f t="shared" si="58"/>
        <v>36644.76</v>
      </c>
      <c r="G185" s="1048">
        <f t="shared" si="58"/>
        <v>37292.839999999997</v>
      </c>
      <c r="H185" s="1048">
        <f t="shared" si="58"/>
        <v>39730.490000000005</v>
      </c>
      <c r="I185" s="1048">
        <f t="shared" si="58"/>
        <v>36745.26</v>
      </c>
      <c r="J185" s="1048">
        <f t="shared" ref="J185:K185" si="59">SUM(J169:J184)</f>
        <v>36227.919999999998</v>
      </c>
      <c r="K185" s="1048">
        <f t="shared" si="59"/>
        <v>36877.21</v>
      </c>
      <c r="L185" s="1048">
        <f t="shared" si="58"/>
        <v>37192.25</v>
      </c>
      <c r="M185" s="1048">
        <f t="shared" ref="M185:O185" si="60">SUM(M169:M184)</f>
        <v>37201</v>
      </c>
      <c r="N185" s="1048">
        <f t="shared" si="60"/>
        <v>37389</v>
      </c>
      <c r="O185" s="1062">
        <f t="shared" si="60"/>
        <v>22726.5</v>
      </c>
      <c r="P185" s="625"/>
      <c r="Q185" s="609">
        <f>SUM(Q169:Q184)</f>
        <v>411647.23</v>
      </c>
      <c r="R185" s="1159">
        <f>SUM(R169:R184)</f>
        <v>0</v>
      </c>
      <c r="S185" s="609">
        <v>322275.31</v>
      </c>
      <c r="T185" s="1159">
        <v>0</v>
      </c>
      <c r="U185" s="794">
        <f t="shared" si="49"/>
        <v>89371.919999999984</v>
      </c>
      <c r="V185" s="742"/>
      <c r="X185" s="1190">
        <f t="shared" si="56"/>
        <v>0</v>
      </c>
    </row>
    <row r="186" spans="1:24" ht="12" thickTop="1" x14ac:dyDescent="0.2">
      <c r="B186" s="742"/>
      <c r="C186" s="751"/>
      <c r="D186" s="1049"/>
      <c r="E186" s="1049"/>
      <c r="F186" s="1049"/>
      <c r="G186" s="1049"/>
      <c r="H186" s="1049"/>
      <c r="I186" s="1049"/>
      <c r="J186" s="1049"/>
      <c r="K186" s="1049"/>
      <c r="L186" s="1049"/>
      <c r="M186" s="1049"/>
      <c r="N186" s="1049"/>
      <c r="O186" s="1061"/>
      <c r="P186" s="625"/>
      <c r="Q186" s="635"/>
      <c r="R186" s="1154"/>
      <c r="S186" s="635"/>
      <c r="T186" s="1154"/>
      <c r="U186" s="794">
        <f t="shared" si="49"/>
        <v>0</v>
      </c>
      <c r="V186" s="742"/>
      <c r="X186" s="1190">
        <f t="shared" si="56"/>
        <v>0</v>
      </c>
    </row>
    <row r="187" spans="1:24" x14ac:dyDescent="0.2">
      <c r="B187" s="864" t="s">
        <v>454</v>
      </c>
      <c r="C187" s="751">
        <f>+C62+C68+C97+C103+C115+C119+C124+C129+C162+C165+C185</f>
        <v>0</v>
      </c>
      <c r="D187" s="1059">
        <f t="shared" ref="D187:I187" si="61">D62+D68+D97+D103+D115+D119+D124+D129+D162+D165+D185</f>
        <v>475028.25169230771</v>
      </c>
      <c r="E187" s="1059">
        <f t="shared" si="61"/>
        <v>704390.34741226444</v>
      </c>
      <c r="F187" s="1059">
        <f t="shared" si="61"/>
        <v>683576.45502764906</v>
      </c>
      <c r="G187" s="1059">
        <f t="shared" si="61"/>
        <v>895341.72621995665</v>
      </c>
      <c r="H187" s="1059">
        <f t="shared" si="61"/>
        <v>684360.60621995665</v>
      </c>
      <c r="I187" s="1059">
        <f t="shared" si="61"/>
        <v>670713.6150276491</v>
      </c>
      <c r="J187" s="1059">
        <f t="shared" ref="J187:K187" si="62">J62+J68+J97+J103+J115+J119+J124+J129+J162+J165+J185</f>
        <v>694464.22741226444</v>
      </c>
      <c r="K187" s="1059">
        <f t="shared" si="62"/>
        <v>671248.08502764907</v>
      </c>
      <c r="L187" s="1059">
        <f t="shared" ref="L187:O187" si="63">L62+L68+L97+L103+L115+L119+L124+L129+L162+L165+L185</f>
        <v>673422.98502764897</v>
      </c>
      <c r="M187" s="1059">
        <f t="shared" si="63"/>
        <v>682006.4062199567</v>
      </c>
      <c r="N187" s="1059">
        <f t="shared" si="63"/>
        <v>685333.47741226444</v>
      </c>
      <c r="O187" s="1060">
        <f t="shared" si="63"/>
        <v>758488.16383534146</v>
      </c>
      <c r="P187" s="812">
        <f>P62</f>
        <v>295926.38925841823</v>
      </c>
      <c r="Q187" s="634">
        <f>+Q68+Q97+Q103+Q115+Q119+Q124+Q129+Q162+Q166+Q185+Q62</f>
        <v>8591976.662102541</v>
      </c>
      <c r="R187" s="1153">
        <f>+R68+R97+R103+R115+R119+R124+R129+R162+R166+R185+R62</f>
        <v>0</v>
      </c>
      <c r="S187" s="634">
        <v>8478028.9074454382</v>
      </c>
      <c r="T187" s="1153">
        <v>51970</v>
      </c>
      <c r="U187" s="794">
        <f t="shared" si="49"/>
        <v>113947.75465710275</v>
      </c>
      <c r="V187" s="742"/>
      <c r="X187" s="1190"/>
    </row>
    <row r="188" spans="1:24" x14ac:dyDescent="0.2">
      <c r="B188" s="742"/>
      <c r="C188" s="751"/>
      <c r="D188" s="1049"/>
      <c r="E188" s="1049"/>
      <c r="F188" s="1049"/>
      <c r="G188" s="1049"/>
      <c r="H188" s="1049"/>
      <c r="I188" s="1049"/>
      <c r="J188" s="1049"/>
      <c r="K188" s="1049"/>
      <c r="L188" s="1049"/>
      <c r="M188" s="1049"/>
      <c r="N188" s="1049"/>
      <c r="O188" s="1061"/>
      <c r="P188" s="625"/>
      <c r="Q188" s="634"/>
      <c r="R188" s="1153"/>
      <c r="S188" s="634"/>
      <c r="T188" s="1153"/>
      <c r="U188" s="794">
        <f t="shared" si="49"/>
        <v>0</v>
      </c>
      <c r="V188" s="742"/>
      <c r="X188" s="1190">
        <f>+R188-T188</f>
        <v>0</v>
      </c>
    </row>
    <row r="189" spans="1:24" ht="12" thickBot="1" x14ac:dyDescent="0.25">
      <c r="B189" s="866" t="s">
        <v>455</v>
      </c>
      <c r="C189" s="1038"/>
      <c r="D189" s="1070">
        <f t="shared" ref="D189:I189" si="64">+D36-D187</f>
        <v>115690.697133535</v>
      </c>
      <c r="E189" s="1070">
        <f t="shared" si="64"/>
        <v>-47766.231919755111</v>
      </c>
      <c r="F189" s="1070">
        <f t="shared" si="64"/>
        <v>213400.30046486028</v>
      </c>
      <c r="G189" s="1070">
        <f t="shared" si="64"/>
        <v>-238717.61072744732</v>
      </c>
      <c r="H189" s="1070">
        <f t="shared" si="64"/>
        <v>-27736.490727447323</v>
      </c>
      <c r="I189" s="1070">
        <f t="shared" si="64"/>
        <v>-14089.499535139767</v>
      </c>
      <c r="J189" s="1070">
        <f t="shared" ref="J189:K189" si="65">+J36-J187</f>
        <v>-37840.111919755116</v>
      </c>
      <c r="K189" s="1070">
        <f t="shared" si="65"/>
        <v>-14623.969535139739</v>
      </c>
      <c r="L189" s="1070">
        <f t="shared" ref="L189:N189" si="66">+L36-L187</f>
        <v>-16798.869535139645</v>
      </c>
      <c r="M189" s="1070">
        <f t="shared" si="66"/>
        <v>-25382.290727447369</v>
      </c>
      <c r="N189" s="1070">
        <f t="shared" si="66"/>
        <v>-45685.361919755116</v>
      </c>
      <c r="O189" s="1071">
        <f>+O36-O187-P187</f>
        <v>-43813.270934583619</v>
      </c>
      <c r="P189" s="637"/>
      <c r="Q189" s="633">
        <f>+Q36-Q187</f>
        <v>242368.36380757205</v>
      </c>
      <c r="R189" s="1155">
        <f>+R36-R187</f>
        <v>0</v>
      </c>
      <c r="S189" s="633">
        <v>-110274.68651149794</v>
      </c>
      <c r="T189" s="1155">
        <v>-51970</v>
      </c>
      <c r="U189" s="1192">
        <f t="shared" si="49"/>
        <v>352643.05031907</v>
      </c>
      <c r="V189" s="742"/>
      <c r="W189" s="1209">
        <v>349574.06049110088</v>
      </c>
      <c r="X189" s="1191">
        <f>+W189-Q189</f>
        <v>107205.69668352883</v>
      </c>
    </row>
    <row r="190" spans="1:24" ht="12" thickTop="1" x14ac:dyDescent="0.2">
      <c r="B190" s="852"/>
      <c r="D190" s="1072"/>
      <c r="E190" s="1072"/>
      <c r="F190" s="1072"/>
      <c r="G190" s="1072"/>
      <c r="H190" s="1072"/>
      <c r="I190" s="1072"/>
      <c r="J190" s="1072"/>
      <c r="K190" s="1072"/>
      <c r="L190" s="1072"/>
      <c r="M190" s="1072"/>
      <c r="N190" s="1072"/>
      <c r="O190" s="1073"/>
      <c r="P190" s="813"/>
      <c r="Q190" s="638"/>
      <c r="R190" s="1160"/>
      <c r="S190" s="638"/>
      <c r="T190" s="1160"/>
      <c r="U190" s="794">
        <f t="shared" si="49"/>
        <v>0</v>
      </c>
      <c r="V190" s="742"/>
      <c r="W190" s="1210">
        <f>+W189-Q189</f>
        <v>107205.69668352883</v>
      </c>
      <c r="X190" s="1190">
        <f t="shared" ref="X190:X199" si="67">+R190-T190</f>
        <v>0</v>
      </c>
    </row>
    <row r="191" spans="1:24" x14ac:dyDescent="0.2">
      <c r="B191" s="843" t="s">
        <v>857</v>
      </c>
      <c r="C191" s="771"/>
      <c r="D191" s="1072"/>
      <c r="E191" s="1072"/>
      <c r="F191" s="1072"/>
      <c r="G191" s="1072"/>
      <c r="H191" s="1072"/>
      <c r="I191" s="1072"/>
      <c r="J191" s="1072"/>
      <c r="K191" s="1072"/>
      <c r="L191" s="1072"/>
      <c r="M191" s="1072"/>
      <c r="N191" s="1072"/>
      <c r="O191" s="1073"/>
      <c r="P191" s="814"/>
      <c r="Q191" s="844">
        <f>(+Q187-Q124)/878</f>
        <v>8784.6432070539049</v>
      </c>
      <c r="R191" s="1161"/>
      <c r="S191" s="844">
        <v>8686.4542065300284</v>
      </c>
      <c r="T191" s="1161"/>
      <c r="U191" s="794">
        <f t="shared" si="49"/>
        <v>98.18900052387653</v>
      </c>
      <c r="V191" s="742"/>
      <c r="X191" s="1190">
        <f t="shared" si="67"/>
        <v>0</v>
      </c>
    </row>
    <row r="192" spans="1:24" x14ac:dyDescent="0.2">
      <c r="B192" s="742"/>
      <c r="C192" s="771"/>
      <c r="D192" s="1072"/>
      <c r="E192" s="1072"/>
      <c r="F192" s="1072"/>
      <c r="G192" s="1072"/>
      <c r="H192" s="1072"/>
      <c r="I192" s="1072"/>
      <c r="J192" s="1072"/>
      <c r="K192" s="1072"/>
      <c r="L192" s="1072"/>
      <c r="M192" s="1072"/>
      <c r="N192" s="1072"/>
      <c r="O192" s="1073"/>
      <c r="Q192" s="627"/>
      <c r="R192" s="1143"/>
      <c r="S192" s="627"/>
      <c r="T192" s="1143"/>
      <c r="U192" s="794">
        <f t="shared" si="49"/>
        <v>0</v>
      </c>
      <c r="V192" s="742"/>
      <c r="X192" s="1190">
        <f t="shared" si="67"/>
        <v>0</v>
      </c>
    </row>
    <row r="193" spans="1:24" x14ac:dyDescent="0.2">
      <c r="B193" s="867"/>
      <c r="C193" s="771"/>
      <c r="D193" s="1074"/>
      <c r="E193" s="1074"/>
      <c r="F193" s="1074"/>
      <c r="G193" s="1074"/>
      <c r="H193" s="1074"/>
      <c r="I193" s="1074"/>
      <c r="J193" s="1074"/>
      <c r="K193" s="1074"/>
      <c r="L193" s="1074"/>
      <c r="M193" s="1074"/>
      <c r="N193" s="1074"/>
      <c r="O193" s="1075"/>
      <c r="P193" s="815"/>
      <c r="Q193" s="627"/>
      <c r="R193" s="1143"/>
      <c r="S193" s="627"/>
      <c r="T193" s="1143"/>
      <c r="U193" s="794">
        <f t="shared" si="49"/>
        <v>0</v>
      </c>
      <c r="V193" s="742"/>
      <c r="X193" s="1190">
        <f t="shared" si="67"/>
        <v>0</v>
      </c>
    </row>
    <row r="194" spans="1:24" x14ac:dyDescent="0.2">
      <c r="B194" s="742"/>
      <c r="C194" s="771"/>
      <c r="D194" s="1072"/>
      <c r="E194" s="1072"/>
      <c r="F194" s="1072"/>
      <c r="G194" s="1072"/>
      <c r="H194" s="1072"/>
      <c r="I194" s="1072"/>
      <c r="J194" s="1072"/>
      <c r="K194" s="1072"/>
      <c r="L194" s="1072"/>
      <c r="M194" s="1072"/>
      <c r="N194" s="1072"/>
      <c r="O194" s="1073"/>
      <c r="P194" s="816"/>
      <c r="Q194" s="624"/>
      <c r="R194" s="1162"/>
      <c r="S194" s="624"/>
      <c r="T194" s="1162"/>
      <c r="U194" s="794">
        <f t="shared" si="49"/>
        <v>0</v>
      </c>
      <c r="V194" s="742"/>
      <c r="X194" s="1190">
        <f t="shared" si="67"/>
        <v>0</v>
      </c>
    </row>
    <row r="195" spans="1:24" x14ac:dyDescent="0.2">
      <c r="B195" s="771" t="s">
        <v>456</v>
      </c>
      <c r="C195" s="771"/>
      <c r="D195" s="1072">
        <v>2770272</v>
      </c>
      <c r="E195" s="1072">
        <f>+D203</f>
        <v>3265400.9871335351</v>
      </c>
      <c r="F195" s="1072">
        <f>+E203</f>
        <v>3239573.0452137799</v>
      </c>
      <c r="G195" s="1072">
        <f>+F203</f>
        <v>3474911.6356786401</v>
      </c>
      <c r="H195" s="1072">
        <f>+G203</f>
        <v>3388132.3149511926</v>
      </c>
      <c r="I195" s="1072">
        <f t="shared" ref="I195:O195" si="68">+H203</f>
        <v>3382334.1142237452</v>
      </c>
      <c r="J195" s="1072">
        <f t="shared" si="68"/>
        <v>3390182.9046886056</v>
      </c>
      <c r="K195" s="1072">
        <f t="shared" si="68"/>
        <v>3374281.0827688505</v>
      </c>
      <c r="L195" s="1072">
        <f t="shared" si="68"/>
        <v>3381595.4032337107</v>
      </c>
      <c r="M195" s="1072">
        <f t="shared" si="68"/>
        <v>3386734.823698571</v>
      </c>
      <c r="N195" s="1072">
        <f t="shared" si="68"/>
        <v>3383290.8229711237</v>
      </c>
      <c r="O195" s="1073">
        <f t="shared" si="68"/>
        <v>3359543.7510513687</v>
      </c>
      <c r="P195" s="815"/>
      <c r="Q195" s="619">
        <f>1251880.8528402+1518391</f>
        <v>2770271.8528402001</v>
      </c>
      <c r="R195" s="1163">
        <v>1518391.06</v>
      </c>
      <c r="S195" s="619">
        <v>1058908</v>
      </c>
      <c r="T195" s="1163">
        <v>1565163</v>
      </c>
      <c r="U195" s="794">
        <f t="shared" si="49"/>
        <v>1711363.8528402001</v>
      </c>
      <c r="V195" s="742"/>
      <c r="X195" s="1190">
        <f t="shared" si="67"/>
        <v>-46771.939999999944</v>
      </c>
    </row>
    <row r="196" spans="1:24" x14ac:dyDescent="0.2">
      <c r="B196" s="742"/>
      <c r="C196" s="771"/>
      <c r="D196" s="1072"/>
      <c r="E196" s="1072"/>
      <c r="F196" s="1072"/>
      <c r="G196" s="1072"/>
      <c r="H196" s="1072"/>
      <c r="I196" s="1072"/>
      <c r="J196" s="1072"/>
      <c r="K196" s="1072"/>
      <c r="L196" s="1072"/>
      <c r="M196" s="1072"/>
      <c r="N196" s="1072"/>
      <c r="O196" s="1073"/>
      <c r="P196" s="816"/>
      <c r="Q196" s="624"/>
      <c r="R196" s="1162"/>
      <c r="S196" s="624"/>
      <c r="T196" s="1162"/>
      <c r="U196" s="794">
        <f t="shared" si="49"/>
        <v>0</v>
      </c>
      <c r="V196" s="742"/>
      <c r="X196" s="1190">
        <f t="shared" si="67"/>
        <v>0</v>
      </c>
    </row>
    <row r="197" spans="1:24" x14ac:dyDescent="0.2">
      <c r="B197" s="742" t="s">
        <v>318</v>
      </c>
      <c r="C197" s="742"/>
      <c r="D197" s="1072">
        <f>SUM(D147:D151)</f>
        <v>42771.29</v>
      </c>
      <c r="E197" s="1072">
        <f t="shared" ref="E197:O197" si="69">SUM(E147:E151)</f>
        <v>42771.29</v>
      </c>
      <c r="F197" s="1072">
        <f>SUM(F147:F151)</f>
        <v>42771.29</v>
      </c>
      <c r="G197" s="1072">
        <f>SUM(G147:G151)</f>
        <v>42771.29</v>
      </c>
      <c r="H197" s="1072">
        <f>SUM(H147:H151)</f>
        <v>42771.29</v>
      </c>
      <c r="I197" s="1072">
        <f t="shared" si="69"/>
        <v>42771.29</v>
      </c>
      <c r="J197" s="1072">
        <f t="shared" ref="J197:K197" si="70">SUM(J147:J151)</f>
        <v>42771.29</v>
      </c>
      <c r="K197" s="1072">
        <f t="shared" si="70"/>
        <v>42771.29</v>
      </c>
      <c r="L197" s="1072">
        <f t="shared" si="69"/>
        <v>42771.29</v>
      </c>
      <c r="M197" s="1072">
        <f t="shared" si="69"/>
        <v>42771.29</v>
      </c>
      <c r="N197" s="1072">
        <f t="shared" si="69"/>
        <v>42771.29</v>
      </c>
      <c r="O197" s="1073">
        <f t="shared" si="69"/>
        <v>42771.29</v>
      </c>
      <c r="P197" s="815"/>
      <c r="Q197" s="747">
        <f>SUM(D197:P197)</f>
        <v>513255.47999999992</v>
      </c>
      <c r="R197" s="1145"/>
      <c r="S197" s="747">
        <v>536748.96000000008</v>
      </c>
      <c r="T197" s="1145"/>
      <c r="U197" s="794">
        <f t="shared" si="49"/>
        <v>-23493.480000000156</v>
      </c>
      <c r="V197" s="742"/>
      <c r="X197" s="1190">
        <f t="shared" si="67"/>
        <v>0</v>
      </c>
    </row>
    <row r="198" spans="1:24" x14ac:dyDescent="0.2">
      <c r="B198" s="742" t="s">
        <v>457</v>
      </c>
      <c r="C198" s="742"/>
      <c r="D198" s="1045">
        <f>357500</f>
        <v>357500</v>
      </c>
      <c r="E198" s="1045"/>
      <c r="F198" s="1045"/>
      <c r="G198" s="1045">
        <v>130000</v>
      </c>
      <c r="H198" s="1045"/>
      <c r="I198" s="1045"/>
      <c r="J198" s="1045">
        <v>0</v>
      </c>
      <c r="K198" s="1045">
        <v>0</v>
      </c>
      <c r="L198" s="1045"/>
      <c r="M198" s="1045"/>
      <c r="N198" s="1045">
        <v>0</v>
      </c>
      <c r="O198" s="1046">
        <v>0</v>
      </c>
      <c r="P198" s="810"/>
      <c r="Q198" s="747">
        <f>SUM(D198:P198)</f>
        <v>487500</v>
      </c>
      <c r="R198" s="1145">
        <v>0</v>
      </c>
      <c r="S198" s="747">
        <v>-24028.459999999992</v>
      </c>
      <c r="T198" s="1145">
        <v>-213503</v>
      </c>
      <c r="U198" s="794">
        <f t="shared" si="49"/>
        <v>511528.45999999996</v>
      </c>
      <c r="V198" s="872"/>
      <c r="X198" s="1190">
        <f t="shared" si="67"/>
        <v>213503</v>
      </c>
    </row>
    <row r="199" spans="1:24" x14ac:dyDescent="0.2">
      <c r="B199" s="742" t="s">
        <v>1368</v>
      </c>
      <c r="C199" s="742"/>
      <c r="D199" s="1045">
        <v>-20833</v>
      </c>
      <c r="E199" s="1045">
        <v>-20833</v>
      </c>
      <c r="F199" s="1045">
        <v>-20833</v>
      </c>
      <c r="G199" s="1045">
        <v>-20833</v>
      </c>
      <c r="H199" s="1045">
        <v>-20833</v>
      </c>
      <c r="I199" s="1045">
        <v>-20833</v>
      </c>
      <c r="J199" s="1045">
        <v>-20833</v>
      </c>
      <c r="K199" s="1045">
        <v>-20833</v>
      </c>
      <c r="L199" s="1045">
        <v>-20833</v>
      </c>
      <c r="M199" s="1045">
        <v>-20833</v>
      </c>
      <c r="N199" s="1045">
        <v>-20833</v>
      </c>
      <c r="O199" s="1045">
        <v>-20833</v>
      </c>
      <c r="P199" s="810"/>
      <c r="Q199" s="747">
        <f>SUM(D199:P199)-R199</f>
        <v>71171</v>
      </c>
      <c r="R199" s="1145">
        <v>-321167</v>
      </c>
      <c r="S199" s="747">
        <v>-177353.0400000001</v>
      </c>
      <c r="T199" s="1145">
        <v>0</v>
      </c>
      <c r="U199" s="794">
        <f t="shared" si="49"/>
        <v>248524.0400000001</v>
      </c>
      <c r="V199" s="872"/>
      <c r="X199" s="1190">
        <f t="shared" si="67"/>
        <v>-321167</v>
      </c>
    </row>
    <row r="200" spans="1:24" x14ac:dyDescent="0.2">
      <c r="B200" s="742"/>
      <c r="C200" s="742"/>
      <c r="D200" s="1072"/>
      <c r="E200" s="1072"/>
      <c r="F200" s="1072"/>
      <c r="G200" s="1072"/>
      <c r="H200" s="1072"/>
      <c r="I200" s="1072"/>
      <c r="J200" s="1072"/>
      <c r="K200" s="1072"/>
      <c r="L200" s="1072"/>
      <c r="M200" s="1072"/>
      <c r="N200" s="1072"/>
      <c r="O200" s="1073"/>
      <c r="P200" s="816"/>
      <c r="Q200" s="747">
        <f>SUM(D200:P200)</f>
        <v>0</v>
      </c>
      <c r="R200" s="1145"/>
      <c r="S200" s="747">
        <v>0</v>
      </c>
      <c r="T200" s="1145"/>
      <c r="U200" s="794">
        <f t="shared" ref="U200:U202" si="71">+Q200-S200</f>
        <v>0</v>
      </c>
      <c r="V200" s="742"/>
      <c r="X200" s="1190">
        <f t="shared" ref="X200:X203" si="72">+R200-T200</f>
        <v>0</v>
      </c>
    </row>
    <row r="201" spans="1:24" x14ac:dyDescent="0.2">
      <c r="B201" s="771" t="s">
        <v>458</v>
      </c>
      <c r="C201" s="771"/>
      <c r="D201" s="1072">
        <f>+D189+D197+D198+D199</f>
        <v>495128.98713353497</v>
      </c>
      <c r="E201" s="1072">
        <f t="shared" ref="E201:O201" si="73">+E189+E197+E198+E199</f>
        <v>-25827.941919755111</v>
      </c>
      <c r="F201" s="1072">
        <f>+F189+F197+F198+F199</f>
        <v>235338.59046486029</v>
      </c>
      <c r="G201" s="1072">
        <f>+G189+G197+G198+G199</f>
        <v>-86779.32072744731</v>
      </c>
      <c r="H201" s="1072">
        <f>+H189+H197+H198+H199</f>
        <v>-5798.2007274473217</v>
      </c>
      <c r="I201" s="1072">
        <f>+I189+I197+J198+I199</f>
        <v>7848.7904648602344</v>
      </c>
      <c r="J201" s="1072">
        <f>+J189+J197+K198+J199</f>
        <v>-15901.821919755115</v>
      </c>
      <c r="K201" s="1072">
        <f>+K189+K197+L198+K199</f>
        <v>7314.3204648602623</v>
      </c>
      <c r="L201" s="1072">
        <f t="shared" si="73"/>
        <v>5139.4204648603554</v>
      </c>
      <c r="M201" s="1072">
        <f t="shared" si="73"/>
        <v>-3444.0007274473683</v>
      </c>
      <c r="N201" s="1072">
        <f t="shared" si="73"/>
        <v>-23747.071919755115</v>
      </c>
      <c r="O201" s="1073">
        <f t="shared" si="73"/>
        <v>-21874.980934583618</v>
      </c>
      <c r="P201" s="815"/>
      <c r="Q201" s="1214">
        <f>+Q189+Q197+Q198+Q199</f>
        <v>1314294.843807572</v>
      </c>
      <c r="R201" s="1163">
        <f>+R189+R197+R198+R199</f>
        <v>-321167</v>
      </c>
      <c r="S201" s="619">
        <v>225092.77348850208</v>
      </c>
      <c r="T201" s="1163">
        <v>-265473</v>
      </c>
      <c r="U201" s="794">
        <f t="shared" si="71"/>
        <v>1089202.07031907</v>
      </c>
      <c r="V201" s="742"/>
      <c r="W201" s="773">
        <f>+Q201</f>
        <v>1314294.843807572</v>
      </c>
      <c r="X201" s="1191">
        <f t="shared" si="72"/>
        <v>-55694</v>
      </c>
    </row>
    <row r="202" spans="1:24" s="773" customFormat="1" x14ac:dyDescent="0.2">
      <c r="A202" s="733"/>
      <c r="B202" s="742"/>
      <c r="C202" s="742"/>
      <c r="D202" s="1072"/>
      <c r="E202" s="1072"/>
      <c r="F202" s="1072"/>
      <c r="G202" s="1072"/>
      <c r="H202" s="1072"/>
      <c r="I202" s="1072"/>
      <c r="J202" s="1072"/>
      <c r="K202" s="1072"/>
      <c r="L202" s="1072"/>
      <c r="M202" s="1072"/>
      <c r="N202" s="1072"/>
      <c r="O202" s="1073"/>
      <c r="P202" s="816"/>
      <c r="Q202" s="624"/>
      <c r="R202" s="1162"/>
      <c r="S202" s="624"/>
      <c r="T202" s="1162"/>
      <c r="U202" s="794">
        <f t="shared" si="71"/>
        <v>0</v>
      </c>
      <c r="V202" s="742"/>
      <c r="X202" s="1190">
        <f t="shared" si="72"/>
        <v>0</v>
      </c>
    </row>
    <row r="203" spans="1:24" s="773" customFormat="1" ht="12" thickBot="1" x14ac:dyDescent="0.25">
      <c r="A203" s="733"/>
      <c r="B203" s="868" t="s">
        <v>459</v>
      </c>
      <c r="C203" s="868"/>
      <c r="D203" s="1076">
        <f>+D195+D201</f>
        <v>3265400.9871335351</v>
      </c>
      <c r="E203" s="1076">
        <f t="shared" ref="E203:O203" si="74">+E195+E201</f>
        <v>3239573.0452137799</v>
      </c>
      <c r="F203" s="1076">
        <f>+F195+F201</f>
        <v>3474911.6356786401</v>
      </c>
      <c r="G203" s="1076">
        <f>+G195+G201</f>
        <v>3388132.3149511926</v>
      </c>
      <c r="H203" s="1076">
        <f>+H195+H201</f>
        <v>3382334.1142237452</v>
      </c>
      <c r="I203" s="1076">
        <f t="shared" si="74"/>
        <v>3390182.9046886056</v>
      </c>
      <c r="J203" s="1076">
        <f t="shared" ref="J203:K203" si="75">+J195+J201</f>
        <v>3374281.0827688505</v>
      </c>
      <c r="K203" s="1076">
        <f t="shared" si="75"/>
        <v>3381595.4032337107</v>
      </c>
      <c r="L203" s="1076">
        <f t="shared" si="74"/>
        <v>3386734.823698571</v>
      </c>
      <c r="M203" s="1076">
        <f t="shared" si="74"/>
        <v>3383290.8229711237</v>
      </c>
      <c r="N203" s="1076">
        <f t="shared" si="74"/>
        <v>3359543.7510513687</v>
      </c>
      <c r="O203" s="1077">
        <f t="shared" si="74"/>
        <v>3337668.7701167851</v>
      </c>
      <c r="P203" s="620"/>
      <c r="Q203" s="639">
        <f>+Q195+Q201</f>
        <v>4084566.6966477721</v>
      </c>
      <c r="R203" s="639">
        <f>+R195+R201</f>
        <v>1197224.06</v>
      </c>
      <c r="S203" s="639">
        <v>1284000.773488502</v>
      </c>
      <c r="T203" s="639">
        <v>1299690</v>
      </c>
      <c r="U203" s="1177"/>
      <c r="V203" s="772"/>
      <c r="X203" s="1190">
        <f t="shared" si="72"/>
        <v>-102465.93999999994</v>
      </c>
    </row>
    <row r="204" spans="1:24" s="257" customFormat="1" ht="14.25" thickTop="1" thickBot="1" x14ac:dyDescent="0.25">
      <c r="A204" s="773"/>
      <c r="B204" s="869"/>
      <c r="C204" s="773"/>
      <c r="D204" s="619"/>
      <c r="E204" s="619"/>
      <c r="F204" s="619"/>
      <c r="G204" s="619"/>
      <c r="H204" s="619"/>
      <c r="I204" s="619"/>
      <c r="J204" s="619"/>
      <c r="K204" s="619"/>
      <c r="L204" s="619"/>
      <c r="M204" s="619"/>
      <c r="N204" s="619"/>
      <c r="O204" s="619"/>
      <c r="P204" s="619"/>
      <c r="Q204" s="619"/>
      <c r="R204" s="619"/>
      <c r="S204" s="619">
        <v>0</v>
      </c>
      <c r="T204" s="619"/>
      <c r="U204" s="619"/>
      <c r="V204" s="774"/>
    </row>
    <row r="205" spans="1:24" s="257" customFormat="1" ht="12.75" x14ac:dyDescent="0.2">
      <c r="A205" s="773"/>
      <c r="B205" s="870"/>
      <c r="C205" s="773"/>
      <c r="D205" s="619"/>
      <c r="E205" s="619"/>
      <c r="F205" s="619"/>
      <c r="G205" s="619"/>
      <c r="H205" s="619"/>
      <c r="I205" s="619"/>
      <c r="J205" s="619"/>
      <c r="K205" s="619"/>
      <c r="L205" s="619"/>
      <c r="M205" s="619"/>
      <c r="N205" s="619"/>
      <c r="O205" s="1215" t="s">
        <v>1480</v>
      </c>
      <c r="P205" s="1216">
        <f>+'[7]Annual Report'!$D$30</f>
        <v>1035705.2264808362</v>
      </c>
      <c r="Q205" s="773"/>
      <c r="R205" s="773"/>
      <c r="S205" s="773"/>
      <c r="T205" s="773"/>
      <c r="U205" s="773"/>
    </row>
    <row r="206" spans="1:24" ht="12.75" x14ac:dyDescent="0.2">
      <c r="A206" s="257"/>
      <c r="B206" s="871"/>
      <c r="C206" s="257"/>
      <c r="D206" s="619"/>
      <c r="E206" s="619"/>
      <c r="F206" s="619"/>
      <c r="G206" s="619"/>
      <c r="H206" s="619"/>
      <c r="I206" s="619"/>
      <c r="J206" s="619"/>
      <c r="K206" s="619"/>
      <c r="L206" s="619"/>
      <c r="M206" s="619"/>
      <c r="N206" s="619"/>
      <c r="O206" s="1217" t="s">
        <v>1481</v>
      </c>
      <c r="P206" s="1218">
        <f>+Q189+Q197+Q134</f>
        <v>1543423.843807572</v>
      </c>
      <c r="Q206" s="619"/>
      <c r="R206" s="619"/>
      <c r="S206" s="619"/>
      <c r="T206" s="619"/>
      <c r="U206" s="619"/>
      <c r="V206" s="257"/>
    </row>
    <row r="207" spans="1:24" ht="12.75" x14ac:dyDescent="0.2">
      <c r="A207" s="257"/>
      <c r="B207" s="871"/>
      <c r="C207" s="257"/>
      <c r="D207" s="619"/>
      <c r="E207" s="619"/>
      <c r="F207" s="619"/>
      <c r="G207" s="619"/>
      <c r="H207" s="619"/>
      <c r="I207" s="619"/>
      <c r="J207" s="619"/>
      <c r="K207" s="619"/>
      <c r="L207" s="619"/>
      <c r="M207" s="619"/>
      <c r="N207" s="619"/>
      <c r="O207" s="1219" t="s">
        <v>1482</v>
      </c>
      <c r="P207" s="1220">
        <f>+P206/P205</f>
        <v>1.4902153666365903</v>
      </c>
      <c r="Q207" s="1107" t="s">
        <v>1575</v>
      </c>
      <c r="R207" s="1107"/>
      <c r="T207" s="1107"/>
      <c r="U207" s="1107"/>
      <c r="V207" s="257"/>
    </row>
    <row r="208" spans="1:24" x14ac:dyDescent="0.2">
      <c r="O208" s="1221" t="s">
        <v>1483</v>
      </c>
      <c r="P208" s="1222">
        <f>+Q187-Q197</f>
        <v>8078721.1821025414</v>
      </c>
      <c r="Q208" s="1108"/>
      <c r="R208" s="1108"/>
      <c r="S208" s="1108"/>
      <c r="T208" s="1108"/>
      <c r="U208" s="1108"/>
    </row>
    <row r="209" spans="3:16" x14ac:dyDescent="0.2">
      <c r="O209" s="1221" t="s">
        <v>1484</v>
      </c>
      <c r="P209" s="1218">
        <f>+P208/365</f>
        <v>22133.482690691893</v>
      </c>
    </row>
    <row r="210" spans="3:16" ht="12" thickBot="1" x14ac:dyDescent="0.25">
      <c r="O210" s="1223" t="s">
        <v>1485</v>
      </c>
      <c r="P210" s="1224">
        <f>+P209*45</f>
        <v>996006.72108113521</v>
      </c>
    </row>
    <row r="217" spans="3:16" x14ac:dyDescent="0.2">
      <c r="C217" s="775"/>
    </row>
    <row r="218" spans="3:16" x14ac:dyDescent="0.2">
      <c r="C218" s="775"/>
    </row>
    <row r="219" spans="3:16" x14ac:dyDescent="0.2">
      <c r="C219" s="775"/>
    </row>
    <row r="220" spans="3:16" x14ac:dyDescent="0.2">
      <c r="C220" s="775"/>
    </row>
    <row r="221" spans="3:16" x14ac:dyDescent="0.2">
      <c r="C221" s="775"/>
    </row>
    <row r="222" spans="3:16" x14ac:dyDescent="0.2">
      <c r="C222" s="775"/>
    </row>
    <row r="223" spans="3:16" x14ac:dyDescent="0.2">
      <c r="C223" s="775"/>
    </row>
    <row r="224" spans="3:16" x14ac:dyDescent="0.2">
      <c r="C224" s="775"/>
    </row>
    <row r="225" spans="3:3" x14ac:dyDescent="0.2">
      <c r="C225" s="775"/>
    </row>
    <row r="226" spans="3:3" x14ac:dyDescent="0.2">
      <c r="C226" s="775"/>
    </row>
    <row r="227" spans="3:3" x14ac:dyDescent="0.2">
      <c r="C227" s="775"/>
    </row>
    <row r="228" spans="3:3" x14ac:dyDescent="0.2">
      <c r="C228" s="775"/>
    </row>
    <row r="229" spans="3:3" x14ac:dyDescent="0.2">
      <c r="C229" s="775"/>
    </row>
    <row r="230" spans="3:3" x14ac:dyDescent="0.2">
      <c r="C230" s="775"/>
    </row>
    <row r="231" spans="3:3" x14ac:dyDescent="0.2">
      <c r="C231" s="775"/>
    </row>
    <row r="232" spans="3:3" x14ac:dyDescent="0.2">
      <c r="C232" s="775"/>
    </row>
    <row r="233" spans="3:3" x14ac:dyDescent="0.2">
      <c r="C233" s="775"/>
    </row>
    <row r="234" spans="3:3" x14ac:dyDescent="0.2">
      <c r="C234" s="775"/>
    </row>
    <row r="235" spans="3:3" x14ac:dyDescent="0.2">
      <c r="C235" s="775"/>
    </row>
    <row r="236" spans="3:3" x14ac:dyDescent="0.2">
      <c r="C236" s="775"/>
    </row>
    <row r="237" spans="3:3" x14ac:dyDescent="0.2">
      <c r="C237" s="775"/>
    </row>
    <row r="238" spans="3:3" x14ac:dyDescent="0.2">
      <c r="C238" s="775"/>
    </row>
    <row r="239" spans="3:3" x14ac:dyDescent="0.2">
      <c r="C239" s="775"/>
    </row>
    <row r="240" spans="3:3" x14ac:dyDescent="0.2">
      <c r="C240" s="775"/>
    </row>
    <row r="241" spans="3:3" x14ac:dyDescent="0.2">
      <c r="C241" s="775"/>
    </row>
    <row r="242" spans="3:3" x14ac:dyDescent="0.2">
      <c r="C242" s="775"/>
    </row>
    <row r="243" spans="3:3" x14ac:dyDescent="0.2">
      <c r="C243" s="775"/>
    </row>
    <row r="244" spans="3:3" x14ac:dyDescent="0.2">
      <c r="C244" s="775"/>
    </row>
    <row r="245" spans="3:3" x14ac:dyDescent="0.2">
      <c r="C245" s="775"/>
    </row>
    <row r="246" spans="3:3" x14ac:dyDescent="0.2">
      <c r="C246" s="775"/>
    </row>
    <row r="247" spans="3:3" x14ac:dyDescent="0.2">
      <c r="C247" s="775"/>
    </row>
    <row r="248" spans="3:3" x14ac:dyDescent="0.2">
      <c r="C248" s="775"/>
    </row>
    <row r="249" spans="3:3" x14ac:dyDescent="0.2">
      <c r="C249" s="775"/>
    </row>
    <row r="250" spans="3:3" x14ac:dyDescent="0.2">
      <c r="C250" s="775"/>
    </row>
    <row r="251" spans="3:3" x14ac:dyDescent="0.2">
      <c r="C251" s="775"/>
    </row>
    <row r="252" spans="3:3" x14ac:dyDescent="0.2">
      <c r="C252" s="775"/>
    </row>
    <row r="253" spans="3:3" x14ac:dyDescent="0.2">
      <c r="C253" s="775"/>
    </row>
  </sheetData>
  <phoneticPr fontId="40" type="noConversion"/>
  <printOptions horizontalCentered="1"/>
  <pageMargins left="0" right="0" top="0.75" bottom="0.5" header="0.5" footer="0.5"/>
  <pageSetup scale="50" fitToHeight="0"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8"/>
  <sheetViews>
    <sheetView topLeftCell="A5" workbookViewId="0">
      <selection activeCell="L217" sqref="L217"/>
    </sheetView>
  </sheetViews>
  <sheetFormatPr defaultRowHeight="12.6" customHeight="1" x14ac:dyDescent="0.2"/>
  <cols>
    <col min="1" max="1" width="4.42578125" style="1088" customWidth="1"/>
    <col min="2" max="2" width="14.85546875" style="1088" bestFit="1" customWidth="1"/>
    <col min="3" max="6" width="5.85546875" style="1088" customWidth="1"/>
    <col min="7" max="7" width="34.7109375" style="1088" bestFit="1" customWidth="1"/>
    <col min="8" max="8" width="11" style="1088" bestFit="1" customWidth="1"/>
    <col min="9" max="10" width="10.42578125" style="1088" bestFit="1" customWidth="1"/>
    <col min="11" max="14" width="11" style="1088" bestFit="1" customWidth="1"/>
    <col min="15" max="15" width="10.42578125" style="1088" bestFit="1" customWidth="1"/>
    <col min="16" max="16" width="7.5703125" style="1088" bestFit="1" customWidth="1"/>
    <col min="17" max="19" width="8.5703125" style="1088" bestFit="1" customWidth="1"/>
    <col min="20" max="20" width="11.85546875" style="1088" bestFit="1" customWidth="1"/>
    <col min="21" max="256" width="6.85546875" style="1088" customWidth="1"/>
    <col min="257" max="257" width="4.42578125" style="1088" customWidth="1"/>
    <col min="258" max="258" width="14.85546875" style="1088" bestFit="1" customWidth="1"/>
    <col min="259" max="262" width="5.85546875" style="1088" customWidth="1"/>
    <col min="263" max="263" width="34.7109375" style="1088" bestFit="1" customWidth="1"/>
    <col min="264" max="264" width="11" style="1088" bestFit="1" customWidth="1"/>
    <col min="265" max="268" width="7.5703125" style="1088" bestFit="1" customWidth="1"/>
    <col min="269" max="269" width="7.5703125" style="1088" customWidth="1"/>
    <col min="270" max="272" width="7.5703125" style="1088" bestFit="1" customWidth="1"/>
    <col min="273" max="275" width="8.5703125" style="1088" bestFit="1" customWidth="1"/>
    <col min="276" max="276" width="11" style="1088" bestFit="1" customWidth="1"/>
    <col min="277" max="512" width="6.85546875" style="1088" customWidth="1"/>
    <col min="513" max="513" width="4.42578125" style="1088" customWidth="1"/>
    <col min="514" max="514" width="14.85546875" style="1088" bestFit="1" customWidth="1"/>
    <col min="515" max="518" width="5.85546875" style="1088" customWidth="1"/>
    <col min="519" max="519" width="34.7109375" style="1088" bestFit="1" customWidth="1"/>
    <col min="520" max="520" width="11" style="1088" bestFit="1" customWidth="1"/>
    <col min="521" max="524" width="7.5703125" style="1088" bestFit="1" customWidth="1"/>
    <col min="525" max="525" width="7.5703125" style="1088" customWidth="1"/>
    <col min="526" max="528" width="7.5703125" style="1088" bestFit="1" customWidth="1"/>
    <col min="529" max="531" width="8.5703125" style="1088" bestFit="1" customWidth="1"/>
    <col min="532" max="532" width="11" style="1088" bestFit="1" customWidth="1"/>
    <col min="533" max="768" width="6.85546875" style="1088" customWidth="1"/>
    <col min="769" max="769" width="4.42578125" style="1088" customWidth="1"/>
    <col min="770" max="770" width="14.85546875" style="1088" bestFit="1" customWidth="1"/>
    <col min="771" max="774" width="5.85546875" style="1088" customWidth="1"/>
    <col min="775" max="775" width="34.7109375" style="1088" bestFit="1" customWidth="1"/>
    <col min="776" max="776" width="11" style="1088" bestFit="1" customWidth="1"/>
    <col min="777" max="780" width="7.5703125" style="1088" bestFit="1" customWidth="1"/>
    <col min="781" max="781" width="7.5703125" style="1088" customWidth="1"/>
    <col min="782" max="784" width="7.5703125" style="1088" bestFit="1" customWidth="1"/>
    <col min="785" max="787" width="8.5703125" style="1088" bestFit="1" customWidth="1"/>
    <col min="788" max="788" width="11" style="1088" bestFit="1" customWidth="1"/>
    <col min="789" max="1024" width="6.85546875" style="1088" customWidth="1"/>
    <col min="1025" max="1025" width="4.42578125" style="1088" customWidth="1"/>
    <col min="1026" max="1026" width="14.85546875" style="1088" bestFit="1" customWidth="1"/>
    <col min="1027" max="1030" width="5.85546875" style="1088" customWidth="1"/>
    <col min="1031" max="1031" width="34.7109375" style="1088" bestFit="1" customWidth="1"/>
    <col min="1032" max="1032" width="11" style="1088" bestFit="1" customWidth="1"/>
    <col min="1033" max="1036" width="7.5703125" style="1088" bestFit="1" customWidth="1"/>
    <col min="1037" max="1037" width="7.5703125" style="1088" customWidth="1"/>
    <col min="1038" max="1040" width="7.5703125" style="1088" bestFit="1" customWidth="1"/>
    <col min="1041" max="1043" width="8.5703125" style="1088" bestFit="1" customWidth="1"/>
    <col min="1044" max="1044" width="11" style="1088" bestFit="1" customWidth="1"/>
    <col min="1045" max="1280" width="6.85546875" style="1088" customWidth="1"/>
    <col min="1281" max="1281" width="4.42578125" style="1088" customWidth="1"/>
    <col min="1282" max="1282" width="14.85546875" style="1088" bestFit="1" customWidth="1"/>
    <col min="1283" max="1286" width="5.85546875" style="1088" customWidth="1"/>
    <col min="1287" max="1287" width="34.7109375" style="1088" bestFit="1" customWidth="1"/>
    <col min="1288" max="1288" width="11" style="1088" bestFit="1" customWidth="1"/>
    <col min="1289" max="1292" width="7.5703125" style="1088" bestFit="1" customWidth="1"/>
    <col min="1293" max="1293" width="7.5703125" style="1088" customWidth="1"/>
    <col min="1294" max="1296" width="7.5703125" style="1088" bestFit="1" customWidth="1"/>
    <col min="1297" max="1299" width="8.5703125" style="1088" bestFit="1" customWidth="1"/>
    <col min="1300" max="1300" width="11" style="1088" bestFit="1" customWidth="1"/>
    <col min="1301" max="1536" width="6.85546875" style="1088" customWidth="1"/>
    <col min="1537" max="1537" width="4.42578125" style="1088" customWidth="1"/>
    <col min="1538" max="1538" width="14.85546875" style="1088" bestFit="1" customWidth="1"/>
    <col min="1539" max="1542" width="5.85546875" style="1088" customWidth="1"/>
    <col min="1543" max="1543" width="34.7109375" style="1088" bestFit="1" customWidth="1"/>
    <col min="1544" max="1544" width="11" style="1088" bestFit="1" customWidth="1"/>
    <col min="1545" max="1548" width="7.5703125" style="1088" bestFit="1" customWidth="1"/>
    <col min="1549" max="1549" width="7.5703125" style="1088" customWidth="1"/>
    <col min="1550" max="1552" width="7.5703125" style="1088" bestFit="1" customWidth="1"/>
    <col min="1553" max="1555" width="8.5703125" style="1088" bestFit="1" customWidth="1"/>
    <col min="1556" max="1556" width="11" style="1088" bestFit="1" customWidth="1"/>
    <col min="1557" max="1792" width="6.85546875" style="1088" customWidth="1"/>
    <col min="1793" max="1793" width="4.42578125" style="1088" customWidth="1"/>
    <col min="1794" max="1794" width="14.85546875" style="1088" bestFit="1" customWidth="1"/>
    <col min="1795" max="1798" width="5.85546875" style="1088" customWidth="1"/>
    <col min="1799" max="1799" width="34.7109375" style="1088" bestFit="1" customWidth="1"/>
    <col min="1800" max="1800" width="11" style="1088" bestFit="1" customWidth="1"/>
    <col min="1801" max="1804" width="7.5703125" style="1088" bestFit="1" customWidth="1"/>
    <col min="1805" max="1805" width="7.5703125" style="1088" customWidth="1"/>
    <col min="1806" max="1808" width="7.5703125" style="1088" bestFit="1" customWidth="1"/>
    <col min="1809" max="1811" width="8.5703125" style="1088" bestFit="1" customWidth="1"/>
    <col min="1812" max="1812" width="11" style="1088" bestFit="1" customWidth="1"/>
    <col min="1813" max="2048" width="6.85546875" style="1088" customWidth="1"/>
    <col min="2049" max="2049" width="4.42578125" style="1088" customWidth="1"/>
    <col min="2050" max="2050" width="14.85546875" style="1088" bestFit="1" customWidth="1"/>
    <col min="2051" max="2054" width="5.85546875" style="1088" customWidth="1"/>
    <col min="2055" max="2055" width="34.7109375" style="1088" bestFit="1" customWidth="1"/>
    <col min="2056" max="2056" width="11" style="1088" bestFit="1" customWidth="1"/>
    <col min="2057" max="2060" width="7.5703125" style="1088" bestFit="1" customWidth="1"/>
    <col min="2061" max="2061" width="7.5703125" style="1088" customWidth="1"/>
    <col min="2062" max="2064" width="7.5703125" style="1088" bestFit="1" customWidth="1"/>
    <col min="2065" max="2067" width="8.5703125" style="1088" bestFit="1" customWidth="1"/>
    <col min="2068" max="2068" width="11" style="1088" bestFit="1" customWidth="1"/>
    <col min="2069" max="2304" width="6.85546875" style="1088" customWidth="1"/>
    <col min="2305" max="2305" width="4.42578125" style="1088" customWidth="1"/>
    <col min="2306" max="2306" width="14.85546875" style="1088" bestFit="1" customWidth="1"/>
    <col min="2307" max="2310" width="5.85546875" style="1088" customWidth="1"/>
    <col min="2311" max="2311" width="34.7109375" style="1088" bestFit="1" customWidth="1"/>
    <col min="2312" max="2312" width="11" style="1088" bestFit="1" customWidth="1"/>
    <col min="2313" max="2316" width="7.5703125" style="1088" bestFit="1" customWidth="1"/>
    <col min="2317" max="2317" width="7.5703125" style="1088" customWidth="1"/>
    <col min="2318" max="2320" width="7.5703125" style="1088" bestFit="1" customWidth="1"/>
    <col min="2321" max="2323" width="8.5703125" style="1088" bestFit="1" customWidth="1"/>
    <col min="2324" max="2324" width="11" style="1088" bestFit="1" customWidth="1"/>
    <col min="2325" max="2560" width="6.85546875" style="1088" customWidth="1"/>
    <col min="2561" max="2561" width="4.42578125" style="1088" customWidth="1"/>
    <col min="2562" max="2562" width="14.85546875" style="1088" bestFit="1" customWidth="1"/>
    <col min="2563" max="2566" width="5.85546875" style="1088" customWidth="1"/>
    <col min="2567" max="2567" width="34.7109375" style="1088" bestFit="1" customWidth="1"/>
    <col min="2568" max="2568" width="11" style="1088" bestFit="1" customWidth="1"/>
    <col min="2569" max="2572" width="7.5703125" style="1088" bestFit="1" customWidth="1"/>
    <col min="2573" max="2573" width="7.5703125" style="1088" customWidth="1"/>
    <col min="2574" max="2576" width="7.5703125" style="1088" bestFit="1" customWidth="1"/>
    <col min="2577" max="2579" width="8.5703125" style="1088" bestFit="1" customWidth="1"/>
    <col min="2580" max="2580" width="11" style="1088" bestFit="1" customWidth="1"/>
    <col min="2581" max="2816" width="6.85546875" style="1088" customWidth="1"/>
    <col min="2817" max="2817" width="4.42578125" style="1088" customWidth="1"/>
    <col min="2818" max="2818" width="14.85546875" style="1088" bestFit="1" customWidth="1"/>
    <col min="2819" max="2822" width="5.85546875" style="1088" customWidth="1"/>
    <col min="2823" max="2823" width="34.7109375" style="1088" bestFit="1" customWidth="1"/>
    <col min="2824" max="2824" width="11" style="1088" bestFit="1" customWidth="1"/>
    <col min="2825" max="2828" width="7.5703125" style="1088" bestFit="1" customWidth="1"/>
    <col min="2829" max="2829" width="7.5703125" style="1088" customWidth="1"/>
    <col min="2830" max="2832" width="7.5703125" style="1088" bestFit="1" customWidth="1"/>
    <col min="2833" max="2835" width="8.5703125" style="1088" bestFit="1" customWidth="1"/>
    <col min="2836" max="2836" width="11" style="1088" bestFit="1" customWidth="1"/>
    <col min="2837" max="3072" width="6.85546875" style="1088" customWidth="1"/>
    <col min="3073" max="3073" width="4.42578125" style="1088" customWidth="1"/>
    <col min="3074" max="3074" width="14.85546875" style="1088" bestFit="1" customWidth="1"/>
    <col min="3075" max="3078" width="5.85546875" style="1088" customWidth="1"/>
    <col min="3079" max="3079" width="34.7109375" style="1088" bestFit="1" customWidth="1"/>
    <col min="3080" max="3080" width="11" style="1088" bestFit="1" customWidth="1"/>
    <col min="3081" max="3084" width="7.5703125" style="1088" bestFit="1" customWidth="1"/>
    <col min="3085" max="3085" width="7.5703125" style="1088" customWidth="1"/>
    <col min="3086" max="3088" width="7.5703125" style="1088" bestFit="1" customWidth="1"/>
    <col min="3089" max="3091" width="8.5703125" style="1088" bestFit="1" customWidth="1"/>
    <col min="3092" max="3092" width="11" style="1088" bestFit="1" customWidth="1"/>
    <col min="3093" max="3328" width="6.85546875" style="1088" customWidth="1"/>
    <col min="3329" max="3329" width="4.42578125" style="1088" customWidth="1"/>
    <col min="3330" max="3330" width="14.85546875" style="1088" bestFit="1" customWidth="1"/>
    <col min="3331" max="3334" width="5.85546875" style="1088" customWidth="1"/>
    <col min="3335" max="3335" width="34.7109375" style="1088" bestFit="1" customWidth="1"/>
    <col min="3336" max="3336" width="11" style="1088" bestFit="1" customWidth="1"/>
    <col min="3337" max="3340" width="7.5703125" style="1088" bestFit="1" customWidth="1"/>
    <col min="3341" max="3341" width="7.5703125" style="1088" customWidth="1"/>
    <col min="3342" max="3344" width="7.5703125" style="1088" bestFit="1" customWidth="1"/>
    <col min="3345" max="3347" width="8.5703125" style="1088" bestFit="1" customWidth="1"/>
    <col min="3348" max="3348" width="11" style="1088" bestFit="1" customWidth="1"/>
    <col min="3349" max="3584" width="6.85546875" style="1088" customWidth="1"/>
    <col min="3585" max="3585" width="4.42578125" style="1088" customWidth="1"/>
    <col min="3586" max="3586" width="14.85546875" style="1088" bestFit="1" customWidth="1"/>
    <col min="3587" max="3590" width="5.85546875" style="1088" customWidth="1"/>
    <col min="3591" max="3591" width="34.7109375" style="1088" bestFit="1" customWidth="1"/>
    <col min="3592" max="3592" width="11" style="1088" bestFit="1" customWidth="1"/>
    <col min="3593" max="3596" width="7.5703125" style="1088" bestFit="1" customWidth="1"/>
    <col min="3597" max="3597" width="7.5703125" style="1088" customWidth="1"/>
    <col min="3598" max="3600" width="7.5703125" style="1088" bestFit="1" customWidth="1"/>
    <col min="3601" max="3603" width="8.5703125" style="1088" bestFit="1" customWidth="1"/>
    <col min="3604" max="3604" width="11" style="1088" bestFit="1" customWidth="1"/>
    <col min="3605" max="3840" width="6.85546875" style="1088" customWidth="1"/>
    <col min="3841" max="3841" width="4.42578125" style="1088" customWidth="1"/>
    <col min="3842" max="3842" width="14.85546875" style="1088" bestFit="1" customWidth="1"/>
    <col min="3843" max="3846" width="5.85546875" style="1088" customWidth="1"/>
    <col min="3847" max="3847" width="34.7109375" style="1088" bestFit="1" customWidth="1"/>
    <col min="3848" max="3848" width="11" style="1088" bestFit="1" customWidth="1"/>
    <col min="3849" max="3852" width="7.5703125" style="1088" bestFit="1" customWidth="1"/>
    <col min="3853" max="3853" width="7.5703125" style="1088" customWidth="1"/>
    <col min="3854" max="3856" width="7.5703125" style="1088" bestFit="1" customWidth="1"/>
    <col min="3857" max="3859" width="8.5703125" style="1088" bestFit="1" customWidth="1"/>
    <col min="3860" max="3860" width="11" style="1088" bestFit="1" customWidth="1"/>
    <col min="3861" max="4096" width="6.85546875" style="1088" customWidth="1"/>
    <col min="4097" max="4097" width="4.42578125" style="1088" customWidth="1"/>
    <col min="4098" max="4098" width="14.85546875" style="1088" bestFit="1" customWidth="1"/>
    <col min="4099" max="4102" width="5.85546875" style="1088" customWidth="1"/>
    <col min="4103" max="4103" width="34.7109375" style="1088" bestFit="1" customWidth="1"/>
    <col min="4104" max="4104" width="11" style="1088" bestFit="1" customWidth="1"/>
    <col min="4105" max="4108" width="7.5703125" style="1088" bestFit="1" customWidth="1"/>
    <col min="4109" max="4109" width="7.5703125" style="1088" customWidth="1"/>
    <col min="4110" max="4112" width="7.5703125" style="1088" bestFit="1" customWidth="1"/>
    <col min="4113" max="4115" width="8.5703125" style="1088" bestFit="1" customWidth="1"/>
    <col min="4116" max="4116" width="11" style="1088" bestFit="1" customWidth="1"/>
    <col min="4117" max="4352" width="6.85546875" style="1088" customWidth="1"/>
    <col min="4353" max="4353" width="4.42578125" style="1088" customWidth="1"/>
    <col min="4354" max="4354" width="14.85546875" style="1088" bestFit="1" customWidth="1"/>
    <col min="4355" max="4358" width="5.85546875" style="1088" customWidth="1"/>
    <col min="4359" max="4359" width="34.7109375" style="1088" bestFit="1" customWidth="1"/>
    <col min="4360" max="4360" width="11" style="1088" bestFit="1" customWidth="1"/>
    <col min="4361" max="4364" width="7.5703125" style="1088" bestFit="1" customWidth="1"/>
    <col min="4365" max="4365" width="7.5703125" style="1088" customWidth="1"/>
    <col min="4366" max="4368" width="7.5703125" style="1088" bestFit="1" customWidth="1"/>
    <col min="4369" max="4371" width="8.5703125" style="1088" bestFit="1" customWidth="1"/>
    <col min="4372" max="4372" width="11" style="1088" bestFit="1" customWidth="1"/>
    <col min="4373" max="4608" width="6.85546875" style="1088" customWidth="1"/>
    <col min="4609" max="4609" width="4.42578125" style="1088" customWidth="1"/>
    <col min="4610" max="4610" width="14.85546875" style="1088" bestFit="1" customWidth="1"/>
    <col min="4611" max="4614" width="5.85546875" style="1088" customWidth="1"/>
    <col min="4615" max="4615" width="34.7109375" style="1088" bestFit="1" customWidth="1"/>
    <col min="4616" max="4616" width="11" style="1088" bestFit="1" customWidth="1"/>
    <col min="4617" max="4620" width="7.5703125" style="1088" bestFit="1" customWidth="1"/>
    <col min="4621" max="4621" width="7.5703125" style="1088" customWidth="1"/>
    <col min="4622" max="4624" width="7.5703125" style="1088" bestFit="1" customWidth="1"/>
    <col min="4625" max="4627" width="8.5703125" style="1088" bestFit="1" customWidth="1"/>
    <col min="4628" max="4628" width="11" style="1088" bestFit="1" customWidth="1"/>
    <col min="4629" max="4864" width="6.85546875" style="1088" customWidth="1"/>
    <col min="4865" max="4865" width="4.42578125" style="1088" customWidth="1"/>
    <col min="4866" max="4866" width="14.85546875" style="1088" bestFit="1" customWidth="1"/>
    <col min="4867" max="4870" width="5.85546875" style="1088" customWidth="1"/>
    <col min="4871" max="4871" width="34.7109375" style="1088" bestFit="1" customWidth="1"/>
    <col min="4872" max="4872" width="11" style="1088" bestFit="1" customWidth="1"/>
    <col min="4873" max="4876" width="7.5703125" style="1088" bestFit="1" customWidth="1"/>
    <col min="4877" max="4877" width="7.5703125" style="1088" customWidth="1"/>
    <col min="4878" max="4880" width="7.5703125" style="1088" bestFit="1" customWidth="1"/>
    <col min="4881" max="4883" width="8.5703125" style="1088" bestFit="1" customWidth="1"/>
    <col min="4884" max="4884" width="11" style="1088" bestFit="1" customWidth="1"/>
    <col min="4885" max="5120" width="6.85546875" style="1088" customWidth="1"/>
    <col min="5121" max="5121" width="4.42578125" style="1088" customWidth="1"/>
    <col min="5122" max="5122" width="14.85546875" style="1088" bestFit="1" customWidth="1"/>
    <col min="5123" max="5126" width="5.85546875" style="1088" customWidth="1"/>
    <col min="5127" max="5127" width="34.7109375" style="1088" bestFit="1" customWidth="1"/>
    <col min="5128" max="5128" width="11" style="1088" bestFit="1" customWidth="1"/>
    <col min="5129" max="5132" width="7.5703125" style="1088" bestFit="1" customWidth="1"/>
    <col min="5133" max="5133" width="7.5703125" style="1088" customWidth="1"/>
    <col min="5134" max="5136" width="7.5703125" style="1088" bestFit="1" customWidth="1"/>
    <col min="5137" max="5139" width="8.5703125" style="1088" bestFit="1" customWidth="1"/>
    <col min="5140" max="5140" width="11" style="1088" bestFit="1" customWidth="1"/>
    <col min="5141" max="5376" width="6.85546875" style="1088" customWidth="1"/>
    <col min="5377" max="5377" width="4.42578125" style="1088" customWidth="1"/>
    <col min="5378" max="5378" width="14.85546875" style="1088" bestFit="1" customWidth="1"/>
    <col min="5379" max="5382" width="5.85546875" style="1088" customWidth="1"/>
    <col min="5383" max="5383" width="34.7109375" style="1088" bestFit="1" customWidth="1"/>
    <col min="5384" max="5384" width="11" style="1088" bestFit="1" customWidth="1"/>
    <col min="5385" max="5388" width="7.5703125" style="1088" bestFit="1" customWidth="1"/>
    <col min="5389" max="5389" width="7.5703125" style="1088" customWidth="1"/>
    <col min="5390" max="5392" width="7.5703125" style="1088" bestFit="1" customWidth="1"/>
    <col min="5393" max="5395" width="8.5703125" style="1088" bestFit="1" customWidth="1"/>
    <col min="5396" max="5396" width="11" style="1088" bestFit="1" customWidth="1"/>
    <col min="5397" max="5632" width="6.85546875" style="1088" customWidth="1"/>
    <col min="5633" max="5633" width="4.42578125" style="1088" customWidth="1"/>
    <col min="5634" max="5634" width="14.85546875" style="1088" bestFit="1" customWidth="1"/>
    <col min="5635" max="5638" width="5.85546875" style="1088" customWidth="1"/>
    <col min="5639" max="5639" width="34.7109375" style="1088" bestFit="1" customWidth="1"/>
    <col min="5640" max="5640" width="11" style="1088" bestFit="1" customWidth="1"/>
    <col min="5641" max="5644" width="7.5703125" style="1088" bestFit="1" customWidth="1"/>
    <col min="5645" max="5645" width="7.5703125" style="1088" customWidth="1"/>
    <col min="5646" max="5648" width="7.5703125" style="1088" bestFit="1" customWidth="1"/>
    <col min="5649" max="5651" width="8.5703125" style="1088" bestFit="1" customWidth="1"/>
    <col min="5652" max="5652" width="11" style="1088" bestFit="1" customWidth="1"/>
    <col min="5653" max="5888" width="6.85546875" style="1088" customWidth="1"/>
    <col min="5889" max="5889" width="4.42578125" style="1088" customWidth="1"/>
    <col min="5890" max="5890" width="14.85546875" style="1088" bestFit="1" customWidth="1"/>
    <col min="5891" max="5894" width="5.85546875" style="1088" customWidth="1"/>
    <col min="5895" max="5895" width="34.7109375" style="1088" bestFit="1" customWidth="1"/>
    <col min="5896" max="5896" width="11" style="1088" bestFit="1" customWidth="1"/>
    <col min="5897" max="5900" width="7.5703125" style="1088" bestFit="1" customWidth="1"/>
    <col min="5901" max="5901" width="7.5703125" style="1088" customWidth="1"/>
    <col min="5902" max="5904" width="7.5703125" style="1088" bestFit="1" customWidth="1"/>
    <col min="5905" max="5907" width="8.5703125" style="1088" bestFit="1" customWidth="1"/>
    <col min="5908" max="5908" width="11" style="1088" bestFit="1" customWidth="1"/>
    <col min="5909" max="6144" width="6.85546875" style="1088" customWidth="1"/>
    <col min="6145" max="6145" width="4.42578125" style="1088" customWidth="1"/>
    <col min="6146" max="6146" width="14.85546875" style="1088" bestFit="1" customWidth="1"/>
    <col min="6147" max="6150" width="5.85546875" style="1088" customWidth="1"/>
    <col min="6151" max="6151" width="34.7109375" style="1088" bestFit="1" customWidth="1"/>
    <col min="6152" max="6152" width="11" style="1088" bestFit="1" customWidth="1"/>
    <col min="6153" max="6156" width="7.5703125" style="1088" bestFit="1" customWidth="1"/>
    <col min="6157" max="6157" width="7.5703125" style="1088" customWidth="1"/>
    <col min="6158" max="6160" width="7.5703125" style="1088" bestFit="1" customWidth="1"/>
    <col min="6161" max="6163" width="8.5703125" style="1088" bestFit="1" customWidth="1"/>
    <col min="6164" max="6164" width="11" style="1088" bestFit="1" customWidth="1"/>
    <col min="6165" max="6400" width="6.85546875" style="1088" customWidth="1"/>
    <col min="6401" max="6401" width="4.42578125" style="1088" customWidth="1"/>
    <col min="6402" max="6402" width="14.85546875" style="1088" bestFit="1" customWidth="1"/>
    <col min="6403" max="6406" width="5.85546875" style="1088" customWidth="1"/>
    <col min="6407" max="6407" width="34.7109375" style="1088" bestFit="1" customWidth="1"/>
    <col min="6408" max="6408" width="11" style="1088" bestFit="1" customWidth="1"/>
    <col min="6409" max="6412" width="7.5703125" style="1088" bestFit="1" customWidth="1"/>
    <col min="6413" max="6413" width="7.5703125" style="1088" customWidth="1"/>
    <col min="6414" max="6416" width="7.5703125" style="1088" bestFit="1" customWidth="1"/>
    <col min="6417" max="6419" width="8.5703125" style="1088" bestFit="1" customWidth="1"/>
    <col min="6420" max="6420" width="11" style="1088" bestFit="1" customWidth="1"/>
    <col min="6421" max="6656" width="6.85546875" style="1088" customWidth="1"/>
    <col min="6657" max="6657" width="4.42578125" style="1088" customWidth="1"/>
    <col min="6658" max="6658" width="14.85546875" style="1088" bestFit="1" customWidth="1"/>
    <col min="6659" max="6662" width="5.85546875" style="1088" customWidth="1"/>
    <col min="6663" max="6663" width="34.7109375" style="1088" bestFit="1" customWidth="1"/>
    <col min="6664" max="6664" width="11" style="1088" bestFit="1" customWidth="1"/>
    <col min="6665" max="6668" width="7.5703125" style="1088" bestFit="1" customWidth="1"/>
    <col min="6669" max="6669" width="7.5703125" style="1088" customWidth="1"/>
    <col min="6670" max="6672" width="7.5703125" style="1088" bestFit="1" customWidth="1"/>
    <col min="6673" max="6675" width="8.5703125" style="1088" bestFit="1" customWidth="1"/>
    <col min="6676" max="6676" width="11" style="1088" bestFit="1" customWidth="1"/>
    <col min="6677" max="6912" width="6.85546875" style="1088" customWidth="1"/>
    <col min="6913" max="6913" width="4.42578125" style="1088" customWidth="1"/>
    <col min="6914" max="6914" width="14.85546875" style="1088" bestFit="1" customWidth="1"/>
    <col min="6915" max="6918" width="5.85546875" style="1088" customWidth="1"/>
    <col min="6919" max="6919" width="34.7109375" style="1088" bestFit="1" customWidth="1"/>
    <col min="6920" max="6920" width="11" style="1088" bestFit="1" customWidth="1"/>
    <col min="6921" max="6924" width="7.5703125" style="1088" bestFit="1" customWidth="1"/>
    <col min="6925" max="6925" width="7.5703125" style="1088" customWidth="1"/>
    <col min="6926" max="6928" width="7.5703125" style="1088" bestFit="1" customWidth="1"/>
    <col min="6929" max="6931" width="8.5703125" style="1088" bestFit="1" customWidth="1"/>
    <col min="6932" max="6932" width="11" style="1088" bestFit="1" customWidth="1"/>
    <col min="6933" max="7168" width="6.85546875" style="1088" customWidth="1"/>
    <col min="7169" max="7169" width="4.42578125" style="1088" customWidth="1"/>
    <col min="7170" max="7170" width="14.85546875" style="1088" bestFit="1" customWidth="1"/>
    <col min="7171" max="7174" width="5.85546875" style="1088" customWidth="1"/>
    <col min="7175" max="7175" width="34.7109375" style="1088" bestFit="1" customWidth="1"/>
    <col min="7176" max="7176" width="11" style="1088" bestFit="1" customWidth="1"/>
    <col min="7177" max="7180" width="7.5703125" style="1088" bestFit="1" customWidth="1"/>
    <col min="7181" max="7181" width="7.5703125" style="1088" customWidth="1"/>
    <col min="7182" max="7184" width="7.5703125" style="1088" bestFit="1" customWidth="1"/>
    <col min="7185" max="7187" width="8.5703125" style="1088" bestFit="1" customWidth="1"/>
    <col min="7188" max="7188" width="11" style="1088" bestFit="1" customWidth="1"/>
    <col min="7189" max="7424" width="6.85546875" style="1088" customWidth="1"/>
    <col min="7425" max="7425" width="4.42578125" style="1088" customWidth="1"/>
    <col min="7426" max="7426" width="14.85546875" style="1088" bestFit="1" customWidth="1"/>
    <col min="7427" max="7430" width="5.85546875" style="1088" customWidth="1"/>
    <col min="7431" max="7431" width="34.7109375" style="1088" bestFit="1" customWidth="1"/>
    <col min="7432" max="7432" width="11" style="1088" bestFit="1" customWidth="1"/>
    <col min="7433" max="7436" width="7.5703125" style="1088" bestFit="1" customWidth="1"/>
    <col min="7437" max="7437" width="7.5703125" style="1088" customWidth="1"/>
    <col min="7438" max="7440" width="7.5703125" style="1088" bestFit="1" customWidth="1"/>
    <col min="7441" max="7443" width="8.5703125" style="1088" bestFit="1" customWidth="1"/>
    <col min="7444" max="7444" width="11" style="1088" bestFit="1" customWidth="1"/>
    <col min="7445" max="7680" width="6.85546875" style="1088" customWidth="1"/>
    <col min="7681" max="7681" width="4.42578125" style="1088" customWidth="1"/>
    <col min="7682" max="7682" width="14.85546875" style="1088" bestFit="1" customWidth="1"/>
    <col min="7683" max="7686" width="5.85546875" style="1088" customWidth="1"/>
    <col min="7687" max="7687" width="34.7109375" style="1088" bestFit="1" customWidth="1"/>
    <col min="7688" max="7688" width="11" style="1088" bestFit="1" customWidth="1"/>
    <col min="7689" max="7692" width="7.5703125" style="1088" bestFit="1" customWidth="1"/>
    <col min="7693" max="7693" width="7.5703125" style="1088" customWidth="1"/>
    <col min="7694" max="7696" width="7.5703125" style="1088" bestFit="1" customWidth="1"/>
    <col min="7697" max="7699" width="8.5703125" style="1088" bestFit="1" customWidth="1"/>
    <col min="7700" max="7700" width="11" style="1088" bestFit="1" customWidth="1"/>
    <col min="7701" max="7936" width="6.85546875" style="1088" customWidth="1"/>
    <col min="7937" max="7937" width="4.42578125" style="1088" customWidth="1"/>
    <col min="7938" max="7938" width="14.85546875" style="1088" bestFit="1" customWidth="1"/>
    <col min="7939" max="7942" width="5.85546875" style="1088" customWidth="1"/>
    <col min="7943" max="7943" width="34.7109375" style="1088" bestFit="1" customWidth="1"/>
    <col min="7944" max="7944" width="11" style="1088" bestFit="1" customWidth="1"/>
    <col min="7945" max="7948" width="7.5703125" style="1088" bestFit="1" customWidth="1"/>
    <col min="7949" max="7949" width="7.5703125" style="1088" customWidth="1"/>
    <col min="7950" max="7952" width="7.5703125" style="1088" bestFit="1" customWidth="1"/>
    <col min="7953" max="7955" width="8.5703125" style="1088" bestFit="1" customWidth="1"/>
    <col min="7956" max="7956" width="11" style="1088" bestFit="1" customWidth="1"/>
    <col min="7957" max="8192" width="6.85546875" style="1088" customWidth="1"/>
    <col min="8193" max="8193" width="4.42578125" style="1088" customWidth="1"/>
    <col min="8194" max="8194" width="14.85546875" style="1088" bestFit="1" customWidth="1"/>
    <col min="8195" max="8198" width="5.85546875" style="1088" customWidth="1"/>
    <col min="8199" max="8199" width="34.7109375" style="1088" bestFit="1" customWidth="1"/>
    <col min="8200" max="8200" width="11" style="1088" bestFit="1" customWidth="1"/>
    <col min="8201" max="8204" width="7.5703125" style="1088" bestFit="1" customWidth="1"/>
    <col min="8205" max="8205" width="7.5703125" style="1088" customWidth="1"/>
    <col min="8206" max="8208" width="7.5703125" style="1088" bestFit="1" customWidth="1"/>
    <col min="8209" max="8211" width="8.5703125" style="1088" bestFit="1" customWidth="1"/>
    <col min="8212" max="8212" width="11" style="1088" bestFit="1" customWidth="1"/>
    <col min="8213" max="8448" width="6.85546875" style="1088" customWidth="1"/>
    <col min="8449" max="8449" width="4.42578125" style="1088" customWidth="1"/>
    <col min="8450" max="8450" width="14.85546875" style="1088" bestFit="1" customWidth="1"/>
    <col min="8451" max="8454" width="5.85546875" style="1088" customWidth="1"/>
    <col min="8455" max="8455" width="34.7109375" style="1088" bestFit="1" customWidth="1"/>
    <col min="8456" max="8456" width="11" style="1088" bestFit="1" customWidth="1"/>
    <col min="8457" max="8460" width="7.5703125" style="1088" bestFit="1" customWidth="1"/>
    <col min="8461" max="8461" width="7.5703125" style="1088" customWidth="1"/>
    <col min="8462" max="8464" width="7.5703125" style="1088" bestFit="1" customWidth="1"/>
    <col min="8465" max="8467" width="8.5703125" style="1088" bestFit="1" customWidth="1"/>
    <col min="8468" max="8468" width="11" style="1088" bestFit="1" customWidth="1"/>
    <col min="8469" max="8704" width="6.85546875" style="1088" customWidth="1"/>
    <col min="8705" max="8705" width="4.42578125" style="1088" customWidth="1"/>
    <col min="8706" max="8706" width="14.85546875" style="1088" bestFit="1" customWidth="1"/>
    <col min="8707" max="8710" width="5.85546875" style="1088" customWidth="1"/>
    <col min="8711" max="8711" width="34.7109375" style="1088" bestFit="1" customWidth="1"/>
    <col min="8712" max="8712" width="11" style="1088" bestFit="1" customWidth="1"/>
    <col min="8713" max="8716" width="7.5703125" style="1088" bestFit="1" customWidth="1"/>
    <col min="8717" max="8717" width="7.5703125" style="1088" customWidth="1"/>
    <col min="8718" max="8720" width="7.5703125" style="1088" bestFit="1" customWidth="1"/>
    <col min="8721" max="8723" width="8.5703125" style="1088" bestFit="1" customWidth="1"/>
    <col min="8724" max="8724" width="11" style="1088" bestFit="1" customWidth="1"/>
    <col min="8725" max="8960" width="6.85546875" style="1088" customWidth="1"/>
    <col min="8961" max="8961" width="4.42578125" style="1088" customWidth="1"/>
    <col min="8962" max="8962" width="14.85546875" style="1088" bestFit="1" customWidth="1"/>
    <col min="8963" max="8966" width="5.85546875" style="1088" customWidth="1"/>
    <col min="8967" max="8967" width="34.7109375" style="1088" bestFit="1" customWidth="1"/>
    <col min="8968" max="8968" width="11" style="1088" bestFit="1" customWidth="1"/>
    <col min="8969" max="8972" width="7.5703125" style="1088" bestFit="1" customWidth="1"/>
    <col min="8973" max="8973" width="7.5703125" style="1088" customWidth="1"/>
    <col min="8974" max="8976" width="7.5703125" style="1088" bestFit="1" customWidth="1"/>
    <col min="8977" max="8979" width="8.5703125" style="1088" bestFit="1" customWidth="1"/>
    <col min="8980" max="8980" width="11" style="1088" bestFit="1" customWidth="1"/>
    <col min="8981" max="9216" width="6.85546875" style="1088" customWidth="1"/>
    <col min="9217" max="9217" width="4.42578125" style="1088" customWidth="1"/>
    <col min="9218" max="9218" width="14.85546875" style="1088" bestFit="1" customWidth="1"/>
    <col min="9219" max="9222" width="5.85546875" style="1088" customWidth="1"/>
    <col min="9223" max="9223" width="34.7109375" style="1088" bestFit="1" customWidth="1"/>
    <col min="9224" max="9224" width="11" style="1088" bestFit="1" customWidth="1"/>
    <col min="9225" max="9228" width="7.5703125" style="1088" bestFit="1" customWidth="1"/>
    <col min="9229" max="9229" width="7.5703125" style="1088" customWidth="1"/>
    <col min="9230" max="9232" width="7.5703125" style="1088" bestFit="1" customWidth="1"/>
    <col min="9233" max="9235" width="8.5703125" style="1088" bestFit="1" customWidth="1"/>
    <col min="9236" max="9236" width="11" style="1088" bestFit="1" customWidth="1"/>
    <col min="9237" max="9472" width="6.85546875" style="1088" customWidth="1"/>
    <col min="9473" max="9473" width="4.42578125" style="1088" customWidth="1"/>
    <col min="9474" max="9474" width="14.85546875" style="1088" bestFit="1" customWidth="1"/>
    <col min="9475" max="9478" width="5.85546875" style="1088" customWidth="1"/>
    <col min="9479" max="9479" width="34.7109375" style="1088" bestFit="1" customWidth="1"/>
    <col min="9480" max="9480" width="11" style="1088" bestFit="1" customWidth="1"/>
    <col min="9481" max="9484" width="7.5703125" style="1088" bestFit="1" customWidth="1"/>
    <col min="9485" max="9485" width="7.5703125" style="1088" customWidth="1"/>
    <col min="9486" max="9488" width="7.5703125" style="1088" bestFit="1" customWidth="1"/>
    <col min="9489" max="9491" width="8.5703125" style="1088" bestFit="1" customWidth="1"/>
    <col min="9492" max="9492" width="11" style="1088" bestFit="1" customWidth="1"/>
    <col min="9493" max="9728" width="6.85546875" style="1088" customWidth="1"/>
    <col min="9729" max="9729" width="4.42578125" style="1088" customWidth="1"/>
    <col min="9730" max="9730" width="14.85546875" style="1088" bestFit="1" customWidth="1"/>
    <col min="9731" max="9734" width="5.85546875" style="1088" customWidth="1"/>
    <col min="9735" max="9735" width="34.7109375" style="1088" bestFit="1" customWidth="1"/>
    <col min="9736" max="9736" width="11" style="1088" bestFit="1" customWidth="1"/>
    <col min="9737" max="9740" width="7.5703125" style="1088" bestFit="1" customWidth="1"/>
    <col min="9741" max="9741" width="7.5703125" style="1088" customWidth="1"/>
    <col min="9742" max="9744" width="7.5703125" style="1088" bestFit="1" customWidth="1"/>
    <col min="9745" max="9747" width="8.5703125" style="1088" bestFit="1" customWidth="1"/>
    <col min="9748" max="9748" width="11" style="1088" bestFit="1" customWidth="1"/>
    <col min="9749" max="9984" width="6.85546875" style="1088" customWidth="1"/>
    <col min="9985" max="9985" width="4.42578125" style="1088" customWidth="1"/>
    <col min="9986" max="9986" width="14.85546875" style="1088" bestFit="1" customWidth="1"/>
    <col min="9987" max="9990" width="5.85546875" style="1088" customWidth="1"/>
    <col min="9991" max="9991" width="34.7109375" style="1088" bestFit="1" customWidth="1"/>
    <col min="9992" max="9992" width="11" style="1088" bestFit="1" customWidth="1"/>
    <col min="9993" max="9996" width="7.5703125" style="1088" bestFit="1" customWidth="1"/>
    <col min="9997" max="9997" width="7.5703125" style="1088" customWidth="1"/>
    <col min="9998" max="10000" width="7.5703125" style="1088" bestFit="1" customWidth="1"/>
    <col min="10001" max="10003" width="8.5703125" style="1088" bestFit="1" customWidth="1"/>
    <col min="10004" max="10004" width="11" style="1088" bestFit="1" customWidth="1"/>
    <col min="10005" max="10240" width="6.85546875" style="1088" customWidth="1"/>
    <col min="10241" max="10241" width="4.42578125" style="1088" customWidth="1"/>
    <col min="10242" max="10242" width="14.85546875" style="1088" bestFit="1" customWidth="1"/>
    <col min="10243" max="10246" width="5.85546875" style="1088" customWidth="1"/>
    <col min="10247" max="10247" width="34.7109375" style="1088" bestFit="1" customWidth="1"/>
    <col min="10248" max="10248" width="11" style="1088" bestFit="1" customWidth="1"/>
    <col min="10249" max="10252" width="7.5703125" style="1088" bestFit="1" customWidth="1"/>
    <col min="10253" max="10253" width="7.5703125" style="1088" customWidth="1"/>
    <col min="10254" max="10256" width="7.5703125" style="1088" bestFit="1" customWidth="1"/>
    <col min="10257" max="10259" width="8.5703125" style="1088" bestFit="1" customWidth="1"/>
    <col min="10260" max="10260" width="11" style="1088" bestFit="1" customWidth="1"/>
    <col min="10261" max="10496" width="6.85546875" style="1088" customWidth="1"/>
    <col min="10497" max="10497" width="4.42578125" style="1088" customWidth="1"/>
    <col min="10498" max="10498" width="14.85546875" style="1088" bestFit="1" customWidth="1"/>
    <col min="10499" max="10502" width="5.85546875" style="1088" customWidth="1"/>
    <col min="10503" max="10503" width="34.7109375" style="1088" bestFit="1" customWidth="1"/>
    <col min="10504" max="10504" width="11" style="1088" bestFit="1" customWidth="1"/>
    <col min="10505" max="10508" width="7.5703125" style="1088" bestFit="1" customWidth="1"/>
    <col min="10509" max="10509" width="7.5703125" style="1088" customWidth="1"/>
    <col min="10510" max="10512" width="7.5703125" style="1088" bestFit="1" customWidth="1"/>
    <col min="10513" max="10515" width="8.5703125" style="1088" bestFit="1" customWidth="1"/>
    <col min="10516" max="10516" width="11" style="1088" bestFit="1" customWidth="1"/>
    <col min="10517" max="10752" width="6.85546875" style="1088" customWidth="1"/>
    <col min="10753" max="10753" width="4.42578125" style="1088" customWidth="1"/>
    <col min="10754" max="10754" width="14.85546875" style="1088" bestFit="1" customWidth="1"/>
    <col min="10755" max="10758" width="5.85546875" style="1088" customWidth="1"/>
    <col min="10759" max="10759" width="34.7109375" style="1088" bestFit="1" customWidth="1"/>
    <col min="10760" max="10760" width="11" style="1088" bestFit="1" customWidth="1"/>
    <col min="10761" max="10764" width="7.5703125" style="1088" bestFit="1" customWidth="1"/>
    <col min="10765" max="10765" width="7.5703125" style="1088" customWidth="1"/>
    <col min="10766" max="10768" width="7.5703125" style="1088" bestFit="1" customWidth="1"/>
    <col min="10769" max="10771" width="8.5703125" style="1088" bestFit="1" customWidth="1"/>
    <col min="10772" max="10772" width="11" style="1088" bestFit="1" customWidth="1"/>
    <col min="10773" max="11008" width="6.85546875" style="1088" customWidth="1"/>
    <col min="11009" max="11009" width="4.42578125" style="1088" customWidth="1"/>
    <col min="11010" max="11010" width="14.85546875" style="1088" bestFit="1" customWidth="1"/>
    <col min="11011" max="11014" width="5.85546875" style="1088" customWidth="1"/>
    <col min="11015" max="11015" width="34.7109375" style="1088" bestFit="1" customWidth="1"/>
    <col min="11016" max="11016" width="11" style="1088" bestFit="1" customWidth="1"/>
    <col min="11017" max="11020" width="7.5703125" style="1088" bestFit="1" customWidth="1"/>
    <col min="11021" max="11021" width="7.5703125" style="1088" customWidth="1"/>
    <col min="11022" max="11024" width="7.5703125" style="1088" bestFit="1" customWidth="1"/>
    <col min="11025" max="11027" width="8.5703125" style="1088" bestFit="1" customWidth="1"/>
    <col min="11028" max="11028" width="11" style="1088" bestFit="1" customWidth="1"/>
    <col min="11029" max="11264" width="6.85546875" style="1088" customWidth="1"/>
    <col min="11265" max="11265" width="4.42578125" style="1088" customWidth="1"/>
    <col min="11266" max="11266" width="14.85546875" style="1088" bestFit="1" customWidth="1"/>
    <col min="11267" max="11270" width="5.85546875" style="1088" customWidth="1"/>
    <col min="11271" max="11271" width="34.7109375" style="1088" bestFit="1" customWidth="1"/>
    <col min="11272" max="11272" width="11" style="1088" bestFit="1" customWidth="1"/>
    <col min="11273" max="11276" width="7.5703125" style="1088" bestFit="1" customWidth="1"/>
    <col min="11277" max="11277" width="7.5703125" style="1088" customWidth="1"/>
    <col min="11278" max="11280" width="7.5703125" style="1088" bestFit="1" customWidth="1"/>
    <col min="11281" max="11283" width="8.5703125" style="1088" bestFit="1" customWidth="1"/>
    <col min="11284" max="11284" width="11" style="1088" bestFit="1" customWidth="1"/>
    <col min="11285" max="11520" width="6.85546875" style="1088" customWidth="1"/>
    <col min="11521" max="11521" width="4.42578125" style="1088" customWidth="1"/>
    <col min="11522" max="11522" width="14.85546875" style="1088" bestFit="1" customWidth="1"/>
    <col min="11523" max="11526" width="5.85546875" style="1088" customWidth="1"/>
    <col min="11527" max="11527" width="34.7109375" style="1088" bestFit="1" customWidth="1"/>
    <col min="11528" max="11528" width="11" style="1088" bestFit="1" customWidth="1"/>
    <col min="11529" max="11532" width="7.5703125" style="1088" bestFit="1" customWidth="1"/>
    <col min="11533" max="11533" width="7.5703125" style="1088" customWidth="1"/>
    <col min="11534" max="11536" width="7.5703125" style="1088" bestFit="1" customWidth="1"/>
    <col min="11537" max="11539" width="8.5703125" style="1088" bestFit="1" customWidth="1"/>
    <col min="11540" max="11540" width="11" style="1088" bestFit="1" customWidth="1"/>
    <col min="11541" max="11776" width="6.85546875" style="1088" customWidth="1"/>
    <col min="11777" max="11777" width="4.42578125" style="1088" customWidth="1"/>
    <col min="11778" max="11778" width="14.85546875" style="1088" bestFit="1" customWidth="1"/>
    <col min="11779" max="11782" width="5.85546875" style="1088" customWidth="1"/>
    <col min="11783" max="11783" width="34.7109375" style="1088" bestFit="1" customWidth="1"/>
    <col min="11784" max="11784" width="11" style="1088" bestFit="1" customWidth="1"/>
    <col min="11785" max="11788" width="7.5703125" style="1088" bestFit="1" customWidth="1"/>
    <col min="11789" max="11789" width="7.5703125" style="1088" customWidth="1"/>
    <col min="11790" max="11792" width="7.5703125" style="1088" bestFit="1" customWidth="1"/>
    <col min="11793" max="11795" width="8.5703125" style="1088" bestFit="1" customWidth="1"/>
    <col min="11796" max="11796" width="11" style="1088" bestFit="1" customWidth="1"/>
    <col min="11797" max="12032" width="6.85546875" style="1088" customWidth="1"/>
    <col min="12033" max="12033" width="4.42578125" style="1088" customWidth="1"/>
    <col min="12034" max="12034" width="14.85546875" style="1088" bestFit="1" customWidth="1"/>
    <col min="12035" max="12038" width="5.85546875" style="1088" customWidth="1"/>
    <col min="12039" max="12039" width="34.7109375" style="1088" bestFit="1" customWidth="1"/>
    <col min="12040" max="12040" width="11" style="1088" bestFit="1" customWidth="1"/>
    <col min="12041" max="12044" width="7.5703125" style="1088" bestFit="1" customWidth="1"/>
    <col min="12045" max="12045" width="7.5703125" style="1088" customWidth="1"/>
    <col min="12046" max="12048" width="7.5703125" style="1088" bestFit="1" customWidth="1"/>
    <col min="12049" max="12051" width="8.5703125" style="1088" bestFit="1" customWidth="1"/>
    <col min="12052" max="12052" width="11" style="1088" bestFit="1" customWidth="1"/>
    <col min="12053" max="12288" width="6.85546875" style="1088" customWidth="1"/>
    <col min="12289" max="12289" width="4.42578125" style="1088" customWidth="1"/>
    <col min="12290" max="12290" width="14.85546875" style="1088" bestFit="1" customWidth="1"/>
    <col min="12291" max="12294" width="5.85546875" style="1088" customWidth="1"/>
    <col min="12295" max="12295" width="34.7109375" style="1088" bestFit="1" customWidth="1"/>
    <col min="12296" max="12296" width="11" style="1088" bestFit="1" customWidth="1"/>
    <col min="12297" max="12300" width="7.5703125" style="1088" bestFit="1" customWidth="1"/>
    <col min="12301" max="12301" width="7.5703125" style="1088" customWidth="1"/>
    <col min="12302" max="12304" width="7.5703125" style="1088" bestFit="1" customWidth="1"/>
    <col min="12305" max="12307" width="8.5703125" style="1088" bestFit="1" customWidth="1"/>
    <col min="12308" max="12308" width="11" style="1088" bestFit="1" customWidth="1"/>
    <col min="12309" max="12544" width="6.85546875" style="1088" customWidth="1"/>
    <col min="12545" max="12545" width="4.42578125" style="1088" customWidth="1"/>
    <col min="12546" max="12546" width="14.85546875" style="1088" bestFit="1" customWidth="1"/>
    <col min="12547" max="12550" width="5.85546875" style="1088" customWidth="1"/>
    <col min="12551" max="12551" width="34.7109375" style="1088" bestFit="1" customWidth="1"/>
    <col min="12552" max="12552" width="11" style="1088" bestFit="1" customWidth="1"/>
    <col min="12553" max="12556" width="7.5703125" style="1088" bestFit="1" customWidth="1"/>
    <col min="12557" max="12557" width="7.5703125" style="1088" customWidth="1"/>
    <col min="12558" max="12560" width="7.5703125" style="1088" bestFit="1" customWidth="1"/>
    <col min="12561" max="12563" width="8.5703125" style="1088" bestFit="1" customWidth="1"/>
    <col min="12564" max="12564" width="11" style="1088" bestFit="1" customWidth="1"/>
    <col min="12565" max="12800" width="6.85546875" style="1088" customWidth="1"/>
    <col min="12801" max="12801" width="4.42578125" style="1088" customWidth="1"/>
    <col min="12802" max="12802" width="14.85546875" style="1088" bestFit="1" customWidth="1"/>
    <col min="12803" max="12806" width="5.85546875" style="1088" customWidth="1"/>
    <col min="12807" max="12807" width="34.7109375" style="1088" bestFit="1" customWidth="1"/>
    <col min="12808" max="12808" width="11" style="1088" bestFit="1" customWidth="1"/>
    <col min="12809" max="12812" width="7.5703125" style="1088" bestFit="1" customWidth="1"/>
    <col min="12813" max="12813" width="7.5703125" style="1088" customWidth="1"/>
    <col min="12814" max="12816" width="7.5703125" style="1088" bestFit="1" customWidth="1"/>
    <col min="12817" max="12819" width="8.5703125" style="1088" bestFit="1" customWidth="1"/>
    <col min="12820" max="12820" width="11" style="1088" bestFit="1" customWidth="1"/>
    <col min="12821" max="13056" width="6.85546875" style="1088" customWidth="1"/>
    <col min="13057" max="13057" width="4.42578125" style="1088" customWidth="1"/>
    <col min="13058" max="13058" width="14.85546875" style="1088" bestFit="1" customWidth="1"/>
    <col min="13059" max="13062" width="5.85546875" style="1088" customWidth="1"/>
    <col min="13063" max="13063" width="34.7109375" style="1088" bestFit="1" customWidth="1"/>
    <col min="13064" max="13064" width="11" style="1088" bestFit="1" customWidth="1"/>
    <col min="13065" max="13068" width="7.5703125" style="1088" bestFit="1" customWidth="1"/>
    <col min="13069" max="13069" width="7.5703125" style="1088" customWidth="1"/>
    <col min="13070" max="13072" width="7.5703125" style="1088" bestFit="1" customWidth="1"/>
    <col min="13073" max="13075" width="8.5703125" style="1088" bestFit="1" customWidth="1"/>
    <col min="13076" max="13076" width="11" style="1088" bestFit="1" customWidth="1"/>
    <col min="13077" max="13312" width="6.85546875" style="1088" customWidth="1"/>
    <col min="13313" max="13313" width="4.42578125" style="1088" customWidth="1"/>
    <col min="13314" max="13314" width="14.85546875" style="1088" bestFit="1" customWidth="1"/>
    <col min="13315" max="13318" width="5.85546875" style="1088" customWidth="1"/>
    <col min="13319" max="13319" width="34.7109375" style="1088" bestFit="1" customWidth="1"/>
    <col min="13320" max="13320" width="11" style="1088" bestFit="1" customWidth="1"/>
    <col min="13321" max="13324" width="7.5703125" style="1088" bestFit="1" customWidth="1"/>
    <col min="13325" max="13325" width="7.5703125" style="1088" customWidth="1"/>
    <col min="13326" max="13328" width="7.5703125" style="1088" bestFit="1" customWidth="1"/>
    <col min="13329" max="13331" width="8.5703125" style="1088" bestFit="1" customWidth="1"/>
    <col min="13332" max="13332" width="11" style="1088" bestFit="1" customWidth="1"/>
    <col min="13333" max="13568" width="6.85546875" style="1088" customWidth="1"/>
    <col min="13569" max="13569" width="4.42578125" style="1088" customWidth="1"/>
    <col min="13570" max="13570" width="14.85546875" style="1088" bestFit="1" customWidth="1"/>
    <col min="13571" max="13574" width="5.85546875" style="1088" customWidth="1"/>
    <col min="13575" max="13575" width="34.7109375" style="1088" bestFit="1" customWidth="1"/>
    <col min="13576" max="13576" width="11" style="1088" bestFit="1" customWidth="1"/>
    <col min="13577" max="13580" width="7.5703125" style="1088" bestFit="1" customWidth="1"/>
    <col min="13581" max="13581" width="7.5703125" style="1088" customWidth="1"/>
    <col min="13582" max="13584" width="7.5703125" style="1088" bestFit="1" customWidth="1"/>
    <col min="13585" max="13587" width="8.5703125" style="1088" bestFit="1" customWidth="1"/>
    <col min="13588" max="13588" width="11" style="1088" bestFit="1" customWidth="1"/>
    <col min="13589" max="13824" width="6.85546875" style="1088" customWidth="1"/>
    <col min="13825" max="13825" width="4.42578125" style="1088" customWidth="1"/>
    <col min="13826" max="13826" width="14.85546875" style="1088" bestFit="1" customWidth="1"/>
    <col min="13827" max="13830" width="5.85546875" style="1088" customWidth="1"/>
    <col min="13831" max="13831" width="34.7109375" style="1088" bestFit="1" customWidth="1"/>
    <col min="13832" max="13832" width="11" style="1088" bestFit="1" customWidth="1"/>
    <col min="13833" max="13836" width="7.5703125" style="1088" bestFit="1" customWidth="1"/>
    <col min="13837" max="13837" width="7.5703125" style="1088" customWidth="1"/>
    <col min="13838" max="13840" width="7.5703125" style="1088" bestFit="1" customWidth="1"/>
    <col min="13841" max="13843" width="8.5703125" style="1088" bestFit="1" customWidth="1"/>
    <col min="13844" max="13844" width="11" style="1088" bestFit="1" customWidth="1"/>
    <col min="13845" max="14080" width="6.85546875" style="1088" customWidth="1"/>
    <col min="14081" max="14081" width="4.42578125" style="1088" customWidth="1"/>
    <col min="14082" max="14082" width="14.85546875" style="1088" bestFit="1" customWidth="1"/>
    <col min="14083" max="14086" width="5.85546875" style="1088" customWidth="1"/>
    <col min="14087" max="14087" width="34.7109375" style="1088" bestFit="1" customWidth="1"/>
    <col min="14088" max="14088" width="11" style="1088" bestFit="1" customWidth="1"/>
    <col min="14089" max="14092" width="7.5703125" style="1088" bestFit="1" customWidth="1"/>
    <col min="14093" max="14093" width="7.5703125" style="1088" customWidth="1"/>
    <col min="14094" max="14096" width="7.5703125" style="1088" bestFit="1" customWidth="1"/>
    <col min="14097" max="14099" width="8.5703125" style="1088" bestFit="1" customWidth="1"/>
    <col min="14100" max="14100" width="11" style="1088" bestFit="1" customWidth="1"/>
    <col min="14101" max="14336" width="6.85546875" style="1088" customWidth="1"/>
    <col min="14337" max="14337" width="4.42578125" style="1088" customWidth="1"/>
    <col min="14338" max="14338" width="14.85546875" style="1088" bestFit="1" customWidth="1"/>
    <col min="14339" max="14342" width="5.85546875" style="1088" customWidth="1"/>
    <col min="14343" max="14343" width="34.7109375" style="1088" bestFit="1" customWidth="1"/>
    <col min="14344" max="14344" width="11" style="1088" bestFit="1" customWidth="1"/>
    <col min="14345" max="14348" width="7.5703125" style="1088" bestFit="1" customWidth="1"/>
    <col min="14349" max="14349" width="7.5703125" style="1088" customWidth="1"/>
    <col min="14350" max="14352" width="7.5703125" style="1088" bestFit="1" customWidth="1"/>
    <col min="14353" max="14355" width="8.5703125" style="1088" bestFit="1" customWidth="1"/>
    <col min="14356" max="14356" width="11" style="1088" bestFit="1" customWidth="1"/>
    <col min="14357" max="14592" width="6.85546875" style="1088" customWidth="1"/>
    <col min="14593" max="14593" width="4.42578125" style="1088" customWidth="1"/>
    <col min="14594" max="14594" width="14.85546875" style="1088" bestFit="1" customWidth="1"/>
    <col min="14595" max="14598" width="5.85546875" style="1088" customWidth="1"/>
    <col min="14599" max="14599" width="34.7109375" style="1088" bestFit="1" customWidth="1"/>
    <col min="14600" max="14600" width="11" style="1088" bestFit="1" customWidth="1"/>
    <col min="14601" max="14604" width="7.5703125" style="1088" bestFit="1" customWidth="1"/>
    <col min="14605" max="14605" width="7.5703125" style="1088" customWidth="1"/>
    <col min="14606" max="14608" width="7.5703125" style="1088" bestFit="1" customWidth="1"/>
    <col min="14609" max="14611" width="8.5703125" style="1088" bestFit="1" customWidth="1"/>
    <col min="14612" max="14612" width="11" style="1088" bestFit="1" customWidth="1"/>
    <col min="14613" max="14848" width="6.85546875" style="1088" customWidth="1"/>
    <col min="14849" max="14849" width="4.42578125" style="1088" customWidth="1"/>
    <col min="14850" max="14850" width="14.85546875" style="1088" bestFit="1" customWidth="1"/>
    <col min="14851" max="14854" width="5.85546875" style="1088" customWidth="1"/>
    <col min="14855" max="14855" width="34.7109375" style="1088" bestFit="1" customWidth="1"/>
    <col min="14856" max="14856" width="11" style="1088" bestFit="1" customWidth="1"/>
    <col min="14857" max="14860" width="7.5703125" style="1088" bestFit="1" customWidth="1"/>
    <col min="14861" max="14861" width="7.5703125" style="1088" customWidth="1"/>
    <col min="14862" max="14864" width="7.5703125" style="1088" bestFit="1" customWidth="1"/>
    <col min="14865" max="14867" width="8.5703125" style="1088" bestFit="1" customWidth="1"/>
    <col min="14868" max="14868" width="11" style="1088" bestFit="1" customWidth="1"/>
    <col min="14869" max="15104" width="6.85546875" style="1088" customWidth="1"/>
    <col min="15105" max="15105" width="4.42578125" style="1088" customWidth="1"/>
    <col min="15106" max="15106" width="14.85546875" style="1088" bestFit="1" customWidth="1"/>
    <col min="15107" max="15110" width="5.85546875" style="1088" customWidth="1"/>
    <col min="15111" max="15111" width="34.7109375" style="1088" bestFit="1" customWidth="1"/>
    <col min="15112" max="15112" width="11" style="1088" bestFit="1" customWidth="1"/>
    <col min="15113" max="15116" width="7.5703125" style="1088" bestFit="1" customWidth="1"/>
    <col min="15117" max="15117" width="7.5703125" style="1088" customWidth="1"/>
    <col min="15118" max="15120" width="7.5703125" style="1088" bestFit="1" customWidth="1"/>
    <col min="15121" max="15123" width="8.5703125" style="1088" bestFit="1" customWidth="1"/>
    <col min="15124" max="15124" width="11" style="1088" bestFit="1" customWidth="1"/>
    <col min="15125" max="15360" width="6.85546875" style="1088" customWidth="1"/>
    <col min="15361" max="15361" width="4.42578125" style="1088" customWidth="1"/>
    <col min="15362" max="15362" width="14.85546875" style="1088" bestFit="1" customWidth="1"/>
    <col min="15363" max="15366" width="5.85546875" style="1088" customWidth="1"/>
    <col min="15367" max="15367" width="34.7109375" style="1088" bestFit="1" customWidth="1"/>
    <col min="15368" max="15368" width="11" style="1088" bestFit="1" customWidth="1"/>
    <col min="15369" max="15372" width="7.5703125" style="1088" bestFit="1" customWidth="1"/>
    <col min="15373" max="15373" width="7.5703125" style="1088" customWidth="1"/>
    <col min="15374" max="15376" width="7.5703125" style="1088" bestFit="1" customWidth="1"/>
    <col min="15377" max="15379" width="8.5703125" style="1088" bestFit="1" customWidth="1"/>
    <col min="15380" max="15380" width="11" style="1088" bestFit="1" customWidth="1"/>
    <col min="15381" max="15616" width="6.85546875" style="1088" customWidth="1"/>
    <col min="15617" max="15617" width="4.42578125" style="1088" customWidth="1"/>
    <col min="15618" max="15618" width="14.85546875" style="1088" bestFit="1" customWidth="1"/>
    <col min="15619" max="15622" width="5.85546875" style="1088" customWidth="1"/>
    <col min="15623" max="15623" width="34.7109375" style="1088" bestFit="1" customWidth="1"/>
    <col min="15624" max="15624" width="11" style="1088" bestFit="1" customWidth="1"/>
    <col min="15625" max="15628" width="7.5703125" style="1088" bestFit="1" customWidth="1"/>
    <col min="15629" max="15629" width="7.5703125" style="1088" customWidth="1"/>
    <col min="15630" max="15632" width="7.5703125" style="1088" bestFit="1" customWidth="1"/>
    <col min="15633" max="15635" width="8.5703125" style="1088" bestFit="1" customWidth="1"/>
    <col min="15636" max="15636" width="11" style="1088" bestFit="1" customWidth="1"/>
    <col min="15637" max="15872" width="6.85546875" style="1088" customWidth="1"/>
    <col min="15873" max="15873" width="4.42578125" style="1088" customWidth="1"/>
    <col min="15874" max="15874" width="14.85546875" style="1088" bestFit="1" customWidth="1"/>
    <col min="15875" max="15878" width="5.85546875" style="1088" customWidth="1"/>
    <col min="15879" max="15879" width="34.7109375" style="1088" bestFit="1" customWidth="1"/>
    <col min="15880" max="15880" width="11" style="1088" bestFit="1" customWidth="1"/>
    <col min="15881" max="15884" width="7.5703125" style="1088" bestFit="1" customWidth="1"/>
    <col min="15885" max="15885" width="7.5703125" style="1088" customWidth="1"/>
    <col min="15886" max="15888" width="7.5703125" style="1088" bestFit="1" customWidth="1"/>
    <col min="15889" max="15891" width="8.5703125" style="1088" bestFit="1" customWidth="1"/>
    <col min="15892" max="15892" width="11" style="1088" bestFit="1" customWidth="1"/>
    <col min="15893" max="16128" width="6.85546875" style="1088" customWidth="1"/>
    <col min="16129" max="16129" width="4.42578125" style="1088" customWidth="1"/>
    <col min="16130" max="16130" width="14.85546875" style="1088" bestFit="1" customWidth="1"/>
    <col min="16131" max="16134" width="5.85546875" style="1088" customWidth="1"/>
    <col min="16135" max="16135" width="34.7109375" style="1088" bestFit="1" customWidth="1"/>
    <col min="16136" max="16136" width="11" style="1088" bestFit="1" customWidth="1"/>
    <col min="16137" max="16140" width="7.5703125" style="1088" bestFit="1" customWidth="1"/>
    <col min="16141" max="16141" width="7.5703125" style="1088" customWidth="1"/>
    <col min="16142" max="16144" width="7.5703125" style="1088" bestFit="1" customWidth="1"/>
    <col min="16145" max="16147" width="8.5703125" style="1088" bestFit="1" customWidth="1"/>
    <col min="16148" max="16148" width="11" style="1088" bestFit="1" customWidth="1"/>
    <col min="16149" max="16384" width="6.85546875" style="1088" customWidth="1"/>
  </cols>
  <sheetData>
    <row r="1" spans="1:20" s="1087" customFormat="1" ht="12.75" customHeight="1" x14ac:dyDescent="0.2">
      <c r="A1" s="1087" t="s">
        <v>1033</v>
      </c>
      <c r="H1" s="1088"/>
      <c r="I1" s="1088"/>
      <c r="J1" s="1088"/>
    </row>
    <row r="2" spans="1:20" ht="12.75" customHeight="1" x14ac:dyDescent="0.2">
      <c r="A2" s="1088" t="s">
        <v>1034</v>
      </c>
    </row>
    <row r="3" spans="1:20" ht="12.75" customHeight="1" x14ac:dyDescent="0.2">
      <c r="A3" s="1088" t="s">
        <v>1391</v>
      </c>
    </row>
    <row r="4" spans="1:20" ht="12.75" customHeight="1" x14ac:dyDescent="0.2"/>
    <row r="5" spans="1:20" ht="12.75" customHeight="1" x14ac:dyDescent="0.2">
      <c r="H5" s="1088" t="s">
        <v>1035</v>
      </c>
      <c r="I5" s="1088" t="s">
        <v>1036</v>
      </c>
      <c r="J5" s="1088" t="s">
        <v>1037</v>
      </c>
      <c r="K5" s="1088" t="s">
        <v>1038</v>
      </c>
      <c r="L5" s="1092" t="s">
        <v>1039</v>
      </c>
      <c r="M5" s="1092" t="s">
        <v>1040</v>
      </c>
      <c r="N5" s="1092" t="s">
        <v>1041</v>
      </c>
      <c r="O5" s="1092" t="s">
        <v>1042</v>
      </c>
      <c r="P5" s="1092" t="s">
        <v>1043</v>
      </c>
      <c r="Q5" s="1092" t="s">
        <v>1044</v>
      </c>
      <c r="R5" s="1088" t="s">
        <v>1045</v>
      </c>
      <c r="S5" s="1092" t="s">
        <v>1046</v>
      </c>
    </row>
    <row r="6" spans="1:20" ht="12.75" customHeight="1" x14ac:dyDescent="0.2">
      <c r="H6" s="1088" t="s">
        <v>1047</v>
      </c>
      <c r="I6" s="1088" t="s">
        <v>1047</v>
      </c>
      <c r="J6" s="1088" t="s">
        <v>1047</v>
      </c>
      <c r="K6" s="1088" t="s">
        <v>1047</v>
      </c>
      <c r="L6" s="1092" t="s">
        <v>1047</v>
      </c>
      <c r="M6" s="1092" t="s">
        <v>1047</v>
      </c>
      <c r="N6" s="1092" t="s">
        <v>1047</v>
      </c>
      <c r="O6" s="1092" t="s">
        <v>1047</v>
      </c>
      <c r="P6" s="1092" t="s">
        <v>1047</v>
      </c>
      <c r="Q6" s="1092" t="s">
        <v>1047</v>
      </c>
      <c r="R6" s="1088" t="s">
        <v>1047</v>
      </c>
      <c r="S6" s="1092" t="s">
        <v>1047</v>
      </c>
      <c r="T6" s="1092" t="s">
        <v>16</v>
      </c>
    </row>
    <row r="7" spans="1:20" ht="12.75" customHeight="1" x14ac:dyDescent="0.2"/>
    <row r="8" spans="1:20" ht="12.75" customHeight="1" x14ac:dyDescent="0.2">
      <c r="A8" s="1088" t="s">
        <v>1048</v>
      </c>
    </row>
    <row r="9" spans="1:20" ht="12.75" customHeight="1" x14ac:dyDescent="0.2">
      <c r="B9" s="1111"/>
      <c r="C9" s="1111"/>
      <c r="D9" s="1111"/>
      <c r="E9" s="1111"/>
      <c r="F9" s="1111"/>
      <c r="G9" s="1111"/>
    </row>
    <row r="10" spans="1:20" ht="12.75" customHeight="1" x14ac:dyDescent="0.2">
      <c r="B10" s="1088" t="s">
        <v>1049</v>
      </c>
      <c r="C10" s="1088">
        <v>401</v>
      </c>
      <c r="D10" s="1088">
        <v>321</v>
      </c>
      <c r="E10" s="1088">
        <v>1</v>
      </c>
      <c r="F10" s="1088">
        <v>6604</v>
      </c>
      <c r="G10" s="1111" t="s">
        <v>1050</v>
      </c>
      <c r="H10" s="1089">
        <v>0</v>
      </c>
      <c r="I10" s="1089">
        <v>0</v>
      </c>
      <c r="J10" s="1089">
        <v>0</v>
      </c>
      <c r="K10" s="1089">
        <v>0</v>
      </c>
      <c r="L10" s="1093">
        <v>0</v>
      </c>
      <c r="M10" s="1093">
        <v>0</v>
      </c>
      <c r="N10" s="1093">
        <v>0</v>
      </c>
      <c r="O10" s="1093">
        <v>0</v>
      </c>
      <c r="P10" s="1093">
        <v>0</v>
      </c>
      <c r="Q10" s="1093">
        <v>0</v>
      </c>
      <c r="R10" s="1089">
        <v>0</v>
      </c>
      <c r="S10" s="1093">
        <v>0</v>
      </c>
      <c r="T10" s="1093">
        <f>SUM(H10:S10)</f>
        <v>0</v>
      </c>
    </row>
    <row r="11" spans="1:20" ht="12.75" customHeight="1" x14ac:dyDescent="0.2">
      <c r="B11" s="1088" t="s">
        <v>1051</v>
      </c>
      <c r="C11" s="1088">
        <v>401</v>
      </c>
      <c r="D11" s="1088">
        <v>323</v>
      </c>
      <c r="E11" s="1088">
        <v>0</v>
      </c>
      <c r="F11" s="1088">
        <v>4</v>
      </c>
      <c r="G11" s="1111" t="s">
        <v>1052</v>
      </c>
      <c r="H11" s="1089">
        <v>0</v>
      </c>
      <c r="I11" s="1089">
        <v>0</v>
      </c>
      <c r="J11" s="1089">
        <v>0</v>
      </c>
      <c r="K11" s="1089">
        <v>0</v>
      </c>
      <c r="L11" s="1093">
        <v>0</v>
      </c>
      <c r="M11" s="1093">
        <v>0</v>
      </c>
      <c r="N11" s="1093">
        <v>0</v>
      </c>
      <c r="O11" s="1093">
        <v>0</v>
      </c>
      <c r="P11" s="1093">
        <v>0</v>
      </c>
      <c r="Q11" s="1093">
        <v>0</v>
      </c>
      <c r="R11" s="1089">
        <v>0</v>
      </c>
      <c r="S11" s="1093">
        <v>0</v>
      </c>
      <c r="T11" s="1093">
        <f t="shared" ref="T11:T51" si="0">SUM(H11:S11)</f>
        <v>0</v>
      </c>
    </row>
    <row r="12" spans="1:20" ht="12.75" customHeight="1" x14ac:dyDescent="0.2">
      <c r="B12" s="1088" t="s">
        <v>1053</v>
      </c>
      <c r="C12" s="1088">
        <v>401</v>
      </c>
      <c r="D12" s="1088">
        <v>331</v>
      </c>
      <c r="E12" s="1088">
        <v>0</v>
      </c>
      <c r="F12" s="1088">
        <v>1</v>
      </c>
      <c r="G12" s="1088" t="s">
        <v>349</v>
      </c>
      <c r="H12" s="1089">
        <v>326082</v>
      </c>
      <c r="I12" s="1089">
        <v>333292</v>
      </c>
      <c r="J12" s="1089">
        <v>333293</v>
      </c>
      <c r="K12" s="1089">
        <v>333292</v>
      </c>
      <c r="L12" s="1093">
        <v>333293</v>
      </c>
      <c r="M12" s="1093">
        <v>314425</v>
      </c>
      <c r="N12" s="1093">
        <v>314425</v>
      </c>
      <c r="O12" s="1093">
        <v>345393</v>
      </c>
      <c r="P12" s="1093">
        <v>0</v>
      </c>
      <c r="Q12" s="1093">
        <v>0</v>
      </c>
      <c r="R12" s="1089">
        <v>0</v>
      </c>
      <c r="S12" s="1093">
        <v>0</v>
      </c>
      <c r="T12" s="1093">
        <f t="shared" si="0"/>
        <v>2633495</v>
      </c>
    </row>
    <row r="13" spans="1:20" ht="12.75" customHeight="1" x14ac:dyDescent="0.2">
      <c r="B13" s="1088" t="s">
        <v>1054</v>
      </c>
      <c r="C13" s="1088">
        <v>401</v>
      </c>
      <c r="D13" s="1088">
        <v>331</v>
      </c>
      <c r="E13" s="1088">
        <v>1</v>
      </c>
      <c r="F13" s="1088">
        <v>1101</v>
      </c>
      <c r="G13" s="1088" t="s">
        <v>1055</v>
      </c>
      <c r="H13" s="1089">
        <v>0</v>
      </c>
      <c r="I13" s="1089">
        <v>0</v>
      </c>
      <c r="J13" s="1089">
        <v>0</v>
      </c>
      <c r="K13" s="1089">
        <v>0</v>
      </c>
      <c r="L13" s="1093">
        <v>0</v>
      </c>
      <c r="M13" s="1093">
        <v>0</v>
      </c>
      <c r="N13" s="1093">
        <v>0</v>
      </c>
      <c r="O13" s="1093">
        <v>0</v>
      </c>
      <c r="P13" s="1093">
        <v>0</v>
      </c>
      <c r="Q13" s="1093">
        <v>0</v>
      </c>
      <c r="R13" s="1089">
        <v>0</v>
      </c>
      <c r="S13" s="1093">
        <v>0</v>
      </c>
      <c r="T13" s="1093">
        <f t="shared" si="0"/>
        <v>0</v>
      </c>
    </row>
    <row r="14" spans="1:20" ht="12.75" customHeight="1" x14ac:dyDescent="0.2">
      <c r="B14" s="1088" t="s">
        <v>1056</v>
      </c>
      <c r="C14" s="1088">
        <v>401</v>
      </c>
      <c r="D14" s="1088">
        <v>331</v>
      </c>
      <c r="E14" s="1088">
        <v>2</v>
      </c>
      <c r="F14" s="1088">
        <v>1001</v>
      </c>
      <c r="G14" s="1088" t="s">
        <v>1057</v>
      </c>
      <c r="H14" s="1089">
        <v>4322</v>
      </c>
      <c r="I14" s="1089">
        <v>4463</v>
      </c>
      <c r="J14" s="1089">
        <v>4464</v>
      </c>
      <c r="K14" s="1089">
        <v>4463</v>
      </c>
      <c r="L14" s="1093">
        <v>4464</v>
      </c>
      <c r="M14" s="1093">
        <v>7076</v>
      </c>
      <c r="N14" s="1093">
        <v>7076</v>
      </c>
      <c r="O14" s="1093">
        <v>7076</v>
      </c>
      <c r="P14" s="1093">
        <v>0</v>
      </c>
      <c r="Q14" s="1093">
        <v>0</v>
      </c>
      <c r="R14" s="1089">
        <v>0</v>
      </c>
      <c r="S14" s="1093">
        <v>0</v>
      </c>
      <c r="T14" s="1093">
        <f t="shared" si="0"/>
        <v>43404</v>
      </c>
    </row>
    <row r="15" spans="1:20" ht="12.75" customHeight="1" x14ac:dyDescent="0.2">
      <c r="B15" s="1088" t="s">
        <v>1058</v>
      </c>
      <c r="C15" s="1088">
        <v>401</v>
      </c>
      <c r="D15" s="1088">
        <v>331</v>
      </c>
      <c r="E15" s="1088">
        <v>3</v>
      </c>
      <c r="F15" s="1088">
        <v>1</v>
      </c>
      <c r="G15" s="1088" t="s">
        <v>1059</v>
      </c>
      <c r="H15" s="1089">
        <v>23006</v>
      </c>
      <c r="I15" s="1089">
        <v>23005</v>
      </c>
      <c r="J15" s="1089">
        <v>25171</v>
      </c>
      <c r="K15" s="1089">
        <v>25171</v>
      </c>
      <c r="L15" s="1093">
        <v>25172</v>
      </c>
      <c r="M15" s="1093">
        <v>23768</v>
      </c>
      <c r="N15" s="1093">
        <v>23768</v>
      </c>
      <c r="O15" s="1093">
        <v>21695</v>
      </c>
      <c r="P15" s="1093">
        <v>0</v>
      </c>
      <c r="Q15" s="1093">
        <v>0</v>
      </c>
      <c r="R15" s="1089">
        <v>0</v>
      </c>
      <c r="S15" s="1093">
        <v>0</v>
      </c>
      <c r="T15" s="1093">
        <f t="shared" si="0"/>
        <v>190756</v>
      </c>
    </row>
    <row r="16" spans="1:20" ht="12.75" customHeight="1" x14ac:dyDescent="0.2">
      <c r="B16" s="1088" t="s">
        <v>1060</v>
      </c>
      <c r="C16" s="1088">
        <v>401</v>
      </c>
      <c r="D16" s="1088">
        <v>331</v>
      </c>
      <c r="E16" s="1088">
        <v>4</v>
      </c>
      <c r="F16" s="1088">
        <v>1</v>
      </c>
      <c r="G16" s="1111" t="s">
        <v>1061</v>
      </c>
      <c r="H16" s="1089">
        <v>19288</v>
      </c>
      <c r="I16" s="1089">
        <v>19823</v>
      </c>
      <c r="J16" s="1089">
        <v>19200</v>
      </c>
      <c r="K16" s="1089">
        <v>19200</v>
      </c>
      <c r="L16" s="1093">
        <v>19201</v>
      </c>
      <c r="M16" s="1093">
        <v>18009</v>
      </c>
      <c r="N16" s="1093">
        <v>18009</v>
      </c>
      <c r="O16" s="1093">
        <v>18415</v>
      </c>
      <c r="P16" s="1093">
        <v>0</v>
      </c>
      <c r="Q16" s="1093">
        <v>0</v>
      </c>
      <c r="R16" s="1089">
        <v>0</v>
      </c>
      <c r="S16" s="1093">
        <v>0</v>
      </c>
      <c r="T16" s="1093">
        <f t="shared" si="0"/>
        <v>151145</v>
      </c>
    </row>
    <row r="17" spans="2:20" ht="12.75" customHeight="1" x14ac:dyDescent="0.2">
      <c r="B17" s="1088" t="s">
        <v>1062</v>
      </c>
      <c r="C17" s="1088">
        <v>401</v>
      </c>
      <c r="D17" s="1088">
        <v>331</v>
      </c>
      <c r="E17" s="1088">
        <v>5</v>
      </c>
      <c r="F17" s="1088">
        <v>1</v>
      </c>
      <c r="G17" s="1088" t="s">
        <v>1063</v>
      </c>
      <c r="H17" s="1089">
        <v>-2696</v>
      </c>
      <c r="I17" s="1089">
        <v>-2638</v>
      </c>
      <c r="J17" s="1089">
        <v>-2732</v>
      </c>
      <c r="K17" s="1089">
        <v>-2646</v>
      </c>
      <c r="L17" s="1093">
        <v>-2646</v>
      </c>
      <c r="M17" s="1093">
        <v>-2649</v>
      </c>
      <c r="N17" s="1093">
        <v>-2649</v>
      </c>
      <c r="O17" s="1093">
        <v>-2616</v>
      </c>
      <c r="P17" s="1093">
        <v>0</v>
      </c>
      <c r="Q17" s="1093">
        <v>0</v>
      </c>
      <c r="R17" s="1089">
        <v>0</v>
      </c>
      <c r="S17" s="1093">
        <v>0</v>
      </c>
      <c r="T17" s="1093">
        <f t="shared" si="0"/>
        <v>-21272</v>
      </c>
    </row>
    <row r="18" spans="2:20" ht="12.75" customHeight="1" x14ac:dyDescent="0.2">
      <c r="B18" s="1088" t="s">
        <v>1064</v>
      </c>
      <c r="C18" s="1088">
        <v>401</v>
      </c>
      <c r="D18" s="1088">
        <v>331</v>
      </c>
      <c r="E18" s="1088">
        <v>6</v>
      </c>
      <c r="F18" s="1088">
        <v>1</v>
      </c>
      <c r="G18" s="1088" t="s">
        <v>1065</v>
      </c>
      <c r="H18" s="1089">
        <v>2924</v>
      </c>
      <c r="I18" s="1089">
        <v>2999</v>
      </c>
      <c r="J18" s="1089">
        <v>2999</v>
      </c>
      <c r="K18" s="1089">
        <v>2998</v>
      </c>
      <c r="L18" s="1093">
        <v>2999</v>
      </c>
      <c r="M18" s="1093">
        <v>2829</v>
      </c>
      <c r="N18" s="1093">
        <v>2829</v>
      </c>
      <c r="O18" s="1093">
        <v>2728</v>
      </c>
      <c r="P18" s="1093">
        <v>0</v>
      </c>
      <c r="Q18" s="1093">
        <v>0</v>
      </c>
      <c r="R18" s="1089">
        <v>0</v>
      </c>
      <c r="S18" s="1093">
        <v>0</v>
      </c>
      <c r="T18" s="1093">
        <f t="shared" si="0"/>
        <v>23305</v>
      </c>
    </row>
    <row r="19" spans="2:20" ht="12.75" customHeight="1" x14ac:dyDescent="0.2">
      <c r="B19" s="1088" t="s">
        <v>1066</v>
      </c>
      <c r="C19" s="1088">
        <v>401</v>
      </c>
      <c r="D19" s="1088">
        <v>331</v>
      </c>
      <c r="E19" s="1088">
        <v>7</v>
      </c>
      <c r="F19" s="1088">
        <v>1701</v>
      </c>
      <c r="G19" s="1088" t="s">
        <v>1067</v>
      </c>
      <c r="H19" s="1089">
        <v>3783</v>
      </c>
      <c r="I19" s="1089">
        <v>3881</v>
      </c>
      <c r="J19" s="1089">
        <v>3932</v>
      </c>
      <c r="K19" s="1089">
        <v>3932</v>
      </c>
      <c r="L19" s="1093">
        <v>3932</v>
      </c>
      <c r="M19" s="1093">
        <v>3690</v>
      </c>
      <c r="N19" s="1093">
        <v>3690</v>
      </c>
      <c r="O19" s="1093">
        <v>3489</v>
      </c>
      <c r="P19" s="1093">
        <v>0</v>
      </c>
      <c r="Q19" s="1093">
        <v>0</v>
      </c>
      <c r="R19" s="1089">
        <v>0</v>
      </c>
      <c r="S19" s="1093">
        <v>0</v>
      </c>
      <c r="T19" s="1093">
        <f t="shared" si="0"/>
        <v>30329</v>
      </c>
    </row>
    <row r="20" spans="2:20" ht="12.75" customHeight="1" x14ac:dyDescent="0.2">
      <c r="B20" s="1088" t="s">
        <v>1068</v>
      </c>
      <c r="C20" s="1088">
        <v>401</v>
      </c>
      <c r="D20" s="1088">
        <v>331</v>
      </c>
      <c r="E20" s="1088">
        <v>8</v>
      </c>
      <c r="F20" s="1088">
        <v>1801</v>
      </c>
      <c r="G20" s="1111" t="s">
        <v>1069</v>
      </c>
      <c r="H20" s="1089">
        <v>19047</v>
      </c>
      <c r="I20" s="1089">
        <v>19457</v>
      </c>
      <c r="J20" s="1089">
        <v>19457</v>
      </c>
      <c r="K20" s="1089">
        <v>19457</v>
      </c>
      <c r="L20" s="1093">
        <v>19457</v>
      </c>
      <c r="M20" s="1093">
        <v>18256</v>
      </c>
      <c r="N20" s="1093">
        <v>18256</v>
      </c>
      <c r="O20" s="1093">
        <v>17415</v>
      </c>
      <c r="P20" s="1093">
        <v>0</v>
      </c>
      <c r="Q20" s="1093">
        <v>0</v>
      </c>
      <c r="R20" s="1089">
        <v>0</v>
      </c>
      <c r="S20" s="1093">
        <v>0</v>
      </c>
      <c r="T20" s="1093">
        <f t="shared" si="0"/>
        <v>150802</v>
      </c>
    </row>
    <row r="21" spans="2:20" ht="12.75" customHeight="1" x14ac:dyDescent="0.2">
      <c r="B21" s="1088" t="s">
        <v>1070</v>
      </c>
      <c r="C21" s="1088">
        <v>401</v>
      </c>
      <c r="D21" s="1088">
        <v>331</v>
      </c>
      <c r="E21" s="1088">
        <v>9</v>
      </c>
      <c r="F21" s="1088">
        <v>1501</v>
      </c>
      <c r="G21" s="1088" t="s">
        <v>1071</v>
      </c>
      <c r="H21" s="1089">
        <v>5793</v>
      </c>
      <c r="I21" s="1089">
        <v>5868</v>
      </c>
      <c r="J21" s="1089">
        <v>5868</v>
      </c>
      <c r="K21" s="1089">
        <v>5868</v>
      </c>
      <c r="L21" s="1093">
        <v>5868</v>
      </c>
      <c r="M21" s="1093">
        <v>5506</v>
      </c>
      <c r="N21" s="1093">
        <v>5506</v>
      </c>
      <c r="O21" s="1093">
        <v>6151</v>
      </c>
      <c r="P21" s="1093">
        <v>0</v>
      </c>
      <c r="Q21" s="1093">
        <v>0</v>
      </c>
      <c r="R21" s="1089">
        <v>0</v>
      </c>
      <c r="S21" s="1093">
        <v>0</v>
      </c>
      <c r="T21" s="1093">
        <f t="shared" si="0"/>
        <v>46428</v>
      </c>
    </row>
    <row r="22" spans="2:20" ht="12.75" customHeight="1" x14ac:dyDescent="0.2">
      <c r="B22" s="1088" t="s">
        <v>929</v>
      </c>
      <c r="C22" s="1088">
        <v>401</v>
      </c>
      <c r="D22" s="1088">
        <v>333</v>
      </c>
      <c r="E22" s="1088">
        <v>40</v>
      </c>
      <c r="F22" s="1088">
        <v>7901</v>
      </c>
      <c r="G22" s="1088" t="s">
        <v>1072</v>
      </c>
      <c r="H22" s="1089">
        <v>0</v>
      </c>
      <c r="I22" s="1089">
        <v>0</v>
      </c>
      <c r="J22" s="1089">
        <v>16691.64</v>
      </c>
      <c r="K22" s="1089">
        <v>0</v>
      </c>
      <c r="L22" s="1093">
        <v>0</v>
      </c>
      <c r="M22" s="1093">
        <v>0</v>
      </c>
      <c r="N22" s="1093">
        <v>0</v>
      </c>
      <c r="O22" s="1093">
        <v>0</v>
      </c>
      <c r="P22" s="1093">
        <v>0</v>
      </c>
      <c r="Q22" s="1093">
        <v>0</v>
      </c>
      <c r="R22" s="1089">
        <v>0</v>
      </c>
      <c r="S22" s="1093">
        <v>0</v>
      </c>
      <c r="T22" s="1093">
        <f t="shared" si="0"/>
        <v>16691.64</v>
      </c>
    </row>
    <row r="23" spans="2:20" ht="12.75" customHeight="1" x14ac:dyDescent="0.2">
      <c r="B23" s="1088" t="s">
        <v>1073</v>
      </c>
      <c r="C23" s="1088">
        <v>401</v>
      </c>
      <c r="D23" s="1088">
        <v>333</v>
      </c>
      <c r="E23" s="1088">
        <v>61</v>
      </c>
      <c r="F23" s="1088">
        <v>7901</v>
      </c>
      <c r="G23" s="1111" t="s">
        <v>1074</v>
      </c>
      <c r="H23" s="1089">
        <v>0</v>
      </c>
      <c r="I23" s="1089">
        <v>0</v>
      </c>
      <c r="J23" s="1089">
        <v>0</v>
      </c>
      <c r="K23" s="1089">
        <v>0</v>
      </c>
      <c r="L23" s="1093">
        <v>0</v>
      </c>
      <c r="M23" s="1093">
        <v>0</v>
      </c>
      <c r="N23" s="1093">
        <v>0</v>
      </c>
      <c r="O23" s="1093">
        <v>0</v>
      </c>
      <c r="P23" s="1093">
        <v>0</v>
      </c>
      <c r="Q23" s="1093">
        <v>0</v>
      </c>
      <c r="R23" s="1089">
        <v>0</v>
      </c>
      <c r="S23" s="1093">
        <v>0</v>
      </c>
      <c r="T23" s="1093">
        <f t="shared" si="0"/>
        <v>0</v>
      </c>
    </row>
    <row r="24" spans="2:20" ht="12.75" customHeight="1" x14ac:dyDescent="0.2">
      <c r="B24" s="1088" t="s">
        <v>1075</v>
      </c>
      <c r="C24" s="1088">
        <v>401</v>
      </c>
      <c r="D24" s="1088">
        <v>335</v>
      </c>
      <c r="E24" s="1088">
        <v>50</v>
      </c>
      <c r="F24" s="1088">
        <v>1601</v>
      </c>
      <c r="G24" s="1088" t="s">
        <v>1076</v>
      </c>
      <c r="H24" s="1089">
        <v>70943</v>
      </c>
      <c r="I24" s="1089">
        <v>72636</v>
      </c>
      <c r="J24" s="1089">
        <v>72636</v>
      </c>
      <c r="K24" s="1089">
        <v>72636</v>
      </c>
      <c r="L24" s="1093">
        <v>72636</v>
      </c>
      <c r="M24" s="1093">
        <v>68685</v>
      </c>
      <c r="N24" s="1093">
        <v>68686</v>
      </c>
      <c r="O24" s="1093">
        <v>65681</v>
      </c>
      <c r="P24" s="1093">
        <v>0</v>
      </c>
      <c r="Q24" s="1093">
        <v>0</v>
      </c>
      <c r="R24" s="1089">
        <v>0</v>
      </c>
      <c r="S24" s="1093">
        <v>0</v>
      </c>
      <c r="T24" s="1093">
        <f t="shared" si="0"/>
        <v>564539</v>
      </c>
    </row>
    <row r="25" spans="2:20" ht="12.75" customHeight="1" x14ac:dyDescent="0.2">
      <c r="B25" s="1088" t="s">
        <v>1077</v>
      </c>
      <c r="C25" s="1088">
        <v>401</v>
      </c>
      <c r="D25" s="1088">
        <v>339</v>
      </c>
      <c r="E25" s="1088">
        <v>70</v>
      </c>
      <c r="F25" s="1088">
        <v>8003</v>
      </c>
      <c r="G25" s="1088" t="s">
        <v>1078</v>
      </c>
      <c r="H25" s="1089">
        <v>0</v>
      </c>
      <c r="I25" s="1089">
        <v>76482</v>
      </c>
      <c r="J25" s="1089">
        <v>38241</v>
      </c>
      <c r="K25" s="1089">
        <v>37730</v>
      </c>
      <c r="L25" s="1093">
        <v>37712</v>
      </c>
      <c r="M25" s="1093">
        <v>0</v>
      </c>
      <c r="N25" s="1093">
        <v>72849</v>
      </c>
      <c r="O25" s="1093">
        <v>0</v>
      </c>
      <c r="P25" s="1093">
        <v>0</v>
      </c>
      <c r="Q25" s="1093">
        <v>0</v>
      </c>
      <c r="R25" s="1089">
        <v>0</v>
      </c>
      <c r="S25" s="1093">
        <v>0</v>
      </c>
      <c r="T25" s="1093">
        <f t="shared" si="0"/>
        <v>263014</v>
      </c>
    </row>
    <row r="26" spans="2:20" ht="12.75" customHeight="1" x14ac:dyDescent="0.2">
      <c r="B26" s="1088" t="s">
        <v>1079</v>
      </c>
      <c r="C26" s="1088">
        <v>401</v>
      </c>
      <c r="D26" s="1088">
        <v>339</v>
      </c>
      <c r="E26" s="1088">
        <v>71</v>
      </c>
      <c r="F26" s="1088">
        <v>8003</v>
      </c>
      <c r="G26" s="1111" t="s">
        <v>1080</v>
      </c>
      <c r="H26" s="1089">
        <v>0</v>
      </c>
      <c r="I26" s="1089">
        <v>0</v>
      </c>
      <c r="J26" s="1089">
        <v>0</v>
      </c>
      <c r="K26" s="1089">
        <v>0</v>
      </c>
      <c r="L26" s="1093">
        <v>0</v>
      </c>
      <c r="M26" s="1093">
        <v>0</v>
      </c>
      <c r="N26" s="1093">
        <v>0</v>
      </c>
      <c r="O26" s="1093">
        <v>0</v>
      </c>
      <c r="P26" s="1093">
        <v>0</v>
      </c>
      <c r="Q26" s="1093">
        <v>0</v>
      </c>
      <c r="R26" s="1089">
        <v>0</v>
      </c>
      <c r="S26" s="1093">
        <v>0</v>
      </c>
      <c r="T26" s="1093">
        <f t="shared" si="0"/>
        <v>0</v>
      </c>
    </row>
    <row r="27" spans="2:20" ht="12.75" customHeight="1" x14ac:dyDescent="0.2">
      <c r="B27" s="1088" t="s">
        <v>1081</v>
      </c>
      <c r="C27" s="1088">
        <v>401</v>
      </c>
      <c r="D27" s="1088">
        <v>339</v>
      </c>
      <c r="E27" s="1088">
        <v>90</v>
      </c>
      <c r="F27" s="1088">
        <v>1</v>
      </c>
      <c r="G27" s="1088" t="s">
        <v>1082</v>
      </c>
      <c r="H27" s="1089">
        <f>-238409+18200</f>
        <v>-220209</v>
      </c>
      <c r="I27" s="1089">
        <v>110</v>
      </c>
      <c r="J27" s="1089">
        <v>110</v>
      </c>
      <c r="K27" s="1089">
        <v>110</v>
      </c>
      <c r="L27" s="1093">
        <v>110</v>
      </c>
      <c r="M27" s="1093">
        <v>103</v>
      </c>
      <c r="N27" s="1093">
        <v>46052.14</v>
      </c>
      <c r="O27" s="1093">
        <v>269668.71000000002</v>
      </c>
      <c r="P27" s="1093">
        <v>0</v>
      </c>
      <c r="Q27" s="1093">
        <v>0</v>
      </c>
      <c r="R27" s="1089">
        <v>0</v>
      </c>
      <c r="S27" s="1093">
        <v>0</v>
      </c>
      <c r="T27" s="1093">
        <f t="shared" si="0"/>
        <v>96054.850000000035</v>
      </c>
    </row>
    <row r="28" spans="2:20" ht="12.75" customHeight="1" x14ac:dyDescent="0.2">
      <c r="B28" s="1088" t="s">
        <v>1083</v>
      </c>
      <c r="C28" s="1088">
        <v>401</v>
      </c>
      <c r="D28" s="1088">
        <v>339</v>
      </c>
      <c r="E28" s="1088">
        <v>90</v>
      </c>
      <c r="F28" s="1088">
        <v>6701</v>
      </c>
      <c r="G28" s="1088" t="s">
        <v>1084</v>
      </c>
      <c r="H28" s="1089">
        <v>0</v>
      </c>
      <c r="I28" s="1089">
        <v>0</v>
      </c>
      <c r="J28" s="1089">
        <v>0</v>
      </c>
      <c r="K28" s="1089">
        <v>0</v>
      </c>
      <c r="L28" s="1093">
        <v>0</v>
      </c>
      <c r="M28" s="1093">
        <v>0</v>
      </c>
      <c r="N28" s="1093">
        <v>0</v>
      </c>
      <c r="O28" s="1093">
        <v>0</v>
      </c>
      <c r="P28" s="1093">
        <v>0</v>
      </c>
      <c r="Q28" s="1093">
        <v>0</v>
      </c>
      <c r="R28" s="1089">
        <v>0</v>
      </c>
      <c r="S28" s="1093">
        <v>0</v>
      </c>
      <c r="T28" s="1093">
        <f t="shared" si="0"/>
        <v>0</v>
      </c>
    </row>
    <row r="29" spans="2:20" ht="12.75" customHeight="1" x14ac:dyDescent="0.2">
      <c r="B29" s="1088" t="s">
        <v>1085</v>
      </c>
      <c r="C29" s="1088">
        <v>401</v>
      </c>
      <c r="D29" s="1088">
        <v>341</v>
      </c>
      <c r="E29" s="1088">
        <v>70</v>
      </c>
      <c r="F29" s="1088">
        <v>713</v>
      </c>
      <c r="G29" s="1111" t="s">
        <v>1086</v>
      </c>
      <c r="H29" s="1089">
        <v>0</v>
      </c>
      <c r="I29" s="1089">
        <v>0</v>
      </c>
      <c r="J29" s="1089">
        <v>0</v>
      </c>
      <c r="K29" s="1089">
        <v>0</v>
      </c>
      <c r="L29" s="1093">
        <v>0</v>
      </c>
      <c r="M29" s="1093">
        <v>0</v>
      </c>
      <c r="N29" s="1093">
        <v>0</v>
      </c>
      <c r="O29" s="1093">
        <v>0</v>
      </c>
      <c r="P29" s="1093">
        <v>0</v>
      </c>
      <c r="Q29" s="1093">
        <v>0</v>
      </c>
      <c r="R29" s="1089">
        <v>0</v>
      </c>
      <c r="S29" s="1093">
        <v>0</v>
      </c>
      <c r="T29" s="1093">
        <f t="shared" si="0"/>
        <v>0</v>
      </c>
    </row>
    <row r="30" spans="2:20" ht="12.75" customHeight="1" x14ac:dyDescent="0.2">
      <c r="B30" s="1088" t="s">
        <v>1087</v>
      </c>
      <c r="C30" s="1088">
        <v>402</v>
      </c>
      <c r="D30" s="1088">
        <v>320</v>
      </c>
      <c r="E30" s="1088">
        <v>0</v>
      </c>
      <c r="F30" s="1088">
        <v>6704</v>
      </c>
      <c r="G30" s="1088" t="s">
        <v>1088</v>
      </c>
      <c r="H30" s="1089">
        <v>0</v>
      </c>
      <c r="I30" s="1089">
        <v>0</v>
      </c>
      <c r="J30" s="1089">
        <v>0</v>
      </c>
      <c r="K30" s="1089">
        <v>0</v>
      </c>
      <c r="L30" s="1093">
        <v>0</v>
      </c>
      <c r="M30" s="1093">
        <v>0</v>
      </c>
      <c r="N30" s="1093">
        <v>0</v>
      </c>
      <c r="O30" s="1093">
        <v>0</v>
      </c>
      <c r="P30" s="1093">
        <v>0</v>
      </c>
      <c r="Q30" s="1093">
        <v>0</v>
      </c>
      <c r="R30" s="1089">
        <v>0</v>
      </c>
      <c r="S30" s="1093">
        <v>0</v>
      </c>
      <c r="T30" s="1093">
        <f t="shared" si="0"/>
        <v>0</v>
      </c>
    </row>
    <row r="31" spans="2:20" ht="12.75" customHeight="1" x14ac:dyDescent="0.2">
      <c r="B31" s="1088" t="s">
        <v>1089</v>
      </c>
      <c r="C31" s="1088">
        <v>402</v>
      </c>
      <c r="D31" s="1088">
        <v>324</v>
      </c>
      <c r="E31" s="1088">
        <v>0</v>
      </c>
      <c r="F31" s="1088">
        <v>712</v>
      </c>
      <c r="G31" s="1088" t="s">
        <v>1090</v>
      </c>
      <c r="H31" s="1089">
        <v>0</v>
      </c>
      <c r="I31" s="1089">
        <v>0</v>
      </c>
      <c r="J31" s="1089">
        <v>0</v>
      </c>
      <c r="K31" s="1089">
        <v>0</v>
      </c>
      <c r="L31" s="1093">
        <v>0</v>
      </c>
      <c r="M31" s="1093">
        <v>0</v>
      </c>
      <c r="N31" s="1093">
        <v>0</v>
      </c>
      <c r="O31" s="1093">
        <v>0</v>
      </c>
      <c r="P31" s="1093">
        <v>0</v>
      </c>
      <c r="Q31" s="1093">
        <v>0</v>
      </c>
      <c r="R31" s="1089">
        <v>0</v>
      </c>
      <c r="S31" s="1093">
        <v>0</v>
      </c>
      <c r="T31" s="1093">
        <f t="shared" si="0"/>
        <v>0</v>
      </c>
    </row>
    <row r="32" spans="2:20" ht="12.75" customHeight="1" x14ac:dyDescent="0.2">
      <c r="B32" s="1088" t="s">
        <v>1091</v>
      </c>
      <c r="C32" s="1088">
        <v>402</v>
      </c>
      <c r="D32" s="1088">
        <v>324</v>
      </c>
      <c r="E32" s="1088">
        <v>0</v>
      </c>
      <c r="F32" s="1088">
        <v>793</v>
      </c>
      <c r="G32" s="1088" t="s">
        <v>1092</v>
      </c>
      <c r="H32" s="1089">
        <v>0</v>
      </c>
      <c r="I32" s="1089">
        <v>0</v>
      </c>
      <c r="J32" s="1089">
        <v>0</v>
      </c>
      <c r="K32" s="1089">
        <v>0</v>
      </c>
      <c r="L32" s="1093">
        <v>0</v>
      </c>
      <c r="M32" s="1093">
        <v>0</v>
      </c>
      <c r="N32" s="1093">
        <v>0</v>
      </c>
      <c r="O32" s="1093">
        <v>0</v>
      </c>
      <c r="P32" s="1093">
        <v>0</v>
      </c>
      <c r="Q32" s="1093">
        <v>0</v>
      </c>
      <c r="R32" s="1089">
        <v>0</v>
      </c>
      <c r="S32" s="1093">
        <v>0</v>
      </c>
      <c r="T32" s="1093">
        <f t="shared" si="0"/>
        <v>0</v>
      </c>
    </row>
    <row r="33" spans="2:20" ht="12.75" customHeight="1" x14ac:dyDescent="0.2">
      <c r="B33" s="1088" t="s">
        <v>1093</v>
      </c>
      <c r="C33" s="1088">
        <v>402</v>
      </c>
      <c r="D33" s="1088">
        <v>324</v>
      </c>
      <c r="E33" s="1088">
        <v>0</v>
      </c>
      <c r="F33" s="1088">
        <v>3104</v>
      </c>
      <c r="G33" s="1088" t="s">
        <v>1094</v>
      </c>
      <c r="H33" s="1089">
        <v>0</v>
      </c>
      <c r="I33" s="1089">
        <v>0</v>
      </c>
      <c r="J33" s="1089">
        <v>0</v>
      </c>
      <c r="K33" s="1089">
        <v>0</v>
      </c>
      <c r="L33" s="1093">
        <v>0</v>
      </c>
      <c r="M33" s="1093">
        <v>0</v>
      </c>
      <c r="N33" s="1093">
        <v>0</v>
      </c>
      <c r="O33" s="1093">
        <v>0</v>
      </c>
      <c r="P33" s="1093">
        <v>0</v>
      </c>
      <c r="Q33" s="1093">
        <v>0</v>
      </c>
      <c r="R33" s="1089">
        <v>0</v>
      </c>
      <c r="S33" s="1093">
        <v>0</v>
      </c>
      <c r="T33" s="1093">
        <f t="shared" si="0"/>
        <v>0</v>
      </c>
    </row>
    <row r="34" spans="2:20" ht="12.75" customHeight="1" x14ac:dyDescent="0.2">
      <c r="B34" s="1088" t="s">
        <v>1095</v>
      </c>
      <c r="C34" s="1088">
        <v>402</v>
      </c>
      <c r="D34" s="1088">
        <v>335</v>
      </c>
      <c r="E34" s="1088">
        <v>40</v>
      </c>
      <c r="F34" s="1088">
        <v>1</v>
      </c>
      <c r="G34" s="1088" t="s">
        <v>1096</v>
      </c>
      <c r="H34" s="1089">
        <v>13421</v>
      </c>
      <c r="I34" s="1089">
        <v>12221</v>
      </c>
      <c r="J34" s="1089">
        <v>12221</v>
      </c>
      <c r="K34" s="1089">
        <v>12221</v>
      </c>
      <c r="L34" s="1093">
        <v>12221</v>
      </c>
      <c r="M34" s="1093">
        <v>12221</v>
      </c>
      <c r="N34" s="1093">
        <v>12221</v>
      </c>
      <c r="O34" s="1093">
        <v>17541</v>
      </c>
      <c r="P34" s="1093">
        <v>0</v>
      </c>
      <c r="Q34" s="1093">
        <v>0</v>
      </c>
      <c r="R34" s="1089">
        <v>0</v>
      </c>
      <c r="S34" s="1093">
        <v>0</v>
      </c>
      <c r="T34" s="1093">
        <f t="shared" si="0"/>
        <v>104288</v>
      </c>
    </row>
    <row r="35" spans="2:20" ht="12.75" customHeight="1" x14ac:dyDescent="0.2">
      <c r="B35" s="1088" t="s">
        <v>1097</v>
      </c>
      <c r="C35" s="1088">
        <v>402</v>
      </c>
      <c r="D35" s="1088">
        <v>335</v>
      </c>
      <c r="E35" s="1088">
        <v>41</v>
      </c>
      <c r="F35" s="1088">
        <v>1</v>
      </c>
      <c r="G35" s="1088" t="s">
        <v>1098</v>
      </c>
      <c r="H35" s="1089">
        <v>-268</v>
      </c>
      <c r="I35" s="1089">
        <v>-244</v>
      </c>
      <c r="J35" s="1089">
        <v>-245</v>
      </c>
      <c r="K35" s="1089">
        <v>-244</v>
      </c>
      <c r="L35" s="1093">
        <v>-245</v>
      </c>
      <c r="M35" s="1093">
        <v>-244</v>
      </c>
      <c r="N35" s="1093">
        <v>-245</v>
      </c>
      <c r="O35" s="1093">
        <v>-351</v>
      </c>
      <c r="P35" s="1093">
        <v>0</v>
      </c>
      <c r="Q35" s="1093">
        <v>0</v>
      </c>
      <c r="R35" s="1089">
        <v>0</v>
      </c>
      <c r="S35" s="1093">
        <v>0</v>
      </c>
      <c r="T35" s="1093">
        <f t="shared" si="0"/>
        <v>-2086</v>
      </c>
    </row>
    <row r="36" spans="2:20" ht="12.75" customHeight="1" x14ac:dyDescent="0.2">
      <c r="B36" s="1088" t="s">
        <v>690</v>
      </c>
      <c r="C36" s="1088">
        <v>403</v>
      </c>
      <c r="D36" s="1088">
        <v>342</v>
      </c>
      <c r="E36" s="1088">
        <v>50</v>
      </c>
      <c r="F36" s="1088">
        <v>9</v>
      </c>
      <c r="G36" s="1088" t="s">
        <v>354</v>
      </c>
      <c r="H36" s="1089">
        <v>0</v>
      </c>
      <c r="I36" s="1089">
        <v>0</v>
      </c>
      <c r="J36" s="1089">
        <v>0</v>
      </c>
      <c r="K36" s="1089">
        <v>0</v>
      </c>
      <c r="L36" s="1093">
        <v>0</v>
      </c>
      <c r="M36" s="1093">
        <v>0</v>
      </c>
      <c r="N36" s="1093">
        <v>0</v>
      </c>
      <c r="O36" s="1093">
        <v>0</v>
      </c>
      <c r="P36" s="1093">
        <v>0</v>
      </c>
      <c r="Q36" s="1093">
        <v>0</v>
      </c>
      <c r="R36" s="1089">
        <v>0</v>
      </c>
      <c r="S36" s="1093">
        <v>0</v>
      </c>
      <c r="T36" s="1093">
        <f t="shared" si="0"/>
        <v>0</v>
      </c>
    </row>
    <row r="37" spans="2:20" ht="12.75" customHeight="1" x14ac:dyDescent="0.2">
      <c r="B37" s="1088" t="s">
        <v>691</v>
      </c>
      <c r="C37" s="1088">
        <v>403</v>
      </c>
      <c r="D37" s="1088">
        <v>345</v>
      </c>
      <c r="E37" s="1088">
        <v>0</v>
      </c>
      <c r="F37" s="1088">
        <v>4104</v>
      </c>
      <c r="G37" s="1088" t="s">
        <v>692</v>
      </c>
      <c r="H37" s="1089">
        <v>0</v>
      </c>
      <c r="I37" s="1089">
        <v>0</v>
      </c>
      <c r="J37" s="1089">
        <v>0</v>
      </c>
      <c r="K37" s="1089">
        <v>0</v>
      </c>
      <c r="L37" s="1093">
        <v>0</v>
      </c>
      <c r="M37" s="1093">
        <v>0</v>
      </c>
      <c r="N37" s="1093">
        <v>0</v>
      </c>
      <c r="O37" s="1093">
        <v>0</v>
      </c>
      <c r="P37" s="1093">
        <v>0</v>
      </c>
      <c r="Q37" s="1093">
        <v>0</v>
      </c>
      <c r="R37" s="1089">
        <v>0</v>
      </c>
      <c r="S37" s="1093">
        <v>0</v>
      </c>
      <c r="T37" s="1093">
        <f t="shared" si="0"/>
        <v>0</v>
      </c>
    </row>
    <row r="38" spans="2:20" ht="12.75" customHeight="1" x14ac:dyDescent="0.2">
      <c r="B38" s="1088" t="s">
        <v>693</v>
      </c>
      <c r="C38" s="1088">
        <v>403</v>
      </c>
      <c r="D38" s="1088">
        <v>347</v>
      </c>
      <c r="E38" s="1088">
        <v>10</v>
      </c>
      <c r="F38" s="1088">
        <v>5701</v>
      </c>
      <c r="G38" s="1088" t="s">
        <v>584</v>
      </c>
      <c r="H38" s="1089">
        <v>0</v>
      </c>
      <c r="I38" s="1089">
        <v>0</v>
      </c>
      <c r="J38" s="1089">
        <v>0</v>
      </c>
      <c r="K38" s="1089">
        <v>0</v>
      </c>
      <c r="L38" s="1093">
        <v>0</v>
      </c>
      <c r="M38" s="1093">
        <v>0</v>
      </c>
      <c r="N38" s="1093">
        <v>0</v>
      </c>
      <c r="O38" s="1093">
        <v>0</v>
      </c>
      <c r="P38" s="1093">
        <v>0</v>
      </c>
      <c r="Q38" s="1093">
        <v>0</v>
      </c>
      <c r="R38" s="1089">
        <v>0</v>
      </c>
      <c r="S38" s="1093">
        <v>0</v>
      </c>
      <c r="T38" s="1093">
        <f t="shared" si="0"/>
        <v>0</v>
      </c>
    </row>
    <row r="39" spans="2:20" ht="12.75" customHeight="1" x14ac:dyDescent="0.2">
      <c r="B39" s="1088" t="s">
        <v>694</v>
      </c>
      <c r="C39" s="1088">
        <v>403</v>
      </c>
      <c r="D39" s="1088">
        <v>347</v>
      </c>
      <c r="E39" s="1088">
        <v>11</v>
      </c>
      <c r="F39" s="1088">
        <v>5701</v>
      </c>
      <c r="G39" s="1088" t="s">
        <v>695</v>
      </c>
      <c r="H39" s="1089">
        <v>0</v>
      </c>
      <c r="I39" s="1089">
        <v>0</v>
      </c>
      <c r="J39" s="1089">
        <v>0</v>
      </c>
      <c r="K39" s="1089">
        <v>0</v>
      </c>
      <c r="L39" s="1093">
        <v>0</v>
      </c>
      <c r="M39" s="1093">
        <v>0</v>
      </c>
      <c r="N39" s="1093">
        <v>0</v>
      </c>
      <c r="O39" s="1093">
        <v>0</v>
      </c>
      <c r="P39" s="1093">
        <v>0</v>
      </c>
      <c r="Q39" s="1093">
        <v>0</v>
      </c>
      <c r="R39" s="1089">
        <v>0</v>
      </c>
      <c r="S39" s="1093">
        <v>0</v>
      </c>
      <c r="T39" s="1093">
        <f t="shared" si="0"/>
        <v>0</v>
      </c>
    </row>
    <row r="40" spans="2:20" ht="12.75" customHeight="1" x14ac:dyDescent="0.2">
      <c r="B40" s="1088" t="s">
        <v>696</v>
      </c>
      <c r="C40" s="1088">
        <v>403</v>
      </c>
      <c r="D40" s="1088">
        <v>347</v>
      </c>
      <c r="E40" s="1088">
        <v>30</v>
      </c>
      <c r="F40" s="1088">
        <v>9</v>
      </c>
      <c r="G40" s="1088" t="s">
        <v>697</v>
      </c>
      <c r="H40" s="1089">
        <v>0</v>
      </c>
      <c r="I40" s="1089">
        <v>0</v>
      </c>
      <c r="J40" s="1089">
        <v>0</v>
      </c>
      <c r="K40" s="1089">
        <v>0</v>
      </c>
      <c r="L40" s="1093">
        <v>0</v>
      </c>
      <c r="M40" s="1093">
        <v>0</v>
      </c>
      <c r="N40" s="1093">
        <v>0</v>
      </c>
      <c r="O40" s="1093">
        <v>0</v>
      </c>
      <c r="P40" s="1093">
        <v>0</v>
      </c>
      <c r="Q40" s="1093">
        <v>0</v>
      </c>
      <c r="R40" s="1089">
        <v>0</v>
      </c>
      <c r="S40" s="1093">
        <v>0</v>
      </c>
      <c r="T40" s="1093">
        <f t="shared" si="0"/>
        <v>0</v>
      </c>
    </row>
    <row r="41" spans="2:20" ht="12.75" customHeight="1" x14ac:dyDescent="0.2">
      <c r="B41" s="1088" t="s">
        <v>698</v>
      </c>
      <c r="C41" s="1088">
        <v>403</v>
      </c>
      <c r="D41" s="1088">
        <v>347</v>
      </c>
      <c r="E41" s="1088">
        <v>31</v>
      </c>
      <c r="F41" s="1088">
        <v>9</v>
      </c>
      <c r="G41" s="1088" t="s">
        <v>355</v>
      </c>
      <c r="H41" s="1089">
        <v>190</v>
      </c>
      <c r="I41" s="1089">
        <v>10860</v>
      </c>
      <c r="J41" s="1089">
        <v>12040</v>
      </c>
      <c r="K41" s="1089">
        <v>11030</v>
      </c>
      <c r="L41" s="1093">
        <v>7830</v>
      </c>
      <c r="M41" s="1093">
        <v>7350</v>
      </c>
      <c r="N41" s="1093">
        <v>11275</v>
      </c>
      <c r="O41" s="1093">
        <v>8830</v>
      </c>
      <c r="P41" s="1093">
        <v>0</v>
      </c>
      <c r="Q41" s="1093">
        <v>0</v>
      </c>
      <c r="R41" s="1089">
        <v>0</v>
      </c>
      <c r="S41" s="1093">
        <v>0</v>
      </c>
      <c r="T41" s="1093">
        <f t="shared" si="0"/>
        <v>69405</v>
      </c>
    </row>
    <row r="42" spans="2:20" ht="12.75" customHeight="1" x14ac:dyDescent="0.2">
      <c r="B42" s="1088" t="s">
        <v>699</v>
      </c>
      <c r="C42" s="1088">
        <v>403</v>
      </c>
      <c r="D42" s="1088">
        <v>347</v>
      </c>
      <c r="E42" s="1088">
        <v>40</v>
      </c>
      <c r="F42" s="1088">
        <v>9</v>
      </c>
      <c r="G42" s="1088" t="s">
        <v>356</v>
      </c>
      <c r="H42" s="1089">
        <v>0</v>
      </c>
      <c r="I42" s="1089">
        <v>0</v>
      </c>
      <c r="J42" s="1089">
        <v>0</v>
      </c>
      <c r="K42" s="1089">
        <v>0</v>
      </c>
      <c r="L42" s="1093">
        <v>0</v>
      </c>
      <c r="M42" s="1093">
        <v>0</v>
      </c>
      <c r="N42" s="1093">
        <v>0</v>
      </c>
      <c r="O42" s="1093">
        <v>0</v>
      </c>
      <c r="P42" s="1093">
        <v>0</v>
      </c>
      <c r="Q42" s="1093">
        <v>0</v>
      </c>
      <c r="R42" s="1089">
        <v>0</v>
      </c>
      <c r="S42" s="1093">
        <v>0</v>
      </c>
      <c r="T42" s="1093">
        <f t="shared" si="0"/>
        <v>0</v>
      </c>
    </row>
    <row r="43" spans="2:20" ht="12.75" customHeight="1" x14ac:dyDescent="0.2">
      <c r="B43" s="1088" t="s">
        <v>700</v>
      </c>
      <c r="C43" s="1088">
        <v>403</v>
      </c>
      <c r="D43" s="1088">
        <v>347</v>
      </c>
      <c r="E43" s="1088">
        <v>50</v>
      </c>
      <c r="F43" s="1088">
        <v>9</v>
      </c>
      <c r="G43" s="1111" t="s">
        <v>934</v>
      </c>
      <c r="H43" s="1089">
        <v>24260</v>
      </c>
      <c r="I43" s="1089">
        <v>7920</v>
      </c>
      <c r="J43" s="1089">
        <v>2600</v>
      </c>
      <c r="K43" s="1089">
        <v>47017</v>
      </c>
      <c r="L43" s="1093">
        <v>8435.2800000000007</v>
      </c>
      <c r="M43" s="1093">
        <v>3551.11</v>
      </c>
      <c r="N43" s="1093">
        <v>1923</v>
      </c>
      <c r="O43" s="1093">
        <v>1200</v>
      </c>
      <c r="P43" s="1093">
        <v>0</v>
      </c>
      <c r="Q43" s="1093">
        <v>0</v>
      </c>
      <c r="R43" s="1089">
        <v>0</v>
      </c>
      <c r="S43" s="1093">
        <v>0</v>
      </c>
      <c r="T43" s="1093">
        <f t="shared" si="0"/>
        <v>96906.39</v>
      </c>
    </row>
    <row r="44" spans="2:20" ht="12.75" customHeight="1" x14ac:dyDescent="0.2">
      <c r="B44" s="1088" t="s">
        <v>859</v>
      </c>
      <c r="C44" s="1088">
        <v>403</v>
      </c>
      <c r="D44" s="1088">
        <v>347</v>
      </c>
      <c r="E44" s="1088">
        <v>60</v>
      </c>
      <c r="F44" s="1088">
        <v>9</v>
      </c>
      <c r="G44" s="1088" t="s">
        <v>860</v>
      </c>
      <c r="H44" s="1089">
        <v>18.5</v>
      </c>
      <c r="I44" s="1089">
        <v>11</v>
      </c>
      <c r="J44" s="1089">
        <v>453.75</v>
      </c>
      <c r="K44" s="1089">
        <v>4471</v>
      </c>
      <c r="L44" s="1093">
        <v>3324</v>
      </c>
      <c r="M44" s="1093">
        <v>1467.5</v>
      </c>
      <c r="N44" s="1093">
        <v>260</v>
      </c>
      <c r="O44" s="1093">
        <v>4522</v>
      </c>
      <c r="P44" s="1093">
        <v>0</v>
      </c>
      <c r="Q44" s="1093">
        <v>0</v>
      </c>
      <c r="R44" s="1089">
        <v>0</v>
      </c>
      <c r="S44" s="1093">
        <v>0</v>
      </c>
      <c r="T44" s="1093">
        <f t="shared" si="0"/>
        <v>14527.75</v>
      </c>
    </row>
    <row r="45" spans="2:20" ht="12.75" customHeight="1" x14ac:dyDescent="0.2">
      <c r="B45" s="1088" t="s">
        <v>701</v>
      </c>
      <c r="C45" s="1088">
        <v>403</v>
      </c>
      <c r="D45" s="1088">
        <v>347</v>
      </c>
      <c r="E45" s="1088">
        <v>90</v>
      </c>
      <c r="F45" s="1088">
        <v>9</v>
      </c>
      <c r="G45" s="1111" t="s">
        <v>1099</v>
      </c>
      <c r="H45" s="1089">
        <v>70</v>
      </c>
      <c r="I45" s="1089">
        <v>90</v>
      </c>
      <c r="J45" s="1089">
        <v>1205</v>
      </c>
      <c r="K45" s="1089">
        <v>1470</v>
      </c>
      <c r="L45" s="1093">
        <v>940</v>
      </c>
      <c r="M45" s="1093">
        <v>495</v>
      </c>
      <c r="N45" s="1093">
        <v>4515</v>
      </c>
      <c r="O45" s="1093">
        <v>1695</v>
      </c>
      <c r="P45" s="1093">
        <v>0</v>
      </c>
      <c r="Q45" s="1093">
        <v>0</v>
      </c>
      <c r="R45" s="1089">
        <v>0</v>
      </c>
      <c r="S45" s="1093">
        <v>0</v>
      </c>
      <c r="T45" s="1093">
        <f t="shared" si="0"/>
        <v>10480</v>
      </c>
    </row>
    <row r="46" spans="2:20" ht="12.75" customHeight="1" x14ac:dyDescent="0.2">
      <c r="B46" s="1088" t="s">
        <v>702</v>
      </c>
      <c r="C46" s="1088">
        <v>403</v>
      </c>
      <c r="D46" s="1088">
        <v>347</v>
      </c>
      <c r="E46" s="1088">
        <v>91</v>
      </c>
      <c r="F46" s="1088">
        <v>9</v>
      </c>
      <c r="G46" s="1088" t="s">
        <v>357</v>
      </c>
      <c r="H46" s="1089">
        <v>80</v>
      </c>
      <c r="I46" s="1089">
        <v>1750</v>
      </c>
      <c r="J46" s="1089">
        <v>6250</v>
      </c>
      <c r="K46" s="1089">
        <v>1375</v>
      </c>
      <c r="L46" s="1093">
        <v>4375</v>
      </c>
      <c r="M46" s="1093">
        <v>175</v>
      </c>
      <c r="N46" s="1093">
        <v>6125</v>
      </c>
      <c r="O46" s="1093">
        <v>2575</v>
      </c>
      <c r="P46" s="1093">
        <v>0</v>
      </c>
      <c r="Q46" s="1093">
        <v>0</v>
      </c>
      <c r="R46" s="1089">
        <v>0</v>
      </c>
      <c r="S46" s="1093">
        <v>0</v>
      </c>
      <c r="T46" s="1093">
        <f t="shared" si="0"/>
        <v>22705</v>
      </c>
    </row>
    <row r="47" spans="2:20" ht="12.75" customHeight="1" x14ac:dyDescent="0.2">
      <c r="B47" s="1088" t="s">
        <v>703</v>
      </c>
      <c r="C47" s="1088">
        <v>403</v>
      </c>
      <c r="D47" s="1088">
        <v>349</v>
      </c>
      <c r="E47" s="1088">
        <v>50</v>
      </c>
      <c r="F47" s="1088">
        <v>1</v>
      </c>
      <c r="G47" s="1088" t="s">
        <v>303</v>
      </c>
      <c r="H47" s="1089">
        <v>34836.33</v>
      </c>
      <c r="I47" s="1089">
        <v>8109.33</v>
      </c>
      <c r="J47" s="1089">
        <v>3597.33</v>
      </c>
      <c r="K47" s="1089">
        <v>17104.63</v>
      </c>
      <c r="L47" s="1093">
        <v>3559.33</v>
      </c>
      <c r="M47" s="1093">
        <v>4409.33</v>
      </c>
      <c r="N47" s="1093">
        <v>9687.15</v>
      </c>
      <c r="O47" s="1093">
        <v>4555.68</v>
      </c>
      <c r="P47" s="1093">
        <v>0</v>
      </c>
      <c r="Q47" s="1093">
        <v>0</v>
      </c>
      <c r="R47" s="1089">
        <v>0</v>
      </c>
      <c r="S47" s="1093">
        <v>0</v>
      </c>
      <c r="T47" s="1093">
        <f t="shared" si="0"/>
        <v>85859.110000000015</v>
      </c>
    </row>
    <row r="48" spans="2:20" ht="12.75" customHeight="1" x14ac:dyDescent="0.2">
      <c r="B48" s="1088" t="s">
        <v>704</v>
      </c>
      <c r="C48" s="1088">
        <v>403</v>
      </c>
      <c r="D48" s="1088">
        <v>378</v>
      </c>
      <c r="E48" s="1088">
        <v>0</v>
      </c>
      <c r="F48" s="1088">
        <v>1</v>
      </c>
      <c r="G48" s="1088" t="s">
        <v>705</v>
      </c>
      <c r="H48" s="1089">
        <v>0</v>
      </c>
      <c r="I48" s="1089">
        <v>0</v>
      </c>
      <c r="J48" s="1089">
        <v>0</v>
      </c>
      <c r="K48" s="1089">
        <v>0</v>
      </c>
      <c r="L48" s="1093">
        <v>0</v>
      </c>
      <c r="M48" s="1093">
        <v>0</v>
      </c>
      <c r="N48" s="1093">
        <v>0</v>
      </c>
      <c r="O48" s="1093">
        <v>0</v>
      </c>
      <c r="P48" s="1093">
        <v>0</v>
      </c>
      <c r="Q48" s="1093">
        <v>0</v>
      </c>
      <c r="R48" s="1089">
        <v>0</v>
      </c>
      <c r="S48" s="1093">
        <v>0</v>
      </c>
      <c r="T48" s="1093">
        <f t="shared" si="0"/>
        <v>0</v>
      </c>
    </row>
    <row r="49" spans="1:20" ht="12.75" customHeight="1" x14ac:dyDescent="0.2">
      <c r="B49" s="1088" t="s">
        <v>1100</v>
      </c>
      <c r="C49" s="1088">
        <v>404</v>
      </c>
      <c r="D49" s="1088">
        <v>329</v>
      </c>
      <c r="E49" s="1088">
        <v>0</v>
      </c>
      <c r="F49" s="1088">
        <v>4</v>
      </c>
      <c r="G49" s="1088" t="s">
        <v>1101</v>
      </c>
      <c r="H49" s="1089">
        <v>0</v>
      </c>
      <c r="I49" s="1089">
        <v>0</v>
      </c>
      <c r="J49" s="1089">
        <v>0</v>
      </c>
      <c r="K49" s="1089">
        <v>0</v>
      </c>
      <c r="L49" s="1093">
        <v>0</v>
      </c>
      <c r="M49" s="1093">
        <v>0</v>
      </c>
      <c r="N49" s="1093">
        <v>0</v>
      </c>
      <c r="O49" s="1093">
        <v>0</v>
      </c>
      <c r="P49" s="1093">
        <v>0</v>
      </c>
      <c r="Q49" s="1093">
        <v>0</v>
      </c>
      <c r="R49" s="1089">
        <v>0</v>
      </c>
      <c r="S49" s="1093">
        <v>0</v>
      </c>
      <c r="T49" s="1093">
        <f t="shared" si="0"/>
        <v>0</v>
      </c>
    </row>
    <row r="50" spans="1:20" ht="12.75" customHeight="1" x14ac:dyDescent="0.2">
      <c r="B50" s="1088" t="s">
        <v>1102</v>
      </c>
      <c r="C50" s="1088">
        <v>417</v>
      </c>
      <c r="D50" s="1088">
        <v>343</v>
      </c>
      <c r="E50" s="1088">
        <v>0</v>
      </c>
      <c r="F50" s="1088">
        <v>9</v>
      </c>
      <c r="G50" s="1088" t="s">
        <v>1006</v>
      </c>
      <c r="H50" s="1089">
        <v>8.49</v>
      </c>
      <c r="I50" s="1089">
        <v>8.2799999999999994</v>
      </c>
      <c r="J50" s="1089">
        <v>8.68</v>
      </c>
      <c r="K50" s="1089">
        <v>8.83</v>
      </c>
      <c r="L50" s="1093">
        <v>9.4499999999999993</v>
      </c>
      <c r="M50" s="1093">
        <v>9.43</v>
      </c>
      <c r="N50" s="1093">
        <v>8.64</v>
      </c>
      <c r="O50" s="1093">
        <v>0</v>
      </c>
      <c r="P50" s="1093">
        <v>0</v>
      </c>
      <c r="Q50" s="1093">
        <v>0</v>
      </c>
      <c r="R50" s="1089">
        <v>0</v>
      </c>
      <c r="S50" s="1093">
        <v>0</v>
      </c>
      <c r="T50" s="1093">
        <f t="shared" si="0"/>
        <v>61.800000000000004</v>
      </c>
    </row>
    <row r="51" spans="1:20" ht="12.75" customHeight="1" x14ac:dyDescent="0.2">
      <c r="B51" s="1088" t="s">
        <v>1103</v>
      </c>
      <c r="C51" s="1088">
        <v>490</v>
      </c>
      <c r="D51" s="1088">
        <v>344</v>
      </c>
      <c r="E51" s="1088">
        <v>0</v>
      </c>
      <c r="F51" s="1088">
        <v>1</v>
      </c>
      <c r="G51" s="1111" t="s">
        <v>1104</v>
      </c>
      <c r="H51" s="1089">
        <v>0</v>
      </c>
      <c r="I51" s="1089">
        <v>0</v>
      </c>
      <c r="J51" s="1089">
        <v>0</v>
      </c>
      <c r="K51" s="1089">
        <v>0</v>
      </c>
      <c r="L51" s="1093">
        <v>0</v>
      </c>
      <c r="M51" s="1093">
        <v>0</v>
      </c>
      <c r="N51" s="1093">
        <v>0</v>
      </c>
      <c r="O51" s="1093">
        <v>0</v>
      </c>
      <c r="P51" s="1093">
        <v>0</v>
      </c>
      <c r="Q51" s="1093">
        <v>0</v>
      </c>
      <c r="R51" s="1089">
        <v>0</v>
      </c>
      <c r="S51" s="1093">
        <v>0</v>
      </c>
      <c r="T51" s="1093">
        <f t="shared" si="0"/>
        <v>0</v>
      </c>
    </row>
    <row r="52" spans="1:20" ht="12.75" customHeight="1" x14ac:dyDescent="0.2">
      <c r="H52" s="1090"/>
      <c r="I52" s="1090"/>
      <c r="J52" s="1090"/>
      <c r="K52" s="1090"/>
      <c r="L52" s="1094"/>
      <c r="M52" s="1094"/>
      <c r="N52" s="1094"/>
      <c r="O52" s="1094"/>
      <c r="P52" s="1094"/>
      <c r="Q52" s="1094"/>
      <c r="R52" s="1090"/>
      <c r="S52" s="1094"/>
      <c r="T52" s="1094"/>
    </row>
    <row r="53" spans="1:20" ht="12.75" customHeight="1" x14ac:dyDescent="0.2">
      <c r="H53" s="1089">
        <f>SUM(H10:H52)</f>
        <v>324899.32</v>
      </c>
      <c r="I53" s="1089">
        <f t="shared" ref="I53:T53" si="1">SUM(I10:I52)</f>
        <v>600103.61</v>
      </c>
      <c r="J53" s="1089">
        <f t="shared" si="1"/>
        <v>577461.4</v>
      </c>
      <c r="K53" s="1089">
        <f t="shared" si="1"/>
        <v>616664.46</v>
      </c>
      <c r="L53" s="1089">
        <f t="shared" si="1"/>
        <v>562647.05999999994</v>
      </c>
      <c r="M53" s="1089">
        <f t="shared" si="1"/>
        <v>489132.37</v>
      </c>
      <c r="N53" s="1089">
        <f t="shared" si="1"/>
        <v>624266.93000000005</v>
      </c>
      <c r="O53" s="1089">
        <f t="shared" si="1"/>
        <v>795663.39</v>
      </c>
      <c r="P53" s="1089">
        <f t="shared" si="1"/>
        <v>0</v>
      </c>
      <c r="Q53" s="1089">
        <f t="shared" si="1"/>
        <v>0</v>
      </c>
      <c r="R53" s="1089">
        <f t="shared" si="1"/>
        <v>0</v>
      </c>
      <c r="S53" s="1089">
        <f t="shared" si="1"/>
        <v>0</v>
      </c>
      <c r="T53" s="1089">
        <f t="shared" si="1"/>
        <v>4590838.54</v>
      </c>
    </row>
    <row r="54" spans="1:20" ht="12.75" customHeight="1" x14ac:dyDescent="0.2">
      <c r="N54" s="1094"/>
    </row>
    <row r="55" spans="1:20" ht="12.75" customHeight="1" x14ac:dyDescent="0.2">
      <c r="A55" s="1088" t="s">
        <v>1105</v>
      </c>
    </row>
    <row r="56" spans="1:20" ht="12.75" customHeight="1" x14ac:dyDescent="0.2">
      <c r="B56" s="1111"/>
      <c r="C56" s="1111"/>
      <c r="D56" s="1111"/>
      <c r="E56" s="1111"/>
      <c r="F56" s="1111"/>
      <c r="G56" s="1111"/>
    </row>
    <row r="57" spans="1:20" ht="12.75" customHeight="1" x14ac:dyDescent="0.2">
      <c r="B57" s="1088" t="s">
        <v>1106</v>
      </c>
      <c r="C57" s="1088">
        <v>501</v>
      </c>
      <c r="D57" s="1088">
        <v>324</v>
      </c>
      <c r="E57" s="1088">
        <v>31</v>
      </c>
      <c r="F57" s="1088">
        <v>1204</v>
      </c>
      <c r="G57" s="1088" t="s">
        <v>1107</v>
      </c>
      <c r="H57" s="1089">
        <v>0</v>
      </c>
      <c r="I57" s="1089">
        <v>0</v>
      </c>
      <c r="J57" s="1089">
        <v>0</v>
      </c>
      <c r="K57" s="1089">
        <v>0</v>
      </c>
      <c r="L57" s="1093">
        <v>0</v>
      </c>
      <c r="M57" s="1093">
        <v>0</v>
      </c>
      <c r="N57" s="1093">
        <v>0</v>
      </c>
      <c r="O57" s="1093">
        <v>0</v>
      </c>
      <c r="P57" s="1093">
        <v>0</v>
      </c>
      <c r="Q57" s="1093">
        <v>0</v>
      </c>
      <c r="R57" s="1089">
        <v>0</v>
      </c>
      <c r="S57" s="1093">
        <v>0</v>
      </c>
      <c r="T57" s="1093">
        <f t="shared" ref="T57:T120" si="2">SUM(H57:S57)</f>
        <v>0</v>
      </c>
    </row>
    <row r="58" spans="1:20" ht="12.75" customHeight="1" x14ac:dyDescent="0.2">
      <c r="B58" s="1088" t="s">
        <v>1108</v>
      </c>
      <c r="C58" s="1088">
        <v>501</v>
      </c>
      <c r="D58" s="1088">
        <v>324</v>
      </c>
      <c r="E58" s="1088">
        <v>31</v>
      </c>
      <c r="F58" s="1088">
        <v>1504</v>
      </c>
      <c r="G58" s="1088" t="s">
        <v>1109</v>
      </c>
      <c r="H58" s="1089">
        <v>0</v>
      </c>
      <c r="I58" s="1089">
        <v>0</v>
      </c>
      <c r="J58" s="1089">
        <v>0</v>
      </c>
      <c r="K58" s="1089">
        <v>0</v>
      </c>
      <c r="L58" s="1093">
        <v>0</v>
      </c>
      <c r="M58" s="1093">
        <v>0</v>
      </c>
      <c r="N58" s="1093">
        <v>0</v>
      </c>
      <c r="O58" s="1093">
        <v>0</v>
      </c>
      <c r="P58" s="1093">
        <v>0</v>
      </c>
      <c r="Q58" s="1093">
        <v>0</v>
      </c>
      <c r="R58" s="1089">
        <v>0</v>
      </c>
      <c r="S58" s="1093">
        <v>0</v>
      </c>
      <c r="T58" s="1093">
        <f t="shared" si="2"/>
        <v>0</v>
      </c>
    </row>
    <row r="59" spans="1:20" ht="12.75" customHeight="1" x14ac:dyDescent="0.2">
      <c r="B59" s="1088" t="s">
        <v>1110</v>
      </c>
      <c r="C59" s="1088">
        <v>501</v>
      </c>
      <c r="D59" s="1088">
        <v>511</v>
      </c>
      <c r="E59" s="1088">
        <v>0</v>
      </c>
      <c r="F59" s="1088">
        <v>1201</v>
      </c>
      <c r="G59" s="1088" t="s">
        <v>708</v>
      </c>
      <c r="H59" s="1089">
        <v>-3889.07</v>
      </c>
      <c r="I59" s="1089">
        <v>132946.94</v>
      </c>
      <c r="J59" s="1089">
        <v>131518.94</v>
      </c>
      <c r="K59" s="1089">
        <v>132282.91</v>
      </c>
      <c r="L59" s="1093">
        <v>128960.3</v>
      </c>
      <c r="M59" s="1093">
        <v>193278.33000000002</v>
      </c>
      <c r="N59" s="1093">
        <v>127439.65000000001</v>
      </c>
      <c r="O59" s="1093">
        <v>132019.15</v>
      </c>
      <c r="P59" s="1093">
        <v>0</v>
      </c>
      <c r="Q59" s="1093">
        <v>0</v>
      </c>
      <c r="R59" s="1089">
        <v>0</v>
      </c>
      <c r="S59" s="1093">
        <v>0</v>
      </c>
      <c r="T59" s="1093">
        <f t="shared" si="2"/>
        <v>974557.15</v>
      </c>
    </row>
    <row r="60" spans="1:20" ht="12.75" customHeight="1" x14ac:dyDescent="0.2">
      <c r="B60" s="1088" t="s">
        <v>1111</v>
      </c>
      <c r="C60" s="1088">
        <v>501</v>
      </c>
      <c r="D60" s="1088">
        <v>511</v>
      </c>
      <c r="E60" s="1088">
        <v>0</v>
      </c>
      <c r="F60" s="1088">
        <v>1501</v>
      </c>
      <c r="G60" s="1088" t="s">
        <v>1112</v>
      </c>
      <c r="H60" s="1089">
        <v>-8.34</v>
      </c>
      <c r="I60" s="1089">
        <v>8435.36</v>
      </c>
      <c r="J60" s="1089">
        <v>12515.64</v>
      </c>
      <c r="K60" s="1089">
        <v>8717.9599999999991</v>
      </c>
      <c r="L60" s="1093">
        <v>8894.33</v>
      </c>
      <c r="M60" s="1093">
        <v>14913.12</v>
      </c>
      <c r="N60" s="1093">
        <v>10436.26</v>
      </c>
      <c r="O60" s="1093">
        <v>11313.7</v>
      </c>
      <c r="P60" s="1093">
        <v>0</v>
      </c>
      <c r="Q60" s="1093">
        <v>0</v>
      </c>
      <c r="R60" s="1089">
        <v>0</v>
      </c>
      <c r="S60" s="1093">
        <v>0</v>
      </c>
      <c r="T60" s="1093">
        <f t="shared" si="2"/>
        <v>75218.03</v>
      </c>
    </row>
    <row r="61" spans="1:20" ht="12.75" customHeight="1" x14ac:dyDescent="0.2">
      <c r="B61" s="1088" t="s">
        <v>1113</v>
      </c>
      <c r="C61" s="1088">
        <v>501</v>
      </c>
      <c r="D61" s="1088">
        <v>511</v>
      </c>
      <c r="E61" s="1088">
        <v>0</v>
      </c>
      <c r="F61" s="1088">
        <v>7511</v>
      </c>
      <c r="G61" s="1088" t="s">
        <v>1114</v>
      </c>
      <c r="H61" s="1089">
        <v>0</v>
      </c>
      <c r="I61" s="1089">
        <v>0</v>
      </c>
      <c r="J61" s="1089">
        <v>0</v>
      </c>
      <c r="K61" s="1089">
        <v>0</v>
      </c>
      <c r="L61" s="1093">
        <v>133.63999999999999</v>
      </c>
      <c r="M61" s="1093">
        <v>664.69</v>
      </c>
      <c r="N61" s="1093">
        <v>1688.44</v>
      </c>
      <c r="O61" s="1093">
        <v>972.14</v>
      </c>
      <c r="P61" s="1093">
        <v>0</v>
      </c>
      <c r="Q61" s="1093">
        <v>0</v>
      </c>
      <c r="R61" s="1089">
        <v>0</v>
      </c>
      <c r="S61" s="1093">
        <v>0</v>
      </c>
      <c r="T61" s="1093">
        <f t="shared" si="2"/>
        <v>3458.91</v>
      </c>
    </row>
    <row r="62" spans="1:20" ht="12.75" customHeight="1" x14ac:dyDescent="0.2">
      <c r="B62" s="1088" t="s">
        <v>1115</v>
      </c>
      <c r="C62" s="1088">
        <v>501</v>
      </c>
      <c r="D62" s="1088">
        <v>511</v>
      </c>
      <c r="E62" s="1088">
        <v>16</v>
      </c>
      <c r="F62" s="1088">
        <v>1201</v>
      </c>
      <c r="G62" s="1111" t="s">
        <v>1116</v>
      </c>
      <c r="H62" s="1089">
        <v>29982.18</v>
      </c>
      <c r="I62" s="1089">
        <v>13988.12</v>
      </c>
      <c r="J62" s="1089">
        <v>13988.12</v>
      </c>
      <c r="K62" s="1089">
        <v>13988.12</v>
      </c>
      <c r="L62" s="1093">
        <v>13988.12</v>
      </c>
      <c r="M62" s="1093">
        <v>20982.18</v>
      </c>
      <c r="N62" s="1093">
        <v>13988.12</v>
      </c>
      <c r="O62" s="1093">
        <v>13988.12</v>
      </c>
      <c r="P62" s="1093">
        <v>0</v>
      </c>
      <c r="Q62" s="1093">
        <v>0</v>
      </c>
      <c r="R62" s="1089">
        <v>0</v>
      </c>
      <c r="S62" s="1093">
        <v>0</v>
      </c>
      <c r="T62" s="1093">
        <f t="shared" si="2"/>
        <v>134893.07999999999</v>
      </c>
    </row>
    <row r="63" spans="1:20" ht="12.75" customHeight="1" x14ac:dyDescent="0.2">
      <c r="B63" s="1088" t="s">
        <v>1117</v>
      </c>
      <c r="C63" s="1088">
        <v>501</v>
      </c>
      <c r="D63" s="1088">
        <v>511</v>
      </c>
      <c r="E63" s="1088">
        <v>18</v>
      </c>
      <c r="F63" s="1088">
        <v>1201</v>
      </c>
      <c r="G63" s="1088" t="s">
        <v>1118</v>
      </c>
      <c r="H63" s="1089">
        <v>6896.96</v>
      </c>
      <c r="I63" s="1089">
        <v>3264.64</v>
      </c>
      <c r="J63" s="1089">
        <v>3264.64</v>
      </c>
      <c r="K63" s="1089">
        <v>3264.64</v>
      </c>
      <c r="L63" s="1093">
        <v>3264.64</v>
      </c>
      <c r="M63" s="1093">
        <v>4896.96</v>
      </c>
      <c r="N63" s="1093">
        <v>3264.64</v>
      </c>
      <c r="O63" s="1093">
        <v>3264.64</v>
      </c>
      <c r="P63" s="1093">
        <v>0</v>
      </c>
      <c r="Q63" s="1093">
        <v>0</v>
      </c>
      <c r="R63" s="1089">
        <v>0</v>
      </c>
      <c r="S63" s="1093">
        <v>0</v>
      </c>
      <c r="T63" s="1093">
        <f t="shared" si="2"/>
        <v>31381.759999999998</v>
      </c>
    </row>
    <row r="64" spans="1:20" ht="12.75" customHeight="1" x14ac:dyDescent="0.2">
      <c r="B64" s="1088" t="s">
        <v>1119</v>
      </c>
      <c r="C64" s="1088">
        <v>501</v>
      </c>
      <c r="D64" s="1088">
        <v>511</v>
      </c>
      <c r="E64" s="1088">
        <v>66</v>
      </c>
      <c r="F64" s="1088">
        <v>1204</v>
      </c>
      <c r="G64" s="1111" t="s">
        <v>1120</v>
      </c>
      <c r="H64" s="1089">
        <v>0</v>
      </c>
      <c r="I64" s="1089">
        <v>0</v>
      </c>
      <c r="J64" s="1089">
        <v>0</v>
      </c>
      <c r="K64" s="1089">
        <v>0</v>
      </c>
      <c r="L64" s="1093">
        <v>0</v>
      </c>
      <c r="M64" s="1093">
        <v>0</v>
      </c>
      <c r="N64" s="1093">
        <v>0</v>
      </c>
      <c r="O64" s="1093">
        <v>0</v>
      </c>
      <c r="P64" s="1093">
        <v>0</v>
      </c>
      <c r="Q64" s="1093">
        <v>0</v>
      </c>
      <c r="R64" s="1089">
        <v>0</v>
      </c>
      <c r="S64" s="1093">
        <v>0</v>
      </c>
      <c r="T64" s="1093">
        <f t="shared" si="2"/>
        <v>0</v>
      </c>
    </row>
    <row r="65" spans="2:20" ht="12.75" customHeight="1" x14ac:dyDescent="0.2">
      <c r="B65" s="1088" t="s">
        <v>1121</v>
      </c>
      <c r="C65" s="1088">
        <v>501</v>
      </c>
      <c r="D65" s="1088">
        <v>515</v>
      </c>
      <c r="E65" s="1088">
        <v>0</v>
      </c>
      <c r="F65" s="1088">
        <v>1201</v>
      </c>
      <c r="G65" s="1088" t="s">
        <v>362</v>
      </c>
      <c r="H65" s="1089">
        <v>968.79</v>
      </c>
      <c r="I65" s="1089">
        <v>23270.29</v>
      </c>
      <c r="J65" s="1089">
        <v>20357.02</v>
      </c>
      <c r="K65" s="1089">
        <v>21857.02</v>
      </c>
      <c r="L65" s="1093">
        <v>20507.02</v>
      </c>
      <c r="M65" s="1093">
        <v>31285.53</v>
      </c>
      <c r="N65" s="1093">
        <v>20357.02</v>
      </c>
      <c r="O65" s="1093">
        <v>21857.02</v>
      </c>
      <c r="P65" s="1093">
        <v>0</v>
      </c>
      <c r="Q65" s="1093">
        <v>0</v>
      </c>
      <c r="R65" s="1089">
        <v>0</v>
      </c>
      <c r="S65" s="1093">
        <v>0</v>
      </c>
      <c r="T65" s="1093">
        <f t="shared" si="2"/>
        <v>160459.71</v>
      </c>
    </row>
    <row r="66" spans="2:20" ht="12.75" customHeight="1" x14ac:dyDescent="0.2">
      <c r="B66" s="1088" t="s">
        <v>1122</v>
      </c>
      <c r="C66" s="1088">
        <v>501</v>
      </c>
      <c r="D66" s="1088">
        <v>515</v>
      </c>
      <c r="E66" s="1088">
        <v>0</v>
      </c>
      <c r="F66" s="1088">
        <v>1501</v>
      </c>
      <c r="G66" s="1088" t="s">
        <v>1123</v>
      </c>
      <c r="H66" s="1089">
        <v>0</v>
      </c>
      <c r="I66" s="1089">
        <v>0</v>
      </c>
      <c r="J66" s="1089">
        <v>0</v>
      </c>
      <c r="K66" s="1089">
        <v>0</v>
      </c>
      <c r="L66" s="1093">
        <v>0</v>
      </c>
      <c r="M66" s="1093">
        <v>0</v>
      </c>
      <c r="N66" s="1093">
        <v>0</v>
      </c>
      <c r="O66" s="1093">
        <v>0</v>
      </c>
      <c r="P66" s="1093">
        <v>0</v>
      </c>
      <c r="Q66" s="1093">
        <v>0</v>
      </c>
      <c r="R66" s="1089">
        <v>0</v>
      </c>
      <c r="S66" s="1093">
        <v>0</v>
      </c>
      <c r="T66" s="1093">
        <f t="shared" si="2"/>
        <v>0</v>
      </c>
    </row>
    <row r="67" spans="2:20" ht="12.75" customHeight="1" x14ac:dyDescent="0.2">
      <c r="B67" s="1088" t="s">
        <v>1124</v>
      </c>
      <c r="C67" s="1088">
        <v>501</v>
      </c>
      <c r="D67" s="1088">
        <v>515</v>
      </c>
      <c r="E67" s="1088">
        <v>17</v>
      </c>
      <c r="F67" s="1088">
        <v>1201</v>
      </c>
      <c r="G67" s="1111" t="s">
        <v>1125</v>
      </c>
      <c r="H67" s="1089">
        <v>0</v>
      </c>
      <c r="I67" s="1089">
        <v>0</v>
      </c>
      <c r="J67" s="1089">
        <v>0</v>
      </c>
      <c r="K67" s="1089">
        <v>0</v>
      </c>
      <c r="L67" s="1093">
        <v>0</v>
      </c>
      <c r="M67" s="1093">
        <v>0</v>
      </c>
      <c r="N67" s="1093">
        <v>0</v>
      </c>
      <c r="O67" s="1093">
        <v>0</v>
      </c>
      <c r="P67" s="1093">
        <v>0</v>
      </c>
      <c r="Q67" s="1093">
        <v>0</v>
      </c>
      <c r="R67" s="1089">
        <v>0</v>
      </c>
      <c r="S67" s="1093">
        <v>0</v>
      </c>
      <c r="T67" s="1093">
        <f t="shared" si="2"/>
        <v>0</v>
      </c>
    </row>
    <row r="68" spans="2:20" ht="12.75" customHeight="1" x14ac:dyDescent="0.2">
      <c r="B68" s="1088" t="s">
        <v>1126</v>
      </c>
      <c r="C68" s="1088">
        <v>501</v>
      </c>
      <c r="D68" s="1088">
        <v>516</v>
      </c>
      <c r="E68" s="1088">
        <v>0</v>
      </c>
      <c r="F68" s="1088">
        <v>1201</v>
      </c>
      <c r="G68" s="1088" t="s">
        <v>363</v>
      </c>
      <c r="H68" s="1089">
        <v>0</v>
      </c>
      <c r="I68" s="1089">
        <v>0</v>
      </c>
      <c r="J68" s="1089">
        <v>0</v>
      </c>
      <c r="K68" s="1089">
        <v>0</v>
      </c>
      <c r="L68" s="1093">
        <v>0</v>
      </c>
      <c r="M68" s="1093">
        <v>0</v>
      </c>
      <c r="N68" s="1093">
        <v>0</v>
      </c>
      <c r="O68" s="1093">
        <v>0</v>
      </c>
      <c r="P68" s="1093">
        <v>0</v>
      </c>
      <c r="Q68" s="1093">
        <v>0</v>
      </c>
      <c r="R68" s="1089">
        <v>0</v>
      </c>
      <c r="S68" s="1093">
        <v>0</v>
      </c>
      <c r="T68" s="1093">
        <f t="shared" si="2"/>
        <v>0</v>
      </c>
    </row>
    <row r="69" spans="2:20" ht="12.75" customHeight="1" x14ac:dyDescent="0.2">
      <c r="B69" s="1088" t="s">
        <v>1127</v>
      </c>
      <c r="C69" s="1088">
        <v>501</v>
      </c>
      <c r="D69" s="1088">
        <v>520</v>
      </c>
      <c r="E69" s="1088">
        <v>10</v>
      </c>
      <c r="F69" s="1088">
        <v>1201</v>
      </c>
      <c r="G69" s="1088" t="s">
        <v>364</v>
      </c>
      <c r="H69" s="1089">
        <v>3980.71</v>
      </c>
      <c r="I69" s="1089">
        <v>10220.379999999999</v>
      </c>
      <c r="J69" s="1089">
        <v>10220.379999999999</v>
      </c>
      <c r="K69" s="1089">
        <v>10220.379999999999</v>
      </c>
      <c r="L69" s="1093">
        <v>10220.379999999999</v>
      </c>
      <c r="M69" s="1093">
        <v>15330.57</v>
      </c>
      <c r="N69" s="1093">
        <v>10220.379999999999</v>
      </c>
      <c r="O69" s="1093">
        <v>10220.379999999999</v>
      </c>
      <c r="P69" s="1093">
        <v>0</v>
      </c>
      <c r="Q69" s="1093">
        <v>0</v>
      </c>
      <c r="R69" s="1089">
        <v>0</v>
      </c>
      <c r="S69" s="1093">
        <v>0</v>
      </c>
      <c r="T69" s="1093">
        <f t="shared" si="2"/>
        <v>80633.56</v>
      </c>
    </row>
    <row r="70" spans="2:20" ht="12.75" customHeight="1" x14ac:dyDescent="0.2">
      <c r="B70" s="1088" t="s">
        <v>1128</v>
      </c>
      <c r="C70" s="1088">
        <v>501</v>
      </c>
      <c r="D70" s="1088">
        <v>526</v>
      </c>
      <c r="E70" s="1088">
        <v>0</v>
      </c>
      <c r="F70" s="1088">
        <v>1201</v>
      </c>
      <c r="G70" s="1088" t="s">
        <v>369</v>
      </c>
      <c r="H70" s="1089">
        <v>0</v>
      </c>
      <c r="I70" s="1089">
        <v>0</v>
      </c>
      <c r="J70" s="1089">
        <v>0</v>
      </c>
      <c r="K70" s="1089">
        <v>0</v>
      </c>
      <c r="L70" s="1093">
        <v>0</v>
      </c>
      <c r="M70" s="1093">
        <v>0</v>
      </c>
      <c r="N70" s="1093">
        <v>0</v>
      </c>
      <c r="O70" s="1093">
        <v>0</v>
      </c>
      <c r="P70" s="1093">
        <v>0</v>
      </c>
      <c r="Q70" s="1093">
        <v>0</v>
      </c>
      <c r="R70" s="1089">
        <v>0</v>
      </c>
      <c r="S70" s="1093">
        <v>0</v>
      </c>
      <c r="T70" s="1093">
        <f t="shared" si="2"/>
        <v>0</v>
      </c>
    </row>
    <row r="71" spans="2:20" ht="12.75" customHeight="1" x14ac:dyDescent="0.2">
      <c r="B71" s="1088" t="s">
        <v>1129</v>
      </c>
      <c r="C71" s="1088">
        <v>501</v>
      </c>
      <c r="D71" s="1088">
        <v>526</v>
      </c>
      <c r="E71" s="1088">
        <v>0</v>
      </c>
      <c r="F71" s="1088">
        <v>1501</v>
      </c>
      <c r="G71" s="1088" t="s">
        <v>1130</v>
      </c>
      <c r="H71" s="1089">
        <v>0</v>
      </c>
      <c r="I71" s="1089">
        <v>0</v>
      </c>
      <c r="J71" s="1089">
        <v>0</v>
      </c>
      <c r="K71" s="1089">
        <v>0</v>
      </c>
      <c r="L71" s="1093">
        <v>0</v>
      </c>
      <c r="M71" s="1093">
        <v>0</v>
      </c>
      <c r="N71" s="1093">
        <v>0</v>
      </c>
      <c r="O71" s="1093">
        <v>0</v>
      </c>
      <c r="P71" s="1093">
        <v>0</v>
      </c>
      <c r="Q71" s="1093">
        <v>0</v>
      </c>
      <c r="R71" s="1089">
        <v>0</v>
      </c>
      <c r="S71" s="1093">
        <v>0</v>
      </c>
      <c r="T71" s="1093">
        <f t="shared" si="2"/>
        <v>0</v>
      </c>
    </row>
    <row r="72" spans="2:20" ht="12.75" customHeight="1" x14ac:dyDescent="0.2">
      <c r="B72" s="1088" t="s">
        <v>1131</v>
      </c>
      <c r="C72" s="1088">
        <v>501</v>
      </c>
      <c r="D72" s="1088">
        <v>551</v>
      </c>
      <c r="E72" s="1088">
        <v>57</v>
      </c>
      <c r="F72" s="1088">
        <v>1201</v>
      </c>
      <c r="G72" s="1088" t="s">
        <v>713</v>
      </c>
      <c r="H72" s="1089">
        <v>0</v>
      </c>
      <c r="I72" s="1089">
        <v>0</v>
      </c>
      <c r="J72" s="1089">
        <v>0</v>
      </c>
      <c r="K72" s="1089">
        <v>0</v>
      </c>
      <c r="L72" s="1093">
        <v>0</v>
      </c>
      <c r="M72" s="1093">
        <v>0</v>
      </c>
      <c r="N72" s="1093">
        <v>0</v>
      </c>
      <c r="O72" s="1093">
        <v>0</v>
      </c>
      <c r="P72" s="1093">
        <v>0</v>
      </c>
      <c r="Q72" s="1093">
        <v>0</v>
      </c>
      <c r="R72" s="1089">
        <v>0</v>
      </c>
      <c r="S72" s="1093">
        <v>0</v>
      </c>
      <c r="T72" s="1093">
        <f t="shared" si="2"/>
        <v>0</v>
      </c>
    </row>
    <row r="73" spans="2:20" ht="12.75" customHeight="1" x14ac:dyDescent="0.2">
      <c r="B73" s="1088" t="s">
        <v>1132</v>
      </c>
      <c r="C73" s="1088">
        <v>501</v>
      </c>
      <c r="D73" s="1088">
        <v>551</v>
      </c>
      <c r="E73" s="1088">
        <v>57</v>
      </c>
      <c r="F73" s="1088">
        <v>1501</v>
      </c>
      <c r="G73" s="1088" t="s">
        <v>715</v>
      </c>
      <c r="H73" s="1089">
        <v>0</v>
      </c>
      <c r="I73" s="1089">
        <v>0</v>
      </c>
      <c r="J73" s="1089">
        <v>0</v>
      </c>
      <c r="K73" s="1089">
        <v>0</v>
      </c>
      <c r="L73" s="1093">
        <v>0</v>
      </c>
      <c r="M73" s="1093">
        <v>0</v>
      </c>
      <c r="N73" s="1093">
        <v>0</v>
      </c>
      <c r="O73" s="1093">
        <v>0</v>
      </c>
      <c r="P73" s="1093">
        <v>0</v>
      </c>
      <c r="Q73" s="1093">
        <v>0</v>
      </c>
      <c r="R73" s="1089">
        <v>0</v>
      </c>
      <c r="S73" s="1093">
        <v>0</v>
      </c>
      <c r="T73" s="1093">
        <f t="shared" si="2"/>
        <v>0</v>
      </c>
    </row>
    <row r="74" spans="2:20" ht="12.75" customHeight="1" x14ac:dyDescent="0.2">
      <c r="B74" s="1088" t="s">
        <v>1133</v>
      </c>
      <c r="C74" s="1088">
        <v>501</v>
      </c>
      <c r="D74" s="1088">
        <v>612</v>
      </c>
      <c r="E74" s="1088">
        <v>0</v>
      </c>
      <c r="F74" s="1088">
        <v>1301</v>
      </c>
      <c r="G74" s="1088" t="s">
        <v>370</v>
      </c>
      <c r="H74" s="1089">
        <v>0</v>
      </c>
      <c r="I74" s="1089">
        <v>0</v>
      </c>
      <c r="J74" s="1089">
        <v>0</v>
      </c>
      <c r="K74" s="1089">
        <v>0</v>
      </c>
      <c r="L74" s="1093">
        <v>0</v>
      </c>
      <c r="M74" s="1093">
        <v>0</v>
      </c>
      <c r="N74" s="1093">
        <v>0</v>
      </c>
      <c r="O74" s="1093">
        <v>0</v>
      </c>
      <c r="P74" s="1093">
        <v>0</v>
      </c>
      <c r="Q74" s="1093">
        <v>0</v>
      </c>
      <c r="R74" s="1089">
        <v>0</v>
      </c>
      <c r="S74" s="1093">
        <v>0</v>
      </c>
      <c r="T74" s="1093">
        <f t="shared" si="2"/>
        <v>0</v>
      </c>
    </row>
    <row r="75" spans="2:20" ht="12.75" customHeight="1" x14ac:dyDescent="0.2">
      <c r="B75" s="1088" t="s">
        <v>1134</v>
      </c>
      <c r="C75" s="1088">
        <v>501</v>
      </c>
      <c r="D75" s="1088">
        <v>613</v>
      </c>
      <c r="E75" s="1088">
        <v>0</v>
      </c>
      <c r="F75" s="1088">
        <v>1601</v>
      </c>
      <c r="G75" s="1088" t="s">
        <v>1135</v>
      </c>
      <c r="H75" s="1089">
        <v>0</v>
      </c>
      <c r="I75" s="1089">
        <v>0</v>
      </c>
      <c r="J75" s="1089">
        <v>0</v>
      </c>
      <c r="K75" s="1089">
        <v>0</v>
      </c>
      <c r="L75" s="1093">
        <v>0</v>
      </c>
      <c r="M75" s="1093">
        <v>0</v>
      </c>
      <c r="N75" s="1093">
        <v>0</v>
      </c>
      <c r="O75" s="1093">
        <v>0</v>
      </c>
      <c r="P75" s="1093">
        <v>0</v>
      </c>
      <c r="Q75" s="1093">
        <v>0</v>
      </c>
      <c r="R75" s="1089">
        <v>0</v>
      </c>
      <c r="S75" s="1093">
        <v>0</v>
      </c>
      <c r="T75" s="1093">
        <f t="shared" si="2"/>
        <v>0</v>
      </c>
    </row>
    <row r="76" spans="2:20" ht="12.75" customHeight="1" x14ac:dyDescent="0.2">
      <c r="B76" s="1088" t="s">
        <v>1136</v>
      </c>
      <c r="C76" s="1088">
        <v>501</v>
      </c>
      <c r="D76" s="1088">
        <v>620</v>
      </c>
      <c r="E76" s="1088">
        <v>0</v>
      </c>
      <c r="F76" s="1088">
        <v>1301</v>
      </c>
      <c r="G76" s="1111" t="s">
        <v>721</v>
      </c>
      <c r="H76" s="1089">
        <v>0</v>
      </c>
      <c r="I76" s="1089">
        <v>0</v>
      </c>
      <c r="J76" s="1089">
        <v>0</v>
      </c>
      <c r="K76" s="1089">
        <v>0</v>
      </c>
      <c r="L76" s="1093">
        <v>0</v>
      </c>
      <c r="M76" s="1093">
        <v>0</v>
      </c>
      <c r="N76" s="1093">
        <v>0</v>
      </c>
      <c r="O76" s="1093">
        <v>0</v>
      </c>
      <c r="P76" s="1093">
        <v>0</v>
      </c>
      <c r="Q76" s="1093">
        <v>0</v>
      </c>
      <c r="R76" s="1089">
        <v>0</v>
      </c>
      <c r="S76" s="1093">
        <v>0</v>
      </c>
      <c r="T76" s="1093">
        <f t="shared" si="2"/>
        <v>0</v>
      </c>
    </row>
    <row r="77" spans="2:20" ht="12.75" customHeight="1" x14ac:dyDescent="0.2">
      <c r="B77" s="1088" t="s">
        <v>1137</v>
      </c>
      <c r="C77" s="1088">
        <v>501</v>
      </c>
      <c r="D77" s="1088">
        <v>630</v>
      </c>
      <c r="E77" s="1088">
        <v>0</v>
      </c>
      <c r="F77" s="1088">
        <v>1301</v>
      </c>
      <c r="G77" s="1111" t="s">
        <v>1138</v>
      </c>
      <c r="H77" s="1089">
        <v>1992.3600000000001</v>
      </c>
      <c r="I77" s="1089">
        <v>4016.52</v>
      </c>
      <c r="J77" s="1089">
        <v>4016.52</v>
      </c>
      <c r="K77" s="1089">
        <v>4016.52</v>
      </c>
      <c r="L77" s="1093">
        <v>4016.52</v>
      </c>
      <c r="M77" s="1093">
        <v>6024.78</v>
      </c>
      <c r="N77" s="1093">
        <v>4016.52</v>
      </c>
      <c r="O77" s="1093">
        <v>4016.52</v>
      </c>
      <c r="P77" s="1093">
        <v>0</v>
      </c>
      <c r="Q77" s="1093">
        <v>0</v>
      </c>
      <c r="R77" s="1089">
        <v>0</v>
      </c>
      <c r="S77" s="1093">
        <v>0</v>
      </c>
      <c r="T77" s="1093">
        <f t="shared" si="2"/>
        <v>32116.26</v>
      </c>
    </row>
    <row r="78" spans="2:20" ht="12.75" customHeight="1" x14ac:dyDescent="0.2">
      <c r="B78" s="1088" t="s">
        <v>1139</v>
      </c>
      <c r="C78" s="1088">
        <v>501</v>
      </c>
      <c r="D78" s="1088">
        <v>730</v>
      </c>
      <c r="E78" s="1088">
        <v>0</v>
      </c>
      <c r="F78" s="1088">
        <v>1101</v>
      </c>
      <c r="G78" s="1111" t="s">
        <v>1140</v>
      </c>
      <c r="H78" s="1089">
        <v>23693.14</v>
      </c>
      <c r="I78" s="1089">
        <v>11668.28</v>
      </c>
      <c r="J78" s="1089">
        <v>13196.460000000001</v>
      </c>
      <c r="K78" s="1089">
        <v>12273.380000000001</v>
      </c>
      <c r="L78" s="1093">
        <v>12273.380000000001</v>
      </c>
      <c r="M78" s="1093">
        <v>18410.07</v>
      </c>
      <c r="N78" s="1093">
        <v>12273.380000000001</v>
      </c>
      <c r="O78" s="1093">
        <v>12273.380000000001</v>
      </c>
      <c r="P78" s="1093">
        <v>0</v>
      </c>
      <c r="Q78" s="1093">
        <v>0</v>
      </c>
      <c r="R78" s="1089">
        <v>0</v>
      </c>
      <c r="S78" s="1093">
        <v>0</v>
      </c>
      <c r="T78" s="1093">
        <f t="shared" si="2"/>
        <v>116061.47</v>
      </c>
    </row>
    <row r="79" spans="2:20" ht="12.75" customHeight="1" x14ac:dyDescent="0.2">
      <c r="B79" s="1088" t="s">
        <v>1141</v>
      </c>
      <c r="C79" s="1088">
        <v>501</v>
      </c>
      <c r="D79" s="1088">
        <v>730</v>
      </c>
      <c r="E79" s="1088">
        <v>0</v>
      </c>
      <c r="F79" s="1088">
        <v>1601</v>
      </c>
      <c r="G79" s="1111" t="s">
        <v>1142</v>
      </c>
      <c r="H79" s="1089">
        <v>16917.22</v>
      </c>
      <c r="I79" s="1089">
        <v>11399.4</v>
      </c>
      <c r="J79" s="1089">
        <v>9153.86</v>
      </c>
      <c r="K79" s="1089">
        <v>8281.6299999999992</v>
      </c>
      <c r="L79" s="1093">
        <v>8675.0400000000009</v>
      </c>
      <c r="M79" s="1093">
        <v>12418.960000000001</v>
      </c>
      <c r="N79" s="1093">
        <v>10418.530000000001</v>
      </c>
      <c r="O79" s="1093">
        <v>10854.68</v>
      </c>
      <c r="P79" s="1093">
        <v>0</v>
      </c>
      <c r="Q79" s="1093">
        <v>0</v>
      </c>
      <c r="R79" s="1089">
        <v>0</v>
      </c>
      <c r="S79" s="1093">
        <v>0</v>
      </c>
      <c r="T79" s="1093">
        <f t="shared" si="2"/>
        <v>88119.32</v>
      </c>
    </row>
    <row r="80" spans="2:20" ht="12.75" customHeight="1" x14ac:dyDescent="0.2">
      <c r="B80" s="1088" t="s">
        <v>1143</v>
      </c>
      <c r="C80" s="1088">
        <v>501</v>
      </c>
      <c r="D80" s="1088">
        <v>750</v>
      </c>
      <c r="E80" s="1088">
        <v>0</v>
      </c>
      <c r="F80" s="1088">
        <v>1101</v>
      </c>
      <c r="G80" s="1111" t="s">
        <v>726</v>
      </c>
      <c r="H80" s="1089">
        <v>6195.66</v>
      </c>
      <c r="I80" s="1089">
        <v>3672</v>
      </c>
      <c r="J80" s="1089">
        <v>5172</v>
      </c>
      <c r="K80" s="1089">
        <v>5152.7700000000004</v>
      </c>
      <c r="L80" s="1093">
        <v>6633.54</v>
      </c>
      <c r="M80" s="1093">
        <v>9950.31</v>
      </c>
      <c r="N80" s="1093">
        <v>6633.54</v>
      </c>
      <c r="O80" s="1093">
        <v>6633.54</v>
      </c>
      <c r="P80" s="1093">
        <v>0</v>
      </c>
      <c r="Q80" s="1093">
        <v>0</v>
      </c>
      <c r="R80" s="1089">
        <v>0</v>
      </c>
      <c r="S80" s="1093">
        <v>0</v>
      </c>
      <c r="T80" s="1093">
        <f t="shared" si="2"/>
        <v>50043.360000000001</v>
      </c>
    </row>
    <row r="81" spans="2:20" ht="12.75" customHeight="1" x14ac:dyDescent="0.2">
      <c r="B81" s="1088" t="s">
        <v>1144</v>
      </c>
      <c r="C81" s="1088">
        <v>501</v>
      </c>
      <c r="D81" s="1088">
        <v>760</v>
      </c>
      <c r="E81" s="1088">
        <v>41</v>
      </c>
      <c r="F81" s="1088">
        <v>1601</v>
      </c>
      <c r="G81" s="1111" t="s">
        <v>1145</v>
      </c>
      <c r="H81" s="1089">
        <v>-1018.5500000000001</v>
      </c>
      <c r="I81" s="1089">
        <v>3567.14</v>
      </c>
      <c r="J81" s="1089">
        <v>5946.42</v>
      </c>
      <c r="K81" s="1089">
        <v>3818.16</v>
      </c>
      <c r="L81" s="1093">
        <v>2133.4699999999998</v>
      </c>
      <c r="M81" s="1093">
        <v>2208.1799999999998</v>
      </c>
      <c r="N81" s="1093">
        <v>2587.13</v>
      </c>
      <c r="O81" s="1093">
        <v>3402.62</v>
      </c>
      <c r="P81" s="1093">
        <v>0</v>
      </c>
      <c r="Q81" s="1093">
        <v>0</v>
      </c>
      <c r="R81" s="1089">
        <v>0</v>
      </c>
      <c r="S81" s="1093">
        <v>0</v>
      </c>
      <c r="T81" s="1093">
        <f t="shared" si="2"/>
        <v>22644.57</v>
      </c>
    </row>
    <row r="82" spans="2:20" ht="12.75" customHeight="1" x14ac:dyDescent="0.2">
      <c r="B82" s="1088" t="s">
        <v>729</v>
      </c>
      <c r="C82" s="1088">
        <v>501</v>
      </c>
      <c r="D82" s="1088">
        <v>780</v>
      </c>
      <c r="E82" s="1088">
        <v>0</v>
      </c>
      <c r="F82" s="1088">
        <v>1601</v>
      </c>
      <c r="G82" s="1111" t="s">
        <v>1146</v>
      </c>
      <c r="H82" s="1089">
        <v>6586.76</v>
      </c>
      <c r="I82" s="1089">
        <v>5625.72</v>
      </c>
      <c r="J82" s="1089">
        <v>11461.44</v>
      </c>
      <c r="K82" s="1089">
        <v>8377.56</v>
      </c>
      <c r="L82" s="1093">
        <v>8509.68</v>
      </c>
      <c r="M82" s="1093">
        <v>10539.36</v>
      </c>
      <c r="N82" s="1093">
        <v>7380</v>
      </c>
      <c r="O82" s="1093">
        <v>8158.68</v>
      </c>
      <c r="P82" s="1093">
        <v>0</v>
      </c>
      <c r="Q82" s="1093">
        <v>0</v>
      </c>
      <c r="R82" s="1089">
        <v>0</v>
      </c>
      <c r="S82" s="1093">
        <v>0</v>
      </c>
      <c r="T82" s="1093">
        <f t="shared" si="2"/>
        <v>66639.199999999997</v>
      </c>
    </row>
    <row r="83" spans="2:20" ht="12.75" customHeight="1" x14ac:dyDescent="0.2">
      <c r="B83" s="1088" t="s">
        <v>1147</v>
      </c>
      <c r="C83" s="1088">
        <v>501</v>
      </c>
      <c r="D83" s="1088">
        <v>780</v>
      </c>
      <c r="E83" s="1088">
        <v>73</v>
      </c>
      <c r="F83" s="1088">
        <v>1601</v>
      </c>
      <c r="G83" s="1088" t="s">
        <v>1148</v>
      </c>
      <c r="H83" s="1089">
        <v>0</v>
      </c>
      <c r="I83" s="1089">
        <v>0</v>
      </c>
      <c r="J83" s="1089">
        <v>0</v>
      </c>
      <c r="K83" s="1089">
        <v>0</v>
      </c>
      <c r="L83" s="1093">
        <v>0</v>
      </c>
      <c r="M83" s="1093">
        <v>0</v>
      </c>
      <c r="N83" s="1093">
        <v>0</v>
      </c>
      <c r="O83" s="1093">
        <v>0</v>
      </c>
      <c r="P83" s="1093">
        <v>0</v>
      </c>
      <c r="Q83" s="1093">
        <v>0</v>
      </c>
      <c r="R83" s="1089">
        <v>0</v>
      </c>
      <c r="S83" s="1093">
        <v>0</v>
      </c>
      <c r="T83" s="1093">
        <f t="shared" si="2"/>
        <v>0</v>
      </c>
    </row>
    <row r="84" spans="2:20" ht="12.75" customHeight="1" x14ac:dyDescent="0.2">
      <c r="B84" s="1088" t="s">
        <v>1149</v>
      </c>
      <c r="C84" s="1088">
        <v>501</v>
      </c>
      <c r="D84" s="1088">
        <v>790</v>
      </c>
      <c r="E84" s="1088">
        <v>0</v>
      </c>
      <c r="F84" s="1088">
        <v>1601</v>
      </c>
      <c r="G84" s="1111" t="s">
        <v>732</v>
      </c>
      <c r="H84" s="1089">
        <v>0</v>
      </c>
      <c r="I84" s="1089">
        <v>0</v>
      </c>
      <c r="J84" s="1089">
        <v>0</v>
      </c>
      <c r="K84" s="1089">
        <v>0</v>
      </c>
      <c r="L84" s="1093">
        <v>0</v>
      </c>
      <c r="M84" s="1093">
        <v>0</v>
      </c>
      <c r="N84" s="1093">
        <v>0</v>
      </c>
      <c r="O84" s="1093">
        <v>0</v>
      </c>
      <c r="P84" s="1093">
        <v>0</v>
      </c>
      <c r="Q84" s="1093">
        <v>0</v>
      </c>
      <c r="R84" s="1089">
        <v>0</v>
      </c>
      <c r="S84" s="1093">
        <v>0</v>
      </c>
      <c r="T84" s="1093">
        <f t="shared" si="2"/>
        <v>0</v>
      </c>
    </row>
    <row r="85" spans="2:20" ht="12.75" customHeight="1" x14ac:dyDescent="0.2">
      <c r="B85" s="1088" t="s">
        <v>733</v>
      </c>
      <c r="C85" s="1088">
        <v>501</v>
      </c>
      <c r="D85" s="1088">
        <v>810</v>
      </c>
      <c r="E85" s="1088">
        <v>0</v>
      </c>
      <c r="F85" s="1088">
        <v>1601</v>
      </c>
      <c r="G85" s="1111" t="s">
        <v>1150</v>
      </c>
      <c r="H85" s="1089">
        <v>1417.68</v>
      </c>
      <c r="I85" s="1089">
        <v>2956.05</v>
      </c>
      <c r="J85" s="1089">
        <v>2800.8</v>
      </c>
      <c r="K85" s="1089">
        <v>2600.64</v>
      </c>
      <c r="L85" s="1093">
        <v>2945.61</v>
      </c>
      <c r="M85" s="1093">
        <v>3292.56</v>
      </c>
      <c r="N85" s="1093">
        <v>2848.86</v>
      </c>
      <c r="O85" s="1093">
        <v>3044.43</v>
      </c>
      <c r="P85" s="1093">
        <v>0</v>
      </c>
      <c r="Q85" s="1093">
        <v>0</v>
      </c>
      <c r="R85" s="1089">
        <v>0</v>
      </c>
      <c r="S85" s="1093">
        <v>0</v>
      </c>
      <c r="T85" s="1093">
        <f t="shared" si="2"/>
        <v>21906.63</v>
      </c>
    </row>
    <row r="86" spans="2:20" ht="12.75" customHeight="1" x14ac:dyDescent="0.2">
      <c r="B86" s="1088" t="s">
        <v>1151</v>
      </c>
      <c r="C86" s="1088">
        <v>501</v>
      </c>
      <c r="D86" s="1088">
        <v>911</v>
      </c>
      <c r="E86" s="1088">
        <v>0</v>
      </c>
      <c r="F86" s="1088">
        <v>1501</v>
      </c>
      <c r="G86" s="1111" t="s">
        <v>736</v>
      </c>
      <c r="H86" s="1089">
        <v>1010.51</v>
      </c>
      <c r="I86" s="1089">
        <v>6671.6900000000005</v>
      </c>
      <c r="J86" s="1089">
        <v>8633.5400000000009</v>
      </c>
      <c r="K86" s="1089">
        <v>8952.58</v>
      </c>
      <c r="L86" s="1093">
        <v>7531.18</v>
      </c>
      <c r="M86" s="1093">
        <v>5684.83</v>
      </c>
      <c r="N86" s="1093">
        <v>7117.3</v>
      </c>
      <c r="O86" s="1093">
        <v>5139.68</v>
      </c>
      <c r="P86" s="1093">
        <v>0</v>
      </c>
      <c r="Q86" s="1093">
        <v>0</v>
      </c>
      <c r="R86" s="1089">
        <v>0</v>
      </c>
      <c r="S86" s="1093">
        <v>0</v>
      </c>
      <c r="T86" s="1093">
        <f t="shared" si="2"/>
        <v>50741.310000000005</v>
      </c>
    </row>
    <row r="87" spans="2:20" ht="12.75" customHeight="1" x14ac:dyDescent="0.2">
      <c r="B87" s="1088" t="s">
        <v>1152</v>
      </c>
      <c r="C87" s="1088">
        <v>502</v>
      </c>
      <c r="D87" s="1088">
        <v>324</v>
      </c>
      <c r="E87" s="1088">
        <v>31</v>
      </c>
      <c r="F87" s="1088">
        <v>2204</v>
      </c>
      <c r="G87" s="1088" t="s">
        <v>1153</v>
      </c>
      <c r="H87" s="1089">
        <v>0</v>
      </c>
      <c r="I87" s="1089">
        <v>0</v>
      </c>
      <c r="J87" s="1089">
        <v>0</v>
      </c>
      <c r="K87" s="1089">
        <v>0</v>
      </c>
      <c r="L87" s="1093">
        <v>0</v>
      </c>
      <c r="M87" s="1093">
        <v>0</v>
      </c>
      <c r="N87" s="1093">
        <v>0</v>
      </c>
      <c r="O87" s="1093">
        <v>0</v>
      </c>
      <c r="P87" s="1093">
        <v>0</v>
      </c>
      <c r="Q87" s="1093">
        <v>0</v>
      </c>
      <c r="R87" s="1089">
        <v>0</v>
      </c>
      <c r="S87" s="1093">
        <v>0</v>
      </c>
      <c r="T87" s="1093">
        <f t="shared" si="2"/>
        <v>0</v>
      </c>
    </row>
    <row r="88" spans="2:20" ht="12.75" customHeight="1" x14ac:dyDescent="0.2">
      <c r="B88" s="1088" t="s">
        <v>1154</v>
      </c>
      <c r="C88" s="1088">
        <v>502</v>
      </c>
      <c r="D88" s="1088">
        <v>324</v>
      </c>
      <c r="E88" s="1088">
        <v>31</v>
      </c>
      <c r="F88" s="1088">
        <v>2214</v>
      </c>
      <c r="G88" s="1088" t="s">
        <v>1155</v>
      </c>
      <c r="H88" s="1089">
        <v>0</v>
      </c>
      <c r="I88" s="1089">
        <v>0</v>
      </c>
      <c r="J88" s="1089">
        <v>0</v>
      </c>
      <c r="K88" s="1089">
        <v>0</v>
      </c>
      <c r="L88" s="1093">
        <v>0</v>
      </c>
      <c r="M88" s="1093">
        <v>0</v>
      </c>
      <c r="N88" s="1093">
        <v>0</v>
      </c>
      <c r="O88" s="1093">
        <v>0</v>
      </c>
      <c r="P88" s="1093">
        <v>0</v>
      </c>
      <c r="Q88" s="1093">
        <v>0</v>
      </c>
      <c r="R88" s="1089">
        <v>0</v>
      </c>
      <c r="S88" s="1093">
        <v>0</v>
      </c>
      <c r="T88" s="1093">
        <f t="shared" si="2"/>
        <v>0</v>
      </c>
    </row>
    <row r="89" spans="2:20" ht="12.75" customHeight="1" x14ac:dyDescent="0.2">
      <c r="B89" s="1088" t="s">
        <v>1156</v>
      </c>
      <c r="C89" s="1088">
        <v>502</v>
      </c>
      <c r="D89" s="1088">
        <v>324</v>
      </c>
      <c r="E89" s="1088">
        <v>31</v>
      </c>
      <c r="F89" s="1088">
        <v>2334</v>
      </c>
      <c r="G89" s="1088" t="s">
        <v>1157</v>
      </c>
      <c r="H89" s="1089">
        <v>-587.66</v>
      </c>
      <c r="I89" s="1089">
        <v>0</v>
      </c>
      <c r="J89" s="1089">
        <v>0</v>
      </c>
      <c r="K89" s="1089">
        <v>0</v>
      </c>
      <c r="L89" s="1093">
        <v>0</v>
      </c>
      <c r="M89" s="1093">
        <v>0</v>
      </c>
      <c r="N89" s="1093">
        <v>0</v>
      </c>
      <c r="O89" s="1093">
        <v>0</v>
      </c>
      <c r="P89" s="1093">
        <v>0</v>
      </c>
      <c r="Q89" s="1093">
        <v>0</v>
      </c>
      <c r="R89" s="1089">
        <v>0</v>
      </c>
      <c r="S89" s="1093">
        <v>0</v>
      </c>
      <c r="T89" s="1093">
        <f t="shared" si="2"/>
        <v>-587.66</v>
      </c>
    </row>
    <row r="90" spans="2:20" ht="12.75" customHeight="1" x14ac:dyDescent="0.2">
      <c r="B90" s="1088" t="s">
        <v>1158</v>
      </c>
      <c r="C90" s="1088">
        <v>502</v>
      </c>
      <c r="D90" s="1088">
        <v>324</v>
      </c>
      <c r="E90" s="1088">
        <v>31</v>
      </c>
      <c r="F90" s="1088">
        <v>2904</v>
      </c>
      <c r="G90" s="1088" t="s">
        <v>1159</v>
      </c>
      <c r="H90" s="1089">
        <v>0</v>
      </c>
      <c r="I90" s="1089">
        <v>0</v>
      </c>
      <c r="J90" s="1089">
        <v>0</v>
      </c>
      <c r="K90" s="1089">
        <v>0</v>
      </c>
      <c r="L90" s="1093">
        <v>0</v>
      </c>
      <c r="M90" s="1093">
        <v>0</v>
      </c>
      <c r="N90" s="1093">
        <v>0</v>
      </c>
      <c r="O90" s="1093">
        <v>0</v>
      </c>
      <c r="P90" s="1093">
        <v>0</v>
      </c>
      <c r="Q90" s="1093">
        <v>0</v>
      </c>
      <c r="R90" s="1089">
        <v>0</v>
      </c>
      <c r="S90" s="1093">
        <v>0</v>
      </c>
      <c r="T90" s="1093">
        <f t="shared" si="2"/>
        <v>0</v>
      </c>
    </row>
    <row r="91" spans="2:20" ht="12.75" customHeight="1" x14ac:dyDescent="0.2">
      <c r="B91" s="1088" t="s">
        <v>1160</v>
      </c>
      <c r="C91" s="1088">
        <v>502</v>
      </c>
      <c r="D91" s="1088">
        <v>511</v>
      </c>
      <c r="E91" s="1088">
        <v>0</v>
      </c>
      <c r="F91" s="1088">
        <v>2201</v>
      </c>
      <c r="G91" s="1088" t="s">
        <v>1161</v>
      </c>
      <c r="H91" s="1089">
        <v>-830.84</v>
      </c>
      <c r="I91" s="1089">
        <v>8149.67</v>
      </c>
      <c r="J91" s="1089">
        <v>8262.2999999999993</v>
      </c>
      <c r="K91" s="1089">
        <v>8077.77</v>
      </c>
      <c r="L91" s="1093">
        <v>7894.55</v>
      </c>
      <c r="M91" s="1093">
        <v>13140.44</v>
      </c>
      <c r="N91" s="1093">
        <v>7873.97</v>
      </c>
      <c r="O91" s="1093">
        <v>8167.88</v>
      </c>
      <c r="P91" s="1093">
        <v>0</v>
      </c>
      <c r="Q91" s="1093">
        <v>0</v>
      </c>
      <c r="R91" s="1089">
        <v>0</v>
      </c>
      <c r="S91" s="1093">
        <v>0</v>
      </c>
      <c r="T91" s="1093">
        <f t="shared" si="2"/>
        <v>60735.74</v>
      </c>
    </row>
    <row r="92" spans="2:20" ht="12.75" customHeight="1" x14ac:dyDescent="0.2">
      <c r="B92" s="1088" t="s">
        <v>1162</v>
      </c>
      <c r="C92" s="1088">
        <v>502</v>
      </c>
      <c r="D92" s="1088">
        <v>511</v>
      </c>
      <c r="E92" s="1088">
        <v>0</v>
      </c>
      <c r="F92" s="1088">
        <v>2211</v>
      </c>
      <c r="G92" s="1088" t="s">
        <v>1163</v>
      </c>
      <c r="H92" s="1089">
        <v>-194.32</v>
      </c>
      <c r="I92" s="1089">
        <v>1906.97</v>
      </c>
      <c r="J92" s="1089">
        <v>1932.3</v>
      </c>
      <c r="K92" s="1089">
        <v>1889.16</v>
      </c>
      <c r="L92" s="1093">
        <v>1846.29</v>
      </c>
      <c r="M92" s="1093">
        <v>2780.48</v>
      </c>
      <c r="N92" s="1093">
        <v>1841.49</v>
      </c>
      <c r="O92" s="1093">
        <v>1910.24</v>
      </c>
      <c r="P92" s="1093">
        <v>0</v>
      </c>
      <c r="Q92" s="1093">
        <v>0</v>
      </c>
      <c r="R92" s="1089">
        <v>0</v>
      </c>
      <c r="S92" s="1093">
        <v>0</v>
      </c>
      <c r="T92" s="1093">
        <f t="shared" si="2"/>
        <v>13912.609999999999</v>
      </c>
    </row>
    <row r="93" spans="2:20" ht="12.75" customHeight="1" x14ac:dyDescent="0.2">
      <c r="B93" s="1088" t="s">
        <v>1164</v>
      </c>
      <c r="C93" s="1088">
        <v>502</v>
      </c>
      <c r="D93" s="1088">
        <v>511</v>
      </c>
      <c r="E93" s="1088">
        <v>0</v>
      </c>
      <c r="F93" s="1088">
        <v>2331</v>
      </c>
      <c r="G93" s="1088" t="s">
        <v>1165</v>
      </c>
      <c r="H93" s="1089">
        <v>-6114.88</v>
      </c>
      <c r="I93" s="1089">
        <v>41792.129999999997</v>
      </c>
      <c r="J93" s="1089">
        <v>35000.86</v>
      </c>
      <c r="K93" s="1089">
        <v>31928.04</v>
      </c>
      <c r="L93" s="1093">
        <v>39330.5</v>
      </c>
      <c r="M93" s="1093">
        <v>38748.49</v>
      </c>
      <c r="N93" s="1093">
        <v>44719.74</v>
      </c>
      <c r="O93" s="1093">
        <v>44197.33</v>
      </c>
      <c r="P93" s="1093">
        <v>0</v>
      </c>
      <c r="Q93" s="1093">
        <v>0</v>
      </c>
      <c r="R93" s="1089">
        <v>0</v>
      </c>
      <c r="S93" s="1093">
        <v>0</v>
      </c>
      <c r="T93" s="1093">
        <f t="shared" si="2"/>
        <v>269602.20999999996</v>
      </c>
    </row>
    <row r="94" spans="2:20" ht="12.75" customHeight="1" x14ac:dyDescent="0.2">
      <c r="B94" s="1088" t="s">
        <v>1166</v>
      </c>
      <c r="C94" s="1088">
        <v>502</v>
      </c>
      <c r="D94" s="1088">
        <v>511</v>
      </c>
      <c r="E94" s="1088">
        <v>0</v>
      </c>
      <c r="F94" s="1088">
        <v>2901</v>
      </c>
      <c r="G94" s="1088" t="s">
        <v>1167</v>
      </c>
      <c r="H94" s="1089">
        <v>3278.1800000000003</v>
      </c>
      <c r="I94" s="1089">
        <v>5910.86</v>
      </c>
      <c r="J94" s="1089">
        <v>6364.03</v>
      </c>
      <c r="K94" s="1089">
        <v>6021.81</v>
      </c>
      <c r="L94" s="1093">
        <v>5915.04</v>
      </c>
      <c r="M94" s="1093">
        <v>9402.84</v>
      </c>
      <c r="N94" s="1093">
        <v>7234.54</v>
      </c>
      <c r="O94" s="1093">
        <v>6558.1900000000005</v>
      </c>
      <c r="P94" s="1093">
        <v>0</v>
      </c>
      <c r="Q94" s="1093">
        <v>0</v>
      </c>
      <c r="R94" s="1089">
        <v>0</v>
      </c>
      <c r="S94" s="1093">
        <v>0</v>
      </c>
      <c r="T94" s="1093">
        <f t="shared" si="2"/>
        <v>50685.490000000005</v>
      </c>
    </row>
    <row r="95" spans="2:20" ht="12.75" customHeight="1" x14ac:dyDescent="0.2">
      <c r="B95" s="1088" t="s">
        <v>1168</v>
      </c>
      <c r="C95" s="1088">
        <v>502</v>
      </c>
      <c r="D95" s="1088">
        <v>511</v>
      </c>
      <c r="E95" s="1088">
        <v>16</v>
      </c>
      <c r="F95" s="1088">
        <v>2201</v>
      </c>
      <c r="G95" s="1088" t="s">
        <v>1169</v>
      </c>
      <c r="H95" s="1089">
        <v>1702.56</v>
      </c>
      <c r="I95" s="1089">
        <v>763.03</v>
      </c>
      <c r="J95" s="1089">
        <v>763.04</v>
      </c>
      <c r="K95" s="1089">
        <v>763.04</v>
      </c>
      <c r="L95" s="1093">
        <v>763.04</v>
      </c>
      <c r="M95" s="1093">
        <v>1138.9000000000001</v>
      </c>
      <c r="N95" s="1093">
        <v>751.72</v>
      </c>
      <c r="O95" s="1093">
        <v>751.72</v>
      </c>
      <c r="P95" s="1093">
        <v>0</v>
      </c>
      <c r="Q95" s="1093">
        <v>0</v>
      </c>
      <c r="R95" s="1089">
        <v>0</v>
      </c>
      <c r="S95" s="1093">
        <v>0</v>
      </c>
      <c r="T95" s="1093">
        <f t="shared" si="2"/>
        <v>7397.0500000000011</v>
      </c>
    </row>
    <row r="96" spans="2:20" ht="12.75" customHeight="1" x14ac:dyDescent="0.2">
      <c r="B96" s="1088" t="s">
        <v>1170</v>
      </c>
      <c r="C96" s="1088">
        <v>502</v>
      </c>
      <c r="D96" s="1088">
        <v>511</v>
      </c>
      <c r="E96" s="1088">
        <v>16</v>
      </c>
      <c r="F96" s="1088">
        <v>2211</v>
      </c>
      <c r="G96" s="1088" t="s">
        <v>1171</v>
      </c>
      <c r="H96" s="1089">
        <v>398.19</v>
      </c>
      <c r="I96" s="1089">
        <v>178.46</v>
      </c>
      <c r="J96" s="1089">
        <v>178.46</v>
      </c>
      <c r="K96" s="1089">
        <v>178.46</v>
      </c>
      <c r="L96" s="1093">
        <v>178.46</v>
      </c>
      <c r="M96" s="1093">
        <v>266.36</v>
      </c>
      <c r="N96" s="1093">
        <v>175.8</v>
      </c>
      <c r="O96" s="1093">
        <v>175.8</v>
      </c>
      <c r="P96" s="1093">
        <v>0</v>
      </c>
      <c r="Q96" s="1093">
        <v>0</v>
      </c>
      <c r="R96" s="1089">
        <v>0</v>
      </c>
      <c r="S96" s="1093">
        <v>0</v>
      </c>
      <c r="T96" s="1093">
        <f t="shared" si="2"/>
        <v>1729.9899999999998</v>
      </c>
    </row>
    <row r="97" spans="2:20" ht="12.75" customHeight="1" x14ac:dyDescent="0.2">
      <c r="B97" s="1088" t="s">
        <v>1172</v>
      </c>
      <c r="C97" s="1088">
        <v>502</v>
      </c>
      <c r="D97" s="1088">
        <v>511</v>
      </c>
      <c r="E97" s="1088">
        <v>16</v>
      </c>
      <c r="F97" s="1088">
        <v>2331</v>
      </c>
      <c r="G97" s="1088" t="s">
        <v>1173</v>
      </c>
      <c r="H97" s="1089">
        <v>5399.71</v>
      </c>
      <c r="I97" s="1089">
        <v>5607.78</v>
      </c>
      <c r="J97" s="1089">
        <v>4695.91</v>
      </c>
      <c r="K97" s="1089">
        <v>4286.8599999999997</v>
      </c>
      <c r="L97" s="1093">
        <v>5279.32</v>
      </c>
      <c r="M97" s="1093">
        <v>5201.18</v>
      </c>
      <c r="N97" s="1093">
        <v>6001.4400000000005</v>
      </c>
      <c r="O97" s="1093">
        <v>5925.01</v>
      </c>
      <c r="P97" s="1093">
        <v>0</v>
      </c>
      <c r="Q97" s="1093">
        <v>0</v>
      </c>
      <c r="R97" s="1089">
        <v>0</v>
      </c>
      <c r="S97" s="1093">
        <v>0</v>
      </c>
      <c r="T97" s="1093">
        <f t="shared" si="2"/>
        <v>42397.21</v>
      </c>
    </row>
    <row r="98" spans="2:20" ht="12.75" customHeight="1" x14ac:dyDescent="0.2">
      <c r="B98" s="1088" t="s">
        <v>1174</v>
      </c>
      <c r="C98" s="1088">
        <v>502</v>
      </c>
      <c r="D98" s="1088">
        <v>511</v>
      </c>
      <c r="E98" s="1088">
        <v>16</v>
      </c>
      <c r="F98" s="1088">
        <v>2901</v>
      </c>
      <c r="G98" s="1111" t="s">
        <v>1175</v>
      </c>
      <c r="H98" s="1089">
        <v>1423.59</v>
      </c>
      <c r="I98" s="1089">
        <v>786.39</v>
      </c>
      <c r="J98" s="1089">
        <v>851.2</v>
      </c>
      <c r="K98" s="1089">
        <v>826.88</v>
      </c>
      <c r="L98" s="1093">
        <v>815.17000000000007</v>
      </c>
      <c r="M98" s="1093">
        <v>1272.46</v>
      </c>
      <c r="N98" s="1093">
        <v>950.95</v>
      </c>
      <c r="O98" s="1093">
        <v>790.05000000000007</v>
      </c>
      <c r="P98" s="1093">
        <v>0</v>
      </c>
      <c r="Q98" s="1093">
        <v>0</v>
      </c>
      <c r="R98" s="1089">
        <v>0</v>
      </c>
      <c r="S98" s="1093">
        <v>0</v>
      </c>
      <c r="T98" s="1093">
        <f t="shared" si="2"/>
        <v>7716.6900000000005</v>
      </c>
    </row>
    <row r="99" spans="2:20" ht="12.75" customHeight="1" x14ac:dyDescent="0.2">
      <c r="B99" s="1088" t="s">
        <v>1176</v>
      </c>
      <c r="C99" s="1088">
        <v>502</v>
      </c>
      <c r="D99" s="1088">
        <v>511</v>
      </c>
      <c r="E99" s="1088">
        <v>18</v>
      </c>
      <c r="F99" s="1088">
        <v>2201</v>
      </c>
      <c r="G99" s="1088" t="s">
        <v>1177</v>
      </c>
      <c r="H99" s="1089">
        <v>451.27</v>
      </c>
      <c r="I99" s="1089">
        <v>202.4</v>
      </c>
      <c r="J99" s="1089">
        <v>202.4</v>
      </c>
      <c r="K99" s="1089">
        <v>202.4</v>
      </c>
      <c r="L99" s="1093">
        <v>202.4</v>
      </c>
      <c r="M99" s="1093">
        <v>303.60000000000002</v>
      </c>
      <c r="N99" s="1093">
        <v>202.4</v>
      </c>
      <c r="O99" s="1093">
        <v>202.4</v>
      </c>
      <c r="P99" s="1093">
        <v>0</v>
      </c>
      <c r="Q99" s="1093">
        <v>0</v>
      </c>
      <c r="R99" s="1089">
        <v>0</v>
      </c>
      <c r="S99" s="1093">
        <v>0</v>
      </c>
      <c r="T99" s="1093">
        <f t="shared" si="2"/>
        <v>1969.2700000000004</v>
      </c>
    </row>
    <row r="100" spans="2:20" ht="12.75" customHeight="1" x14ac:dyDescent="0.2">
      <c r="B100" s="1088" t="s">
        <v>1178</v>
      </c>
      <c r="C100" s="1088">
        <v>502</v>
      </c>
      <c r="D100" s="1088">
        <v>511</v>
      </c>
      <c r="E100" s="1088">
        <v>18</v>
      </c>
      <c r="F100" s="1088">
        <v>2211</v>
      </c>
      <c r="G100" s="1088" t="s">
        <v>1179</v>
      </c>
      <c r="H100" s="1089">
        <v>76.34</v>
      </c>
      <c r="I100" s="1089">
        <v>47.34</v>
      </c>
      <c r="J100" s="1089">
        <v>47.34</v>
      </c>
      <c r="K100" s="1089">
        <v>47.34</v>
      </c>
      <c r="L100" s="1093">
        <v>47.34</v>
      </c>
      <c r="M100" s="1093">
        <v>71.010000000000005</v>
      </c>
      <c r="N100" s="1093">
        <v>47.34</v>
      </c>
      <c r="O100" s="1093">
        <v>47.34</v>
      </c>
      <c r="P100" s="1093">
        <v>0</v>
      </c>
      <c r="Q100" s="1093">
        <v>0</v>
      </c>
      <c r="R100" s="1089">
        <v>0</v>
      </c>
      <c r="S100" s="1093">
        <v>0</v>
      </c>
      <c r="T100" s="1093">
        <f t="shared" si="2"/>
        <v>431.3900000000001</v>
      </c>
    </row>
    <row r="101" spans="2:20" ht="12.75" customHeight="1" x14ac:dyDescent="0.2">
      <c r="B101" s="1088" t="s">
        <v>1180</v>
      </c>
      <c r="C101" s="1088">
        <v>502</v>
      </c>
      <c r="D101" s="1088">
        <v>511</v>
      </c>
      <c r="E101" s="1088">
        <v>18</v>
      </c>
      <c r="F101" s="1088">
        <v>2331</v>
      </c>
      <c r="G101" s="1088" t="s">
        <v>1181</v>
      </c>
      <c r="H101" s="1089">
        <v>0</v>
      </c>
      <c r="I101" s="1089">
        <v>0</v>
      </c>
      <c r="J101" s="1089">
        <v>0</v>
      </c>
      <c r="K101" s="1089">
        <v>0</v>
      </c>
      <c r="L101" s="1093">
        <v>0</v>
      </c>
      <c r="M101" s="1093">
        <v>0</v>
      </c>
      <c r="N101" s="1093">
        <v>0</v>
      </c>
      <c r="O101" s="1093">
        <v>0</v>
      </c>
      <c r="P101" s="1093">
        <v>0</v>
      </c>
      <c r="Q101" s="1093">
        <v>0</v>
      </c>
      <c r="R101" s="1089">
        <v>0</v>
      </c>
      <c r="S101" s="1093">
        <v>0</v>
      </c>
      <c r="T101" s="1093">
        <f t="shared" si="2"/>
        <v>0</v>
      </c>
    </row>
    <row r="102" spans="2:20" ht="12.75" customHeight="1" x14ac:dyDescent="0.2">
      <c r="B102" s="1088" t="s">
        <v>1182</v>
      </c>
      <c r="C102" s="1088">
        <v>502</v>
      </c>
      <c r="D102" s="1088">
        <v>511</v>
      </c>
      <c r="E102" s="1088">
        <v>18</v>
      </c>
      <c r="F102" s="1088">
        <v>2901</v>
      </c>
      <c r="G102" s="1088" t="s">
        <v>1183</v>
      </c>
      <c r="H102" s="1089">
        <v>355.90000000000003</v>
      </c>
      <c r="I102" s="1089">
        <v>196.6</v>
      </c>
      <c r="J102" s="1089">
        <v>212.8</v>
      </c>
      <c r="K102" s="1089">
        <v>206.72</v>
      </c>
      <c r="L102" s="1093">
        <v>203.79</v>
      </c>
      <c r="M102" s="1093">
        <v>319.14</v>
      </c>
      <c r="N102" s="1093">
        <v>239.77</v>
      </c>
      <c r="O102" s="1093">
        <v>194.46</v>
      </c>
      <c r="P102" s="1093">
        <v>0</v>
      </c>
      <c r="Q102" s="1093">
        <v>0</v>
      </c>
      <c r="R102" s="1089">
        <v>0</v>
      </c>
      <c r="S102" s="1093">
        <v>0</v>
      </c>
      <c r="T102" s="1093">
        <f t="shared" si="2"/>
        <v>1929.1799999999998</v>
      </c>
    </row>
    <row r="103" spans="2:20" ht="12.75" customHeight="1" x14ac:dyDescent="0.2">
      <c r="B103" s="1088" t="s">
        <v>1184</v>
      </c>
      <c r="C103" s="1088">
        <v>502</v>
      </c>
      <c r="D103" s="1088">
        <v>511</v>
      </c>
      <c r="E103" s="1088">
        <v>66</v>
      </c>
      <c r="F103" s="1088">
        <v>2204</v>
      </c>
      <c r="G103" s="1088" t="s">
        <v>1185</v>
      </c>
      <c r="H103" s="1089">
        <v>0</v>
      </c>
      <c r="I103" s="1089">
        <v>0</v>
      </c>
      <c r="J103" s="1089">
        <v>0</v>
      </c>
      <c r="K103" s="1089">
        <v>0</v>
      </c>
      <c r="L103" s="1093">
        <v>0</v>
      </c>
      <c r="M103" s="1093">
        <v>0</v>
      </c>
      <c r="N103" s="1093">
        <v>0</v>
      </c>
      <c r="O103" s="1093">
        <v>0</v>
      </c>
      <c r="P103" s="1093">
        <v>0</v>
      </c>
      <c r="Q103" s="1093">
        <v>0</v>
      </c>
      <c r="R103" s="1089">
        <v>0</v>
      </c>
      <c r="S103" s="1093">
        <v>0</v>
      </c>
      <c r="T103" s="1093">
        <f t="shared" si="2"/>
        <v>0</v>
      </c>
    </row>
    <row r="104" spans="2:20" ht="12.75" customHeight="1" x14ac:dyDescent="0.2">
      <c r="B104" s="1088" t="s">
        <v>1186</v>
      </c>
      <c r="C104" s="1088">
        <v>502</v>
      </c>
      <c r="D104" s="1088">
        <v>511</v>
      </c>
      <c r="E104" s="1088">
        <v>66</v>
      </c>
      <c r="F104" s="1088">
        <v>2214</v>
      </c>
      <c r="G104" s="1088" t="s">
        <v>1187</v>
      </c>
      <c r="H104" s="1089">
        <v>0</v>
      </c>
      <c r="I104" s="1089">
        <v>0</v>
      </c>
      <c r="J104" s="1089">
        <v>0</v>
      </c>
      <c r="K104" s="1089">
        <v>0</v>
      </c>
      <c r="L104" s="1093">
        <v>0</v>
      </c>
      <c r="M104" s="1093">
        <v>0</v>
      </c>
      <c r="N104" s="1093">
        <v>0</v>
      </c>
      <c r="O104" s="1093">
        <v>0</v>
      </c>
      <c r="P104" s="1093">
        <v>0</v>
      </c>
      <c r="Q104" s="1093">
        <v>0</v>
      </c>
      <c r="R104" s="1089">
        <v>0</v>
      </c>
      <c r="S104" s="1093">
        <v>0</v>
      </c>
      <c r="T104" s="1093">
        <f t="shared" si="2"/>
        <v>0</v>
      </c>
    </row>
    <row r="105" spans="2:20" ht="12.75" customHeight="1" x14ac:dyDescent="0.2">
      <c r="B105" s="1088" t="s">
        <v>1188</v>
      </c>
      <c r="C105" s="1088">
        <v>502</v>
      </c>
      <c r="D105" s="1088">
        <v>511</v>
      </c>
      <c r="E105" s="1088">
        <v>66</v>
      </c>
      <c r="F105" s="1088">
        <v>2334</v>
      </c>
      <c r="G105" s="1088" t="s">
        <v>1189</v>
      </c>
      <c r="H105" s="1089">
        <v>0</v>
      </c>
      <c r="I105" s="1089">
        <v>0</v>
      </c>
      <c r="J105" s="1089">
        <v>0</v>
      </c>
      <c r="K105" s="1089">
        <v>0</v>
      </c>
      <c r="L105" s="1093">
        <v>0</v>
      </c>
      <c r="M105" s="1093">
        <v>0</v>
      </c>
      <c r="N105" s="1093">
        <v>0</v>
      </c>
      <c r="O105" s="1093">
        <v>0</v>
      </c>
      <c r="P105" s="1093">
        <v>0</v>
      </c>
      <c r="Q105" s="1093">
        <v>0</v>
      </c>
      <c r="R105" s="1089">
        <v>0</v>
      </c>
      <c r="S105" s="1093">
        <v>0</v>
      </c>
      <c r="T105" s="1093">
        <f t="shared" si="2"/>
        <v>0</v>
      </c>
    </row>
    <row r="106" spans="2:20" ht="12.75" customHeight="1" x14ac:dyDescent="0.2">
      <c r="B106" s="1088" t="s">
        <v>1190</v>
      </c>
      <c r="C106" s="1088">
        <v>502</v>
      </c>
      <c r="D106" s="1088">
        <v>511</v>
      </c>
      <c r="E106" s="1088">
        <v>66</v>
      </c>
      <c r="F106" s="1088">
        <v>2904</v>
      </c>
      <c r="G106" s="1111" t="s">
        <v>1191</v>
      </c>
      <c r="H106" s="1089">
        <v>0</v>
      </c>
      <c r="I106" s="1089">
        <v>0</v>
      </c>
      <c r="J106" s="1089">
        <v>0</v>
      </c>
      <c r="K106" s="1089">
        <v>0</v>
      </c>
      <c r="L106" s="1093">
        <v>0</v>
      </c>
      <c r="M106" s="1093">
        <v>0</v>
      </c>
      <c r="N106" s="1093">
        <v>0</v>
      </c>
      <c r="O106" s="1093">
        <v>0</v>
      </c>
      <c r="P106" s="1093">
        <v>0</v>
      </c>
      <c r="Q106" s="1093">
        <v>0</v>
      </c>
      <c r="R106" s="1089">
        <v>0</v>
      </c>
      <c r="S106" s="1093">
        <v>0</v>
      </c>
      <c r="T106" s="1093">
        <f t="shared" si="2"/>
        <v>0</v>
      </c>
    </row>
    <row r="107" spans="2:20" ht="12.75" customHeight="1" x14ac:dyDescent="0.2">
      <c r="B107" s="1088" t="s">
        <v>1192</v>
      </c>
      <c r="C107" s="1088">
        <v>502</v>
      </c>
      <c r="D107" s="1088">
        <v>512</v>
      </c>
      <c r="E107" s="1088">
        <v>0</v>
      </c>
      <c r="F107" s="1088">
        <v>2331</v>
      </c>
      <c r="G107" s="1088" t="s">
        <v>1193</v>
      </c>
      <c r="H107" s="1089">
        <v>0</v>
      </c>
      <c r="I107" s="1089">
        <v>0</v>
      </c>
      <c r="J107" s="1089">
        <v>0</v>
      </c>
      <c r="K107" s="1089">
        <v>0</v>
      </c>
      <c r="L107" s="1093">
        <v>0</v>
      </c>
      <c r="M107" s="1093">
        <v>0</v>
      </c>
      <c r="N107" s="1093">
        <v>0</v>
      </c>
      <c r="O107" s="1093">
        <v>0</v>
      </c>
      <c r="P107" s="1093">
        <v>0</v>
      </c>
      <c r="Q107" s="1093">
        <v>0</v>
      </c>
      <c r="R107" s="1089">
        <v>0</v>
      </c>
      <c r="S107" s="1093">
        <v>0</v>
      </c>
      <c r="T107" s="1093">
        <f t="shared" si="2"/>
        <v>0</v>
      </c>
    </row>
    <row r="108" spans="2:20" ht="12.75" customHeight="1" x14ac:dyDescent="0.2">
      <c r="B108" s="1088" t="s">
        <v>1194</v>
      </c>
      <c r="C108" s="1088">
        <v>502</v>
      </c>
      <c r="D108" s="1088">
        <v>515</v>
      </c>
      <c r="E108" s="1088">
        <v>0</v>
      </c>
      <c r="F108" s="1088">
        <v>2201</v>
      </c>
      <c r="G108" s="1088" t="s">
        <v>1195</v>
      </c>
      <c r="H108" s="1089">
        <v>14.65</v>
      </c>
      <c r="I108" s="1089">
        <v>1378.55</v>
      </c>
      <c r="J108" s="1089">
        <v>1182.98</v>
      </c>
      <c r="K108" s="1089">
        <v>1275.98</v>
      </c>
      <c r="L108" s="1093">
        <v>1192.28</v>
      </c>
      <c r="M108" s="1093">
        <v>1823.82</v>
      </c>
      <c r="N108" s="1093">
        <v>1188.68</v>
      </c>
      <c r="O108" s="1093">
        <v>1281.68</v>
      </c>
      <c r="P108" s="1093">
        <v>0</v>
      </c>
      <c r="Q108" s="1093">
        <v>0</v>
      </c>
      <c r="R108" s="1089">
        <v>0</v>
      </c>
      <c r="S108" s="1093">
        <v>0</v>
      </c>
      <c r="T108" s="1093">
        <f t="shared" si="2"/>
        <v>9338.6200000000008</v>
      </c>
    </row>
    <row r="109" spans="2:20" ht="12.75" customHeight="1" x14ac:dyDescent="0.2">
      <c r="B109" s="1088" t="s">
        <v>1196</v>
      </c>
      <c r="C109" s="1088">
        <v>502</v>
      </c>
      <c r="D109" s="1088">
        <v>515</v>
      </c>
      <c r="E109" s="1088">
        <v>0</v>
      </c>
      <c r="F109" s="1088">
        <v>2211</v>
      </c>
      <c r="G109" s="1088" t="s">
        <v>1197</v>
      </c>
      <c r="H109" s="1089">
        <v>3.42</v>
      </c>
      <c r="I109" s="1089">
        <v>322.41000000000003</v>
      </c>
      <c r="J109" s="1089">
        <v>276.67</v>
      </c>
      <c r="K109" s="1089">
        <v>298.42</v>
      </c>
      <c r="L109" s="1093">
        <v>278.83999999999997</v>
      </c>
      <c r="M109" s="1093">
        <v>426.54</v>
      </c>
      <c r="N109" s="1093">
        <v>278</v>
      </c>
      <c r="O109" s="1093">
        <v>299.75</v>
      </c>
      <c r="P109" s="1093">
        <v>0</v>
      </c>
      <c r="Q109" s="1093">
        <v>0</v>
      </c>
      <c r="R109" s="1089">
        <v>0</v>
      </c>
      <c r="S109" s="1093">
        <v>0</v>
      </c>
      <c r="T109" s="1093">
        <f t="shared" si="2"/>
        <v>2184.0500000000002</v>
      </c>
    </row>
    <row r="110" spans="2:20" ht="12.75" customHeight="1" x14ac:dyDescent="0.2">
      <c r="B110" s="1088" t="s">
        <v>1198</v>
      </c>
      <c r="C110" s="1088">
        <v>502</v>
      </c>
      <c r="D110" s="1088">
        <v>515</v>
      </c>
      <c r="E110" s="1088">
        <v>0</v>
      </c>
      <c r="F110" s="1088">
        <v>2331</v>
      </c>
      <c r="G110" s="1088" t="s">
        <v>1199</v>
      </c>
      <c r="H110" s="1089">
        <v>-31.240000000000002</v>
      </c>
      <c r="I110" s="1089">
        <v>5696.51</v>
      </c>
      <c r="J110" s="1089">
        <v>4768.72</v>
      </c>
      <c r="K110" s="1089">
        <v>4361.33</v>
      </c>
      <c r="L110" s="1093">
        <v>5367.45</v>
      </c>
      <c r="M110" s="1093">
        <v>5287.96</v>
      </c>
      <c r="N110" s="1093">
        <v>6098.4800000000005</v>
      </c>
      <c r="O110" s="1093">
        <v>6005.1</v>
      </c>
      <c r="P110" s="1093">
        <v>0</v>
      </c>
      <c r="Q110" s="1093">
        <v>0</v>
      </c>
      <c r="R110" s="1089">
        <v>0</v>
      </c>
      <c r="S110" s="1093">
        <v>0</v>
      </c>
      <c r="T110" s="1093">
        <f t="shared" si="2"/>
        <v>37554.31</v>
      </c>
    </row>
    <row r="111" spans="2:20" ht="12.75" customHeight="1" x14ac:dyDescent="0.2">
      <c r="B111" s="1088" t="s">
        <v>1200</v>
      </c>
      <c r="C111" s="1088">
        <v>502</v>
      </c>
      <c r="D111" s="1088">
        <v>515</v>
      </c>
      <c r="E111" s="1088">
        <v>0</v>
      </c>
      <c r="F111" s="1088">
        <v>2901</v>
      </c>
      <c r="G111" s="1088" t="s">
        <v>1201</v>
      </c>
      <c r="H111" s="1089">
        <v>734.80000000000007</v>
      </c>
      <c r="I111" s="1089">
        <v>1070.97</v>
      </c>
      <c r="J111" s="1089">
        <v>1111.05</v>
      </c>
      <c r="K111" s="1089">
        <v>1037.69</v>
      </c>
      <c r="L111" s="1093">
        <v>1018.95</v>
      </c>
      <c r="M111" s="1093">
        <v>1608.05</v>
      </c>
      <c r="N111" s="1093">
        <v>1223.6400000000001</v>
      </c>
      <c r="O111" s="1093">
        <v>992.04000000000008</v>
      </c>
      <c r="P111" s="1093">
        <v>0</v>
      </c>
      <c r="Q111" s="1093">
        <v>0</v>
      </c>
      <c r="R111" s="1089">
        <v>0</v>
      </c>
      <c r="S111" s="1093">
        <v>0</v>
      </c>
      <c r="T111" s="1093">
        <f t="shared" si="2"/>
        <v>8797.19</v>
      </c>
    </row>
    <row r="112" spans="2:20" ht="12.75" customHeight="1" x14ac:dyDescent="0.2">
      <c r="B112" s="1088" t="s">
        <v>1202</v>
      </c>
      <c r="C112" s="1088">
        <v>502</v>
      </c>
      <c r="D112" s="1088">
        <v>515</v>
      </c>
      <c r="E112" s="1088">
        <v>17</v>
      </c>
      <c r="F112" s="1088">
        <v>2201</v>
      </c>
      <c r="G112" s="1088" t="s">
        <v>1203</v>
      </c>
      <c r="H112" s="1089">
        <v>0</v>
      </c>
      <c r="I112" s="1089">
        <v>0</v>
      </c>
      <c r="J112" s="1089">
        <v>0</v>
      </c>
      <c r="K112" s="1089">
        <v>0</v>
      </c>
      <c r="L112" s="1093">
        <v>0</v>
      </c>
      <c r="M112" s="1093">
        <v>0</v>
      </c>
      <c r="N112" s="1093">
        <v>0</v>
      </c>
      <c r="O112" s="1093">
        <v>0</v>
      </c>
      <c r="P112" s="1093">
        <v>0</v>
      </c>
      <c r="Q112" s="1093">
        <v>0</v>
      </c>
      <c r="R112" s="1089">
        <v>0</v>
      </c>
      <c r="S112" s="1093">
        <v>0</v>
      </c>
      <c r="T112" s="1093">
        <f t="shared" si="2"/>
        <v>0</v>
      </c>
    </row>
    <row r="113" spans="2:20" ht="12.75" customHeight="1" x14ac:dyDescent="0.2">
      <c r="B113" s="1088" t="s">
        <v>1204</v>
      </c>
      <c r="C113" s="1088">
        <v>502</v>
      </c>
      <c r="D113" s="1088">
        <v>515</v>
      </c>
      <c r="E113" s="1088">
        <v>17</v>
      </c>
      <c r="F113" s="1088">
        <v>2211</v>
      </c>
      <c r="G113" s="1088" t="s">
        <v>1205</v>
      </c>
      <c r="H113" s="1089">
        <v>0</v>
      </c>
      <c r="I113" s="1089">
        <v>0</v>
      </c>
      <c r="J113" s="1089">
        <v>0</v>
      </c>
      <c r="K113" s="1089">
        <v>0</v>
      </c>
      <c r="L113" s="1093">
        <v>0</v>
      </c>
      <c r="M113" s="1093">
        <v>0</v>
      </c>
      <c r="N113" s="1093">
        <v>0</v>
      </c>
      <c r="O113" s="1093">
        <v>0</v>
      </c>
      <c r="P113" s="1093">
        <v>0</v>
      </c>
      <c r="Q113" s="1093">
        <v>0</v>
      </c>
      <c r="R113" s="1089">
        <v>0</v>
      </c>
      <c r="S113" s="1093">
        <v>0</v>
      </c>
      <c r="T113" s="1093">
        <f t="shared" si="2"/>
        <v>0</v>
      </c>
    </row>
    <row r="114" spans="2:20" ht="12.75" customHeight="1" x14ac:dyDescent="0.2">
      <c r="B114" s="1088" t="s">
        <v>1206</v>
      </c>
      <c r="C114" s="1088">
        <v>502</v>
      </c>
      <c r="D114" s="1088">
        <v>515</v>
      </c>
      <c r="E114" s="1088">
        <v>17</v>
      </c>
      <c r="F114" s="1088">
        <v>2331</v>
      </c>
      <c r="G114" s="1088" t="s">
        <v>1207</v>
      </c>
      <c r="H114" s="1089">
        <v>0</v>
      </c>
      <c r="I114" s="1089">
        <v>0</v>
      </c>
      <c r="J114" s="1089">
        <v>0</v>
      </c>
      <c r="K114" s="1089">
        <v>0</v>
      </c>
      <c r="L114" s="1093">
        <v>0</v>
      </c>
      <c r="M114" s="1093">
        <v>0</v>
      </c>
      <c r="N114" s="1093">
        <v>0</v>
      </c>
      <c r="O114" s="1093">
        <v>0</v>
      </c>
      <c r="P114" s="1093">
        <v>0</v>
      </c>
      <c r="Q114" s="1093">
        <v>0</v>
      </c>
      <c r="R114" s="1089">
        <v>0</v>
      </c>
      <c r="S114" s="1093">
        <v>0</v>
      </c>
      <c r="T114" s="1093">
        <f t="shared" si="2"/>
        <v>0</v>
      </c>
    </row>
    <row r="115" spans="2:20" ht="12.75" customHeight="1" x14ac:dyDescent="0.2">
      <c r="B115" s="1088" t="s">
        <v>1208</v>
      </c>
      <c r="C115" s="1088">
        <v>502</v>
      </c>
      <c r="D115" s="1088">
        <v>515</v>
      </c>
      <c r="E115" s="1088">
        <v>17</v>
      </c>
      <c r="F115" s="1088">
        <v>2901</v>
      </c>
      <c r="G115" s="1111" t="s">
        <v>1209</v>
      </c>
      <c r="H115" s="1089">
        <v>0</v>
      </c>
      <c r="I115" s="1089">
        <v>0</v>
      </c>
      <c r="J115" s="1089">
        <v>0</v>
      </c>
      <c r="K115" s="1089">
        <v>0</v>
      </c>
      <c r="L115" s="1093">
        <v>0</v>
      </c>
      <c r="M115" s="1093">
        <v>0</v>
      </c>
      <c r="N115" s="1093">
        <v>0</v>
      </c>
      <c r="O115" s="1093">
        <v>0</v>
      </c>
      <c r="P115" s="1093">
        <v>0</v>
      </c>
      <c r="Q115" s="1093">
        <v>0</v>
      </c>
      <c r="R115" s="1089">
        <v>0</v>
      </c>
      <c r="S115" s="1093">
        <v>0</v>
      </c>
      <c r="T115" s="1093">
        <f t="shared" si="2"/>
        <v>0</v>
      </c>
    </row>
    <row r="116" spans="2:20" ht="12.75" customHeight="1" x14ac:dyDescent="0.2">
      <c r="B116" s="1088" t="s">
        <v>1210</v>
      </c>
      <c r="C116" s="1088">
        <v>502</v>
      </c>
      <c r="D116" s="1088">
        <v>516</v>
      </c>
      <c r="E116" s="1088">
        <v>0</v>
      </c>
      <c r="F116" s="1088">
        <v>2201</v>
      </c>
      <c r="G116" s="1088" t="s">
        <v>1211</v>
      </c>
      <c r="H116" s="1089">
        <v>0</v>
      </c>
      <c r="I116" s="1089">
        <v>0</v>
      </c>
      <c r="J116" s="1089">
        <v>0</v>
      </c>
      <c r="K116" s="1089">
        <v>0</v>
      </c>
      <c r="L116" s="1093">
        <v>0</v>
      </c>
      <c r="M116" s="1093">
        <v>0</v>
      </c>
      <c r="N116" s="1093">
        <v>0</v>
      </c>
      <c r="O116" s="1093">
        <v>0</v>
      </c>
      <c r="P116" s="1093">
        <v>0</v>
      </c>
      <c r="Q116" s="1093">
        <v>0</v>
      </c>
      <c r="R116" s="1089">
        <v>0</v>
      </c>
      <c r="S116" s="1093">
        <v>0</v>
      </c>
      <c r="T116" s="1093">
        <f t="shared" si="2"/>
        <v>0</v>
      </c>
    </row>
    <row r="117" spans="2:20" ht="12.75" customHeight="1" x14ac:dyDescent="0.2">
      <c r="B117" s="1088" t="s">
        <v>1212</v>
      </c>
      <c r="C117" s="1088">
        <v>502</v>
      </c>
      <c r="D117" s="1088">
        <v>516</v>
      </c>
      <c r="E117" s="1088">
        <v>0</v>
      </c>
      <c r="F117" s="1088">
        <v>2211</v>
      </c>
      <c r="G117" s="1088" t="s">
        <v>1213</v>
      </c>
      <c r="H117" s="1089">
        <v>0</v>
      </c>
      <c r="I117" s="1089">
        <v>0</v>
      </c>
      <c r="J117" s="1089">
        <v>0</v>
      </c>
      <c r="K117" s="1089">
        <v>0</v>
      </c>
      <c r="L117" s="1093">
        <v>0</v>
      </c>
      <c r="M117" s="1093">
        <v>0</v>
      </c>
      <c r="N117" s="1093">
        <v>0</v>
      </c>
      <c r="O117" s="1093">
        <v>0</v>
      </c>
      <c r="P117" s="1093">
        <v>0</v>
      </c>
      <c r="Q117" s="1093">
        <v>0</v>
      </c>
      <c r="R117" s="1089">
        <v>0</v>
      </c>
      <c r="S117" s="1093">
        <v>0</v>
      </c>
      <c r="T117" s="1093">
        <f t="shared" si="2"/>
        <v>0</v>
      </c>
    </row>
    <row r="118" spans="2:20" ht="12.75" customHeight="1" x14ac:dyDescent="0.2">
      <c r="B118" s="1088" t="s">
        <v>1214</v>
      </c>
      <c r="C118" s="1088">
        <v>502</v>
      </c>
      <c r="D118" s="1088">
        <v>516</v>
      </c>
      <c r="E118" s="1088">
        <v>0</v>
      </c>
      <c r="F118" s="1088">
        <v>2331</v>
      </c>
      <c r="G118" s="1088" t="s">
        <v>1215</v>
      </c>
      <c r="H118" s="1089">
        <v>0</v>
      </c>
      <c r="I118" s="1089">
        <v>0</v>
      </c>
      <c r="J118" s="1089">
        <v>0</v>
      </c>
      <c r="K118" s="1089">
        <v>0</v>
      </c>
      <c r="L118" s="1093">
        <v>0</v>
      </c>
      <c r="M118" s="1093">
        <v>0</v>
      </c>
      <c r="N118" s="1093">
        <v>0</v>
      </c>
      <c r="O118" s="1093">
        <v>0</v>
      </c>
      <c r="P118" s="1093">
        <v>0</v>
      </c>
      <c r="Q118" s="1093">
        <v>0</v>
      </c>
      <c r="R118" s="1089">
        <v>0</v>
      </c>
      <c r="S118" s="1093">
        <v>0</v>
      </c>
      <c r="T118" s="1093">
        <f t="shared" si="2"/>
        <v>0</v>
      </c>
    </row>
    <row r="119" spans="2:20" ht="12.75" customHeight="1" x14ac:dyDescent="0.2">
      <c r="B119" s="1088" t="s">
        <v>1216</v>
      </c>
      <c r="C119" s="1088">
        <v>502</v>
      </c>
      <c r="D119" s="1088">
        <v>516</v>
      </c>
      <c r="E119" s="1088">
        <v>0</v>
      </c>
      <c r="F119" s="1088">
        <v>2901</v>
      </c>
      <c r="G119" s="1088" t="s">
        <v>1217</v>
      </c>
      <c r="H119" s="1089">
        <v>0</v>
      </c>
      <c r="I119" s="1089">
        <v>0</v>
      </c>
      <c r="J119" s="1089">
        <v>0</v>
      </c>
      <c r="K119" s="1089">
        <v>0</v>
      </c>
      <c r="L119" s="1093">
        <v>0</v>
      </c>
      <c r="M119" s="1093">
        <v>0</v>
      </c>
      <c r="N119" s="1093">
        <v>0</v>
      </c>
      <c r="O119" s="1093">
        <v>0</v>
      </c>
      <c r="P119" s="1093">
        <v>0</v>
      </c>
      <c r="Q119" s="1093">
        <v>0</v>
      </c>
      <c r="R119" s="1089">
        <v>0</v>
      </c>
      <c r="S119" s="1093">
        <v>0</v>
      </c>
      <c r="T119" s="1093">
        <f t="shared" si="2"/>
        <v>0</v>
      </c>
    </row>
    <row r="120" spans="2:20" ht="12.75" customHeight="1" x14ac:dyDescent="0.2">
      <c r="B120" s="1088" t="s">
        <v>1218</v>
      </c>
      <c r="C120" s="1088">
        <v>502</v>
      </c>
      <c r="D120" s="1088">
        <v>520</v>
      </c>
      <c r="E120" s="1088">
        <v>10</v>
      </c>
      <c r="F120" s="1088">
        <v>2201</v>
      </c>
      <c r="G120" s="1088" t="s">
        <v>1219</v>
      </c>
      <c r="H120" s="1089">
        <v>207.14000000000001</v>
      </c>
      <c r="I120" s="1089">
        <v>585.79999999999995</v>
      </c>
      <c r="J120" s="1089">
        <v>585.79999999999995</v>
      </c>
      <c r="K120" s="1089">
        <v>585.79999999999995</v>
      </c>
      <c r="L120" s="1093">
        <v>585.79999999999995</v>
      </c>
      <c r="M120" s="1093">
        <v>877.7</v>
      </c>
      <c r="N120" s="1093">
        <v>583.79999999999995</v>
      </c>
      <c r="O120" s="1093">
        <v>583.79999999999995</v>
      </c>
      <c r="P120" s="1093">
        <v>0</v>
      </c>
      <c r="Q120" s="1093">
        <v>0</v>
      </c>
      <c r="R120" s="1089">
        <v>0</v>
      </c>
      <c r="S120" s="1093">
        <v>0</v>
      </c>
      <c r="T120" s="1093">
        <f t="shared" si="2"/>
        <v>4595.6400000000003</v>
      </c>
    </row>
    <row r="121" spans="2:20" ht="12.75" customHeight="1" x14ac:dyDescent="0.2">
      <c r="B121" s="1088" t="s">
        <v>1220</v>
      </c>
      <c r="C121" s="1088">
        <v>502</v>
      </c>
      <c r="D121" s="1088">
        <v>520</v>
      </c>
      <c r="E121" s="1088">
        <v>10</v>
      </c>
      <c r="F121" s="1088">
        <v>2211</v>
      </c>
      <c r="G121" s="1088" t="s">
        <v>1221</v>
      </c>
      <c r="H121" s="1089">
        <v>48.43</v>
      </c>
      <c r="I121" s="1089">
        <v>137</v>
      </c>
      <c r="J121" s="1089">
        <v>137</v>
      </c>
      <c r="K121" s="1089">
        <v>137</v>
      </c>
      <c r="L121" s="1093">
        <v>137</v>
      </c>
      <c r="M121" s="1093">
        <v>205.27</v>
      </c>
      <c r="N121" s="1093">
        <v>136.54</v>
      </c>
      <c r="O121" s="1093">
        <v>136.54</v>
      </c>
      <c r="P121" s="1093">
        <v>0</v>
      </c>
      <c r="Q121" s="1093">
        <v>0</v>
      </c>
      <c r="R121" s="1089">
        <v>0</v>
      </c>
      <c r="S121" s="1093">
        <v>0</v>
      </c>
      <c r="T121" s="1093">
        <f t="shared" ref="T121:T184" si="3">SUM(H121:S121)</f>
        <v>1074.78</v>
      </c>
    </row>
    <row r="122" spans="2:20" ht="12.75" customHeight="1" x14ac:dyDescent="0.2">
      <c r="B122" s="1088" t="s">
        <v>1222</v>
      </c>
      <c r="C122" s="1088">
        <v>502</v>
      </c>
      <c r="D122" s="1088">
        <v>520</v>
      </c>
      <c r="E122" s="1088">
        <v>10</v>
      </c>
      <c r="F122" s="1088">
        <v>2331</v>
      </c>
      <c r="G122" s="1088" t="s">
        <v>1223</v>
      </c>
      <c r="H122" s="1089">
        <v>-2061.08</v>
      </c>
      <c r="I122" s="1089">
        <v>1401.94</v>
      </c>
      <c r="J122" s="1089">
        <v>1173.97</v>
      </c>
      <c r="K122" s="1089">
        <v>1071.72</v>
      </c>
      <c r="L122" s="1093">
        <v>1319.83</v>
      </c>
      <c r="M122" s="1093">
        <v>1300.29</v>
      </c>
      <c r="N122" s="1093">
        <v>1500.3700000000001</v>
      </c>
      <c r="O122" s="1093">
        <v>1481.26</v>
      </c>
      <c r="P122" s="1093">
        <v>0</v>
      </c>
      <c r="Q122" s="1093">
        <v>0</v>
      </c>
      <c r="R122" s="1089">
        <v>0</v>
      </c>
      <c r="S122" s="1093">
        <v>0</v>
      </c>
      <c r="T122" s="1093">
        <f t="shared" si="3"/>
        <v>7188.3</v>
      </c>
    </row>
    <row r="123" spans="2:20" ht="12.75" customHeight="1" x14ac:dyDescent="0.2">
      <c r="B123" s="1088" t="s">
        <v>1224</v>
      </c>
      <c r="C123" s="1088">
        <v>502</v>
      </c>
      <c r="D123" s="1088">
        <v>520</v>
      </c>
      <c r="E123" s="1088">
        <v>10</v>
      </c>
      <c r="F123" s="1088">
        <v>2901</v>
      </c>
      <c r="G123" s="1088" t="s">
        <v>1225</v>
      </c>
      <c r="H123" s="1089">
        <v>193.46</v>
      </c>
      <c r="I123" s="1089">
        <v>393.19</v>
      </c>
      <c r="J123" s="1089">
        <v>425.59000000000003</v>
      </c>
      <c r="K123" s="1089">
        <v>413.44</v>
      </c>
      <c r="L123" s="1093">
        <v>407.58</v>
      </c>
      <c r="M123" s="1093">
        <v>650.82000000000005</v>
      </c>
      <c r="N123" s="1093">
        <v>504.65000000000003</v>
      </c>
      <c r="O123" s="1093">
        <v>483.79</v>
      </c>
      <c r="P123" s="1093">
        <v>0</v>
      </c>
      <c r="Q123" s="1093">
        <v>0</v>
      </c>
      <c r="R123" s="1089">
        <v>0</v>
      </c>
      <c r="S123" s="1093">
        <v>0</v>
      </c>
      <c r="T123" s="1093">
        <f t="shared" si="3"/>
        <v>3472.52</v>
      </c>
    </row>
    <row r="124" spans="2:20" ht="12.75" customHeight="1" x14ac:dyDescent="0.2">
      <c r="B124" s="1088" t="s">
        <v>1226</v>
      </c>
      <c r="C124" s="1088">
        <v>502</v>
      </c>
      <c r="D124" s="1088">
        <v>526</v>
      </c>
      <c r="E124" s="1088">
        <v>10</v>
      </c>
      <c r="F124" s="1088">
        <v>2201</v>
      </c>
      <c r="G124" s="1088" t="s">
        <v>1227</v>
      </c>
      <c r="H124" s="1089">
        <v>0</v>
      </c>
      <c r="I124" s="1089">
        <v>0</v>
      </c>
      <c r="J124" s="1089">
        <v>0</v>
      </c>
      <c r="K124" s="1089">
        <v>0</v>
      </c>
      <c r="L124" s="1093">
        <v>0</v>
      </c>
      <c r="M124" s="1093">
        <v>0</v>
      </c>
      <c r="N124" s="1093">
        <v>0</v>
      </c>
      <c r="O124" s="1093">
        <v>0</v>
      </c>
      <c r="P124" s="1093">
        <v>0</v>
      </c>
      <c r="Q124" s="1093">
        <v>0</v>
      </c>
      <c r="R124" s="1089">
        <v>0</v>
      </c>
      <c r="S124" s="1093">
        <v>0</v>
      </c>
      <c r="T124" s="1093">
        <f t="shared" si="3"/>
        <v>0</v>
      </c>
    </row>
    <row r="125" spans="2:20" ht="12.75" customHeight="1" x14ac:dyDescent="0.2">
      <c r="B125" s="1088" t="s">
        <v>1228</v>
      </c>
      <c r="C125" s="1088">
        <v>502</v>
      </c>
      <c r="D125" s="1088">
        <v>526</v>
      </c>
      <c r="E125" s="1088">
        <v>10</v>
      </c>
      <c r="F125" s="1088">
        <v>2211</v>
      </c>
      <c r="G125" s="1088" t="s">
        <v>1229</v>
      </c>
      <c r="H125" s="1089">
        <v>0</v>
      </c>
      <c r="I125" s="1089">
        <v>0</v>
      </c>
      <c r="J125" s="1089">
        <v>0</v>
      </c>
      <c r="K125" s="1089">
        <v>0</v>
      </c>
      <c r="L125" s="1093">
        <v>0</v>
      </c>
      <c r="M125" s="1093">
        <v>0</v>
      </c>
      <c r="N125" s="1093">
        <v>0</v>
      </c>
      <c r="O125" s="1093">
        <v>0</v>
      </c>
      <c r="P125" s="1093">
        <v>0</v>
      </c>
      <c r="Q125" s="1093">
        <v>0</v>
      </c>
      <c r="R125" s="1089">
        <v>0</v>
      </c>
      <c r="S125" s="1093">
        <v>0</v>
      </c>
      <c r="T125" s="1093">
        <f t="shared" si="3"/>
        <v>0</v>
      </c>
    </row>
    <row r="126" spans="2:20" ht="12.75" customHeight="1" x14ac:dyDescent="0.2">
      <c r="B126" s="1088" t="s">
        <v>1230</v>
      </c>
      <c r="C126" s="1088">
        <v>502</v>
      </c>
      <c r="D126" s="1088">
        <v>526</v>
      </c>
      <c r="E126" s="1088">
        <v>10</v>
      </c>
      <c r="F126" s="1088">
        <v>2331</v>
      </c>
      <c r="G126" s="1088" t="s">
        <v>1231</v>
      </c>
      <c r="H126" s="1089">
        <v>0</v>
      </c>
      <c r="I126" s="1089">
        <v>0</v>
      </c>
      <c r="J126" s="1089">
        <v>0</v>
      </c>
      <c r="K126" s="1089">
        <v>0</v>
      </c>
      <c r="L126" s="1093">
        <v>0</v>
      </c>
      <c r="M126" s="1093">
        <v>0</v>
      </c>
      <c r="N126" s="1093">
        <v>0</v>
      </c>
      <c r="O126" s="1093">
        <v>0</v>
      </c>
      <c r="P126" s="1093">
        <v>0</v>
      </c>
      <c r="Q126" s="1093">
        <v>0</v>
      </c>
      <c r="R126" s="1089">
        <v>0</v>
      </c>
      <c r="S126" s="1093">
        <v>0</v>
      </c>
      <c r="T126" s="1093">
        <f t="shared" si="3"/>
        <v>0</v>
      </c>
    </row>
    <row r="127" spans="2:20" ht="12.75" customHeight="1" x14ac:dyDescent="0.2">
      <c r="B127" s="1088" t="s">
        <v>1232</v>
      </c>
      <c r="C127" s="1088">
        <v>502</v>
      </c>
      <c r="D127" s="1088">
        <v>551</v>
      </c>
      <c r="E127" s="1088">
        <v>57</v>
      </c>
      <c r="F127" s="1088">
        <v>2201</v>
      </c>
      <c r="G127" s="1088" t="s">
        <v>1233</v>
      </c>
      <c r="H127" s="1089">
        <v>0</v>
      </c>
      <c r="I127" s="1089">
        <v>0</v>
      </c>
      <c r="J127" s="1089">
        <v>0</v>
      </c>
      <c r="K127" s="1089">
        <v>0</v>
      </c>
      <c r="L127" s="1093">
        <v>0</v>
      </c>
      <c r="M127" s="1093">
        <v>0</v>
      </c>
      <c r="N127" s="1093">
        <v>0</v>
      </c>
      <c r="O127" s="1093">
        <v>0</v>
      </c>
      <c r="P127" s="1093">
        <v>0</v>
      </c>
      <c r="Q127" s="1093">
        <v>0</v>
      </c>
      <c r="R127" s="1089">
        <v>0</v>
      </c>
      <c r="S127" s="1093">
        <v>0</v>
      </c>
      <c r="T127" s="1093">
        <f t="shared" si="3"/>
        <v>0</v>
      </c>
    </row>
    <row r="128" spans="2:20" ht="12.75" customHeight="1" x14ac:dyDescent="0.2">
      <c r="B128" s="1088" t="s">
        <v>1234</v>
      </c>
      <c r="C128" s="1088">
        <v>502</v>
      </c>
      <c r="D128" s="1088">
        <v>551</v>
      </c>
      <c r="E128" s="1088">
        <v>57</v>
      </c>
      <c r="F128" s="1088">
        <v>2211</v>
      </c>
      <c r="G128" s="1088" t="s">
        <v>1235</v>
      </c>
      <c r="H128" s="1089">
        <v>0</v>
      </c>
      <c r="I128" s="1089">
        <v>0</v>
      </c>
      <c r="J128" s="1089">
        <v>0</v>
      </c>
      <c r="K128" s="1089">
        <v>0</v>
      </c>
      <c r="L128" s="1093">
        <v>0</v>
      </c>
      <c r="M128" s="1093">
        <v>0</v>
      </c>
      <c r="N128" s="1093">
        <v>0</v>
      </c>
      <c r="O128" s="1093">
        <v>0</v>
      </c>
      <c r="P128" s="1093">
        <v>0</v>
      </c>
      <c r="Q128" s="1093">
        <v>0</v>
      </c>
      <c r="R128" s="1089">
        <v>0</v>
      </c>
      <c r="S128" s="1093">
        <v>0</v>
      </c>
      <c r="T128" s="1093">
        <f t="shared" si="3"/>
        <v>0</v>
      </c>
    </row>
    <row r="129" spans="2:20" ht="12.75" customHeight="1" x14ac:dyDescent="0.2">
      <c r="B129" s="1088" t="s">
        <v>1236</v>
      </c>
      <c r="C129" s="1088">
        <v>502</v>
      </c>
      <c r="D129" s="1088">
        <v>551</v>
      </c>
      <c r="E129" s="1088">
        <v>57</v>
      </c>
      <c r="F129" s="1088">
        <v>2331</v>
      </c>
      <c r="G129" s="1088" t="s">
        <v>1237</v>
      </c>
      <c r="H129" s="1089">
        <v>0</v>
      </c>
      <c r="I129" s="1089">
        <v>0</v>
      </c>
      <c r="J129" s="1089">
        <v>0</v>
      </c>
      <c r="K129" s="1089">
        <v>0</v>
      </c>
      <c r="L129" s="1093">
        <v>0</v>
      </c>
      <c r="M129" s="1093">
        <v>0</v>
      </c>
      <c r="N129" s="1093">
        <v>0</v>
      </c>
      <c r="O129" s="1093">
        <v>0</v>
      </c>
      <c r="P129" s="1093">
        <v>0</v>
      </c>
      <c r="Q129" s="1093">
        <v>0</v>
      </c>
      <c r="R129" s="1089">
        <v>0</v>
      </c>
      <c r="S129" s="1093">
        <v>0</v>
      </c>
      <c r="T129" s="1093">
        <f t="shared" si="3"/>
        <v>0</v>
      </c>
    </row>
    <row r="130" spans="2:20" ht="12.75" customHeight="1" x14ac:dyDescent="0.2">
      <c r="B130" s="1088" t="s">
        <v>1238</v>
      </c>
      <c r="C130" s="1088">
        <v>502</v>
      </c>
      <c r="D130" s="1088">
        <v>551</v>
      </c>
      <c r="E130" s="1088">
        <v>57</v>
      </c>
      <c r="F130" s="1088">
        <v>2901</v>
      </c>
      <c r="G130" s="1088" t="s">
        <v>1239</v>
      </c>
      <c r="H130" s="1089">
        <v>0</v>
      </c>
      <c r="I130" s="1089">
        <v>0</v>
      </c>
      <c r="J130" s="1089">
        <v>0</v>
      </c>
      <c r="K130" s="1089">
        <v>0</v>
      </c>
      <c r="L130" s="1093">
        <v>0</v>
      </c>
      <c r="M130" s="1093">
        <v>0</v>
      </c>
      <c r="N130" s="1093">
        <v>0</v>
      </c>
      <c r="O130" s="1093">
        <v>0</v>
      </c>
      <c r="P130" s="1093">
        <v>0</v>
      </c>
      <c r="Q130" s="1093">
        <v>0</v>
      </c>
      <c r="R130" s="1089">
        <v>0</v>
      </c>
      <c r="S130" s="1093">
        <v>0</v>
      </c>
      <c r="T130" s="1093">
        <f t="shared" si="3"/>
        <v>0</v>
      </c>
    </row>
    <row r="131" spans="2:20" ht="12.75" customHeight="1" x14ac:dyDescent="0.2">
      <c r="B131" s="1088" t="s">
        <v>1240</v>
      </c>
      <c r="C131" s="1088">
        <v>502</v>
      </c>
      <c r="D131" s="1088">
        <v>612</v>
      </c>
      <c r="E131" s="1088">
        <v>0</v>
      </c>
      <c r="F131" s="1088">
        <v>2201</v>
      </c>
      <c r="G131" s="1088" t="s">
        <v>1241</v>
      </c>
      <c r="H131" s="1089">
        <v>0</v>
      </c>
      <c r="I131" s="1089">
        <v>0</v>
      </c>
      <c r="J131" s="1089">
        <v>0</v>
      </c>
      <c r="K131" s="1089">
        <v>0</v>
      </c>
      <c r="L131" s="1093">
        <v>0</v>
      </c>
      <c r="M131" s="1093">
        <v>0</v>
      </c>
      <c r="N131" s="1093">
        <v>0</v>
      </c>
      <c r="O131" s="1093">
        <v>0</v>
      </c>
      <c r="P131" s="1093">
        <v>0</v>
      </c>
      <c r="Q131" s="1093">
        <v>0</v>
      </c>
      <c r="R131" s="1089">
        <v>0</v>
      </c>
      <c r="S131" s="1093">
        <v>0</v>
      </c>
      <c r="T131" s="1093">
        <f t="shared" si="3"/>
        <v>0</v>
      </c>
    </row>
    <row r="132" spans="2:20" ht="12.75" customHeight="1" x14ac:dyDescent="0.2">
      <c r="B132" s="1088" t="s">
        <v>1242</v>
      </c>
      <c r="C132" s="1088">
        <v>502</v>
      </c>
      <c r="D132" s="1088">
        <v>612</v>
      </c>
      <c r="E132" s="1088">
        <v>0</v>
      </c>
      <c r="F132" s="1088">
        <v>2211</v>
      </c>
      <c r="G132" s="1088" t="s">
        <v>1243</v>
      </c>
      <c r="H132" s="1089">
        <v>0</v>
      </c>
      <c r="I132" s="1089">
        <v>0</v>
      </c>
      <c r="J132" s="1089">
        <v>0</v>
      </c>
      <c r="K132" s="1089">
        <v>0</v>
      </c>
      <c r="L132" s="1093">
        <v>0</v>
      </c>
      <c r="M132" s="1093">
        <v>0</v>
      </c>
      <c r="N132" s="1093">
        <v>0</v>
      </c>
      <c r="O132" s="1093">
        <v>0</v>
      </c>
      <c r="P132" s="1093">
        <v>0</v>
      </c>
      <c r="Q132" s="1093">
        <v>0</v>
      </c>
      <c r="R132" s="1089">
        <v>0</v>
      </c>
      <c r="S132" s="1093">
        <v>0</v>
      </c>
      <c r="T132" s="1093">
        <f t="shared" si="3"/>
        <v>0</v>
      </c>
    </row>
    <row r="133" spans="2:20" ht="12.75" customHeight="1" x14ac:dyDescent="0.2">
      <c r="B133" s="1088" t="s">
        <v>1244</v>
      </c>
      <c r="C133" s="1088">
        <v>502</v>
      </c>
      <c r="D133" s="1088">
        <v>612</v>
      </c>
      <c r="E133" s="1088">
        <v>0</v>
      </c>
      <c r="F133" s="1088">
        <v>2331</v>
      </c>
      <c r="G133" s="1088" t="s">
        <v>1245</v>
      </c>
      <c r="H133" s="1089">
        <v>0</v>
      </c>
      <c r="I133" s="1089">
        <v>0</v>
      </c>
      <c r="J133" s="1089">
        <v>0</v>
      </c>
      <c r="K133" s="1089">
        <v>0</v>
      </c>
      <c r="L133" s="1093">
        <v>0</v>
      </c>
      <c r="M133" s="1093">
        <v>0</v>
      </c>
      <c r="N133" s="1093">
        <v>0</v>
      </c>
      <c r="O133" s="1093">
        <v>0</v>
      </c>
      <c r="P133" s="1093">
        <v>0</v>
      </c>
      <c r="Q133" s="1093">
        <v>0</v>
      </c>
      <c r="R133" s="1089">
        <v>0</v>
      </c>
      <c r="S133" s="1093">
        <v>0</v>
      </c>
      <c r="T133" s="1093">
        <f t="shared" si="3"/>
        <v>0</v>
      </c>
    </row>
    <row r="134" spans="2:20" ht="12.75" customHeight="1" x14ac:dyDescent="0.2">
      <c r="B134" s="1088" t="s">
        <v>1246</v>
      </c>
      <c r="C134" s="1088">
        <v>502</v>
      </c>
      <c r="D134" s="1088">
        <v>612</v>
      </c>
      <c r="E134" s="1088">
        <v>0</v>
      </c>
      <c r="F134" s="1088">
        <v>2901</v>
      </c>
      <c r="G134" s="1088" t="s">
        <v>1247</v>
      </c>
      <c r="H134" s="1089">
        <v>0</v>
      </c>
      <c r="I134" s="1089">
        <v>0</v>
      </c>
      <c r="J134" s="1089">
        <v>0</v>
      </c>
      <c r="K134" s="1089">
        <v>0</v>
      </c>
      <c r="L134" s="1093">
        <v>0</v>
      </c>
      <c r="M134" s="1093">
        <v>0</v>
      </c>
      <c r="N134" s="1093">
        <v>0</v>
      </c>
      <c r="O134" s="1093">
        <v>0</v>
      </c>
      <c r="P134" s="1093">
        <v>0</v>
      </c>
      <c r="Q134" s="1093">
        <v>0</v>
      </c>
      <c r="R134" s="1089">
        <v>0</v>
      </c>
      <c r="S134" s="1093">
        <v>0</v>
      </c>
      <c r="T134" s="1093">
        <f t="shared" si="3"/>
        <v>0</v>
      </c>
    </row>
    <row r="135" spans="2:20" ht="12.75" customHeight="1" x14ac:dyDescent="0.2">
      <c r="B135" s="1088" t="s">
        <v>1248</v>
      </c>
      <c r="C135" s="1088">
        <v>502</v>
      </c>
      <c r="D135" s="1088">
        <v>613</v>
      </c>
      <c r="E135" s="1088">
        <v>0</v>
      </c>
      <c r="F135" s="1088">
        <v>2201</v>
      </c>
      <c r="G135" s="1088" t="s">
        <v>1249</v>
      </c>
      <c r="H135" s="1089">
        <v>0</v>
      </c>
      <c r="I135" s="1089">
        <v>0</v>
      </c>
      <c r="J135" s="1089">
        <v>0</v>
      </c>
      <c r="K135" s="1089">
        <v>0</v>
      </c>
      <c r="L135" s="1093">
        <v>0</v>
      </c>
      <c r="M135" s="1093">
        <v>0</v>
      </c>
      <c r="N135" s="1093">
        <v>0</v>
      </c>
      <c r="O135" s="1093">
        <v>0</v>
      </c>
      <c r="P135" s="1093">
        <v>0</v>
      </c>
      <c r="Q135" s="1093">
        <v>0</v>
      </c>
      <c r="R135" s="1089">
        <v>0</v>
      </c>
      <c r="S135" s="1093">
        <v>0</v>
      </c>
      <c r="T135" s="1093">
        <f t="shared" si="3"/>
        <v>0</v>
      </c>
    </row>
    <row r="136" spans="2:20" ht="12.75" customHeight="1" x14ac:dyDescent="0.2">
      <c r="B136" s="1088" t="s">
        <v>1250</v>
      </c>
      <c r="C136" s="1088">
        <v>502</v>
      </c>
      <c r="D136" s="1088">
        <v>613</v>
      </c>
      <c r="E136" s="1088">
        <v>0</v>
      </c>
      <c r="F136" s="1088">
        <v>2211</v>
      </c>
      <c r="G136" s="1088" t="s">
        <v>1251</v>
      </c>
      <c r="H136" s="1089">
        <v>0</v>
      </c>
      <c r="I136" s="1089">
        <v>0</v>
      </c>
      <c r="J136" s="1089">
        <v>0</v>
      </c>
      <c r="K136" s="1089">
        <v>0</v>
      </c>
      <c r="L136" s="1093">
        <v>0</v>
      </c>
      <c r="M136" s="1093">
        <v>0</v>
      </c>
      <c r="N136" s="1093">
        <v>0</v>
      </c>
      <c r="O136" s="1093">
        <v>0</v>
      </c>
      <c r="P136" s="1093">
        <v>0</v>
      </c>
      <c r="Q136" s="1093">
        <v>0</v>
      </c>
      <c r="R136" s="1089">
        <v>0</v>
      </c>
      <c r="S136" s="1093">
        <v>0</v>
      </c>
      <c r="T136" s="1093">
        <f t="shared" si="3"/>
        <v>0</v>
      </c>
    </row>
    <row r="137" spans="2:20" ht="12.75" customHeight="1" x14ac:dyDescent="0.2">
      <c r="B137" s="1088" t="s">
        <v>1252</v>
      </c>
      <c r="C137" s="1088">
        <v>502</v>
      </c>
      <c r="D137" s="1088">
        <v>613</v>
      </c>
      <c r="E137" s="1088">
        <v>0</v>
      </c>
      <c r="F137" s="1088">
        <v>2331</v>
      </c>
      <c r="G137" s="1088" t="s">
        <v>1253</v>
      </c>
      <c r="H137" s="1089">
        <v>0</v>
      </c>
      <c r="I137" s="1089">
        <v>0</v>
      </c>
      <c r="J137" s="1089">
        <v>0</v>
      </c>
      <c r="K137" s="1089">
        <v>0</v>
      </c>
      <c r="L137" s="1093">
        <v>0</v>
      </c>
      <c r="M137" s="1093">
        <v>0</v>
      </c>
      <c r="N137" s="1093">
        <v>0</v>
      </c>
      <c r="O137" s="1093">
        <v>0</v>
      </c>
      <c r="P137" s="1093">
        <v>0</v>
      </c>
      <c r="Q137" s="1093">
        <v>0</v>
      </c>
      <c r="R137" s="1089">
        <v>0</v>
      </c>
      <c r="S137" s="1093">
        <v>0</v>
      </c>
      <c r="T137" s="1093">
        <f t="shared" si="3"/>
        <v>0</v>
      </c>
    </row>
    <row r="138" spans="2:20" ht="12.75" customHeight="1" x14ac:dyDescent="0.2">
      <c r="B138" s="1088" t="s">
        <v>1254</v>
      </c>
      <c r="C138" s="1088">
        <v>502</v>
      </c>
      <c r="D138" s="1088">
        <v>613</v>
      </c>
      <c r="E138" s="1088">
        <v>0</v>
      </c>
      <c r="F138" s="1088">
        <v>2901</v>
      </c>
      <c r="G138" s="1088" t="s">
        <v>1255</v>
      </c>
      <c r="H138" s="1089">
        <v>0</v>
      </c>
      <c r="I138" s="1089">
        <v>0</v>
      </c>
      <c r="J138" s="1089">
        <v>0</v>
      </c>
      <c r="K138" s="1089">
        <v>0</v>
      </c>
      <c r="L138" s="1093">
        <v>0</v>
      </c>
      <c r="M138" s="1093">
        <v>0</v>
      </c>
      <c r="N138" s="1093">
        <v>0</v>
      </c>
      <c r="O138" s="1093">
        <v>0</v>
      </c>
      <c r="P138" s="1093">
        <v>0</v>
      </c>
      <c r="Q138" s="1093">
        <v>0</v>
      </c>
      <c r="R138" s="1089">
        <v>0</v>
      </c>
      <c r="S138" s="1093">
        <v>0</v>
      </c>
      <c r="T138" s="1093">
        <f t="shared" si="3"/>
        <v>0</v>
      </c>
    </row>
    <row r="139" spans="2:20" ht="12.75" customHeight="1" x14ac:dyDescent="0.2">
      <c r="B139" s="1088" t="s">
        <v>1256</v>
      </c>
      <c r="C139" s="1088">
        <v>502</v>
      </c>
      <c r="D139" s="1088">
        <v>620</v>
      </c>
      <c r="E139" s="1088">
        <v>0</v>
      </c>
      <c r="F139" s="1088">
        <v>2201</v>
      </c>
      <c r="G139" s="1088" t="s">
        <v>1257</v>
      </c>
      <c r="H139" s="1089">
        <v>0</v>
      </c>
      <c r="I139" s="1089">
        <v>0</v>
      </c>
      <c r="J139" s="1089">
        <v>0</v>
      </c>
      <c r="K139" s="1089">
        <v>0</v>
      </c>
      <c r="L139" s="1093">
        <v>0</v>
      </c>
      <c r="M139" s="1093">
        <v>0</v>
      </c>
      <c r="N139" s="1093">
        <v>0</v>
      </c>
      <c r="O139" s="1093">
        <v>0</v>
      </c>
      <c r="P139" s="1093">
        <v>0</v>
      </c>
      <c r="Q139" s="1093">
        <v>0</v>
      </c>
      <c r="R139" s="1089">
        <v>0</v>
      </c>
      <c r="S139" s="1093">
        <v>0</v>
      </c>
      <c r="T139" s="1093">
        <f t="shared" si="3"/>
        <v>0</v>
      </c>
    </row>
    <row r="140" spans="2:20" ht="12.75" customHeight="1" x14ac:dyDescent="0.2">
      <c r="B140" s="1088" t="s">
        <v>1258</v>
      </c>
      <c r="C140" s="1088">
        <v>502</v>
      </c>
      <c r="D140" s="1088">
        <v>620</v>
      </c>
      <c r="E140" s="1088">
        <v>0</v>
      </c>
      <c r="F140" s="1088">
        <v>2211</v>
      </c>
      <c r="G140" s="1088" t="s">
        <v>1259</v>
      </c>
      <c r="H140" s="1089">
        <v>0</v>
      </c>
      <c r="I140" s="1089">
        <v>0</v>
      </c>
      <c r="J140" s="1089">
        <v>0</v>
      </c>
      <c r="K140" s="1089">
        <v>0</v>
      </c>
      <c r="L140" s="1093">
        <v>0</v>
      </c>
      <c r="M140" s="1093">
        <v>0</v>
      </c>
      <c r="N140" s="1093">
        <v>0</v>
      </c>
      <c r="O140" s="1093">
        <v>0</v>
      </c>
      <c r="P140" s="1093">
        <v>0</v>
      </c>
      <c r="Q140" s="1093">
        <v>0</v>
      </c>
      <c r="R140" s="1089">
        <v>0</v>
      </c>
      <c r="S140" s="1093">
        <v>0</v>
      </c>
      <c r="T140" s="1093">
        <f t="shared" si="3"/>
        <v>0</v>
      </c>
    </row>
    <row r="141" spans="2:20" ht="12.75" customHeight="1" x14ac:dyDescent="0.2">
      <c r="B141" s="1088" t="s">
        <v>1260</v>
      </c>
      <c r="C141" s="1088">
        <v>502</v>
      </c>
      <c r="D141" s="1088">
        <v>620</v>
      </c>
      <c r="E141" s="1088">
        <v>0</v>
      </c>
      <c r="F141" s="1088">
        <v>2331</v>
      </c>
      <c r="G141" s="1111" t="s">
        <v>1261</v>
      </c>
      <c r="H141" s="1089">
        <v>0</v>
      </c>
      <c r="I141" s="1089">
        <v>0</v>
      </c>
      <c r="J141" s="1089">
        <v>0</v>
      </c>
      <c r="K141" s="1089">
        <v>0</v>
      </c>
      <c r="L141" s="1093">
        <v>0</v>
      </c>
      <c r="M141" s="1093">
        <v>0</v>
      </c>
      <c r="N141" s="1093">
        <v>0</v>
      </c>
      <c r="O141" s="1093">
        <v>0</v>
      </c>
      <c r="P141" s="1093">
        <v>0</v>
      </c>
      <c r="Q141" s="1093">
        <v>0</v>
      </c>
      <c r="R141" s="1089">
        <v>0</v>
      </c>
      <c r="S141" s="1093">
        <v>0</v>
      </c>
      <c r="T141" s="1093">
        <f t="shared" si="3"/>
        <v>0</v>
      </c>
    </row>
    <row r="142" spans="2:20" ht="12.75" customHeight="1" x14ac:dyDescent="0.2">
      <c r="B142" s="1088" t="s">
        <v>1262</v>
      </c>
      <c r="C142" s="1088">
        <v>502</v>
      </c>
      <c r="D142" s="1088">
        <v>620</v>
      </c>
      <c r="E142" s="1088">
        <v>0</v>
      </c>
      <c r="F142" s="1088">
        <v>2901</v>
      </c>
      <c r="G142" s="1111" t="s">
        <v>1263</v>
      </c>
      <c r="H142" s="1089">
        <v>0</v>
      </c>
      <c r="I142" s="1089">
        <v>0</v>
      </c>
      <c r="J142" s="1089">
        <v>0</v>
      </c>
      <c r="K142" s="1089">
        <v>0</v>
      </c>
      <c r="L142" s="1093">
        <v>0</v>
      </c>
      <c r="M142" s="1093">
        <v>0</v>
      </c>
      <c r="N142" s="1093">
        <v>0</v>
      </c>
      <c r="O142" s="1093">
        <v>0</v>
      </c>
      <c r="P142" s="1093">
        <v>0</v>
      </c>
      <c r="Q142" s="1093">
        <v>0</v>
      </c>
      <c r="R142" s="1089">
        <v>0</v>
      </c>
      <c r="S142" s="1093">
        <v>0</v>
      </c>
      <c r="T142" s="1093">
        <f t="shared" si="3"/>
        <v>0</v>
      </c>
    </row>
    <row r="143" spans="2:20" ht="12.75" customHeight="1" x14ac:dyDescent="0.2">
      <c r="B143" s="1088" t="s">
        <v>1264</v>
      </c>
      <c r="C143" s="1088">
        <v>502</v>
      </c>
      <c r="D143" s="1088">
        <v>630</v>
      </c>
      <c r="E143" s="1088">
        <v>0</v>
      </c>
      <c r="F143" s="1088">
        <v>2201</v>
      </c>
      <c r="G143" s="1088" t="s">
        <v>1265</v>
      </c>
      <c r="H143" s="1089">
        <v>71.39</v>
      </c>
      <c r="I143" s="1089">
        <v>246.84</v>
      </c>
      <c r="J143" s="1089">
        <v>246.83</v>
      </c>
      <c r="K143" s="1089">
        <v>246.84</v>
      </c>
      <c r="L143" s="1093">
        <v>246.84</v>
      </c>
      <c r="M143" s="1093">
        <v>368.83</v>
      </c>
      <c r="N143" s="1093">
        <v>243.98000000000002</v>
      </c>
      <c r="O143" s="1093">
        <v>243.98000000000002</v>
      </c>
      <c r="P143" s="1093">
        <v>0</v>
      </c>
      <c r="Q143" s="1093">
        <v>0</v>
      </c>
      <c r="R143" s="1089">
        <v>0</v>
      </c>
      <c r="S143" s="1093">
        <v>0</v>
      </c>
      <c r="T143" s="1093">
        <f t="shared" si="3"/>
        <v>1915.53</v>
      </c>
    </row>
    <row r="144" spans="2:20" ht="12.75" customHeight="1" x14ac:dyDescent="0.2">
      <c r="B144" s="1088" t="s">
        <v>1266</v>
      </c>
      <c r="C144" s="1088">
        <v>502</v>
      </c>
      <c r="D144" s="1088">
        <v>630</v>
      </c>
      <c r="E144" s="1088">
        <v>0</v>
      </c>
      <c r="F144" s="1088">
        <v>2211</v>
      </c>
      <c r="G144" s="1088" t="s">
        <v>1267</v>
      </c>
      <c r="H144" s="1089">
        <v>92.66</v>
      </c>
      <c r="I144" s="1089">
        <v>57.72</v>
      </c>
      <c r="J144" s="1089">
        <v>57.72</v>
      </c>
      <c r="K144" s="1089">
        <v>57.72</v>
      </c>
      <c r="L144" s="1093">
        <v>57.72</v>
      </c>
      <c r="M144" s="1093">
        <v>86.25</v>
      </c>
      <c r="N144" s="1093">
        <v>57.06</v>
      </c>
      <c r="O144" s="1093">
        <v>57.06</v>
      </c>
      <c r="P144" s="1093">
        <v>0</v>
      </c>
      <c r="Q144" s="1093">
        <v>0</v>
      </c>
      <c r="R144" s="1089">
        <v>0</v>
      </c>
      <c r="S144" s="1093">
        <v>0</v>
      </c>
      <c r="T144" s="1093">
        <f t="shared" si="3"/>
        <v>523.91</v>
      </c>
    </row>
    <row r="145" spans="2:20" ht="12.75" customHeight="1" x14ac:dyDescent="0.2">
      <c r="B145" s="1088" t="s">
        <v>1268</v>
      </c>
      <c r="C145" s="1088">
        <v>502</v>
      </c>
      <c r="D145" s="1088">
        <v>630</v>
      </c>
      <c r="E145" s="1088">
        <v>0</v>
      </c>
      <c r="F145" s="1088">
        <v>2331</v>
      </c>
      <c r="G145" s="1111" t="s">
        <v>1269</v>
      </c>
      <c r="H145" s="1089">
        <v>-1350.3</v>
      </c>
      <c r="I145" s="1089">
        <v>0</v>
      </c>
      <c r="J145" s="1089">
        <v>0</v>
      </c>
      <c r="K145" s="1089">
        <v>0</v>
      </c>
      <c r="L145" s="1093">
        <v>0</v>
      </c>
      <c r="M145" s="1093">
        <v>0</v>
      </c>
      <c r="N145" s="1093">
        <v>0</v>
      </c>
      <c r="O145" s="1093">
        <v>0</v>
      </c>
      <c r="P145" s="1093">
        <v>0</v>
      </c>
      <c r="Q145" s="1093">
        <v>0</v>
      </c>
      <c r="R145" s="1089">
        <v>0</v>
      </c>
      <c r="S145" s="1093">
        <v>0</v>
      </c>
      <c r="T145" s="1093">
        <f t="shared" si="3"/>
        <v>-1350.3</v>
      </c>
    </row>
    <row r="146" spans="2:20" ht="12.75" customHeight="1" x14ac:dyDescent="0.2">
      <c r="B146" s="1088" t="s">
        <v>1270</v>
      </c>
      <c r="C146" s="1088">
        <v>502</v>
      </c>
      <c r="D146" s="1088">
        <v>630</v>
      </c>
      <c r="E146" s="1088">
        <v>0</v>
      </c>
      <c r="F146" s="1088">
        <v>2901</v>
      </c>
      <c r="G146" s="1111" t="s">
        <v>1271</v>
      </c>
      <c r="H146" s="1089">
        <v>150.71</v>
      </c>
      <c r="I146" s="1089">
        <v>196.6</v>
      </c>
      <c r="J146" s="1089">
        <v>212.8</v>
      </c>
      <c r="K146" s="1089">
        <v>206.72</v>
      </c>
      <c r="L146" s="1093">
        <v>203.79</v>
      </c>
      <c r="M146" s="1093">
        <v>322.06</v>
      </c>
      <c r="N146" s="1093">
        <v>245.61</v>
      </c>
      <c r="O146" s="1093">
        <v>185.71</v>
      </c>
      <c r="P146" s="1093">
        <v>0</v>
      </c>
      <c r="Q146" s="1093">
        <v>0</v>
      </c>
      <c r="R146" s="1089">
        <v>0</v>
      </c>
      <c r="S146" s="1093">
        <v>0</v>
      </c>
      <c r="T146" s="1093">
        <f t="shared" si="3"/>
        <v>1724</v>
      </c>
    </row>
    <row r="147" spans="2:20" ht="12.75" customHeight="1" x14ac:dyDescent="0.2">
      <c r="B147" s="1088" t="s">
        <v>1272</v>
      </c>
      <c r="C147" s="1088">
        <v>502</v>
      </c>
      <c r="D147" s="1088">
        <v>730</v>
      </c>
      <c r="E147" s="1088">
        <v>0</v>
      </c>
      <c r="F147" s="1088">
        <v>2201</v>
      </c>
      <c r="G147" s="1088" t="s">
        <v>1273</v>
      </c>
      <c r="H147" s="1089">
        <v>2488.6999999999998</v>
      </c>
      <c r="I147" s="1089">
        <v>1341.95</v>
      </c>
      <c r="J147" s="1089">
        <v>1305.94</v>
      </c>
      <c r="K147" s="1089">
        <v>1198.6500000000001</v>
      </c>
      <c r="L147" s="1093">
        <v>1239.0999999999999</v>
      </c>
      <c r="M147" s="1093">
        <v>1796.13</v>
      </c>
      <c r="N147" s="1093">
        <v>1319.8600000000001</v>
      </c>
      <c r="O147" s="1093">
        <v>1190.73</v>
      </c>
      <c r="P147" s="1093">
        <v>0</v>
      </c>
      <c r="Q147" s="1093">
        <v>0</v>
      </c>
      <c r="R147" s="1089">
        <v>0</v>
      </c>
      <c r="S147" s="1093">
        <v>0</v>
      </c>
      <c r="T147" s="1093">
        <f t="shared" si="3"/>
        <v>11881.060000000001</v>
      </c>
    </row>
    <row r="148" spans="2:20" ht="12.75" customHeight="1" x14ac:dyDescent="0.2">
      <c r="B148" s="1088" t="s">
        <v>1274</v>
      </c>
      <c r="C148" s="1088">
        <v>502</v>
      </c>
      <c r="D148" s="1088">
        <v>730</v>
      </c>
      <c r="E148" s="1088">
        <v>0</v>
      </c>
      <c r="F148" s="1088">
        <v>2211</v>
      </c>
      <c r="G148" s="1088" t="s">
        <v>1275</v>
      </c>
      <c r="H148" s="1089">
        <v>553.03</v>
      </c>
      <c r="I148" s="1089">
        <v>313.83999999999997</v>
      </c>
      <c r="J148" s="1089">
        <v>305.43</v>
      </c>
      <c r="K148" s="1089">
        <v>280.33</v>
      </c>
      <c r="L148" s="1093">
        <v>286.98</v>
      </c>
      <c r="M148" s="1093">
        <v>420.07</v>
      </c>
      <c r="N148" s="1093">
        <v>308.68</v>
      </c>
      <c r="O148" s="1093">
        <v>278.48</v>
      </c>
      <c r="P148" s="1093">
        <v>0</v>
      </c>
      <c r="Q148" s="1093">
        <v>0</v>
      </c>
      <c r="R148" s="1089">
        <v>0</v>
      </c>
      <c r="S148" s="1093">
        <v>0</v>
      </c>
      <c r="T148" s="1093">
        <f t="shared" si="3"/>
        <v>2746.8399999999997</v>
      </c>
    </row>
    <row r="149" spans="2:20" ht="12.75" customHeight="1" x14ac:dyDescent="0.2">
      <c r="B149" s="1088" t="s">
        <v>1276</v>
      </c>
      <c r="C149" s="1088">
        <v>502</v>
      </c>
      <c r="D149" s="1088">
        <v>730</v>
      </c>
      <c r="E149" s="1088">
        <v>0</v>
      </c>
      <c r="F149" s="1088">
        <v>2331</v>
      </c>
      <c r="G149" s="1088" t="s">
        <v>1277</v>
      </c>
      <c r="H149" s="1089">
        <v>8011.22</v>
      </c>
      <c r="I149" s="1089">
        <v>8322.94</v>
      </c>
      <c r="J149" s="1089">
        <v>6971.04</v>
      </c>
      <c r="K149" s="1089">
        <v>6355.83</v>
      </c>
      <c r="L149" s="1093">
        <v>7830.85</v>
      </c>
      <c r="M149" s="1093">
        <v>7714.99</v>
      </c>
      <c r="N149" s="1093">
        <v>8905.1299999999992</v>
      </c>
      <c r="O149" s="1093">
        <v>8807.43</v>
      </c>
      <c r="P149" s="1093">
        <v>0</v>
      </c>
      <c r="Q149" s="1093">
        <v>0</v>
      </c>
      <c r="R149" s="1089">
        <v>0</v>
      </c>
      <c r="S149" s="1093">
        <v>0</v>
      </c>
      <c r="T149" s="1093">
        <f t="shared" si="3"/>
        <v>62919.429999999993</v>
      </c>
    </row>
    <row r="150" spans="2:20" ht="12.75" customHeight="1" x14ac:dyDescent="0.2">
      <c r="B150" s="1088" t="s">
        <v>1278</v>
      </c>
      <c r="C150" s="1088">
        <v>502</v>
      </c>
      <c r="D150" s="1088">
        <v>730</v>
      </c>
      <c r="E150" s="1088">
        <v>0</v>
      </c>
      <c r="F150" s="1088">
        <v>2901</v>
      </c>
      <c r="G150" s="1088" t="s">
        <v>1279</v>
      </c>
      <c r="H150" s="1089">
        <v>6.82</v>
      </c>
      <c r="I150" s="1089">
        <v>201.95000000000002</v>
      </c>
      <c r="J150" s="1089">
        <v>225.84</v>
      </c>
      <c r="K150" s="1089">
        <v>230.82</v>
      </c>
      <c r="L150" s="1093">
        <v>218.58</v>
      </c>
      <c r="M150" s="1093">
        <v>387.2</v>
      </c>
      <c r="N150" s="1093">
        <v>366.18</v>
      </c>
      <c r="O150" s="1093">
        <v>456.42</v>
      </c>
      <c r="P150" s="1093">
        <v>0</v>
      </c>
      <c r="Q150" s="1093">
        <v>0</v>
      </c>
      <c r="R150" s="1089">
        <v>0</v>
      </c>
      <c r="S150" s="1093">
        <v>0</v>
      </c>
      <c r="T150" s="1093">
        <f t="shared" si="3"/>
        <v>2093.81</v>
      </c>
    </row>
    <row r="151" spans="2:20" ht="12.75" customHeight="1" x14ac:dyDescent="0.2">
      <c r="B151" s="1088" t="s">
        <v>1280</v>
      </c>
      <c r="C151" s="1088">
        <v>502</v>
      </c>
      <c r="D151" s="1088">
        <v>750</v>
      </c>
      <c r="E151" s="1088">
        <v>0</v>
      </c>
      <c r="F151" s="1088">
        <v>2201</v>
      </c>
      <c r="G151" s="1088" t="s">
        <v>1281</v>
      </c>
      <c r="H151" s="1089">
        <v>215.22</v>
      </c>
      <c r="I151" s="1089">
        <v>195.88</v>
      </c>
      <c r="J151" s="1089">
        <v>288.88</v>
      </c>
      <c r="K151" s="1089">
        <v>283.67</v>
      </c>
      <c r="L151" s="1093">
        <v>371.46</v>
      </c>
      <c r="M151" s="1093">
        <v>558.62</v>
      </c>
      <c r="N151" s="1093">
        <v>374.32</v>
      </c>
      <c r="O151" s="1093">
        <v>374.32</v>
      </c>
      <c r="P151" s="1093">
        <v>0</v>
      </c>
      <c r="Q151" s="1093">
        <v>0</v>
      </c>
      <c r="R151" s="1089">
        <v>0</v>
      </c>
      <c r="S151" s="1093">
        <v>0</v>
      </c>
      <c r="T151" s="1093">
        <f t="shared" si="3"/>
        <v>2662.3700000000003</v>
      </c>
    </row>
    <row r="152" spans="2:20" ht="12.75" customHeight="1" x14ac:dyDescent="0.2">
      <c r="B152" s="1088" t="s">
        <v>1282</v>
      </c>
      <c r="C152" s="1088">
        <v>502</v>
      </c>
      <c r="D152" s="1088">
        <v>750</v>
      </c>
      <c r="E152" s="1088">
        <v>0</v>
      </c>
      <c r="F152" s="1088">
        <v>2211</v>
      </c>
      <c r="G152" s="1088" t="s">
        <v>1283</v>
      </c>
      <c r="H152" s="1089">
        <v>79.319999999999993</v>
      </c>
      <c r="I152" s="1089">
        <v>45.800000000000004</v>
      </c>
      <c r="J152" s="1089">
        <v>67.55</v>
      </c>
      <c r="K152" s="1089">
        <v>66.34</v>
      </c>
      <c r="L152" s="1093">
        <v>86.88</v>
      </c>
      <c r="M152" s="1093">
        <v>130.65</v>
      </c>
      <c r="N152" s="1093">
        <v>87.54</v>
      </c>
      <c r="O152" s="1093">
        <v>87.54</v>
      </c>
      <c r="P152" s="1093">
        <v>0</v>
      </c>
      <c r="Q152" s="1093">
        <v>0</v>
      </c>
      <c r="R152" s="1089">
        <v>0</v>
      </c>
      <c r="S152" s="1093">
        <v>0</v>
      </c>
      <c r="T152" s="1093">
        <f t="shared" si="3"/>
        <v>651.61999999999989</v>
      </c>
    </row>
    <row r="153" spans="2:20" ht="12.75" customHeight="1" x14ac:dyDescent="0.2">
      <c r="B153" s="1088" t="s">
        <v>1284</v>
      </c>
      <c r="C153" s="1088">
        <v>502</v>
      </c>
      <c r="D153" s="1088">
        <v>750</v>
      </c>
      <c r="E153" s="1088">
        <v>0</v>
      </c>
      <c r="F153" s="1088">
        <v>2331</v>
      </c>
      <c r="G153" s="1088" t="s">
        <v>1285</v>
      </c>
      <c r="H153" s="1089">
        <v>1349.93</v>
      </c>
      <c r="I153" s="1089">
        <v>1401.94</v>
      </c>
      <c r="J153" s="1089">
        <v>1173.98</v>
      </c>
      <c r="K153" s="1089">
        <v>1071.72</v>
      </c>
      <c r="L153" s="1093">
        <v>1319.83</v>
      </c>
      <c r="M153" s="1093">
        <v>1300.29</v>
      </c>
      <c r="N153" s="1093">
        <v>1500.3700000000001</v>
      </c>
      <c r="O153" s="1093">
        <v>1481.26</v>
      </c>
      <c r="P153" s="1093">
        <v>0</v>
      </c>
      <c r="Q153" s="1093">
        <v>0</v>
      </c>
      <c r="R153" s="1089">
        <v>0</v>
      </c>
      <c r="S153" s="1093">
        <v>0</v>
      </c>
      <c r="T153" s="1093">
        <f t="shared" si="3"/>
        <v>10599.32</v>
      </c>
    </row>
    <row r="154" spans="2:20" ht="12.75" customHeight="1" x14ac:dyDescent="0.2">
      <c r="B154" s="1088" t="s">
        <v>1286</v>
      </c>
      <c r="C154" s="1088">
        <v>502</v>
      </c>
      <c r="D154" s="1088">
        <v>750</v>
      </c>
      <c r="E154" s="1088">
        <v>0</v>
      </c>
      <c r="F154" s="1088">
        <v>2901</v>
      </c>
      <c r="G154" s="1088" t="s">
        <v>1287</v>
      </c>
      <c r="H154" s="1089">
        <v>6.86</v>
      </c>
      <c r="I154" s="1089">
        <v>0</v>
      </c>
      <c r="J154" s="1089">
        <v>0</v>
      </c>
      <c r="K154" s="1089">
        <v>0</v>
      </c>
      <c r="L154" s="1093">
        <v>0</v>
      </c>
      <c r="M154" s="1093">
        <v>26.26</v>
      </c>
      <c r="N154" s="1093">
        <v>52.52</v>
      </c>
      <c r="O154" s="1093">
        <v>186.3</v>
      </c>
      <c r="P154" s="1093">
        <v>0</v>
      </c>
      <c r="Q154" s="1093">
        <v>0</v>
      </c>
      <c r="R154" s="1089">
        <v>0</v>
      </c>
      <c r="S154" s="1093">
        <v>0</v>
      </c>
      <c r="T154" s="1093">
        <f t="shared" si="3"/>
        <v>271.94000000000005</v>
      </c>
    </row>
    <row r="155" spans="2:20" ht="12.75" customHeight="1" x14ac:dyDescent="0.2">
      <c r="B155" s="1088" t="s">
        <v>1288</v>
      </c>
      <c r="C155" s="1088">
        <v>502</v>
      </c>
      <c r="D155" s="1088">
        <v>760</v>
      </c>
      <c r="E155" s="1088">
        <v>41</v>
      </c>
      <c r="F155" s="1088">
        <v>2204</v>
      </c>
      <c r="G155" s="1088" t="s">
        <v>1289</v>
      </c>
      <c r="H155" s="1089">
        <v>-7.22</v>
      </c>
      <c r="I155" s="1089">
        <v>221.16</v>
      </c>
      <c r="J155" s="1089">
        <v>368.68</v>
      </c>
      <c r="K155" s="1089">
        <v>236.73000000000002</v>
      </c>
      <c r="L155" s="1093">
        <v>132.27000000000001</v>
      </c>
      <c r="M155" s="1093">
        <v>136.91</v>
      </c>
      <c r="N155" s="1093">
        <v>160.4</v>
      </c>
      <c r="O155" s="1093">
        <v>210.96</v>
      </c>
      <c r="P155" s="1093">
        <v>0</v>
      </c>
      <c r="Q155" s="1093">
        <v>0</v>
      </c>
      <c r="R155" s="1089">
        <v>0</v>
      </c>
      <c r="S155" s="1093">
        <v>0</v>
      </c>
      <c r="T155" s="1093">
        <f t="shared" si="3"/>
        <v>1459.89</v>
      </c>
    </row>
    <row r="156" spans="2:20" ht="12.75" customHeight="1" x14ac:dyDescent="0.2">
      <c r="B156" s="1088" t="s">
        <v>1290</v>
      </c>
      <c r="C156" s="1088">
        <v>502</v>
      </c>
      <c r="D156" s="1088">
        <v>760</v>
      </c>
      <c r="E156" s="1088">
        <v>41</v>
      </c>
      <c r="F156" s="1088">
        <v>2214</v>
      </c>
      <c r="G156" s="1088" t="s">
        <v>1291</v>
      </c>
      <c r="H156" s="1089">
        <v>-51.2</v>
      </c>
      <c r="I156" s="1089">
        <v>51.72</v>
      </c>
      <c r="J156" s="1089">
        <v>86.23</v>
      </c>
      <c r="K156" s="1089">
        <v>55.36</v>
      </c>
      <c r="L156" s="1093">
        <v>30.94</v>
      </c>
      <c r="M156" s="1093">
        <v>32.01</v>
      </c>
      <c r="N156" s="1093">
        <v>37.520000000000003</v>
      </c>
      <c r="O156" s="1093">
        <v>49.34</v>
      </c>
      <c r="P156" s="1093">
        <v>0</v>
      </c>
      <c r="Q156" s="1093">
        <v>0</v>
      </c>
      <c r="R156" s="1089">
        <v>0</v>
      </c>
      <c r="S156" s="1093">
        <v>0</v>
      </c>
      <c r="T156" s="1093">
        <f t="shared" si="3"/>
        <v>291.92</v>
      </c>
    </row>
    <row r="157" spans="2:20" ht="12.75" customHeight="1" x14ac:dyDescent="0.2">
      <c r="B157" s="1088" t="s">
        <v>1292</v>
      </c>
      <c r="C157" s="1088">
        <v>502</v>
      </c>
      <c r="D157" s="1088">
        <v>760</v>
      </c>
      <c r="E157" s="1088">
        <v>41</v>
      </c>
      <c r="F157" s="1088">
        <v>2334</v>
      </c>
      <c r="G157" s="1088" t="s">
        <v>1293</v>
      </c>
      <c r="H157" s="1089">
        <v>-693.86</v>
      </c>
      <c r="I157" s="1089">
        <v>0</v>
      </c>
      <c r="J157" s="1089">
        <v>0</v>
      </c>
      <c r="K157" s="1089">
        <v>0</v>
      </c>
      <c r="L157" s="1093">
        <v>0</v>
      </c>
      <c r="M157" s="1093">
        <v>0</v>
      </c>
      <c r="N157" s="1093">
        <v>0</v>
      </c>
      <c r="O157" s="1093">
        <v>0</v>
      </c>
      <c r="P157" s="1093">
        <v>0</v>
      </c>
      <c r="Q157" s="1093">
        <v>0</v>
      </c>
      <c r="R157" s="1089">
        <v>0</v>
      </c>
      <c r="S157" s="1093">
        <v>0</v>
      </c>
      <c r="T157" s="1093">
        <f t="shared" si="3"/>
        <v>-693.86</v>
      </c>
    </row>
    <row r="158" spans="2:20" ht="12.75" customHeight="1" x14ac:dyDescent="0.2">
      <c r="B158" s="1088" t="s">
        <v>1294</v>
      </c>
      <c r="C158" s="1088">
        <v>502</v>
      </c>
      <c r="D158" s="1088">
        <v>760</v>
      </c>
      <c r="E158" s="1088">
        <v>41</v>
      </c>
      <c r="F158" s="1088">
        <v>2904</v>
      </c>
      <c r="G158" s="1088" t="s">
        <v>1295</v>
      </c>
      <c r="H158" s="1089">
        <v>-103.68</v>
      </c>
      <c r="I158" s="1089">
        <v>19.260000000000002</v>
      </c>
      <c r="J158" s="1089">
        <v>21.05</v>
      </c>
      <c r="K158" s="1089">
        <v>16.649999999999999</v>
      </c>
      <c r="L158" s="1093">
        <v>15.88</v>
      </c>
      <c r="M158" s="1093">
        <v>13.61</v>
      </c>
      <c r="N158" s="1093">
        <v>22.52</v>
      </c>
      <c r="O158" s="1093">
        <v>29.61</v>
      </c>
      <c r="P158" s="1093">
        <v>0</v>
      </c>
      <c r="Q158" s="1093">
        <v>0</v>
      </c>
      <c r="R158" s="1089">
        <v>0</v>
      </c>
      <c r="S158" s="1093">
        <v>0</v>
      </c>
      <c r="T158" s="1093">
        <f t="shared" si="3"/>
        <v>34.899999999999991</v>
      </c>
    </row>
    <row r="159" spans="2:20" ht="12.75" customHeight="1" x14ac:dyDescent="0.2">
      <c r="B159" s="1088" t="s">
        <v>1296</v>
      </c>
      <c r="C159" s="1088">
        <v>502</v>
      </c>
      <c r="D159" s="1088">
        <v>780</v>
      </c>
      <c r="E159" s="1088">
        <v>0</v>
      </c>
      <c r="F159" s="1088">
        <v>2201</v>
      </c>
      <c r="G159" s="1088" t="s">
        <v>1297</v>
      </c>
      <c r="H159" s="1089">
        <v>387.87</v>
      </c>
      <c r="I159" s="1089">
        <v>324.38</v>
      </c>
      <c r="J159" s="1089">
        <v>686.2</v>
      </c>
      <c r="K159" s="1089">
        <v>495</v>
      </c>
      <c r="L159" s="1093">
        <v>503.19</v>
      </c>
      <c r="M159" s="1093">
        <v>615.47</v>
      </c>
      <c r="N159" s="1093">
        <v>430.44</v>
      </c>
      <c r="O159" s="1093">
        <v>478.72</v>
      </c>
      <c r="P159" s="1093">
        <v>0</v>
      </c>
      <c r="Q159" s="1093">
        <v>0</v>
      </c>
      <c r="R159" s="1089">
        <v>0</v>
      </c>
      <c r="S159" s="1093">
        <v>0</v>
      </c>
      <c r="T159" s="1093">
        <f t="shared" si="3"/>
        <v>3921.2699999999995</v>
      </c>
    </row>
    <row r="160" spans="2:20" ht="12.75" customHeight="1" x14ac:dyDescent="0.2">
      <c r="B160" s="1088" t="s">
        <v>1298</v>
      </c>
      <c r="C160" s="1088">
        <v>502</v>
      </c>
      <c r="D160" s="1088">
        <v>780</v>
      </c>
      <c r="E160" s="1088">
        <v>0</v>
      </c>
      <c r="F160" s="1088">
        <v>2211</v>
      </c>
      <c r="G160" s="1088" t="s">
        <v>1299</v>
      </c>
      <c r="H160" s="1089">
        <v>47.21</v>
      </c>
      <c r="I160" s="1089">
        <v>75.87</v>
      </c>
      <c r="J160" s="1089">
        <v>160.49</v>
      </c>
      <c r="K160" s="1089">
        <v>115.76</v>
      </c>
      <c r="L160" s="1093">
        <v>117.68</v>
      </c>
      <c r="M160" s="1093">
        <v>143.94999999999999</v>
      </c>
      <c r="N160" s="1093">
        <v>100.67</v>
      </c>
      <c r="O160" s="1093">
        <v>111.95</v>
      </c>
      <c r="P160" s="1093">
        <v>0</v>
      </c>
      <c r="Q160" s="1093">
        <v>0</v>
      </c>
      <c r="R160" s="1089">
        <v>0</v>
      </c>
      <c r="S160" s="1093">
        <v>0</v>
      </c>
      <c r="T160" s="1093">
        <f t="shared" si="3"/>
        <v>873.58</v>
      </c>
    </row>
    <row r="161" spans="2:20" ht="12.75" customHeight="1" x14ac:dyDescent="0.2">
      <c r="B161" s="1088" t="s">
        <v>1300</v>
      </c>
      <c r="C161" s="1088">
        <v>502</v>
      </c>
      <c r="D161" s="1088">
        <v>780</v>
      </c>
      <c r="E161" s="1088">
        <v>0</v>
      </c>
      <c r="F161" s="1088">
        <v>2331</v>
      </c>
      <c r="G161" s="1088" t="s">
        <v>1301</v>
      </c>
      <c r="H161" s="1089">
        <v>2788.2000000000003</v>
      </c>
      <c r="I161" s="1089">
        <v>2892.62</v>
      </c>
      <c r="J161" s="1089">
        <v>2420.7600000000002</v>
      </c>
      <c r="K161" s="1089">
        <v>2217.9</v>
      </c>
      <c r="L161" s="1093">
        <v>2727.8</v>
      </c>
      <c r="M161" s="1093">
        <v>2687.37</v>
      </c>
      <c r="N161" s="1093">
        <v>3097.76</v>
      </c>
      <c r="O161" s="1093">
        <v>3042.58</v>
      </c>
      <c r="P161" s="1093">
        <v>0</v>
      </c>
      <c r="Q161" s="1093">
        <v>0</v>
      </c>
      <c r="R161" s="1089">
        <v>0</v>
      </c>
      <c r="S161" s="1093">
        <v>0</v>
      </c>
      <c r="T161" s="1093">
        <f t="shared" si="3"/>
        <v>21874.989999999998</v>
      </c>
    </row>
    <row r="162" spans="2:20" ht="12.75" customHeight="1" x14ac:dyDescent="0.2">
      <c r="B162" s="1088" t="s">
        <v>1302</v>
      </c>
      <c r="C162" s="1088">
        <v>502</v>
      </c>
      <c r="D162" s="1088">
        <v>780</v>
      </c>
      <c r="E162" s="1088">
        <v>0</v>
      </c>
      <c r="F162" s="1088">
        <v>2901</v>
      </c>
      <c r="G162" s="1088" t="s">
        <v>1303</v>
      </c>
      <c r="H162" s="1089">
        <v>-56.9</v>
      </c>
      <c r="I162" s="1089">
        <v>0</v>
      </c>
      <c r="J162" s="1089">
        <v>11.75</v>
      </c>
      <c r="K162" s="1089">
        <v>12.73</v>
      </c>
      <c r="L162" s="1093">
        <v>12.43</v>
      </c>
      <c r="M162" s="1093">
        <v>30.25</v>
      </c>
      <c r="N162" s="1093">
        <v>60.4</v>
      </c>
      <c r="O162" s="1093">
        <v>210.46</v>
      </c>
      <c r="P162" s="1093">
        <v>0</v>
      </c>
      <c r="Q162" s="1093">
        <v>0</v>
      </c>
      <c r="R162" s="1089">
        <v>0</v>
      </c>
      <c r="S162" s="1093">
        <v>0</v>
      </c>
      <c r="T162" s="1093">
        <f t="shared" si="3"/>
        <v>281.12</v>
      </c>
    </row>
    <row r="163" spans="2:20" ht="12.75" customHeight="1" x14ac:dyDescent="0.2">
      <c r="B163" s="1088" t="s">
        <v>1304</v>
      </c>
      <c r="C163" s="1088">
        <v>502</v>
      </c>
      <c r="D163" s="1088">
        <v>790</v>
      </c>
      <c r="E163" s="1088">
        <v>0</v>
      </c>
      <c r="F163" s="1088">
        <v>2201</v>
      </c>
      <c r="G163" s="1088" t="s">
        <v>1305</v>
      </c>
      <c r="H163" s="1089">
        <v>0</v>
      </c>
      <c r="I163" s="1089">
        <v>0</v>
      </c>
      <c r="J163" s="1089">
        <v>0</v>
      </c>
      <c r="K163" s="1089">
        <v>0</v>
      </c>
      <c r="L163" s="1093">
        <v>0</v>
      </c>
      <c r="M163" s="1093">
        <v>0</v>
      </c>
      <c r="N163" s="1093">
        <v>0</v>
      </c>
      <c r="O163" s="1093">
        <v>0</v>
      </c>
      <c r="P163" s="1093">
        <v>0</v>
      </c>
      <c r="Q163" s="1093">
        <v>0</v>
      </c>
      <c r="R163" s="1089">
        <v>0</v>
      </c>
      <c r="S163" s="1093">
        <v>0</v>
      </c>
      <c r="T163" s="1093">
        <f t="shared" si="3"/>
        <v>0</v>
      </c>
    </row>
    <row r="164" spans="2:20" ht="12.75" customHeight="1" x14ac:dyDescent="0.2">
      <c r="B164" s="1088" t="s">
        <v>1306</v>
      </c>
      <c r="C164" s="1088">
        <v>502</v>
      </c>
      <c r="D164" s="1088">
        <v>790</v>
      </c>
      <c r="E164" s="1088">
        <v>0</v>
      </c>
      <c r="F164" s="1088">
        <v>2211</v>
      </c>
      <c r="G164" s="1088" t="s">
        <v>1307</v>
      </c>
      <c r="H164" s="1089">
        <v>43.5</v>
      </c>
      <c r="I164" s="1089">
        <v>0</v>
      </c>
      <c r="J164" s="1089">
        <v>0</v>
      </c>
      <c r="K164" s="1089">
        <v>0</v>
      </c>
      <c r="L164" s="1093">
        <v>0</v>
      </c>
      <c r="M164" s="1093">
        <v>0</v>
      </c>
      <c r="N164" s="1093">
        <v>0</v>
      </c>
      <c r="O164" s="1093">
        <v>0</v>
      </c>
      <c r="P164" s="1093">
        <v>0</v>
      </c>
      <c r="Q164" s="1093">
        <v>0</v>
      </c>
      <c r="R164" s="1089">
        <v>0</v>
      </c>
      <c r="S164" s="1093">
        <v>0</v>
      </c>
      <c r="T164" s="1093">
        <f t="shared" si="3"/>
        <v>43.5</v>
      </c>
    </row>
    <row r="165" spans="2:20" ht="12.75" customHeight="1" x14ac:dyDescent="0.2">
      <c r="B165" s="1088" t="s">
        <v>1308</v>
      </c>
      <c r="C165" s="1088">
        <v>502</v>
      </c>
      <c r="D165" s="1088">
        <v>790</v>
      </c>
      <c r="E165" s="1088">
        <v>0</v>
      </c>
      <c r="F165" s="1088">
        <v>2331</v>
      </c>
      <c r="G165" s="1088" t="s">
        <v>1309</v>
      </c>
      <c r="H165" s="1089">
        <v>0</v>
      </c>
      <c r="I165" s="1089">
        <v>0</v>
      </c>
      <c r="J165" s="1089">
        <v>0</v>
      </c>
      <c r="K165" s="1089">
        <v>0</v>
      </c>
      <c r="L165" s="1093">
        <v>0</v>
      </c>
      <c r="M165" s="1093">
        <v>0</v>
      </c>
      <c r="N165" s="1093">
        <v>0</v>
      </c>
      <c r="O165" s="1093">
        <v>0</v>
      </c>
      <c r="P165" s="1093">
        <v>0</v>
      </c>
      <c r="Q165" s="1093">
        <v>0</v>
      </c>
      <c r="R165" s="1089">
        <v>0</v>
      </c>
      <c r="S165" s="1093">
        <v>0</v>
      </c>
      <c r="T165" s="1093">
        <f t="shared" si="3"/>
        <v>0</v>
      </c>
    </row>
    <row r="166" spans="2:20" ht="12.75" customHeight="1" x14ac:dyDescent="0.2">
      <c r="B166" s="1088" t="s">
        <v>1310</v>
      </c>
      <c r="C166" s="1088">
        <v>502</v>
      </c>
      <c r="D166" s="1088">
        <v>790</v>
      </c>
      <c r="E166" s="1088">
        <v>0</v>
      </c>
      <c r="F166" s="1088">
        <v>2901</v>
      </c>
      <c r="G166" s="1088" t="s">
        <v>1311</v>
      </c>
      <c r="H166" s="1089">
        <v>0</v>
      </c>
      <c r="I166" s="1089">
        <v>0</v>
      </c>
      <c r="J166" s="1089">
        <v>0</v>
      </c>
      <c r="K166" s="1089">
        <v>0</v>
      </c>
      <c r="L166" s="1093">
        <v>0</v>
      </c>
      <c r="M166" s="1093">
        <v>0</v>
      </c>
      <c r="N166" s="1093">
        <v>0</v>
      </c>
      <c r="O166" s="1093">
        <v>0</v>
      </c>
      <c r="P166" s="1093">
        <v>0</v>
      </c>
      <c r="Q166" s="1093">
        <v>0</v>
      </c>
      <c r="R166" s="1089">
        <v>0</v>
      </c>
      <c r="S166" s="1093">
        <v>0</v>
      </c>
      <c r="T166" s="1093">
        <f t="shared" si="3"/>
        <v>0</v>
      </c>
    </row>
    <row r="167" spans="2:20" ht="12.75" customHeight="1" x14ac:dyDescent="0.2">
      <c r="B167" s="1088" t="s">
        <v>1312</v>
      </c>
      <c r="C167" s="1088">
        <v>502</v>
      </c>
      <c r="D167" s="1088">
        <v>810</v>
      </c>
      <c r="E167" s="1088">
        <v>0</v>
      </c>
      <c r="F167" s="1088">
        <v>2201</v>
      </c>
      <c r="G167" s="1088" t="s">
        <v>1313</v>
      </c>
      <c r="H167" s="1089">
        <v>87.89</v>
      </c>
      <c r="I167" s="1089">
        <v>155.68</v>
      </c>
      <c r="J167" s="1089">
        <v>146.06</v>
      </c>
      <c r="K167" s="1089">
        <v>133.63999999999999</v>
      </c>
      <c r="L167" s="1093">
        <v>155.02000000000001</v>
      </c>
      <c r="M167" s="1093">
        <v>161.24</v>
      </c>
      <c r="N167" s="1093">
        <v>146.05000000000001</v>
      </c>
      <c r="O167" s="1093">
        <v>158.18</v>
      </c>
      <c r="P167" s="1093">
        <v>0</v>
      </c>
      <c r="Q167" s="1093">
        <v>0</v>
      </c>
      <c r="R167" s="1089">
        <v>0</v>
      </c>
      <c r="S167" s="1093">
        <v>0</v>
      </c>
      <c r="T167" s="1093">
        <f t="shared" si="3"/>
        <v>1143.76</v>
      </c>
    </row>
    <row r="168" spans="2:20" ht="12.75" customHeight="1" x14ac:dyDescent="0.2">
      <c r="B168" s="1088" t="s">
        <v>1314</v>
      </c>
      <c r="C168" s="1088">
        <v>502</v>
      </c>
      <c r="D168" s="1088">
        <v>810</v>
      </c>
      <c r="E168" s="1088">
        <v>0</v>
      </c>
      <c r="F168" s="1088">
        <v>2211</v>
      </c>
      <c r="G168" s="1088" t="s">
        <v>1315</v>
      </c>
      <c r="H168" s="1089">
        <v>20.56</v>
      </c>
      <c r="I168" s="1089">
        <v>36.409999999999997</v>
      </c>
      <c r="J168" s="1089">
        <v>34.15</v>
      </c>
      <c r="K168" s="1089">
        <v>31.26</v>
      </c>
      <c r="L168" s="1093">
        <v>36.26</v>
      </c>
      <c r="M168" s="1093">
        <v>37.71</v>
      </c>
      <c r="N168" s="1093">
        <v>34.15</v>
      </c>
      <c r="O168" s="1093">
        <v>36.99</v>
      </c>
      <c r="P168" s="1093">
        <v>0</v>
      </c>
      <c r="Q168" s="1093">
        <v>0</v>
      </c>
      <c r="R168" s="1089">
        <v>0</v>
      </c>
      <c r="S168" s="1093">
        <v>0</v>
      </c>
      <c r="T168" s="1093">
        <f t="shared" si="3"/>
        <v>267.49</v>
      </c>
    </row>
    <row r="169" spans="2:20" ht="12.75" customHeight="1" x14ac:dyDescent="0.2">
      <c r="B169" s="1088" t="s">
        <v>1316</v>
      </c>
      <c r="C169" s="1088">
        <v>502</v>
      </c>
      <c r="D169" s="1088">
        <v>810</v>
      </c>
      <c r="E169" s="1088">
        <v>0</v>
      </c>
      <c r="F169" s="1088">
        <v>2331</v>
      </c>
      <c r="G169" s="1088" t="s">
        <v>1317</v>
      </c>
      <c r="H169" s="1089">
        <v>0</v>
      </c>
      <c r="I169" s="1089">
        <v>0</v>
      </c>
      <c r="J169" s="1089">
        <v>0</v>
      </c>
      <c r="K169" s="1089">
        <v>0</v>
      </c>
      <c r="L169" s="1093">
        <v>0</v>
      </c>
      <c r="M169" s="1093">
        <v>0</v>
      </c>
      <c r="N169" s="1093">
        <v>0</v>
      </c>
      <c r="O169" s="1093">
        <v>0</v>
      </c>
      <c r="P169" s="1093">
        <v>0</v>
      </c>
      <c r="Q169" s="1093">
        <v>0</v>
      </c>
      <c r="R169" s="1089">
        <v>0</v>
      </c>
      <c r="S169" s="1093">
        <v>0</v>
      </c>
      <c r="T169" s="1093">
        <f t="shared" si="3"/>
        <v>0</v>
      </c>
    </row>
    <row r="170" spans="2:20" ht="12.75" customHeight="1" x14ac:dyDescent="0.2">
      <c r="B170" s="1088" t="s">
        <v>1318</v>
      </c>
      <c r="C170" s="1088">
        <v>502</v>
      </c>
      <c r="D170" s="1088">
        <v>810</v>
      </c>
      <c r="E170" s="1088">
        <v>0</v>
      </c>
      <c r="F170" s="1088">
        <v>2901</v>
      </c>
      <c r="G170" s="1111" t="s">
        <v>1319</v>
      </c>
      <c r="H170" s="1089">
        <v>12.34</v>
      </c>
      <c r="I170" s="1089">
        <v>21.85</v>
      </c>
      <c r="J170" s="1089">
        <v>20.490000000000002</v>
      </c>
      <c r="K170" s="1089">
        <v>6.22</v>
      </c>
      <c r="L170" s="1093">
        <v>0</v>
      </c>
      <c r="M170" s="1093">
        <v>3.16</v>
      </c>
      <c r="N170" s="1093">
        <v>20.48</v>
      </c>
      <c r="O170" s="1093">
        <v>93.84</v>
      </c>
      <c r="P170" s="1093">
        <v>0</v>
      </c>
      <c r="Q170" s="1093">
        <v>0</v>
      </c>
      <c r="R170" s="1089">
        <v>0</v>
      </c>
      <c r="S170" s="1093">
        <v>0</v>
      </c>
      <c r="T170" s="1093">
        <f t="shared" si="3"/>
        <v>178.38</v>
      </c>
    </row>
    <row r="171" spans="2:20" ht="12.75" customHeight="1" x14ac:dyDescent="0.2">
      <c r="B171" s="1088" t="s">
        <v>1320</v>
      </c>
      <c r="C171" s="1088">
        <v>502</v>
      </c>
      <c r="D171" s="1088">
        <v>911</v>
      </c>
      <c r="E171" s="1088">
        <v>0</v>
      </c>
      <c r="F171" s="1088">
        <v>2201</v>
      </c>
      <c r="G171" s="1088" t="s">
        <v>1321</v>
      </c>
      <c r="H171" s="1089">
        <v>57.45</v>
      </c>
      <c r="I171" s="1089">
        <v>405.63</v>
      </c>
      <c r="J171" s="1089">
        <v>527.26</v>
      </c>
      <c r="K171" s="1089">
        <v>547.03</v>
      </c>
      <c r="L171" s="1093">
        <v>458.91</v>
      </c>
      <c r="M171" s="1093">
        <v>344.43</v>
      </c>
      <c r="N171" s="1093">
        <v>441.27</v>
      </c>
      <c r="O171" s="1093">
        <v>474.84000000000003</v>
      </c>
      <c r="P171" s="1093">
        <v>0</v>
      </c>
      <c r="Q171" s="1093">
        <v>0</v>
      </c>
      <c r="R171" s="1089">
        <v>0</v>
      </c>
      <c r="S171" s="1093">
        <v>0</v>
      </c>
      <c r="T171" s="1093">
        <f t="shared" si="3"/>
        <v>3256.82</v>
      </c>
    </row>
    <row r="172" spans="2:20" ht="12.75" customHeight="1" x14ac:dyDescent="0.2">
      <c r="B172" s="1088" t="s">
        <v>1322</v>
      </c>
      <c r="C172" s="1088">
        <v>502</v>
      </c>
      <c r="D172" s="1088">
        <v>911</v>
      </c>
      <c r="E172" s="1088">
        <v>0</v>
      </c>
      <c r="F172" s="1088">
        <v>2211</v>
      </c>
      <c r="G172" s="1088" t="s">
        <v>1323</v>
      </c>
      <c r="H172" s="1089">
        <v>13.47</v>
      </c>
      <c r="I172" s="1089">
        <v>94.86</v>
      </c>
      <c r="J172" s="1089">
        <v>123.31</v>
      </c>
      <c r="K172" s="1089">
        <v>127.93</v>
      </c>
      <c r="L172" s="1093">
        <v>107.33</v>
      </c>
      <c r="M172" s="1093">
        <v>80.540000000000006</v>
      </c>
      <c r="N172" s="1093">
        <v>103.2</v>
      </c>
      <c r="O172" s="1093">
        <v>111.05</v>
      </c>
      <c r="P172" s="1093">
        <v>0</v>
      </c>
      <c r="Q172" s="1093">
        <v>0</v>
      </c>
      <c r="R172" s="1089">
        <v>0</v>
      </c>
      <c r="S172" s="1093">
        <v>0</v>
      </c>
      <c r="T172" s="1093">
        <f t="shared" si="3"/>
        <v>761.68999999999994</v>
      </c>
    </row>
    <row r="173" spans="2:20" ht="12.75" customHeight="1" x14ac:dyDescent="0.2">
      <c r="B173" s="1088" t="s">
        <v>1324</v>
      </c>
      <c r="C173" s="1088">
        <v>502</v>
      </c>
      <c r="D173" s="1088">
        <v>911</v>
      </c>
      <c r="E173" s="1088">
        <v>0</v>
      </c>
      <c r="F173" s="1088">
        <v>2331</v>
      </c>
      <c r="G173" s="1088" t="s">
        <v>1325</v>
      </c>
      <c r="H173" s="1089">
        <v>-724.09</v>
      </c>
      <c r="I173" s="1089">
        <v>0</v>
      </c>
      <c r="J173" s="1089">
        <v>0</v>
      </c>
      <c r="K173" s="1089">
        <v>0</v>
      </c>
      <c r="L173" s="1093">
        <v>0</v>
      </c>
      <c r="M173" s="1093">
        <v>0</v>
      </c>
      <c r="N173" s="1093">
        <v>0</v>
      </c>
      <c r="O173" s="1093">
        <v>0</v>
      </c>
      <c r="P173" s="1093">
        <v>0</v>
      </c>
      <c r="Q173" s="1093">
        <v>0</v>
      </c>
      <c r="R173" s="1089">
        <v>0</v>
      </c>
      <c r="S173" s="1093">
        <v>0</v>
      </c>
      <c r="T173" s="1093">
        <f t="shared" si="3"/>
        <v>-724.09</v>
      </c>
    </row>
    <row r="174" spans="2:20" ht="12.75" customHeight="1" x14ac:dyDescent="0.2">
      <c r="B174" s="1088" t="s">
        <v>1326</v>
      </c>
      <c r="C174" s="1088">
        <v>502</v>
      </c>
      <c r="D174" s="1088">
        <v>911</v>
      </c>
      <c r="E174" s="1088">
        <v>0</v>
      </c>
      <c r="F174" s="1088">
        <v>2901</v>
      </c>
      <c r="G174" s="1088" t="s">
        <v>1327</v>
      </c>
      <c r="H174" s="1089">
        <v>-110.03</v>
      </c>
      <c r="I174" s="1089">
        <v>38.78</v>
      </c>
      <c r="J174" s="1089">
        <v>51.660000000000004</v>
      </c>
      <c r="K174" s="1089">
        <v>33.65</v>
      </c>
      <c r="L174" s="1093">
        <v>15.72</v>
      </c>
      <c r="M174" s="1093">
        <v>10.08</v>
      </c>
      <c r="N174" s="1093">
        <v>61.93</v>
      </c>
      <c r="O174" s="1093">
        <v>209.92000000000002</v>
      </c>
      <c r="P174" s="1093">
        <v>0</v>
      </c>
      <c r="Q174" s="1093">
        <v>0</v>
      </c>
      <c r="R174" s="1089">
        <v>0</v>
      </c>
      <c r="S174" s="1093">
        <v>0</v>
      </c>
      <c r="T174" s="1093">
        <f t="shared" si="3"/>
        <v>311.71000000000004</v>
      </c>
    </row>
    <row r="175" spans="2:20" ht="12.75" customHeight="1" x14ac:dyDescent="0.2">
      <c r="B175" s="1088" t="s">
        <v>817</v>
      </c>
      <c r="C175" s="1088">
        <v>504</v>
      </c>
      <c r="D175" s="1088">
        <v>511</v>
      </c>
      <c r="E175" s="1088">
        <v>0</v>
      </c>
      <c r="F175" s="1088">
        <v>3321</v>
      </c>
      <c r="G175" s="1088" t="s">
        <v>443</v>
      </c>
      <c r="H175" s="1089">
        <v>0</v>
      </c>
      <c r="I175" s="1089">
        <v>0</v>
      </c>
      <c r="J175" s="1089">
        <v>0</v>
      </c>
      <c r="K175" s="1089">
        <v>625</v>
      </c>
      <c r="L175" s="1093">
        <v>2670</v>
      </c>
      <c r="M175" s="1093">
        <v>5365.66</v>
      </c>
      <c r="N175" s="1093">
        <v>200</v>
      </c>
      <c r="O175" s="1093">
        <v>2492.9</v>
      </c>
      <c r="P175" s="1093">
        <v>0</v>
      </c>
      <c r="Q175" s="1093">
        <v>0</v>
      </c>
      <c r="R175" s="1089">
        <v>0</v>
      </c>
      <c r="S175" s="1093">
        <v>0</v>
      </c>
      <c r="T175" s="1093">
        <f t="shared" si="3"/>
        <v>11353.56</v>
      </c>
    </row>
    <row r="176" spans="2:20" ht="12.75" customHeight="1" x14ac:dyDescent="0.2">
      <c r="B176" s="1088" t="s">
        <v>818</v>
      </c>
      <c r="C176" s="1088">
        <v>504</v>
      </c>
      <c r="D176" s="1088">
        <v>640</v>
      </c>
      <c r="E176" s="1088">
        <v>0</v>
      </c>
      <c r="F176" s="1088">
        <v>3311</v>
      </c>
      <c r="G176" s="1088" t="s">
        <v>442</v>
      </c>
      <c r="H176" s="1089">
        <v>0</v>
      </c>
      <c r="I176" s="1089">
        <v>0</v>
      </c>
      <c r="J176" s="1089">
        <v>0</v>
      </c>
      <c r="K176" s="1089">
        <v>0</v>
      </c>
      <c r="L176" s="1093">
        <v>0</v>
      </c>
      <c r="M176" s="1093">
        <v>0</v>
      </c>
      <c r="N176" s="1093">
        <v>0</v>
      </c>
      <c r="O176" s="1093">
        <v>0</v>
      </c>
      <c r="P176" s="1093">
        <v>0</v>
      </c>
      <c r="Q176" s="1093">
        <v>0</v>
      </c>
      <c r="R176" s="1089">
        <v>0</v>
      </c>
      <c r="S176" s="1093">
        <v>0</v>
      </c>
      <c r="T176" s="1093">
        <f t="shared" si="3"/>
        <v>0</v>
      </c>
    </row>
    <row r="177" spans="2:20" ht="12.75" customHeight="1" x14ac:dyDescent="0.2">
      <c r="B177" s="1088" t="s">
        <v>819</v>
      </c>
      <c r="C177" s="1088">
        <v>504</v>
      </c>
      <c r="D177" s="1088">
        <v>730</v>
      </c>
      <c r="E177" s="1088">
        <v>0</v>
      </c>
      <c r="F177" s="1088">
        <v>3311</v>
      </c>
      <c r="G177" s="1088" t="s">
        <v>444</v>
      </c>
      <c r="H177" s="1089">
        <v>1670.22</v>
      </c>
      <c r="I177" s="1089">
        <v>0</v>
      </c>
      <c r="J177" s="1089">
        <v>638.04</v>
      </c>
      <c r="K177" s="1089">
        <v>0</v>
      </c>
      <c r="L177" s="1093">
        <v>0</v>
      </c>
      <c r="M177" s="1093">
        <v>205.33</v>
      </c>
      <c r="N177" s="1093">
        <v>0</v>
      </c>
      <c r="O177" s="1093">
        <v>180.32</v>
      </c>
      <c r="P177" s="1093">
        <v>0</v>
      </c>
      <c r="Q177" s="1093">
        <v>0</v>
      </c>
      <c r="R177" s="1089">
        <v>0</v>
      </c>
      <c r="S177" s="1093">
        <v>0</v>
      </c>
      <c r="T177" s="1093">
        <f t="shared" si="3"/>
        <v>2693.9100000000003</v>
      </c>
    </row>
    <row r="178" spans="2:20" ht="12.75" customHeight="1" x14ac:dyDescent="0.2">
      <c r="B178" s="1088" t="s">
        <v>820</v>
      </c>
      <c r="C178" s="1088">
        <v>504</v>
      </c>
      <c r="D178" s="1088">
        <v>780</v>
      </c>
      <c r="E178" s="1088">
        <v>0</v>
      </c>
      <c r="F178" s="1088">
        <v>3501</v>
      </c>
      <c r="G178" s="1088" t="s">
        <v>445</v>
      </c>
      <c r="H178" s="1089">
        <v>1699.1200000000001</v>
      </c>
      <c r="I178" s="1089">
        <v>4721.32</v>
      </c>
      <c r="J178" s="1089">
        <v>1540</v>
      </c>
      <c r="K178" s="1089">
        <v>13992.42</v>
      </c>
      <c r="L178" s="1093">
        <v>2386.31</v>
      </c>
      <c r="M178" s="1093">
        <v>1415</v>
      </c>
      <c r="N178" s="1093">
        <v>1892.6200000000001</v>
      </c>
      <c r="O178" s="1093">
        <v>5323.17</v>
      </c>
      <c r="P178" s="1093">
        <v>0</v>
      </c>
      <c r="Q178" s="1093">
        <v>0</v>
      </c>
      <c r="R178" s="1089">
        <v>0</v>
      </c>
      <c r="S178" s="1093">
        <v>0</v>
      </c>
      <c r="T178" s="1093">
        <f t="shared" si="3"/>
        <v>32969.96</v>
      </c>
    </row>
    <row r="179" spans="2:20" ht="12.75" customHeight="1" x14ac:dyDescent="0.2">
      <c r="B179" s="1088" t="s">
        <v>821</v>
      </c>
      <c r="C179" s="1088">
        <v>504</v>
      </c>
      <c r="D179" s="1088">
        <v>780</v>
      </c>
      <c r="E179" s="1088">
        <v>0</v>
      </c>
      <c r="F179" s="1088">
        <v>4501</v>
      </c>
      <c r="G179" s="1088" t="s">
        <v>446</v>
      </c>
      <c r="H179" s="1089">
        <v>0</v>
      </c>
      <c r="I179" s="1089">
        <v>0</v>
      </c>
      <c r="J179" s="1089">
        <v>0</v>
      </c>
      <c r="K179" s="1089">
        <v>0</v>
      </c>
      <c r="L179" s="1093">
        <v>0</v>
      </c>
      <c r="M179" s="1093">
        <v>0</v>
      </c>
      <c r="N179" s="1093">
        <v>0</v>
      </c>
      <c r="O179" s="1093">
        <v>0</v>
      </c>
      <c r="P179" s="1093">
        <v>0</v>
      </c>
      <c r="Q179" s="1093">
        <v>0</v>
      </c>
      <c r="R179" s="1089">
        <v>0</v>
      </c>
      <c r="S179" s="1093">
        <v>0</v>
      </c>
      <c r="T179" s="1093">
        <f t="shared" si="3"/>
        <v>0</v>
      </c>
    </row>
    <row r="180" spans="2:20" ht="12.75" customHeight="1" x14ac:dyDescent="0.2">
      <c r="B180" s="1088" t="s">
        <v>822</v>
      </c>
      <c r="C180" s="1088">
        <v>504</v>
      </c>
      <c r="D180" s="1088">
        <v>780</v>
      </c>
      <c r="E180" s="1088">
        <v>0</v>
      </c>
      <c r="F180" s="1088">
        <v>4601</v>
      </c>
      <c r="G180" s="1088" t="s">
        <v>447</v>
      </c>
      <c r="H180" s="1089">
        <v>14</v>
      </c>
      <c r="I180" s="1089">
        <v>684.26</v>
      </c>
      <c r="J180" s="1089">
        <v>3046.81</v>
      </c>
      <c r="K180" s="1089">
        <v>3213.77</v>
      </c>
      <c r="L180" s="1093">
        <v>2709.31</v>
      </c>
      <c r="M180" s="1093">
        <v>2707.61</v>
      </c>
      <c r="N180" s="1093">
        <v>1529.5900000000001</v>
      </c>
      <c r="O180" s="1093">
        <v>3250.38</v>
      </c>
      <c r="P180" s="1093">
        <v>0</v>
      </c>
      <c r="Q180" s="1093">
        <v>0</v>
      </c>
      <c r="R180" s="1089">
        <v>0</v>
      </c>
      <c r="S180" s="1093">
        <v>0</v>
      </c>
      <c r="T180" s="1093">
        <f t="shared" si="3"/>
        <v>17155.73</v>
      </c>
    </row>
    <row r="181" spans="2:20" ht="12.75" customHeight="1" x14ac:dyDescent="0.2">
      <c r="B181" s="1088" t="s">
        <v>950</v>
      </c>
      <c r="C181" s="1088">
        <v>504</v>
      </c>
      <c r="D181" s="1088">
        <v>780</v>
      </c>
      <c r="E181" s="1088">
        <v>70</v>
      </c>
      <c r="F181" s="1088">
        <v>7301</v>
      </c>
      <c r="G181" s="1088" t="s">
        <v>949</v>
      </c>
      <c r="H181" s="1089">
        <v>0</v>
      </c>
      <c r="I181" s="1089">
        <v>0</v>
      </c>
      <c r="J181" s="1089">
        <v>0</v>
      </c>
      <c r="K181" s="1089">
        <v>0</v>
      </c>
      <c r="L181" s="1093">
        <v>2135.25</v>
      </c>
      <c r="M181" s="1093">
        <v>0</v>
      </c>
      <c r="N181" s="1093">
        <v>0</v>
      </c>
      <c r="O181" s="1093">
        <v>7.75</v>
      </c>
      <c r="P181" s="1093">
        <v>0</v>
      </c>
      <c r="Q181" s="1093">
        <v>0</v>
      </c>
      <c r="R181" s="1089">
        <v>0</v>
      </c>
      <c r="S181" s="1093">
        <v>0</v>
      </c>
      <c r="T181" s="1093">
        <f t="shared" si="3"/>
        <v>2143</v>
      </c>
    </row>
    <row r="182" spans="2:20" ht="12.75" customHeight="1" x14ac:dyDescent="0.2">
      <c r="B182" s="1088" t="s">
        <v>1328</v>
      </c>
      <c r="C182" s="1088">
        <v>505</v>
      </c>
      <c r="D182" s="1088">
        <v>790</v>
      </c>
      <c r="E182" s="1088">
        <v>0</v>
      </c>
      <c r="F182" s="1088">
        <v>4301</v>
      </c>
      <c r="G182" s="1088" t="s">
        <v>402</v>
      </c>
      <c r="H182" s="1089">
        <v>6263.74</v>
      </c>
      <c r="I182" s="1089">
        <v>6601.07</v>
      </c>
      <c r="J182" s="1089">
        <v>10604.54</v>
      </c>
      <c r="K182" s="1089">
        <v>10384.799999999999</v>
      </c>
      <c r="L182" s="1093">
        <v>10245.1</v>
      </c>
      <c r="M182" s="1093">
        <v>10171.530000000001</v>
      </c>
      <c r="N182" s="1093">
        <v>6447.62</v>
      </c>
      <c r="O182" s="1093">
        <v>6921.3600000000006</v>
      </c>
      <c r="P182" s="1093">
        <v>0</v>
      </c>
      <c r="Q182" s="1093">
        <v>0</v>
      </c>
      <c r="R182" s="1089">
        <v>0</v>
      </c>
      <c r="S182" s="1093">
        <v>0</v>
      </c>
      <c r="T182" s="1093">
        <f t="shared" si="3"/>
        <v>67639.759999999995</v>
      </c>
    </row>
    <row r="183" spans="2:20" ht="12.75" customHeight="1" x14ac:dyDescent="0.2">
      <c r="B183" s="1088" t="s">
        <v>1329</v>
      </c>
      <c r="C183" s="1088">
        <v>506</v>
      </c>
      <c r="D183" s="1088">
        <v>790</v>
      </c>
      <c r="E183" s="1088">
        <v>0</v>
      </c>
      <c r="F183" s="1088">
        <v>3701</v>
      </c>
      <c r="G183" s="1088" t="s">
        <v>403</v>
      </c>
      <c r="H183" s="1089">
        <v>994.43000000000006</v>
      </c>
      <c r="I183" s="1089">
        <v>1714.95</v>
      </c>
      <c r="J183" s="1089">
        <v>1294.67</v>
      </c>
      <c r="K183" s="1089">
        <v>1402.76</v>
      </c>
      <c r="L183" s="1093">
        <v>1142.1600000000001</v>
      </c>
      <c r="M183" s="1093">
        <v>1278.1600000000001</v>
      </c>
      <c r="N183" s="1093">
        <v>1408.78</v>
      </c>
      <c r="O183" s="1093">
        <v>1544.66</v>
      </c>
      <c r="P183" s="1093">
        <v>0</v>
      </c>
      <c r="Q183" s="1093">
        <v>0</v>
      </c>
      <c r="R183" s="1089">
        <v>0</v>
      </c>
      <c r="S183" s="1093">
        <v>0</v>
      </c>
      <c r="T183" s="1093">
        <f t="shared" si="3"/>
        <v>10780.57</v>
      </c>
    </row>
    <row r="184" spans="2:20" ht="12.75" customHeight="1" x14ac:dyDescent="0.2">
      <c r="B184" s="1088" t="s">
        <v>1330</v>
      </c>
      <c r="C184" s="1088">
        <v>506</v>
      </c>
      <c r="D184" s="1088">
        <v>790</v>
      </c>
      <c r="E184" s="1088">
        <v>0</v>
      </c>
      <c r="F184" s="1088">
        <v>3721</v>
      </c>
      <c r="G184" s="1088" t="s">
        <v>404</v>
      </c>
      <c r="H184" s="1089">
        <v>0</v>
      </c>
      <c r="I184" s="1089">
        <v>0</v>
      </c>
      <c r="J184" s="1089">
        <v>0</v>
      </c>
      <c r="K184" s="1089">
        <v>0</v>
      </c>
      <c r="L184" s="1093">
        <v>0</v>
      </c>
      <c r="M184" s="1093">
        <v>0</v>
      </c>
      <c r="N184" s="1093">
        <v>0</v>
      </c>
      <c r="O184" s="1093">
        <v>0</v>
      </c>
      <c r="P184" s="1093">
        <v>0</v>
      </c>
      <c r="Q184" s="1093">
        <v>0</v>
      </c>
      <c r="R184" s="1089">
        <v>0</v>
      </c>
      <c r="S184" s="1093">
        <v>0</v>
      </c>
      <c r="T184" s="1093">
        <f t="shared" si="3"/>
        <v>0</v>
      </c>
    </row>
    <row r="185" spans="2:20" ht="12.75" customHeight="1" x14ac:dyDescent="0.2">
      <c r="B185" s="1088" t="s">
        <v>1331</v>
      </c>
      <c r="C185" s="1088">
        <v>506</v>
      </c>
      <c r="D185" s="1088">
        <v>790</v>
      </c>
      <c r="E185" s="1088">
        <v>0</v>
      </c>
      <c r="F185" s="1088">
        <v>3811</v>
      </c>
      <c r="G185" s="1088" t="s">
        <v>405</v>
      </c>
      <c r="H185" s="1089">
        <v>357.98</v>
      </c>
      <c r="I185" s="1089">
        <v>271.04000000000002</v>
      </c>
      <c r="J185" s="1089">
        <v>463.76</v>
      </c>
      <c r="K185" s="1089">
        <v>772.65</v>
      </c>
      <c r="L185" s="1093">
        <v>775.42000000000007</v>
      </c>
      <c r="M185" s="1093">
        <v>803.77</v>
      </c>
      <c r="N185" s="1093">
        <v>595.87</v>
      </c>
      <c r="O185" s="1093">
        <v>466.41</v>
      </c>
      <c r="P185" s="1093">
        <v>0</v>
      </c>
      <c r="Q185" s="1093">
        <v>0</v>
      </c>
      <c r="R185" s="1089">
        <v>0</v>
      </c>
      <c r="S185" s="1093">
        <v>0</v>
      </c>
      <c r="T185" s="1093">
        <f t="shared" ref="T185:T248" si="4">SUM(H185:S185)</f>
        <v>4506.8999999999996</v>
      </c>
    </row>
    <row r="186" spans="2:20" ht="12.75" customHeight="1" x14ac:dyDescent="0.2">
      <c r="B186" s="1088" t="s">
        <v>861</v>
      </c>
      <c r="C186" s="1088">
        <v>506</v>
      </c>
      <c r="D186" s="1088">
        <v>790</v>
      </c>
      <c r="E186" s="1088">
        <v>0</v>
      </c>
      <c r="F186" s="1088">
        <v>3831</v>
      </c>
      <c r="G186" s="1088" t="s">
        <v>406</v>
      </c>
      <c r="H186" s="1089">
        <v>374</v>
      </c>
      <c r="I186" s="1089">
        <v>374</v>
      </c>
      <c r="J186" s="1089">
        <v>374</v>
      </c>
      <c r="K186" s="1089">
        <v>374</v>
      </c>
      <c r="L186" s="1093">
        <v>374</v>
      </c>
      <c r="M186" s="1093">
        <v>410.6</v>
      </c>
      <c r="N186" s="1093">
        <v>410.6</v>
      </c>
      <c r="O186" s="1093">
        <v>410.6</v>
      </c>
      <c r="P186" s="1093">
        <v>0</v>
      </c>
      <c r="Q186" s="1093">
        <v>0</v>
      </c>
      <c r="R186" s="1089">
        <v>0</v>
      </c>
      <c r="S186" s="1093">
        <v>0</v>
      </c>
      <c r="T186" s="1093">
        <f t="shared" si="4"/>
        <v>3101.7999999999997</v>
      </c>
    </row>
    <row r="187" spans="2:20" ht="12.75" customHeight="1" x14ac:dyDescent="0.2">
      <c r="B187" s="1088" t="s">
        <v>1332</v>
      </c>
      <c r="C187" s="1088">
        <v>509</v>
      </c>
      <c r="D187" s="1088">
        <v>790</v>
      </c>
      <c r="E187" s="1088">
        <v>0</v>
      </c>
      <c r="F187" s="1088">
        <v>3601</v>
      </c>
      <c r="G187" s="1088" t="s">
        <v>1333</v>
      </c>
      <c r="H187" s="1089">
        <v>0</v>
      </c>
      <c r="I187" s="1089">
        <v>0</v>
      </c>
      <c r="J187" s="1089">
        <v>0</v>
      </c>
      <c r="K187" s="1089">
        <v>0</v>
      </c>
      <c r="L187" s="1093">
        <v>0</v>
      </c>
      <c r="M187" s="1093">
        <v>0</v>
      </c>
      <c r="N187" s="1093">
        <v>0</v>
      </c>
      <c r="O187" s="1093">
        <v>0</v>
      </c>
      <c r="P187" s="1093">
        <v>0</v>
      </c>
      <c r="Q187" s="1093">
        <v>0</v>
      </c>
      <c r="R187" s="1089">
        <v>0</v>
      </c>
      <c r="S187" s="1093">
        <v>0</v>
      </c>
      <c r="T187" s="1093">
        <f t="shared" si="4"/>
        <v>0</v>
      </c>
    </row>
    <row r="188" spans="2:20" ht="12.75" customHeight="1" x14ac:dyDescent="0.2">
      <c r="B188" s="1088" t="s">
        <v>959</v>
      </c>
      <c r="C188" s="1088">
        <v>509</v>
      </c>
      <c r="D188" s="1088">
        <v>790</v>
      </c>
      <c r="E188" s="1088">
        <v>74</v>
      </c>
      <c r="F188" s="1088">
        <v>3601</v>
      </c>
      <c r="G188" s="1088" t="s">
        <v>960</v>
      </c>
      <c r="H188" s="1089">
        <v>727</v>
      </c>
      <c r="I188" s="1089">
        <v>727</v>
      </c>
      <c r="J188" s="1089">
        <v>716</v>
      </c>
      <c r="K188" s="1089">
        <v>514</v>
      </c>
      <c r="L188" s="1093">
        <v>984</v>
      </c>
      <c r="M188" s="1093">
        <v>981</v>
      </c>
      <c r="N188" s="1093">
        <v>899</v>
      </c>
      <c r="O188" s="1093">
        <v>1075.2</v>
      </c>
      <c r="P188" s="1093">
        <v>0</v>
      </c>
      <c r="Q188" s="1093">
        <v>0</v>
      </c>
      <c r="R188" s="1089">
        <v>0</v>
      </c>
      <c r="S188" s="1093">
        <v>0</v>
      </c>
      <c r="T188" s="1093">
        <f t="shared" si="4"/>
        <v>6623.2</v>
      </c>
    </row>
    <row r="189" spans="2:20" ht="12.75" customHeight="1" x14ac:dyDescent="0.2">
      <c r="B189" s="1088" t="s">
        <v>738</v>
      </c>
      <c r="C189" s="1088">
        <v>509</v>
      </c>
      <c r="D189" s="1088">
        <v>790</v>
      </c>
      <c r="E189" s="1088">
        <v>81</v>
      </c>
      <c r="F189" s="1088">
        <v>3603</v>
      </c>
      <c r="G189" s="1088" t="s">
        <v>380</v>
      </c>
      <c r="H189" s="1089">
        <v>0</v>
      </c>
      <c r="I189" s="1089">
        <v>0</v>
      </c>
      <c r="J189" s="1089">
        <v>0</v>
      </c>
      <c r="K189" s="1089">
        <v>0</v>
      </c>
      <c r="L189" s="1093">
        <v>8241.83</v>
      </c>
      <c r="M189" s="1093">
        <v>0</v>
      </c>
      <c r="N189" s="1093">
        <v>0</v>
      </c>
      <c r="O189" s="1093">
        <v>0</v>
      </c>
      <c r="P189" s="1093">
        <v>0</v>
      </c>
      <c r="Q189" s="1093">
        <v>0</v>
      </c>
      <c r="R189" s="1089">
        <v>0</v>
      </c>
      <c r="S189" s="1093">
        <v>0</v>
      </c>
      <c r="T189" s="1093">
        <f t="shared" si="4"/>
        <v>8241.83</v>
      </c>
    </row>
    <row r="190" spans="2:20" ht="12.75" customHeight="1" x14ac:dyDescent="0.2">
      <c r="B190" s="1088" t="s">
        <v>1334</v>
      </c>
      <c r="C190" s="1088">
        <v>510</v>
      </c>
      <c r="D190" s="1088">
        <v>376</v>
      </c>
      <c r="E190" s="1088">
        <v>0</v>
      </c>
      <c r="F190" s="1088">
        <v>3501</v>
      </c>
      <c r="G190" s="1088" t="s">
        <v>407</v>
      </c>
      <c r="H190" s="1089">
        <v>0</v>
      </c>
      <c r="I190" s="1089">
        <v>0</v>
      </c>
      <c r="J190" s="1089">
        <v>0</v>
      </c>
      <c r="K190" s="1089">
        <v>0</v>
      </c>
      <c r="L190" s="1093">
        <v>0</v>
      </c>
      <c r="M190" s="1093">
        <v>0</v>
      </c>
      <c r="N190" s="1093">
        <v>0</v>
      </c>
      <c r="O190" s="1093">
        <v>0</v>
      </c>
      <c r="P190" s="1093">
        <v>0</v>
      </c>
      <c r="Q190" s="1093">
        <v>0</v>
      </c>
      <c r="R190" s="1089">
        <v>0</v>
      </c>
      <c r="S190" s="1093">
        <v>0</v>
      </c>
      <c r="T190" s="1093">
        <f t="shared" si="4"/>
        <v>0</v>
      </c>
    </row>
    <row r="191" spans="2:20" ht="12.75" customHeight="1" x14ac:dyDescent="0.2">
      <c r="B191" s="1088" t="s">
        <v>1335</v>
      </c>
      <c r="C191" s="1088">
        <v>510</v>
      </c>
      <c r="D191" s="1088">
        <v>790</v>
      </c>
      <c r="E191" s="1088">
        <v>0</v>
      </c>
      <c r="F191" s="1088">
        <v>3531</v>
      </c>
      <c r="G191" s="1088" t="s">
        <v>409</v>
      </c>
      <c r="H191" s="1089">
        <v>1150</v>
      </c>
      <c r="I191" s="1089">
        <v>6896.66</v>
      </c>
      <c r="J191" s="1089">
        <v>3533.32</v>
      </c>
      <c r="K191" s="1089">
        <v>1641.66</v>
      </c>
      <c r="L191" s="1093">
        <v>1641.66</v>
      </c>
      <c r="M191" s="1093">
        <v>1641.66</v>
      </c>
      <c r="N191" s="1093">
        <v>1641.66</v>
      </c>
      <c r="O191" s="1093">
        <v>1641.66</v>
      </c>
      <c r="P191" s="1093">
        <v>0</v>
      </c>
      <c r="Q191" s="1093">
        <v>0</v>
      </c>
      <c r="R191" s="1089">
        <v>0</v>
      </c>
      <c r="S191" s="1093">
        <v>0</v>
      </c>
      <c r="T191" s="1093">
        <f t="shared" si="4"/>
        <v>19788.28</v>
      </c>
    </row>
    <row r="192" spans="2:20" ht="12.75" customHeight="1" x14ac:dyDescent="0.2">
      <c r="B192" s="1088" t="s">
        <v>1336</v>
      </c>
      <c r="C192" s="1088">
        <v>510</v>
      </c>
      <c r="D192" s="1088">
        <v>810</v>
      </c>
      <c r="E192" s="1088">
        <v>0</v>
      </c>
      <c r="F192" s="1088">
        <v>3501</v>
      </c>
      <c r="G192" s="1088" t="s">
        <v>410</v>
      </c>
      <c r="H192" s="1089">
        <v>11164.14</v>
      </c>
      <c r="I192" s="1089">
        <v>16198.24</v>
      </c>
      <c r="J192" s="1089">
        <f>25437.88-10012.5-2897</f>
        <v>12528.380000000001</v>
      </c>
      <c r="K192" s="1089">
        <v>10539.87</v>
      </c>
      <c r="L192" s="1093">
        <v>8492.5</v>
      </c>
      <c r="M192" s="1093">
        <v>3823.78</v>
      </c>
      <c r="N192" s="1093">
        <v>18461.41</v>
      </c>
      <c r="O192" s="1093">
        <v>4864.63</v>
      </c>
      <c r="P192" s="1093">
        <v>0</v>
      </c>
      <c r="Q192" s="1093">
        <v>0</v>
      </c>
      <c r="R192" s="1089">
        <v>0</v>
      </c>
      <c r="S192" s="1093">
        <v>0</v>
      </c>
      <c r="T192" s="1093">
        <f t="shared" si="4"/>
        <v>86072.95</v>
      </c>
    </row>
    <row r="193" spans="2:20" ht="12.75" customHeight="1" x14ac:dyDescent="0.2">
      <c r="B193" s="1088" t="s">
        <v>1337</v>
      </c>
      <c r="C193" s="1088">
        <v>510</v>
      </c>
      <c r="D193" s="1088">
        <v>810</v>
      </c>
      <c r="E193" s="1088">
        <v>17</v>
      </c>
      <c r="F193" s="1088">
        <v>3501</v>
      </c>
      <c r="G193" s="1111" t="s">
        <v>854</v>
      </c>
      <c r="H193" s="1089">
        <v>0</v>
      </c>
      <c r="I193" s="1089">
        <v>0</v>
      </c>
      <c r="J193" s="1089">
        <v>0</v>
      </c>
      <c r="K193" s="1089">
        <v>0</v>
      </c>
      <c r="L193" s="1093">
        <v>0</v>
      </c>
      <c r="M193" s="1093">
        <v>0</v>
      </c>
      <c r="N193" s="1093">
        <v>0</v>
      </c>
      <c r="O193" s="1093">
        <v>0</v>
      </c>
      <c r="P193" s="1093">
        <v>0</v>
      </c>
      <c r="Q193" s="1093">
        <v>0</v>
      </c>
      <c r="R193" s="1089">
        <v>0</v>
      </c>
      <c r="S193" s="1093">
        <v>0</v>
      </c>
      <c r="T193" s="1093">
        <f t="shared" si="4"/>
        <v>0</v>
      </c>
    </row>
    <row r="194" spans="2:20" ht="12.75" customHeight="1" x14ac:dyDescent="0.2">
      <c r="B194" s="1088" t="s">
        <v>1338</v>
      </c>
      <c r="C194" s="1088">
        <v>511</v>
      </c>
      <c r="D194" s="1088">
        <v>720</v>
      </c>
      <c r="E194" s="1088">
        <v>0</v>
      </c>
      <c r="F194" s="1088">
        <v>7911</v>
      </c>
      <c r="G194" s="1088" t="s">
        <v>415</v>
      </c>
      <c r="H194" s="1089">
        <v>64341</v>
      </c>
      <c r="I194" s="1089">
        <v>58980</v>
      </c>
      <c r="J194" s="1089">
        <v>64856</v>
      </c>
      <c r="K194" s="1089">
        <v>65056</v>
      </c>
      <c r="L194" s="1093">
        <v>64998</v>
      </c>
      <c r="M194" s="1093">
        <v>64998</v>
      </c>
      <c r="N194" s="1093">
        <v>64998</v>
      </c>
      <c r="O194" s="1093">
        <v>60431</v>
      </c>
      <c r="P194" s="1093">
        <v>0</v>
      </c>
      <c r="Q194" s="1093">
        <v>0</v>
      </c>
      <c r="R194" s="1089">
        <v>0</v>
      </c>
      <c r="S194" s="1093">
        <v>0</v>
      </c>
      <c r="T194" s="1093">
        <f t="shared" si="4"/>
        <v>508658</v>
      </c>
    </row>
    <row r="195" spans="2:20" ht="12.75" customHeight="1" x14ac:dyDescent="0.2">
      <c r="B195" s="1088" t="s">
        <v>789</v>
      </c>
      <c r="C195" s="1088">
        <v>517</v>
      </c>
      <c r="D195" s="1088">
        <v>730</v>
      </c>
      <c r="E195" s="1088">
        <v>0</v>
      </c>
      <c r="F195" s="1088">
        <v>2401</v>
      </c>
      <c r="G195" s="1111" t="s">
        <v>790</v>
      </c>
      <c r="H195" s="1089">
        <v>0</v>
      </c>
      <c r="I195" s="1089">
        <v>0</v>
      </c>
      <c r="J195" s="1089">
        <v>0</v>
      </c>
      <c r="K195" s="1089">
        <f>174500.69-28922-116656.69</f>
        <v>28922</v>
      </c>
      <c r="L195" s="1093">
        <v>0</v>
      </c>
      <c r="M195" s="1093">
        <v>0</v>
      </c>
      <c r="N195" s="1093">
        <v>0</v>
      </c>
      <c r="O195" s="1093">
        <v>0</v>
      </c>
      <c r="P195" s="1093">
        <v>0</v>
      </c>
      <c r="Q195" s="1093">
        <v>0</v>
      </c>
      <c r="R195" s="1089">
        <v>0</v>
      </c>
      <c r="S195" s="1093">
        <v>0</v>
      </c>
      <c r="T195" s="1093">
        <f t="shared" si="4"/>
        <v>28922</v>
      </c>
    </row>
    <row r="196" spans="2:20" ht="12.75" customHeight="1" x14ac:dyDescent="0.2">
      <c r="B196" s="1088" t="s">
        <v>791</v>
      </c>
      <c r="C196" s="1088">
        <v>517</v>
      </c>
      <c r="D196" s="1088">
        <v>790</v>
      </c>
      <c r="E196" s="1088">
        <v>0</v>
      </c>
      <c r="F196" s="1088">
        <v>3211</v>
      </c>
      <c r="G196" s="1088" t="s">
        <v>792</v>
      </c>
      <c r="H196" s="1089">
        <v>9568</v>
      </c>
      <c r="I196" s="1089">
        <v>0</v>
      </c>
      <c r="J196" s="1089">
        <v>0</v>
      </c>
      <c r="K196" s="1089">
        <f>28922+116656.69</f>
        <v>145578.69</v>
      </c>
      <c r="L196" s="1093">
        <v>0</v>
      </c>
      <c r="M196" s="1093">
        <v>0</v>
      </c>
      <c r="N196" s="1093">
        <v>0</v>
      </c>
      <c r="O196" s="1093">
        <v>0</v>
      </c>
      <c r="P196" s="1093">
        <v>0</v>
      </c>
      <c r="Q196" s="1093">
        <v>0</v>
      </c>
      <c r="R196" s="1089">
        <v>0</v>
      </c>
      <c r="S196" s="1093">
        <v>0</v>
      </c>
      <c r="T196" s="1093">
        <f t="shared" si="4"/>
        <v>155146.69</v>
      </c>
    </row>
    <row r="197" spans="2:20" ht="12.75" customHeight="1" x14ac:dyDescent="0.2">
      <c r="B197" s="1088" t="s">
        <v>946</v>
      </c>
      <c r="C197" s="1088">
        <v>517</v>
      </c>
      <c r="D197" s="1088">
        <v>790</v>
      </c>
      <c r="E197" s="1088">
        <v>70</v>
      </c>
      <c r="F197" s="1088">
        <v>3211</v>
      </c>
      <c r="G197" s="1088" t="s">
        <v>947</v>
      </c>
      <c r="H197" s="1089">
        <v>0</v>
      </c>
      <c r="I197" s="1089">
        <v>0</v>
      </c>
      <c r="J197" s="1089">
        <v>0</v>
      </c>
      <c r="K197" s="1089">
        <v>0</v>
      </c>
      <c r="L197" s="1093">
        <v>0</v>
      </c>
      <c r="M197" s="1093">
        <v>0</v>
      </c>
      <c r="N197" s="1093">
        <v>0</v>
      </c>
      <c r="O197" s="1093">
        <v>0</v>
      </c>
      <c r="P197" s="1093">
        <v>0</v>
      </c>
      <c r="Q197" s="1093">
        <v>0</v>
      </c>
      <c r="R197" s="1089">
        <v>0</v>
      </c>
      <c r="S197" s="1093">
        <v>0</v>
      </c>
      <c r="T197" s="1093">
        <f t="shared" si="4"/>
        <v>0</v>
      </c>
    </row>
    <row r="198" spans="2:20" ht="12.75" customHeight="1" x14ac:dyDescent="0.2">
      <c r="B198" s="1088" t="s">
        <v>823</v>
      </c>
      <c r="C198" s="1088">
        <v>518</v>
      </c>
      <c r="D198" s="1088">
        <v>524</v>
      </c>
      <c r="E198" s="1088">
        <v>0</v>
      </c>
      <c r="F198" s="1088">
        <v>3101</v>
      </c>
      <c r="G198" s="1111" t="s">
        <v>448</v>
      </c>
      <c r="H198" s="1089">
        <v>0</v>
      </c>
      <c r="I198" s="1089">
        <v>0</v>
      </c>
      <c r="J198" s="1089">
        <v>0</v>
      </c>
      <c r="K198" s="1089">
        <v>0</v>
      </c>
      <c r="L198" s="1093">
        <v>134</v>
      </c>
      <c r="M198" s="1093">
        <v>0</v>
      </c>
      <c r="N198" s="1093">
        <v>0</v>
      </c>
      <c r="O198" s="1093">
        <v>0</v>
      </c>
      <c r="P198" s="1093">
        <v>0</v>
      </c>
      <c r="Q198" s="1093">
        <v>0</v>
      </c>
      <c r="R198" s="1089">
        <v>0</v>
      </c>
      <c r="S198" s="1093">
        <v>0</v>
      </c>
      <c r="T198" s="1093">
        <f t="shared" si="4"/>
        <v>134</v>
      </c>
    </row>
    <row r="199" spans="2:20" ht="12.75" customHeight="1" x14ac:dyDescent="0.2">
      <c r="B199" s="1088" t="s">
        <v>824</v>
      </c>
      <c r="C199" s="1088">
        <v>518</v>
      </c>
      <c r="D199" s="1088">
        <v>526</v>
      </c>
      <c r="E199" s="1088">
        <v>0</v>
      </c>
      <c r="F199" s="1088">
        <v>3101</v>
      </c>
      <c r="G199" s="1111" t="s">
        <v>449</v>
      </c>
      <c r="H199" s="1089">
        <v>0</v>
      </c>
      <c r="I199" s="1089">
        <v>0</v>
      </c>
      <c r="J199" s="1089">
        <v>2993.76</v>
      </c>
      <c r="K199" s="1089">
        <v>3641.84</v>
      </c>
      <c r="L199" s="1093">
        <v>3810.2400000000002</v>
      </c>
      <c r="M199" s="1093">
        <v>3094.26</v>
      </c>
      <c r="N199" s="1093">
        <v>2576.92</v>
      </c>
      <c r="O199" s="1093">
        <v>3218.46</v>
      </c>
      <c r="P199" s="1093">
        <v>0</v>
      </c>
      <c r="Q199" s="1093">
        <v>0</v>
      </c>
      <c r="R199" s="1089">
        <v>0</v>
      </c>
      <c r="S199" s="1093">
        <v>0</v>
      </c>
      <c r="T199" s="1093">
        <f t="shared" si="4"/>
        <v>19335.48</v>
      </c>
    </row>
    <row r="200" spans="2:20" ht="12.75" customHeight="1" x14ac:dyDescent="0.2">
      <c r="B200" s="1088" t="s">
        <v>825</v>
      </c>
      <c r="C200" s="1088">
        <v>518</v>
      </c>
      <c r="D200" s="1088">
        <v>640</v>
      </c>
      <c r="E200" s="1088">
        <v>0</v>
      </c>
      <c r="F200" s="1088">
        <v>3101</v>
      </c>
      <c r="G200" s="1111" t="s">
        <v>826</v>
      </c>
      <c r="H200" s="1089">
        <v>0</v>
      </c>
      <c r="I200" s="1089">
        <v>0</v>
      </c>
      <c r="J200" s="1089">
        <v>0</v>
      </c>
      <c r="K200" s="1089">
        <v>0</v>
      </c>
      <c r="L200" s="1093">
        <v>0</v>
      </c>
      <c r="M200" s="1093">
        <v>0</v>
      </c>
      <c r="N200" s="1093">
        <v>0</v>
      </c>
      <c r="O200" s="1093">
        <v>0</v>
      </c>
      <c r="P200" s="1093">
        <v>0</v>
      </c>
      <c r="Q200" s="1093">
        <v>0</v>
      </c>
      <c r="R200" s="1089">
        <v>0</v>
      </c>
      <c r="S200" s="1093">
        <v>0</v>
      </c>
      <c r="T200" s="1093">
        <f t="shared" si="4"/>
        <v>0</v>
      </c>
    </row>
    <row r="201" spans="2:20" ht="12.75" customHeight="1" x14ac:dyDescent="0.2">
      <c r="B201" s="1088" t="s">
        <v>827</v>
      </c>
      <c r="C201" s="1088">
        <v>518</v>
      </c>
      <c r="D201" s="1088">
        <v>730</v>
      </c>
      <c r="E201" s="1088">
        <v>0</v>
      </c>
      <c r="F201" s="1088">
        <v>3101</v>
      </c>
      <c r="G201" s="1088" t="s">
        <v>450</v>
      </c>
      <c r="H201" s="1089">
        <v>0</v>
      </c>
      <c r="I201" s="1089">
        <v>0</v>
      </c>
      <c r="J201" s="1089">
        <v>0</v>
      </c>
      <c r="K201" s="1089">
        <v>0</v>
      </c>
      <c r="L201" s="1093">
        <v>0</v>
      </c>
      <c r="M201" s="1093">
        <v>0</v>
      </c>
      <c r="N201" s="1093">
        <v>0</v>
      </c>
      <c r="O201" s="1093">
        <v>0</v>
      </c>
      <c r="P201" s="1093">
        <v>0</v>
      </c>
      <c r="Q201" s="1093">
        <v>0</v>
      </c>
      <c r="R201" s="1089">
        <v>0</v>
      </c>
      <c r="S201" s="1093">
        <v>0</v>
      </c>
      <c r="T201" s="1093">
        <f t="shared" si="4"/>
        <v>0</v>
      </c>
    </row>
    <row r="202" spans="2:20" ht="12.75" customHeight="1" x14ac:dyDescent="0.2">
      <c r="B202" s="1088" t="s">
        <v>828</v>
      </c>
      <c r="C202" s="1088">
        <v>518</v>
      </c>
      <c r="D202" s="1088">
        <v>770</v>
      </c>
      <c r="E202" s="1088">
        <v>0</v>
      </c>
      <c r="F202" s="1088">
        <v>3101</v>
      </c>
      <c r="G202" s="1111" t="s">
        <v>451</v>
      </c>
      <c r="H202" s="1089">
        <v>0</v>
      </c>
      <c r="I202" s="1089">
        <v>0</v>
      </c>
      <c r="J202" s="1089">
        <v>0</v>
      </c>
      <c r="K202" s="1089">
        <v>0</v>
      </c>
      <c r="L202" s="1093">
        <v>0</v>
      </c>
      <c r="M202" s="1093">
        <v>0</v>
      </c>
      <c r="N202" s="1093">
        <v>0</v>
      </c>
      <c r="O202" s="1093">
        <v>0</v>
      </c>
      <c r="P202" s="1093">
        <v>0</v>
      </c>
      <c r="Q202" s="1093">
        <v>0</v>
      </c>
      <c r="R202" s="1089">
        <v>0</v>
      </c>
      <c r="S202" s="1093">
        <v>0</v>
      </c>
      <c r="T202" s="1093">
        <f t="shared" si="4"/>
        <v>0</v>
      </c>
    </row>
    <row r="203" spans="2:20" ht="12.75" customHeight="1" x14ac:dyDescent="0.2">
      <c r="B203" s="1088" t="s">
        <v>829</v>
      </c>
      <c r="C203" s="1088">
        <v>518</v>
      </c>
      <c r="D203" s="1088">
        <v>790</v>
      </c>
      <c r="E203" s="1088">
        <v>0</v>
      </c>
      <c r="F203" s="1088">
        <v>3521</v>
      </c>
      <c r="G203" s="1088" t="s">
        <v>452</v>
      </c>
      <c r="H203" s="1089">
        <v>4862.72</v>
      </c>
      <c r="I203" s="1089">
        <v>23198.83</v>
      </c>
      <c r="J203" s="1089">
        <v>14208.66</v>
      </c>
      <c r="K203" s="1089">
        <v>9451.2999999999993</v>
      </c>
      <c r="L203" s="1093">
        <v>18251.740000000002</v>
      </c>
      <c r="M203" s="1093">
        <v>10355</v>
      </c>
      <c r="N203" s="1093">
        <v>14020.59</v>
      </c>
      <c r="O203" s="1093">
        <v>13612.79</v>
      </c>
      <c r="P203" s="1093">
        <v>0</v>
      </c>
      <c r="Q203" s="1093">
        <v>0</v>
      </c>
      <c r="R203" s="1089">
        <v>0</v>
      </c>
      <c r="S203" s="1093">
        <v>0</v>
      </c>
      <c r="T203" s="1093">
        <f t="shared" si="4"/>
        <v>107961.63</v>
      </c>
    </row>
    <row r="204" spans="2:20" ht="12.75" customHeight="1" x14ac:dyDescent="0.2">
      <c r="B204" s="1088" t="s">
        <v>834</v>
      </c>
      <c r="C204" s="1088">
        <v>518</v>
      </c>
      <c r="D204" s="1088">
        <v>790</v>
      </c>
      <c r="E204" s="1088">
        <v>0</v>
      </c>
      <c r="F204" s="1088">
        <v>3901</v>
      </c>
      <c r="G204" s="1088" t="s">
        <v>453</v>
      </c>
      <c r="H204" s="1089">
        <v>0</v>
      </c>
      <c r="I204" s="1089">
        <v>5631.96</v>
      </c>
      <c r="J204" s="1089">
        <v>5197.8999999999996</v>
      </c>
      <c r="K204" s="1089">
        <v>7467.5</v>
      </c>
      <c r="L204" s="1093">
        <v>9872.09</v>
      </c>
      <c r="M204" s="1093">
        <v>5863.5</v>
      </c>
      <c r="N204" s="1093">
        <v>4414.5</v>
      </c>
      <c r="O204" s="1093">
        <v>6536.45</v>
      </c>
      <c r="P204" s="1093">
        <v>0</v>
      </c>
      <c r="Q204" s="1093">
        <v>0</v>
      </c>
      <c r="R204" s="1089">
        <v>0</v>
      </c>
      <c r="S204" s="1093">
        <v>0</v>
      </c>
      <c r="T204" s="1093">
        <f t="shared" si="4"/>
        <v>44983.899999999994</v>
      </c>
    </row>
    <row r="205" spans="2:20" ht="12.75" customHeight="1" x14ac:dyDescent="0.2">
      <c r="B205" s="1088" t="s">
        <v>830</v>
      </c>
      <c r="C205" s="1088">
        <v>518</v>
      </c>
      <c r="D205" s="1088">
        <v>790</v>
      </c>
      <c r="E205" s="1088">
        <v>0</v>
      </c>
      <c r="F205" s="1088">
        <v>3951</v>
      </c>
      <c r="G205" s="1088" t="s">
        <v>831</v>
      </c>
      <c r="H205" s="1089">
        <v>0</v>
      </c>
      <c r="I205" s="1089">
        <v>650</v>
      </c>
      <c r="J205" s="1089">
        <v>0</v>
      </c>
      <c r="K205" s="1089">
        <v>550</v>
      </c>
      <c r="L205" s="1093">
        <v>650</v>
      </c>
      <c r="M205" s="1093">
        <v>0</v>
      </c>
      <c r="N205" s="1093">
        <v>0</v>
      </c>
      <c r="O205" s="1093">
        <v>1268.25</v>
      </c>
      <c r="P205" s="1093">
        <v>0</v>
      </c>
      <c r="Q205" s="1093">
        <v>0</v>
      </c>
      <c r="R205" s="1089">
        <v>0</v>
      </c>
      <c r="S205" s="1093">
        <v>0</v>
      </c>
      <c r="T205" s="1093">
        <f t="shared" si="4"/>
        <v>3118.25</v>
      </c>
    </row>
    <row r="206" spans="2:20" ht="12.75" customHeight="1" x14ac:dyDescent="0.2">
      <c r="B206" s="1088" t="s">
        <v>832</v>
      </c>
      <c r="C206" s="1088">
        <v>518</v>
      </c>
      <c r="D206" s="1088">
        <v>790</v>
      </c>
      <c r="E206" s="1088">
        <v>17</v>
      </c>
      <c r="F206" s="1088">
        <v>3901</v>
      </c>
      <c r="G206" s="1088" t="s">
        <v>833</v>
      </c>
      <c r="H206" s="1089">
        <v>0</v>
      </c>
      <c r="I206" s="1089">
        <v>0</v>
      </c>
      <c r="J206" s="1089">
        <v>0</v>
      </c>
      <c r="K206" s="1089">
        <v>0</v>
      </c>
      <c r="L206" s="1093">
        <v>0</v>
      </c>
      <c r="M206" s="1093">
        <v>0</v>
      </c>
      <c r="N206" s="1093">
        <v>0</v>
      </c>
      <c r="O206" s="1093">
        <v>0</v>
      </c>
      <c r="P206" s="1093">
        <v>0</v>
      </c>
      <c r="Q206" s="1093">
        <v>0</v>
      </c>
      <c r="R206" s="1089">
        <v>0</v>
      </c>
      <c r="S206" s="1093">
        <v>0</v>
      </c>
      <c r="T206" s="1093">
        <f t="shared" si="4"/>
        <v>0</v>
      </c>
    </row>
    <row r="207" spans="2:20" ht="12.75" customHeight="1" x14ac:dyDescent="0.2">
      <c r="B207" s="1088" t="s">
        <v>1339</v>
      </c>
      <c r="C207" s="1088">
        <v>519</v>
      </c>
      <c r="D207" s="1088">
        <v>730</v>
      </c>
      <c r="E207" s="1088">
        <v>0</v>
      </c>
      <c r="F207" s="1088">
        <v>3901</v>
      </c>
      <c r="G207" s="1088" t="s">
        <v>418</v>
      </c>
      <c r="H207" s="1089">
        <v>0</v>
      </c>
      <c r="I207" s="1089">
        <v>0</v>
      </c>
      <c r="J207" s="1089">
        <v>0</v>
      </c>
      <c r="K207" s="1089">
        <v>0</v>
      </c>
      <c r="L207" s="1093">
        <v>0</v>
      </c>
      <c r="M207" s="1093">
        <v>0</v>
      </c>
      <c r="N207" s="1093">
        <v>0</v>
      </c>
      <c r="O207" s="1093">
        <v>0</v>
      </c>
      <c r="P207" s="1093">
        <v>0</v>
      </c>
      <c r="Q207" s="1093">
        <v>0</v>
      </c>
      <c r="R207" s="1089">
        <v>0</v>
      </c>
      <c r="S207" s="1093">
        <v>0</v>
      </c>
      <c r="T207" s="1093">
        <f t="shared" si="4"/>
        <v>0</v>
      </c>
    </row>
    <row r="208" spans="2:20" ht="12.75" customHeight="1" x14ac:dyDescent="0.2">
      <c r="B208" s="1088" t="s">
        <v>1340</v>
      </c>
      <c r="C208" s="1088">
        <v>519</v>
      </c>
      <c r="D208" s="1088">
        <v>730</v>
      </c>
      <c r="E208" s="1088">
        <v>1</v>
      </c>
      <c r="F208" s="1088">
        <v>3902</v>
      </c>
      <c r="G208" s="1088" t="s">
        <v>419</v>
      </c>
      <c r="H208" s="1089">
        <v>822.78</v>
      </c>
      <c r="I208" s="1089">
        <v>2044.49</v>
      </c>
      <c r="J208" s="1089">
        <v>632.29</v>
      </c>
      <c r="K208" s="1089">
        <v>648.42999999999995</v>
      </c>
      <c r="L208" s="1093">
        <v>375.87</v>
      </c>
      <c r="M208" s="1093">
        <v>307.60000000000002</v>
      </c>
      <c r="N208" s="1093">
        <v>0</v>
      </c>
      <c r="O208" s="1093">
        <v>0</v>
      </c>
      <c r="P208" s="1093">
        <v>0</v>
      </c>
      <c r="Q208" s="1093">
        <v>0</v>
      </c>
      <c r="R208" s="1089">
        <v>0</v>
      </c>
      <c r="S208" s="1093">
        <v>0</v>
      </c>
      <c r="T208" s="1093">
        <f t="shared" si="4"/>
        <v>4831.46</v>
      </c>
    </row>
    <row r="209" spans="2:20" ht="12.75" customHeight="1" x14ac:dyDescent="0.2">
      <c r="B209" s="1088" t="s">
        <v>793</v>
      </c>
      <c r="C209" s="1088">
        <v>521</v>
      </c>
      <c r="D209" s="1088">
        <v>710</v>
      </c>
      <c r="E209" s="1088">
        <v>88</v>
      </c>
      <c r="F209" s="1088">
        <v>3101</v>
      </c>
      <c r="G209" s="1088" t="s">
        <v>794</v>
      </c>
      <c r="H209" s="1089">
        <v>0</v>
      </c>
      <c r="I209" s="1089">
        <v>9500</v>
      </c>
      <c r="J209" s="1089">
        <v>0</v>
      </c>
      <c r="K209" s="1089">
        <v>0</v>
      </c>
      <c r="L209" s="1093">
        <v>0</v>
      </c>
      <c r="M209" s="1093">
        <v>0</v>
      </c>
      <c r="N209" s="1093">
        <v>0</v>
      </c>
      <c r="O209" s="1093">
        <v>0</v>
      </c>
      <c r="P209" s="1093">
        <v>0</v>
      </c>
      <c r="Q209" s="1093">
        <v>0</v>
      </c>
      <c r="R209" s="1089">
        <v>0</v>
      </c>
      <c r="S209" s="1093">
        <v>0</v>
      </c>
      <c r="T209" s="1093">
        <f t="shared" si="4"/>
        <v>9500</v>
      </c>
    </row>
    <row r="210" spans="2:20" ht="12.75" customHeight="1" x14ac:dyDescent="0.2">
      <c r="B210" s="1088" t="s">
        <v>795</v>
      </c>
      <c r="C210" s="1088">
        <v>521</v>
      </c>
      <c r="D210" s="1088">
        <v>710</v>
      </c>
      <c r="E210" s="1088">
        <v>88</v>
      </c>
      <c r="F210" s="1088">
        <v>3121</v>
      </c>
      <c r="G210" s="1088" t="s">
        <v>422</v>
      </c>
      <c r="H210" s="1089">
        <v>0</v>
      </c>
      <c r="I210" s="1089">
        <v>0</v>
      </c>
      <c r="J210" s="1089">
        <v>0</v>
      </c>
      <c r="K210" s="1089">
        <v>50</v>
      </c>
      <c r="L210" s="1093">
        <v>0</v>
      </c>
      <c r="M210" s="1093">
        <v>0</v>
      </c>
      <c r="N210" s="1093">
        <v>0</v>
      </c>
      <c r="O210" s="1093">
        <v>0</v>
      </c>
      <c r="P210" s="1093">
        <v>0</v>
      </c>
      <c r="Q210" s="1093">
        <v>0</v>
      </c>
      <c r="R210" s="1089">
        <v>0</v>
      </c>
      <c r="S210" s="1093">
        <v>0</v>
      </c>
      <c r="T210" s="1093">
        <f t="shared" si="4"/>
        <v>50</v>
      </c>
    </row>
    <row r="211" spans="2:20" ht="12.75" customHeight="1" x14ac:dyDescent="0.2">
      <c r="B211" s="1088" t="s">
        <v>796</v>
      </c>
      <c r="C211" s="1088">
        <v>521</v>
      </c>
      <c r="D211" s="1088">
        <v>730</v>
      </c>
      <c r="E211" s="1088">
        <v>0</v>
      </c>
      <c r="F211" s="1088">
        <v>3121</v>
      </c>
      <c r="G211" s="1088" t="s">
        <v>424</v>
      </c>
      <c r="H211" s="1089">
        <v>0</v>
      </c>
      <c r="I211" s="1089">
        <v>93.75</v>
      </c>
      <c r="J211" s="1089">
        <v>0</v>
      </c>
      <c r="K211" s="1089">
        <v>0</v>
      </c>
      <c r="L211" s="1093">
        <v>0</v>
      </c>
      <c r="M211" s="1093">
        <v>0</v>
      </c>
      <c r="N211" s="1093">
        <v>0</v>
      </c>
      <c r="O211" s="1093">
        <v>0</v>
      </c>
      <c r="P211" s="1093">
        <v>0</v>
      </c>
      <c r="Q211" s="1093">
        <v>0</v>
      </c>
      <c r="R211" s="1089">
        <v>0</v>
      </c>
      <c r="S211" s="1093">
        <v>0</v>
      </c>
      <c r="T211" s="1093">
        <f t="shared" si="4"/>
        <v>93.75</v>
      </c>
    </row>
    <row r="212" spans="2:20" ht="12.75" customHeight="1" x14ac:dyDescent="0.2">
      <c r="B212" s="1088" t="s">
        <v>797</v>
      </c>
      <c r="C212" s="1088">
        <v>521</v>
      </c>
      <c r="D212" s="1088">
        <v>730</v>
      </c>
      <c r="E212" s="1088">
        <v>0</v>
      </c>
      <c r="F212" s="1088">
        <v>3141</v>
      </c>
      <c r="G212" s="1088" t="s">
        <v>798</v>
      </c>
      <c r="H212" s="1089">
        <v>0</v>
      </c>
      <c r="I212" s="1089">
        <v>87.92</v>
      </c>
      <c r="J212" s="1089">
        <v>98.53</v>
      </c>
      <c r="K212" s="1089">
        <v>1169.6300000000001</v>
      </c>
      <c r="L212" s="1093">
        <v>99.710000000000008</v>
      </c>
      <c r="M212" s="1093">
        <v>132.02000000000001</v>
      </c>
      <c r="N212" s="1093">
        <v>99.83</v>
      </c>
      <c r="O212" s="1093">
        <v>107.01</v>
      </c>
      <c r="P212" s="1093">
        <v>0</v>
      </c>
      <c r="Q212" s="1093">
        <v>0</v>
      </c>
      <c r="R212" s="1089">
        <v>0</v>
      </c>
      <c r="S212" s="1093">
        <v>0</v>
      </c>
      <c r="T212" s="1093">
        <f t="shared" si="4"/>
        <v>1794.65</v>
      </c>
    </row>
    <row r="213" spans="2:20" ht="12.75" customHeight="1" x14ac:dyDescent="0.2">
      <c r="B213" s="1088" t="s">
        <v>1341</v>
      </c>
      <c r="C213" s="1088">
        <v>521</v>
      </c>
      <c r="D213" s="1088">
        <v>730</v>
      </c>
      <c r="E213" s="1088">
        <v>0</v>
      </c>
      <c r="F213" s="1088">
        <v>3511</v>
      </c>
      <c r="G213" s="1088" t="s">
        <v>408</v>
      </c>
      <c r="H213" s="1089">
        <v>1279</v>
      </c>
      <c r="I213" s="1089">
        <v>1451.55</v>
      </c>
      <c r="J213" s="1089">
        <v>2551.3200000000002</v>
      </c>
      <c r="K213" s="1089">
        <v>1279</v>
      </c>
      <c r="L213" s="1093">
        <v>1406.9</v>
      </c>
      <c r="M213" s="1093">
        <v>3582.7400000000002</v>
      </c>
      <c r="N213" s="1093">
        <v>1578.6000000000001</v>
      </c>
      <c r="O213" s="1093">
        <v>1406.9</v>
      </c>
      <c r="P213" s="1093">
        <v>0</v>
      </c>
      <c r="Q213" s="1093">
        <v>0</v>
      </c>
      <c r="R213" s="1089">
        <v>0</v>
      </c>
      <c r="S213" s="1093">
        <v>0</v>
      </c>
      <c r="T213" s="1093">
        <f t="shared" si="4"/>
        <v>14536.01</v>
      </c>
    </row>
    <row r="214" spans="2:20" ht="12.75" customHeight="1" x14ac:dyDescent="0.2">
      <c r="B214" s="1088" t="s">
        <v>799</v>
      </c>
      <c r="C214" s="1088">
        <v>521</v>
      </c>
      <c r="D214" s="1088">
        <v>730</v>
      </c>
      <c r="E214" s="1088">
        <v>0</v>
      </c>
      <c r="F214" s="1088">
        <v>3901</v>
      </c>
      <c r="G214" s="1088" t="s">
        <v>423</v>
      </c>
      <c r="H214" s="1089">
        <v>1856.66</v>
      </c>
      <c r="I214" s="1089">
        <v>3792.5</v>
      </c>
      <c r="J214" s="1089">
        <v>1523.04</v>
      </c>
      <c r="K214" s="1089">
        <v>1606.08</v>
      </c>
      <c r="L214" s="1093">
        <v>2334.61</v>
      </c>
      <c r="M214" s="1093">
        <v>902.03</v>
      </c>
      <c r="N214" s="1093">
        <v>2474.9299999999998</v>
      </c>
      <c r="O214" s="1093">
        <v>1591.9</v>
      </c>
      <c r="P214" s="1093">
        <v>0</v>
      </c>
      <c r="Q214" s="1093">
        <v>0</v>
      </c>
      <c r="R214" s="1089">
        <v>0</v>
      </c>
      <c r="S214" s="1093">
        <v>0</v>
      </c>
      <c r="T214" s="1093">
        <f t="shared" si="4"/>
        <v>16081.75</v>
      </c>
    </row>
    <row r="215" spans="2:20" ht="12.75" customHeight="1" x14ac:dyDescent="0.2">
      <c r="B215" s="1088" t="s">
        <v>948</v>
      </c>
      <c r="C215" s="1088">
        <v>521</v>
      </c>
      <c r="D215" s="1088">
        <v>730</v>
      </c>
      <c r="E215" s="1088">
        <v>70</v>
      </c>
      <c r="F215" s="1088">
        <v>3901</v>
      </c>
      <c r="G215" s="1088" t="s">
        <v>423</v>
      </c>
      <c r="H215" s="1089">
        <v>747.56000000000006</v>
      </c>
      <c r="I215" s="1089">
        <v>0</v>
      </c>
      <c r="J215" s="1089">
        <v>0</v>
      </c>
      <c r="K215" s="1089">
        <v>0</v>
      </c>
      <c r="L215" s="1093">
        <v>0</v>
      </c>
      <c r="M215" s="1093">
        <v>0</v>
      </c>
      <c r="N215" s="1093">
        <v>0</v>
      </c>
      <c r="O215" s="1093">
        <v>0</v>
      </c>
      <c r="P215" s="1093">
        <v>0</v>
      </c>
      <c r="Q215" s="1093">
        <v>0</v>
      </c>
      <c r="R215" s="1089">
        <v>0</v>
      </c>
      <c r="S215" s="1093">
        <v>0</v>
      </c>
      <c r="T215" s="1093">
        <f t="shared" si="4"/>
        <v>747.56000000000006</v>
      </c>
    </row>
    <row r="216" spans="2:20" ht="12.75" customHeight="1" x14ac:dyDescent="0.2">
      <c r="B216" s="1088" t="s">
        <v>1342</v>
      </c>
      <c r="C216" s="1088">
        <v>523</v>
      </c>
      <c r="D216" s="1088">
        <v>510</v>
      </c>
      <c r="E216" s="1088">
        <v>0</v>
      </c>
      <c r="F216" s="1088">
        <v>3601</v>
      </c>
      <c r="G216" s="1088" t="s">
        <v>399</v>
      </c>
      <c r="H216" s="1089">
        <v>0</v>
      </c>
      <c r="I216" s="1089">
        <v>0</v>
      </c>
      <c r="J216" s="1089">
        <v>0</v>
      </c>
      <c r="K216" s="1089">
        <v>0</v>
      </c>
      <c r="L216" s="1093">
        <v>0</v>
      </c>
      <c r="M216" s="1093">
        <v>0</v>
      </c>
      <c r="N216" s="1093">
        <v>0</v>
      </c>
      <c r="O216" s="1093">
        <v>0</v>
      </c>
      <c r="P216" s="1093">
        <v>0</v>
      </c>
      <c r="Q216" s="1093">
        <v>0</v>
      </c>
      <c r="R216" s="1089">
        <v>0</v>
      </c>
      <c r="S216" s="1093">
        <v>0</v>
      </c>
      <c r="T216" s="1093">
        <f t="shared" si="4"/>
        <v>0</v>
      </c>
    </row>
    <row r="217" spans="2:20" ht="12.75" customHeight="1" x14ac:dyDescent="0.2">
      <c r="B217" s="1088" t="s">
        <v>962</v>
      </c>
      <c r="C217" s="1088">
        <v>523</v>
      </c>
      <c r="D217" s="1088">
        <v>511</v>
      </c>
      <c r="E217" s="1088">
        <v>61</v>
      </c>
      <c r="F217" s="1088">
        <v>6401</v>
      </c>
      <c r="G217" s="1088" t="s">
        <v>964</v>
      </c>
      <c r="H217" s="1089">
        <v>0</v>
      </c>
      <c r="I217" s="1089">
        <v>0</v>
      </c>
      <c r="J217" s="1089">
        <f>10012.5+2897</f>
        <v>12909.5</v>
      </c>
      <c r="K217" s="1089">
        <f>28974.73-3426.48</f>
        <v>25548.25</v>
      </c>
      <c r="L217" s="1093">
        <v>0</v>
      </c>
      <c r="M217" s="1093">
        <v>0</v>
      </c>
      <c r="N217" s="1093">
        <v>176742.39</v>
      </c>
      <c r="O217" s="1093">
        <v>0</v>
      </c>
      <c r="P217" s="1093">
        <v>0</v>
      </c>
      <c r="Q217" s="1093">
        <v>0</v>
      </c>
      <c r="R217" s="1089">
        <v>0</v>
      </c>
      <c r="S217" s="1093">
        <v>0</v>
      </c>
      <c r="T217" s="1093">
        <f t="shared" si="4"/>
        <v>215200.14</v>
      </c>
    </row>
    <row r="218" spans="2:20" ht="12.75" customHeight="1" x14ac:dyDescent="0.2">
      <c r="B218" s="1088" t="s">
        <v>961</v>
      </c>
      <c r="C218" s="1088">
        <v>523</v>
      </c>
      <c r="D218" s="1088">
        <v>730</v>
      </c>
      <c r="E218" s="1088">
        <v>61</v>
      </c>
      <c r="F218" s="1088">
        <v>6401</v>
      </c>
      <c r="G218" s="1088" t="s">
        <v>963</v>
      </c>
      <c r="H218" s="1089">
        <v>0</v>
      </c>
      <c r="I218" s="1089">
        <v>0</v>
      </c>
      <c r="J218" s="1089">
        <v>0</v>
      </c>
      <c r="K218" s="1089">
        <v>0</v>
      </c>
      <c r="L218" s="1093">
        <v>0</v>
      </c>
      <c r="M218" s="1093">
        <v>0</v>
      </c>
      <c r="N218" s="1093">
        <v>0</v>
      </c>
      <c r="O218" s="1093">
        <v>0</v>
      </c>
      <c r="P218" s="1093">
        <v>0</v>
      </c>
      <c r="Q218" s="1093">
        <v>0</v>
      </c>
      <c r="R218" s="1089">
        <v>0</v>
      </c>
      <c r="S218" s="1093">
        <v>0</v>
      </c>
      <c r="T218" s="1093">
        <f t="shared" si="4"/>
        <v>0</v>
      </c>
    </row>
    <row r="219" spans="2:20" ht="12.75" customHeight="1" x14ac:dyDescent="0.2">
      <c r="B219" s="1088" t="s">
        <v>1343</v>
      </c>
      <c r="C219" s="1088">
        <v>523</v>
      </c>
      <c r="D219" s="1088">
        <v>920</v>
      </c>
      <c r="E219" s="1088">
        <v>0</v>
      </c>
      <c r="F219" s="1088">
        <v>7201</v>
      </c>
      <c r="G219" s="1088" t="s">
        <v>1007</v>
      </c>
      <c r="H219" s="1089">
        <f>-18167.08+19583.34</f>
        <v>1416.2599999999984</v>
      </c>
      <c r="I219" s="1089">
        <f>4749.58-3333.33</f>
        <v>1416.25</v>
      </c>
      <c r="J219" s="1089">
        <f>-22916.66+19583.34+4749.58</f>
        <v>1416.2600000000002</v>
      </c>
      <c r="K219" s="1089">
        <f>4749.58-3333.33</f>
        <v>1416.25</v>
      </c>
      <c r="L219" s="1093">
        <f>4749.58-3333.33</f>
        <v>1416.25</v>
      </c>
      <c r="M219" s="1093">
        <v>4416.25</v>
      </c>
      <c r="N219" s="1180">
        <f>4749.58-3333.33</f>
        <v>1416.25</v>
      </c>
      <c r="O219" s="1093">
        <v>4749.58</v>
      </c>
      <c r="P219" s="1093">
        <v>0</v>
      </c>
      <c r="Q219" s="1093">
        <v>0</v>
      </c>
      <c r="R219" s="1089">
        <v>0</v>
      </c>
      <c r="S219" s="1093">
        <v>0</v>
      </c>
      <c r="T219" s="1093">
        <f t="shared" si="4"/>
        <v>17663.349999999999</v>
      </c>
    </row>
    <row r="220" spans="2:20" ht="12.75" customHeight="1" x14ac:dyDescent="0.2">
      <c r="B220" s="1088" t="s">
        <v>739</v>
      </c>
      <c r="C220" s="1088">
        <v>525</v>
      </c>
      <c r="D220" s="1088">
        <v>510</v>
      </c>
      <c r="E220" s="1088">
        <v>0</v>
      </c>
      <c r="F220" s="1088">
        <v>5004</v>
      </c>
      <c r="G220" s="1088" t="s">
        <v>740</v>
      </c>
      <c r="H220" s="1089">
        <v>0</v>
      </c>
      <c r="I220" s="1089">
        <v>0</v>
      </c>
      <c r="J220" s="1089">
        <v>0</v>
      </c>
      <c r="K220" s="1089">
        <v>0</v>
      </c>
      <c r="L220" s="1093">
        <v>0</v>
      </c>
      <c r="M220" s="1093">
        <v>0</v>
      </c>
      <c r="N220" s="1093">
        <v>0</v>
      </c>
      <c r="O220" s="1093">
        <v>0</v>
      </c>
      <c r="P220" s="1093">
        <v>0</v>
      </c>
      <c r="Q220" s="1093">
        <v>0</v>
      </c>
      <c r="R220" s="1089">
        <v>0</v>
      </c>
      <c r="S220" s="1093">
        <v>0</v>
      </c>
      <c r="T220" s="1093">
        <f t="shared" si="4"/>
        <v>0</v>
      </c>
    </row>
    <row r="221" spans="2:20" ht="12.75" customHeight="1" x14ac:dyDescent="0.2">
      <c r="B221" s="1088" t="s">
        <v>741</v>
      </c>
      <c r="C221" s="1088">
        <v>525</v>
      </c>
      <c r="D221" s="1088">
        <v>511</v>
      </c>
      <c r="E221" s="1088">
        <v>0</v>
      </c>
      <c r="F221" s="1088">
        <v>5101</v>
      </c>
      <c r="G221" s="1088" t="s">
        <v>382</v>
      </c>
      <c r="H221" s="1089">
        <v>2267.79</v>
      </c>
      <c r="I221" s="1089">
        <v>109.4</v>
      </c>
      <c r="J221" s="1089">
        <v>16691.82</v>
      </c>
      <c r="K221" s="1089">
        <v>0</v>
      </c>
      <c r="L221" s="1093">
        <v>0</v>
      </c>
      <c r="M221" s="1093">
        <v>222.45000000000002</v>
      </c>
      <c r="N221" s="1093">
        <v>23.03</v>
      </c>
      <c r="O221" s="1093">
        <v>619.29</v>
      </c>
      <c r="P221" s="1093">
        <v>0</v>
      </c>
      <c r="Q221" s="1093">
        <v>0</v>
      </c>
      <c r="R221" s="1089">
        <v>0</v>
      </c>
      <c r="S221" s="1093">
        <v>0</v>
      </c>
      <c r="T221" s="1093">
        <f t="shared" si="4"/>
        <v>19933.78</v>
      </c>
    </row>
    <row r="222" spans="2:20" ht="12.75" customHeight="1" x14ac:dyDescent="0.2">
      <c r="B222" s="1088" t="s">
        <v>742</v>
      </c>
      <c r="C222" s="1088">
        <v>525</v>
      </c>
      <c r="D222" s="1088">
        <v>511</v>
      </c>
      <c r="E222" s="1088">
        <v>0</v>
      </c>
      <c r="F222" s="1088">
        <v>5171</v>
      </c>
      <c r="G222" s="1088" t="s">
        <v>384</v>
      </c>
      <c r="H222" s="1089">
        <v>0</v>
      </c>
      <c r="I222" s="1089">
        <v>0</v>
      </c>
      <c r="J222" s="1089">
        <v>0</v>
      </c>
      <c r="K222" s="1089">
        <v>12251.6</v>
      </c>
      <c r="L222" s="1093">
        <v>0</v>
      </c>
      <c r="M222" s="1093">
        <v>0</v>
      </c>
      <c r="N222" s="1093">
        <v>0</v>
      </c>
      <c r="O222" s="1093">
        <v>0</v>
      </c>
      <c r="P222" s="1093">
        <v>0</v>
      </c>
      <c r="Q222" s="1093">
        <v>0</v>
      </c>
      <c r="R222" s="1089">
        <v>0</v>
      </c>
      <c r="S222" s="1093">
        <v>0</v>
      </c>
      <c r="T222" s="1093">
        <f t="shared" si="4"/>
        <v>12251.6</v>
      </c>
    </row>
    <row r="223" spans="2:20" ht="12.75" customHeight="1" x14ac:dyDescent="0.2">
      <c r="B223" s="1088" t="s">
        <v>743</v>
      </c>
      <c r="C223" s="1088">
        <v>525</v>
      </c>
      <c r="D223" s="1088">
        <v>511</v>
      </c>
      <c r="E223" s="1088">
        <v>0</v>
      </c>
      <c r="F223" s="1088">
        <v>5201</v>
      </c>
      <c r="G223" s="1088" t="s">
        <v>383</v>
      </c>
      <c r="H223" s="1089">
        <v>986.43000000000006</v>
      </c>
      <c r="I223" s="1089">
        <v>0</v>
      </c>
      <c r="J223" s="1089">
        <v>0</v>
      </c>
      <c r="K223" s="1089">
        <v>0</v>
      </c>
      <c r="L223" s="1180">
        <f>38754.06-16125.06</f>
        <v>22629</v>
      </c>
      <c r="M223" s="1093">
        <v>0</v>
      </c>
      <c r="N223" s="1093">
        <v>0</v>
      </c>
      <c r="O223" s="1093">
        <v>0</v>
      </c>
      <c r="P223" s="1093">
        <v>0</v>
      </c>
      <c r="Q223" s="1093">
        <v>0</v>
      </c>
      <c r="R223" s="1089">
        <v>0</v>
      </c>
      <c r="S223" s="1093">
        <v>0</v>
      </c>
      <c r="T223" s="1093">
        <f t="shared" si="4"/>
        <v>23615.43</v>
      </c>
    </row>
    <row r="224" spans="2:20" ht="12.75" customHeight="1" x14ac:dyDescent="0.2">
      <c r="B224" s="1088" t="s">
        <v>744</v>
      </c>
      <c r="C224" s="1088">
        <v>525</v>
      </c>
      <c r="D224" s="1088">
        <v>511</v>
      </c>
      <c r="E224" s="1088">
        <v>0</v>
      </c>
      <c r="F224" s="1088">
        <v>5901</v>
      </c>
      <c r="G224" s="1088" t="s">
        <v>745</v>
      </c>
      <c r="H224" s="1089">
        <v>0</v>
      </c>
      <c r="I224" s="1089">
        <v>0</v>
      </c>
      <c r="J224" s="1089">
        <v>0</v>
      </c>
      <c r="K224" s="1089">
        <v>0</v>
      </c>
      <c r="L224" s="1093">
        <v>0</v>
      </c>
      <c r="M224" s="1093">
        <v>0</v>
      </c>
      <c r="N224" s="1093">
        <v>0</v>
      </c>
      <c r="O224" s="1093">
        <v>0</v>
      </c>
      <c r="P224" s="1093">
        <v>0</v>
      </c>
      <c r="Q224" s="1093">
        <v>0</v>
      </c>
      <c r="R224" s="1089">
        <v>0</v>
      </c>
      <c r="S224" s="1093">
        <v>0</v>
      </c>
      <c r="T224" s="1093">
        <f t="shared" si="4"/>
        <v>0</v>
      </c>
    </row>
    <row r="225" spans="2:20" ht="12.75" customHeight="1" x14ac:dyDescent="0.2">
      <c r="B225" s="1088" t="s">
        <v>1387</v>
      </c>
      <c r="C225" s="1088">
        <v>525</v>
      </c>
      <c r="D225" s="1088">
        <v>515</v>
      </c>
      <c r="E225" s="1088">
        <v>65</v>
      </c>
      <c r="F225" s="1088">
        <v>5101</v>
      </c>
      <c r="G225" s="1088" t="s">
        <v>1389</v>
      </c>
      <c r="H225" s="1089">
        <v>0</v>
      </c>
      <c r="I225" s="1089">
        <v>0</v>
      </c>
      <c r="J225" s="1089">
        <v>0</v>
      </c>
      <c r="K225" s="1089">
        <v>0</v>
      </c>
      <c r="L225" s="1093">
        <v>0</v>
      </c>
      <c r="M225" s="1093">
        <v>0</v>
      </c>
      <c r="N225" s="1093">
        <v>0</v>
      </c>
      <c r="O225" s="1093">
        <v>0</v>
      </c>
      <c r="P225" s="1093">
        <v>0</v>
      </c>
      <c r="Q225" s="1093">
        <v>0</v>
      </c>
      <c r="R225" s="1089">
        <v>0</v>
      </c>
      <c r="S225" s="1093">
        <v>0</v>
      </c>
      <c r="T225" s="1093">
        <f t="shared" si="4"/>
        <v>0</v>
      </c>
    </row>
    <row r="226" spans="2:20" ht="12.75" customHeight="1" x14ac:dyDescent="0.2">
      <c r="B226" s="1088" t="s">
        <v>1388</v>
      </c>
      <c r="C226" s="1088">
        <v>525</v>
      </c>
      <c r="D226" s="1088">
        <v>515</v>
      </c>
      <c r="E226" s="1088">
        <v>65</v>
      </c>
      <c r="F226" s="1088">
        <v>5201</v>
      </c>
      <c r="G226" s="1088" t="s">
        <v>1390</v>
      </c>
      <c r="H226" s="1089">
        <v>0</v>
      </c>
      <c r="I226" s="1089">
        <v>0</v>
      </c>
      <c r="J226" s="1089">
        <v>0</v>
      </c>
      <c r="K226" s="1089">
        <v>0</v>
      </c>
      <c r="L226" s="1093">
        <v>0</v>
      </c>
      <c r="M226" s="1093">
        <v>0</v>
      </c>
      <c r="N226" s="1093">
        <v>0</v>
      </c>
      <c r="O226" s="1093">
        <v>0</v>
      </c>
      <c r="P226" s="1093">
        <v>0</v>
      </c>
      <c r="Q226" s="1093">
        <v>0</v>
      </c>
      <c r="R226" s="1089">
        <v>0</v>
      </c>
      <c r="S226" s="1093">
        <v>0</v>
      </c>
      <c r="T226" s="1093">
        <f t="shared" si="4"/>
        <v>0</v>
      </c>
    </row>
    <row r="227" spans="2:20" ht="12.75" customHeight="1" x14ac:dyDescent="0.2">
      <c r="B227" s="1088" t="s">
        <v>746</v>
      </c>
      <c r="C227" s="1088">
        <v>525</v>
      </c>
      <c r="D227" s="1088">
        <v>550</v>
      </c>
      <c r="E227" s="1088">
        <v>57</v>
      </c>
      <c r="F227" s="1088">
        <v>5101</v>
      </c>
      <c r="G227" s="1088" t="s">
        <v>386</v>
      </c>
      <c r="H227" s="1089">
        <v>0</v>
      </c>
      <c r="I227" s="1089">
        <v>0</v>
      </c>
      <c r="J227" s="1089">
        <v>0</v>
      </c>
      <c r="K227" s="1089">
        <v>0</v>
      </c>
      <c r="L227" s="1093">
        <v>0</v>
      </c>
      <c r="M227" s="1093">
        <v>0</v>
      </c>
      <c r="N227" s="1093">
        <v>0</v>
      </c>
      <c r="O227" s="1093">
        <v>0</v>
      </c>
      <c r="P227" s="1093">
        <v>0</v>
      </c>
      <c r="Q227" s="1093">
        <v>0</v>
      </c>
      <c r="R227" s="1089">
        <v>0</v>
      </c>
      <c r="S227" s="1093">
        <v>0</v>
      </c>
      <c r="T227" s="1093">
        <f t="shared" si="4"/>
        <v>0</v>
      </c>
    </row>
    <row r="228" spans="2:20" ht="12.75" customHeight="1" x14ac:dyDescent="0.2">
      <c r="B228" s="1088" t="s">
        <v>747</v>
      </c>
      <c r="C228" s="1088">
        <v>525</v>
      </c>
      <c r="D228" s="1088">
        <v>550</v>
      </c>
      <c r="E228" s="1088">
        <v>57</v>
      </c>
      <c r="F228" s="1088">
        <v>5201</v>
      </c>
      <c r="G228" s="1088" t="s">
        <v>387</v>
      </c>
      <c r="H228" s="1089">
        <v>0</v>
      </c>
      <c r="I228" s="1089">
        <v>0</v>
      </c>
      <c r="J228" s="1089">
        <v>0</v>
      </c>
      <c r="K228" s="1089">
        <v>0</v>
      </c>
      <c r="L228" s="1093">
        <v>0</v>
      </c>
      <c r="M228" s="1093">
        <v>0</v>
      </c>
      <c r="N228" s="1093">
        <v>0</v>
      </c>
      <c r="O228" s="1093">
        <v>0</v>
      </c>
      <c r="P228" s="1093">
        <v>0</v>
      </c>
      <c r="Q228" s="1093">
        <v>0</v>
      </c>
      <c r="R228" s="1089">
        <v>0</v>
      </c>
      <c r="S228" s="1093">
        <v>0</v>
      </c>
      <c r="T228" s="1093">
        <f t="shared" si="4"/>
        <v>0</v>
      </c>
    </row>
    <row r="229" spans="2:20" ht="12.75" customHeight="1" x14ac:dyDescent="0.2">
      <c r="B229" s="1088" t="s">
        <v>748</v>
      </c>
      <c r="C229" s="1088">
        <v>525</v>
      </c>
      <c r="D229" s="1088">
        <v>590</v>
      </c>
      <c r="E229" s="1088">
        <v>0</v>
      </c>
      <c r="F229" s="1088">
        <v>5909</v>
      </c>
      <c r="G229" s="1088" t="s">
        <v>749</v>
      </c>
      <c r="H229" s="1089">
        <v>275</v>
      </c>
      <c r="I229" s="1089">
        <v>1111.01</v>
      </c>
      <c r="J229" s="1089">
        <v>8376.84</v>
      </c>
      <c r="K229" s="1089">
        <v>573.80999999999995</v>
      </c>
      <c r="L229" s="1093">
        <v>4130.75</v>
      </c>
      <c r="M229" s="1093">
        <v>2164.42</v>
      </c>
      <c r="N229" s="1093">
        <v>2187.7600000000002</v>
      </c>
      <c r="O229" s="1093">
        <v>5780.75</v>
      </c>
      <c r="P229" s="1093">
        <v>0</v>
      </c>
      <c r="Q229" s="1093">
        <v>0</v>
      </c>
      <c r="R229" s="1089">
        <v>0</v>
      </c>
      <c r="S229" s="1093">
        <v>0</v>
      </c>
      <c r="T229" s="1093">
        <f t="shared" si="4"/>
        <v>24600.340000000004</v>
      </c>
    </row>
    <row r="230" spans="2:20" ht="12.75" customHeight="1" x14ac:dyDescent="0.2">
      <c r="B230" s="1088" t="s">
        <v>750</v>
      </c>
      <c r="C230" s="1088">
        <v>525</v>
      </c>
      <c r="D230" s="1088">
        <v>613</v>
      </c>
      <c r="E230" s="1088">
        <v>57</v>
      </c>
      <c r="F230" s="1088">
        <v>5101</v>
      </c>
      <c r="G230" s="1088" t="s">
        <v>388</v>
      </c>
      <c r="H230" s="1089">
        <v>0</v>
      </c>
      <c r="I230" s="1089">
        <v>141.94</v>
      </c>
      <c r="J230" s="1089">
        <v>1137.45</v>
      </c>
      <c r="K230" s="1089">
        <v>195.4</v>
      </c>
      <c r="L230" s="1093">
        <v>81.27</v>
      </c>
      <c r="M230" s="1093">
        <v>63.93</v>
      </c>
      <c r="N230" s="1093">
        <v>558.04999999999995</v>
      </c>
      <c r="O230" s="1093">
        <v>427.08</v>
      </c>
      <c r="P230" s="1093">
        <v>0</v>
      </c>
      <c r="Q230" s="1093">
        <v>0</v>
      </c>
      <c r="R230" s="1089">
        <v>0</v>
      </c>
      <c r="S230" s="1093">
        <v>0</v>
      </c>
      <c r="T230" s="1093">
        <f t="shared" si="4"/>
        <v>2605.12</v>
      </c>
    </row>
    <row r="231" spans="2:20" ht="12.75" customHeight="1" x14ac:dyDescent="0.2">
      <c r="B231" s="1088" t="s">
        <v>751</v>
      </c>
      <c r="C231" s="1088">
        <v>525</v>
      </c>
      <c r="D231" s="1088">
        <v>620</v>
      </c>
      <c r="E231" s="1088">
        <v>0</v>
      </c>
      <c r="F231" s="1088">
        <v>5101</v>
      </c>
      <c r="G231" s="1088" t="s">
        <v>391</v>
      </c>
      <c r="H231" s="1089">
        <v>0</v>
      </c>
      <c r="I231" s="1089">
        <v>0</v>
      </c>
      <c r="J231" s="1089">
        <v>0</v>
      </c>
      <c r="K231" s="1089">
        <v>0</v>
      </c>
      <c r="L231" s="1093">
        <v>0</v>
      </c>
      <c r="M231" s="1093">
        <v>0</v>
      </c>
      <c r="N231" s="1093">
        <v>0</v>
      </c>
      <c r="O231" s="1093">
        <v>0</v>
      </c>
      <c r="P231" s="1093">
        <v>0</v>
      </c>
      <c r="Q231" s="1093">
        <v>0</v>
      </c>
      <c r="R231" s="1089">
        <v>0</v>
      </c>
      <c r="S231" s="1093">
        <v>0</v>
      </c>
      <c r="T231" s="1093">
        <f t="shared" si="4"/>
        <v>0</v>
      </c>
    </row>
    <row r="232" spans="2:20" ht="12.75" customHeight="1" x14ac:dyDescent="0.2">
      <c r="B232" s="1088" t="s">
        <v>752</v>
      </c>
      <c r="C232" s="1088">
        <v>525</v>
      </c>
      <c r="D232" s="1088">
        <v>620</v>
      </c>
      <c r="E232" s="1088">
        <v>0</v>
      </c>
      <c r="F232" s="1088">
        <v>6101</v>
      </c>
      <c r="G232" s="1088" t="s">
        <v>753</v>
      </c>
      <c r="H232" s="1089">
        <v>0</v>
      </c>
      <c r="I232" s="1089">
        <v>0</v>
      </c>
      <c r="J232" s="1089">
        <v>0</v>
      </c>
      <c r="K232" s="1089">
        <v>0</v>
      </c>
      <c r="L232" s="1093">
        <v>0</v>
      </c>
      <c r="M232" s="1093">
        <v>0</v>
      </c>
      <c r="N232" s="1093">
        <v>0</v>
      </c>
      <c r="O232" s="1093">
        <v>0</v>
      </c>
      <c r="P232" s="1093">
        <v>0</v>
      </c>
      <c r="Q232" s="1093">
        <v>0</v>
      </c>
      <c r="R232" s="1089">
        <v>0</v>
      </c>
      <c r="S232" s="1093">
        <v>0</v>
      </c>
      <c r="T232" s="1093">
        <f t="shared" si="4"/>
        <v>0</v>
      </c>
    </row>
    <row r="233" spans="2:20" ht="12.75" customHeight="1" x14ac:dyDescent="0.2">
      <c r="B233" s="1088" t="s">
        <v>754</v>
      </c>
      <c r="C233" s="1088">
        <v>525</v>
      </c>
      <c r="D233" s="1088">
        <v>620</v>
      </c>
      <c r="E233" s="1088">
        <v>0</v>
      </c>
      <c r="F233" s="1088">
        <v>6921</v>
      </c>
      <c r="G233" s="1088" t="s">
        <v>390</v>
      </c>
      <c r="H233" s="1089">
        <v>3315</v>
      </c>
      <c r="I233" s="1089">
        <v>795</v>
      </c>
      <c r="J233" s="1089">
        <v>10285.040000000001</v>
      </c>
      <c r="K233" s="1089">
        <v>25932.2</v>
      </c>
      <c r="L233" s="1093">
        <v>0</v>
      </c>
      <c r="M233" s="1093">
        <v>0</v>
      </c>
      <c r="N233" s="1093">
        <v>0</v>
      </c>
      <c r="O233" s="1093">
        <v>5439.68</v>
      </c>
      <c r="P233" s="1093">
        <v>0</v>
      </c>
      <c r="Q233" s="1093">
        <v>0</v>
      </c>
      <c r="R233" s="1089">
        <v>0</v>
      </c>
      <c r="S233" s="1093">
        <v>0</v>
      </c>
      <c r="T233" s="1093">
        <f t="shared" si="4"/>
        <v>45766.920000000006</v>
      </c>
    </row>
    <row r="234" spans="2:20" ht="12.75" customHeight="1" x14ac:dyDescent="0.2">
      <c r="B234" s="1088" t="s">
        <v>755</v>
      </c>
      <c r="C234" s="1088">
        <v>525</v>
      </c>
      <c r="D234" s="1088">
        <v>620</v>
      </c>
      <c r="E234" s="1088">
        <v>15</v>
      </c>
      <c r="F234" s="1088">
        <v>5101</v>
      </c>
      <c r="G234" s="1088" t="s">
        <v>392</v>
      </c>
      <c r="H234" s="1089">
        <v>966.06000000000006</v>
      </c>
      <c r="I234" s="1089">
        <v>6102.17</v>
      </c>
      <c r="J234" s="1089">
        <v>773.54</v>
      </c>
      <c r="K234" s="1089">
        <v>1517.31</v>
      </c>
      <c r="L234" s="1093">
        <v>1104.18</v>
      </c>
      <c r="M234" s="1093">
        <v>5503.33</v>
      </c>
      <c r="N234" s="1093">
        <v>2736.67</v>
      </c>
      <c r="O234" s="1093">
        <v>3843.13</v>
      </c>
      <c r="P234" s="1093">
        <v>0</v>
      </c>
      <c r="Q234" s="1093">
        <v>0</v>
      </c>
      <c r="R234" s="1089">
        <v>0</v>
      </c>
      <c r="S234" s="1093">
        <v>0</v>
      </c>
      <c r="T234" s="1093">
        <f t="shared" si="4"/>
        <v>22546.390000000003</v>
      </c>
    </row>
    <row r="235" spans="2:20" ht="12.75" customHeight="1" x14ac:dyDescent="0.2">
      <c r="B235" s="1088" t="s">
        <v>756</v>
      </c>
      <c r="C235" s="1088">
        <v>525</v>
      </c>
      <c r="D235" s="1088">
        <v>620</v>
      </c>
      <c r="E235" s="1088">
        <v>15</v>
      </c>
      <c r="F235" s="1088">
        <v>5201</v>
      </c>
      <c r="G235" s="1111" t="s">
        <v>389</v>
      </c>
      <c r="H235" s="1089">
        <v>0</v>
      </c>
      <c r="I235" s="1089">
        <v>0</v>
      </c>
      <c r="J235" s="1089">
        <v>0</v>
      </c>
      <c r="K235" s="1089">
        <v>0</v>
      </c>
      <c r="L235" s="1093">
        <v>0</v>
      </c>
      <c r="M235" s="1093">
        <v>0</v>
      </c>
      <c r="N235" s="1093">
        <v>0</v>
      </c>
      <c r="O235" s="1093">
        <v>0</v>
      </c>
      <c r="P235" s="1093">
        <v>0</v>
      </c>
      <c r="Q235" s="1093">
        <v>0</v>
      </c>
      <c r="R235" s="1089">
        <v>0</v>
      </c>
      <c r="S235" s="1093">
        <v>0</v>
      </c>
      <c r="T235" s="1093">
        <f t="shared" si="4"/>
        <v>0</v>
      </c>
    </row>
    <row r="236" spans="2:20" ht="12.75" customHeight="1" x14ac:dyDescent="0.2">
      <c r="B236" s="1088" t="s">
        <v>757</v>
      </c>
      <c r="C236" s="1088">
        <v>525</v>
      </c>
      <c r="D236" s="1088">
        <v>650</v>
      </c>
      <c r="E236" s="1088">
        <v>0</v>
      </c>
      <c r="F236" s="1088">
        <v>6401</v>
      </c>
      <c r="G236" s="1088" t="s">
        <v>393</v>
      </c>
      <c r="H236" s="1089">
        <v>2390</v>
      </c>
      <c r="I236" s="1089">
        <v>4574.18</v>
      </c>
      <c r="J236" s="1089">
        <v>7852.04</v>
      </c>
      <c r="K236" s="1089">
        <v>1550</v>
      </c>
      <c r="L236" s="1093">
        <v>5064.5600000000004</v>
      </c>
      <c r="M236" s="1093">
        <v>1539.88</v>
      </c>
      <c r="N236" s="1093">
        <v>3120.65</v>
      </c>
      <c r="O236" s="1093">
        <v>4796.1899999999996</v>
      </c>
      <c r="P236" s="1093">
        <v>0</v>
      </c>
      <c r="Q236" s="1093">
        <v>0</v>
      </c>
      <c r="R236" s="1089">
        <v>0</v>
      </c>
      <c r="S236" s="1093">
        <v>0</v>
      </c>
      <c r="T236" s="1093">
        <f t="shared" si="4"/>
        <v>30887.500000000004</v>
      </c>
    </row>
    <row r="237" spans="2:20" ht="12.75" customHeight="1" x14ac:dyDescent="0.2">
      <c r="B237" s="1088" t="s">
        <v>758</v>
      </c>
      <c r="C237" s="1088">
        <v>525</v>
      </c>
      <c r="D237" s="1088">
        <v>730</v>
      </c>
      <c r="E237" s="1088">
        <v>70</v>
      </c>
      <c r="F237" s="1088">
        <v>5101</v>
      </c>
      <c r="G237" s="1088" t="s">
        <v>394</v>
      </c>
      <c r="H237" s="1089">
        <v>0</v>
      </c>
      <c r="I237" s="1089">
        <v>54.88</v>
      </c>
      <c r="J237" s="1089">
        <v>0</v>
      </c>
      <c r="K237" s="1089">
        <v>0</v>
      </c>
      <c r="L237" s="1093">
        <v>0</v>
      </c>
      <c r="M237" s="1093">
        <v>0</v>
      </c>
      <c r="N237" s="1093">
        <v>0</v>
      </c>
      <c r="O237" s="1093">
        <v>0</v>
      </c>
      <c r="P237" s="1093">
        <v>0</v>
      </c>
      <c r="Q237" s="1093">
        <v>0</v>
      </c>
      <c r="R237" s="1089">
        <v>0</v>
      </c>
      <c r="S237" s="1093">
        <v>0</v>
      </c>
      <c r="T237" s="1093">
        <f t="shared" si="4"/>
        <v>54.88</v>
      </c>
    </row>
    <row r="238" spans="2:20" ht="12.75" customHeight="1" x14ac:dyDescent="0.2">
      <c r="B238" s="1088" t="s">
        <v>759</v>
      </c>
      <c r="C238" s="1088">
        <v>525</v>
      </c>
      <c r="D238" s="1088">
        <v>760</v>
      </c>
      <c r="E238" s="1088">
        <v>41</v>
      </c>
      <c r="F238" s="1088">
        <v>5704</v>
      </c>
      <c r="G238" s="1088" t="s">
        <v>760</v>
      </c>
      <c r="H238" s="1089">
        <v>0</v>
      </c>
      <c r="I238" s="1089">
        <v>0</v>
      </c>
      <c r="J238" s="1089">
        <v>0</v>
      </c>
      <c r="K238" s="1089">
        <v>0</v>
      </c>
      <c r="L238" s="1093">
        <v>0</v>
      </c>
      <c r="M238" s="1093">
        <v>0</v>
      </c>
      <c r="N238" s="1093">
        <v>46.15</v>
      </c>
      <c r="O238" s="1093">
        <v>0</v>
      </c>
      <c r="P238" s="1093">
        <v>0</v>
      </c>
      <c r="Q238" s="1093">
        <v>0</v>
      </c>
      <c r="R238" s="1089">
        <v>0</v>
      </c>
      <c r="S238" s="1093">
        <v>0</v>
      </c>
      <c r="T238" s="1093">
        <f t="shared" si="4"/>
        <v>46.15</v>
      </c>
    </row>
    <row r="239" spans="2:20" ht="12.75" customHeight="1" x14ac:dyDescent="0.2">
      <c r="B239" s="1088" t="s">
        <v>761</v>
      </c>
      <c r="C239" s="1088">
        <v>525</v>
      </c>
      <c r="D239" s="1088">
        <v>770</v>
      </c>
      <c r="E239" s="1088">
        <v>70</v>
      </c>
      <c r="F239" s="1088">
        <v>6441</v>
      </c>
      <c r="G239" s="1088" t="s">
        <v>762</v>
      </c>
      <c r="H239" s="1089">
        <v>0</v>
      </c>
      <c r="I239" s="1089">
        <v>0</v>
      </c>
      <c r="J239" s="1089">
        <v>0</v>
      </c>
      <c r="K239" s="1089">
        <v>0</v>
      </c>
      <c r="L239" s="1093">
        <v>0</v>
      </c>
      <c r="M239" s="1093">
        <v>0</v>
      </c>
      <c r="N239" s="1093">
        <v>0</v>
      </c>
      <c r="O239" s="1093">
        <v>0</v>
      </c>
      <c r="P239" s="1093">
        <v>0</v>
      </c>
      <c r="Q239" s="1093">
        <v>0</v>
      </c>
      <c r="R239" s="1089">
        <v>0</v>
      </c>
      <c r="S239" s="1093">
        <v>0</v>
      </c>
      <c r="T239" s="1093">
        <f t="shared" si="4"/>
        <v>0</v>
      </c>
    </row>
    <row r="240" spans="2:20" ht="12.75" customHeight="1" x14ac:dyDescent="0.2">
      <c r="B240" s="1088" t="s">
        <v>763</v>
      </c>
      <c r="C240" s="1088">
        <v>525</v>
      </c>
      <c r="D240" s="1088">
        <v>910</v>
      </c>
      <c r="E240" s="1088">
        <v>0</v>
      </c>
      <c r="F240" s="1088">
        <v>5109</v>
      </c>
      <c r="G240" s="1088" t="s">
        <v>385</v>
      </c>
      <c r="H240" s="1089">
        <v>0</v>
      </c>
      <c r="I240" s="1089">
        <v>0</v>
      </c>
      <c r="J240" s="1089">
        <v>0</v>
      </c>
      <c r="K240" s="1089">
        <v>0</v>
      </c>
      <c r="L240" s="1093">
        <v>0</v>
      </c>
      <c r="M240" s="1093">
        <v>0</v>
      </c>
      <c r="N240" s="1093">
        <v>0</v>
      </c>
      <c r="O240" s="1093">
        <v>0</v>
      </c>
      <c r="P240" s="1093">
        <v>0</v>
      </c>
      <c r="Q240" s="1093">
        <v>0</v>
      </c>
      <c r="R240" s="1089">
        <v>0</v>
      </c>
      <c r="S240" s="1093">
        <v>0</v>
      </c>
      <c r="T240" s="1093">
        <f t="shared" si="4"/>
        <v>0</v>
      </c>
    </row>
    <row r="241" spans="2:20" ht="12.75" customHeight="1" x14ac:dyDescent="0.2">
      <c r="B241" s="1088" t="s">
        <v>764</v>
      </c>
      <c r="C241" s="1088">
        <v>525</v>
      </c>
      <c r="D241" s="1088">
        <v>911</v>
      </c>
      <c r="E241" s="1088">
        <v>0</v>
      </c>
      <c r="F241" s="1088">
        <v>5109</v>
      </c>
      <c r="G241" s="1088" t="s">
        <v>395</v>
      </c>
      <c r="H241" s="1089">
        <v>0</v>
      </c>
      <c r="I241" s="1089">
        <v>0</v>
      </c>
      <c r="J241" s="1089">
        <v>0</v>
      </c>
      <c r="K241" s="1089">
        <v>0</v>
      </c>
      <c r="L241" s="1093">
        <v>0</v>
      </c>
      <c r="M241" s="1093">
        <v>0</v>
      </c>
      <c r="N241" s="1093">
        <v>0</v>
      </c>
      <c r="O241" s="1093">
        <v>0</v>
      </c>
      <c r="P241" s="1093">
        <v>0</v>
      </c>
      <c r="Q241" s="1093">
        <v>0</v>
      </c>
      <c r="R241" s="1089">
        <v>0</v>
      </c>
      <c r="S241" s="1093">
        <v>0</v>
      </c>
      <c r="T241" s="1093">
        <f t="shared" si="4"/>
        <v>0</v>
      </c>
    </row>
    <row r="242" spans="2:20" ht="12.75" customHeight="1" x14ac:dyDescent="0.2">
      <c r="B242" s="1088" t="s">
        <v>765</v>
      </c>
      <c r="C242" s="1088">
        <v>525</v>
      </c>
      <c r="D242" s="1088">
        <v>911</v>
      </c>
      <c r="E242" s="1088">
        <v>92</v>
      </c>
      <c r="F242" s="1088">
        <v>5101</v>
      </c>
      <c r="G242" s="1088" t="s">
        <v>766</v>
      </c>
      <c r="H242" s="1089">
        <v>0</v>
      </c>
      <c r="I242" s="1089">
        <v>0</v>
      </c>
      <c r="J242" s="1089">
        <v>0</v>
      </c>
      <c r="K242" s="1089">
        <v>0</v>
      </c>
      <c r="L242" s="1093">
        <v>0</v>
      </c>
      <c r="M242" s="1093">
        <v>0</v>
      </c>
      <c r="N242" s="1093">
        <v>0</v>
      </c>
      <c r="O242" s="1093">
        <v>0</v>
      </c>
      <c r="P242" s="1093">
        <v>0</v>
      </c>
      <c r="Q242" s="1093">
        <v>0</v>
      </c>
      <c r="R242" s="1089">
        <v>0</v>
      </c>
      <c r="S242" s="1093">
        <v>0</v>
      </c>
      <c r="T242" s="1093">
        <f t="shared" si="4"/>
        <v>0</v>
      </c>
    </row>
    <row r="243" spans="2:20" ht="12.75" customHeight="1" x14ac:dyDescent="0.2">
      <c r="B243" s="1088" t="s">
        <v>767</v>
      </c>
      <c r="C243" s="1088">
        <v>525</v>
      </c>
      <c r="D243" s="1088">
        <v>912</v>
      </c>
      <c r="E243" s="1088">
        <v>0</v>
      </c>
      <c r="F243" s="1088">
        <v>5109</v>
      </c>
      <c r="G243" s="1088" t="s">
        <v>396</v>
      </c>
      <c r="H243" s="1089">
        <v>0</v>
      </c>
      <c r="I243" s="1089">
        <v>2730.9500000000003</v>
      </c>
      <c r="J243" s="1089">
        <v>960</v>
      </c>
      <c r="K243" s="1089">
        <v>0</v>
      </c>
      <c r="L243" s="1093">
        <v>1020</v>
      </c>
      <c r="M243" s="1093">
        <v>0</v>
      </c>
      <c r="N243" s="1093">
        <v>1573.7</v>
      </c>
      <c r="O243" s="1093">
        <v>956.19</v>
      </c>
      <c r="P243" s="1093">
        <v>0</v>
      </c>
      <c r="Q243" s="1093">
        <v>0</v>
      </c>
      <c r="R243" s="1089">
        <v>0</v>
      </c>
      <c r="S243" s="1093">
        <v>0</v>
      </c>
      <c r="T243" s="1093">
        <f t="shared" si="4"/>
        <v>7240.84</v>
      </c>
    </row>
    <row r="244" spans="2:20" ht="12.75" customHeight="1" x14ac:dyDescent="0.2">
      <c r="B244" s="1088" t="s">
        <v>768</v>
      </c>
      <c r="C244" s="1088">
        <v>525</v>
      </c>
      <c r="D244" s="1088">
        <v>912</v>
      </c>
      <c r="E244" s="1088">
        <v>0</v>
      </c>
      <c r="F244" s="1088">
        <v>5901</v>
      </c>
      <c r="G244" s="1088" t="s">
        <v>769</v>
      </c>
      <c r="H244" s="1089">
        <v>0</v>
      </c>
      <c r="I244" s="1089">
        <v>0</v>
      </c>
      <c r="J244" s="1089">
        <v>0</v>
      </c>
      <c r="K244" s="1089">
        <v>0</v>
      </c>
      <c r="L244" s="1093">
        <v>0</v>
      </c>
      <c r="M244" s="1093">
        <v>0</v>
      </c>
      <c r="N244" s="1093">
        <v>0</v>
      </c>
      <c r="O244" s="1093">
        <v>0</v>
      </c>
      <c r="P244" s="1093">
        <v>0</v>
      </c>
      <c r="Q244" s="1093">
        <v>0</v>
      </c>
      <c r="R244" s="1089">
        <v>0</v>
      </c>
      <c r="S244" s="1093">
        <v>0</v>
      </c>
      <c r="T244" s="1093">
        <f t="shared" si="4"/>
        <v>0</v>
      </c>
    </row>
    <row r="245" spans="2:20" ht="12.75" customHeight="1" x14ac:dyDescent="0.2">
      <c r="B245" s="1088" t="s">
        <v>806</v>
      </c>
      <c r="C245" s="1088">
        <v>530</v>
      </c>
      <c r="D245" s="1088">
        <v>516</v>
      </c>
      <c r="E245" s="1088">
        <v>0</v>
      </c>
      <c r="F245" s="1088">
        <v>7901</v>
      </c>
      <c r="G245" s="1088" t="s">
        <v>429</v>
      </c>
      <c r="H245" s="1089">
        <v>0</v>
      </c>
      <c r="I245" s="1089">
        <v>0</v>
      </c>
      <c r="J245" s="1089">
        <v>0</v>
      </c>
      <c r="K245" s="1089">
        <v>0</v>
      </c>
      <c r="L245" s="1093">
        <v>0</v>
      </c>
      <c r="M245" s="1093">
        <v>0</v>
      </c>
      <c r="N245" s="1093">
        <v>0</v>
      </c>
      <c r="O245" s="1093">
        <v>0</v>
      </c>
      <c r="P245" s="1093">
        <v>0</v>
      </c>
      <c r="Q245" s="1093">
        <v>0</v>
      </c>
      <c r="R245" s="1089">
        <v>0</v>
      </c>
      <c r="S245" s="1093">
        <v>0</v>
      </c>
      <c r="T245" s="1093">
        <f t="shared" si="4"/>
        <v>0</v>
      </c>
    </row>
    <row r="246" spans="2:20" ht="12.75" customHeight="1" x14ac:dyDescent="0.2">
      <c r="B246" s="1088" t="s">
        <v>807</v>
      </c>
      <c r="C246" s="1088">
        <v>530</v>
      </c>
      <c r="D246" s="1088">
        <v>730</v>
      </c>
      <c r="E246" s="1088">
        <v>0</v>
      </c>
      <c r="F246" s="1088">
        <v>3741</v>
      </c>
      <c r="G246" s="1088" t="s">
        <v>430</v>
      </c>
      <c r="H246" s="1089">
        <v>100</v>
      </c>
      <c r="I246" s="1089">
        <v>744.85</v>
      </c>
      <c r="J246" s="1089">
        <v>102</v>
      </c>
      <c r="K246" s="1089">
        <v>100</v>
      </c>
      <c r="L246" s="1093">
        <v>0</v>
      </c>
      <c r="M246" s="1093">
        <v>100</v>
      </c>
      <c r="N246" s="1093">
        <v>202</v>
      </c>
      <c r="O246" s="1093">
        <v>0</v>
      </c>
      <c r="P246" s="1093">
        <v>0</v>
      </c>
      <c r="Q246" s="1093">
        <v>0</v>
      </c>
      <c r="R246" s="1089">
        <v>0</v>
      </c>
      <c r="S246" s="1093">
        <v>0</v>
      </c>
      <c r="T246" s="1093">
        <f t="shared" si="4"/>
        <v>1348.85</v>
      </c>
    </row>
    <row r="247" spans="2:20" ht="12.75" customHeight="1" x14ac:dyDescent="0.2">
      <c r="B247" s="1088" t="s">
        <v>808</v>
      </c>
      <c r="C247" s="1088">
        <v>530</v>
      </c>
      <c r="D247" s="1088">
        <v>730</v>
      </c>
      <c r="E247" s="1088">
        <v>0</v>
      </c>
      <c r="F247" s="1088">
        <v>5101</v>
      </c>
      <c r="G247" s="1088" t="s">
        <v>431</v>
      </c>
      <c r="H247" s="1089">
        <v>222.22</v>
      </c>
      <c r="I247" s="1089">
        <v>1551.98</v>
      </c>
      <c r="J247" s="1089">
        <v>1964.5900000000001</v>
      </c>
      <c r="K247" s="1089">
        <v>2196.91</v>
      </c>
      <c r="L247" s="1093">
        <v>2321.62</v>
      </c>
      <c r="M247" s="1093">
        <v>560.22</v>
      </c>
      <c r="N247" s="1093">
        <v>1384.52</v>
      </c>
      <c r="O247" s="1093">
        <v>940.56000000000006</v>
      </c>
      <c r="P247" s="1093">
        <v>0</v>
      </c>
      <c r="Q247" s="1093">
        <v>0</v>
      </c>
      <c r="R247" s="1089">
        <v>0</v>
      </c>
      <c r="S247" s="1093">
        <v>0</v>
      </c>
      <c r="T247" s="1093">
        <f t="shared" si="4"/>
        <v>11142.619999999999</v>
      </c>
    </row>
    <row r="248" spans="2:20" ht="12.75" customHeight="1" x14ac:dyDescent="0.2">
      <c r="B248" s="1088" t="s">
        <v>809</v>
      </c>
      <c r="C248" s="1088">
        <v>530</v>
      </c>
      <c r="D248" s="1088">
        <v>730</v>
      </c>
      <c r="E248" s="1088">
        <v>0</v>
      </c>
      <c r="F248" s="1088">
        <v>7901</v>
      </c>
      <c r="G248" s="1088" t="s">
        <v>432</v>
      </c>
      <c r="H248" s="1089">
        <v>0</v>
      </c>
      <c r="I248" s="1089">
        <v>0</v>
      </c>
      <c r="J248" s="1089">
        <v>0</v>
      </c>
      <c r="K248" s="1089">
        <v>0</v>
      </c>
      <c r="L248" s="1093">
        <v>0</v>
      </c>
      <c r="M248" s="1093">
        <v>0</v>
      </c>
      <c r="N248" s="1093">
        <v>0</v>
      </c>
      <c r="O248" s="1093">
        <v>0</v>
      </c>
      <c r="P248" s="1093">
        <v>0</v>
      </c>
      <c r="Q248" s="1093">
        <v>0</v>
      </c>
      <c r="R248" s="1089">
        <v>0</v>
      </c>
      <c r="S248" s="1093">
        <v>0</v>
      </c>
      <c r="T248" s="1093">
        <f t="shared" si="4"/>
        <v>0</v>
      </c>
    </row>
    <row r="249" spans="2:20" ht="12.75" customHeight="1" x14ac:dyDescent="0.2">
      <c r="B249" s="1088" t="s">
        <v>810</v>
      </c>
      <c r="C249" s="1088">
        <v>530</v>
      </c>
      <c r="D249" s="1088">
        <v>740</v>
      </c>
      <c r="E249" s="1088">
        <v>0</v>
      </c>
      <c r="F249" s="1088">
        <v>8101</v>
      </c>
      <c r="G249" s="1088" t="s">
        <v>433</v>
      </c>
      <c r="H249" s="1089">
        <v>0</v>
      </c>
      <c r="I249" s="1089">
        <v>0</v>
      </c>
      <c r="J249" s="1089">
        <v>0</v>
      </c>
      <c r="K249" s="1089">
        <v>0</v>
      </c>
      <c r="L249" s="1093">
        <v>0</v>
      </c>
      <c r="M249" s="1093">
        <v>0</v>
      </c>
      <c r="N249" s="1093">
        <v>0</v>
      </c>
      <c r="O249" s="1093">
        <v>0</v>
      </c>
      <c r="P249" s="1093">
        <v>0</v>
      </c>
      <c r="Q249" s="1093">
        <v>0</v>
      </c>
      <c r="R249" s="1089">
        <v>0</v>
      </c>
      <c r="S249" s="1093">
        <v>0</v>
      </c>
      <c r="T249" s="1093">
        <f t="shared" ref="T249:T256" si="5">SUM(H249:S249)</f>
        <v>0</v>
      </c>
    </row>
    <row r="250" spans="2:20" ht="12.75" customHeight="1" x14ac:dyDescent="0.2">
      <c r="B250" s="1088" t="s">
        <v>811</v>
      </c>
      <c r="C250" s="1088">
        <v>530</v>
      </c>
      <c r="D250" s="1088">
        <v>770</v>
      </c>
      <c r="E250" s="1088">
        <v>0</v>
      </c>
      <c r="F250" s="1088">
        <v>3971</v>
      </c>
      <c r="G250" s="1088" t="s">
        <v>434</v>
      </c>
      <c r="H250" s="1089">
        <v>37.75</v>
      </c>
      <c r="I250" s="1089">
        <v>245.3</v>
      </c>
      <c r="J250" s="1089">
        <v>410.40000000000003</v>
      </c>
      <c r="K250" s="1089">
        <v>37.75</v>
      </c>
      <c r="L250" s="1093">
        <v>42.45</v>
      </c>
      <c r="M250" s="1093">
        <v>122.65</v>
      </c>
      <c r="N250" s="1093">
        <v>165.1</v>
      </c>
      <c r="O250" s="1093">
        <v>42.45</v>
      </c>
      <c r="P250" s="1093">
        <v>0</v>
      </c>
      <c r="Q250" s="1093">
        <v>0</v>
      </c>
      <c r="R250" s="1089">
        <v>0</v>
      </c>
      <c r="S250" s="1093">
        <v>0</v>
      </c>
      <c r="T250" s="1093">
        <f t="shared" si="5"/>
        <v>1103.8500000000001</v>
      </c>
    </row>
    <row r="251" spans="2:20" ht="12.75" customHeight="1" x14ac:dyDescent="0.2">
      <c r="B251" s="1088" t="s">
        <v>812</v>
      </c>
      <c r="C251" s="1088">
        <v>530</v>
      </c>
      <c r="D251" s="1088">
        <v>770</v>
      </c>
      <c r="E251" s="1088">
        <v>0</v>
      </c>
      <c r="F251" s="1088">
        <v>3981</v>
      </c>
      <c r="G251" s="1088" t="s">
        <v>435</v>
      </c>
      <c r="H251" s="1089">
        <v>122.5</v>
      </c>
      <c r="I251" s="1089">
        <v>0</v>
      </c>
      <c r="J251" s="1089">
        <v>0</v>
      </c>
      <c r="K251" s="1089">
        <v>61.25</v>
      </c>
      <c r="L251" s="1093">
        <v>0</v>
      </c>
      <c r="M251" s="1093">
        <v>0</v>
      </c>
      <c r="N251" s="1093">
        <v>0</v>
      </c>
      <c r="O251" s="1093">
        <v>0</v>
      </c>
      <c r="P251" s="1093">
        <v>0</v>
      </c>
      <c r="Q251" s="1093">
        <v>0</v>
      </c>
      <c r="R251" s="1089">
        <v>0</v>
      </c>
      <c r="S251" s="1093">
        <v>0</v>
      </c>
      <c r="T251" s="1093">
        <f t="shared" si="5"/>
        <v>183.75</v>
      </c>
    </row>
    <row r="252" spans="2:20" ht="12.75" customHeight="1" x14ac:dyDescent="0.2">
      <c r="B252" s="1088" t="s">
        <v>813</v>
      </c>
      <c r="C252" s="1088">
        <v>530</v>
      </c>
      <c r="D252" s="1088">
        <v>780</v>
      </c>
      <c r="E252" s="1088">
        <v>0</v>
      </c>
      <c r="F252" s="1088">
        <v>8101</v>
      </c>
      <c r="G252" s="1111" t="s">
        <v>814</v>
      </c>
      <c r="H252" s="1089">
        <v>0</v>
      </c>
      <c r="I252" s="1089">
        <v>0</v>
      </c>
      <c r="J252" s="1089">
        <v>0</v>
      </c>
      <c r="K252" s="1089">
        <v>0</v>
      </c>
      <c r="L252" s="1093">
        <v>0</v>
      </c>
      <c r="M252" s="1093">
        <v>0</v>
      </c>
      <c r="N252" s="1093">
        <v>0</v>
      </c>
      <c r="O252" s="1093">
        <v>0</v>
      </c>
      <c r="P252" s="1093">
        <v>0</v>
      </c>
      <c r="Q252" s="1093">
        <v>0</v>
      </c>
      <c r="R252" s="1089">
        <v>0</v>
      </c>
      <c r="S252" s="1093">
        <v>0</v>
      </c>
      <c r="T252" s="1093">
        <f t="shared" si="5"/>
        <v>0</v>
      </c>
    </row>
    <row r="253" spans="2:20" ht="12.75" customHeight="1" x14ac:dyDescent="0.2">
      <c r="B253" s="1088" t="s">
        <v>815</v>
      </c>
      <c r="C253" s="1088">
        <v>530</v>
      </c>
      <c r="D253" s="1088">
        <v>919</v>
      </c>
      <c r="E253" s="1088">
        <v>0</v>
      </c>
      <c r="F253" s="1088">
        <v>7901</v>
      </c>
      <c r="G253" s="1088" t="s">
        <v>436</v>
      </c>
      <c r="H253" s="1089">
        <v>1643.4</v>
      </c>
      <c r="I253" s="1089">
        <v>247.5</v>
      </c>
      <c r="J253" s="1089">
        <v>0</v>
      </c>
      <c r="K253" s="1089">
        <v>1537.7</v>
      </c>
      <c r="L253" s="1093">
        <v>9941.0300000000007</v>
      </c>
      <c r="M253" s="1093">
        <v>9266.2000000000007</v>
      </c>
      <c r="N253" s="1093">
        <v>1243.52</v>
      </c>
      <c r="O253" s="1093">
        <v>1552.92</v>
      </c>
      <c r="P253" s="1093">
        <v>0</v>
      </c>
      <c r="Q253" s="1093">
        <v>0</v>
      </c>
      <c r="R253" s="1089">
        <v>0</v>
      </c>
      <c r="S253" s="1093">
        <v>0</v>
      </c>
      <c r="T253" s="1093">
        <f t="shared" si="5"/>
        <v>25432.270000000004</v>
      </c>
    </row>
    <row r="254" spans="2:20" ht="12.75" customHeight="1" x14ac:dyDescent="0.2">
      <c r="B254" s="1088" t="s">
        <v>816</v>
      </c>
      <c r="C254" s="1088">
        <v>531</v>
      </c>
      <c r="D254" s="1088">
        <v>376</v>
      </c>
      <c r="E254" s="1088">
        <v>0</v>
      </c>
      <c r="F254" s="1088">
        <v>7901</v>
      </c>
      <c r="G254" s="1088" t="s">
        <v>331</v>
      </c>
      <c r="H254" s="1089">
        <v>0</v>
      </c>
      <c r="I254" s="1089">
        <v>0</v>
      </c>
      <c r="J254" s="1089">
        <v>0</v>
      </c>
      <c r="K254" s="1089">
        <v>0</v>
      </c>
      <c r="L254" s="1093">
        <v>0</v>
      </c>
      <c r="M254" s="1093">
        <v>0</v>
      </c>
      <c r="N254" s="1093">
        <v>0</v>
      </c>
      <c r="O254" s="1093">
        <v>0</v>
      </c>
      <c r="P254" s="1093">
        <v>0</v>
      </c>
      <c r="Q254" s="1093">
        <v>0</v>
      </c>
      <c r="R254" s="1089">
        <v>0</v>
      </c>
      <c r="S254" s="1093">
        <v>0</v>
      </c>
      <c r="T254" s="1093">
        <f t="shared" si="5"/>
        <v>0</v>
      </c>
    </row>
    <row r="255" spans="2:20" ht="12.75" customHeight="1" x14ac:dyDescent="0.2">
      <c r="B255" s="1088" t="s">
        <v>1344</v>
      </c>
      <c r="C255" s="1088">
        <v>532</v>
      </c>
      <c r="D255" s="1088">
        <v>720</v>
      </c>
      <c r="E255" s="1088">
        <v>0</v>
      </c>
      <c r="F255" s="1088">
        <v>3901</v>
      </c>
      <c r="G255" s="1088" t="s">
        <v>1345</v>
      </c>
      <c r="H255" s="1089">
        <v>2500</v>
      </c>
      <c r="I255" s="1089">
        <v>2500</v>
      </c>
      <c r="J255" s="1089">
        <v>2500</v>
      </c>
      <c r="K255" s="1089">
        <v>2500</v>
      </c>
      <c r="L255" s="1093">
        <v>2500</v>
      </c>
      <c r="M255" s="1093">
        <v>2500</v>
      </c>
      <c r="N255" s="1093">
        <v>2500</v>
      </c>
      <c r="O255" s="1093">
        <v>2500</v>
      </c>
      <c r="P255" s="1093">
        <v>0</v>
      </c>
      <c r="Q255" s="1093">
        <v>0</v>
      </c>
      <c r="R255" s="1089">
        <v>0</v>
      </c>
      <c r="S255" s="1093">
        <v>0</v>
      </c>
      <c r="T255" s="1093">
        <f t="shared" si="5"/>
        <v>20000</v>
      </c>
    </row>
    <row r="256" spans="2:20" ht="12.75" customHeight="1" x14ac:dyDescent="0.2">
      <c r="B256" s="1088" t="s">
        <v>1346</v>
      </c>
      <c r="C256" s="1088">
        <v>533</v>
      </c>
      <c r="D256" s="1088">
        <v>720</v>
      </c>
      <c r="E256" s="1088">
        <v>0</v>
      </c>
      <c r="F256" s="1088">
        <v>3901</v>
      </c>
      <c r="G256" s="1088" t="s">
        <v>1347</v>
      </c>
      <c r="H256" s="1089">
        <v>0</v>
      </c>
      <c r="I256" s="1089">
        <v>0</v>
      </c>
      <c r="J256" s="1089">
        <v>0</v>
      </c>
      <c r="K256" s="1089">
        <v>0</v>
      </c>
      <c r="L256" s="1093">
        <v>0</v>
      </c>
      <c r="M256" s="1093">
        <v>0</v>
      </c>
      <c r="N256" s="1093">
        <v>0</v>
      </c>
      <c r="O256" s="1093">
        <v>0</v>
      </c>
      <c r="P256" s="1093">
        <v>0</v>
      </c>
      <c r="Q256" s="1093">
        <v>0</v>
      </c>
      <c r="R256" s="1089">
        <v>0</v>
      </c>
      <c r="S256" s="1093">
        <v>0</v>
      </c>
      <c r="T256" s="1093">
        <f t="shared" si="5"/>
        <v>0</v>
      </c>
    </row>
    <row r="257" spans="1:20" ht="12.75" customHeight="1" x14ac:dyDescent="0.2">
      <c r="H257" s="1090"/>
      <c r="I257" s="1090"/>
      <c r="J257" s="1090"/>
      <c r="K257" s="1090"/>
      <c r="L257" s="1094"/>
      <c r="M257" s="1094"/>
      <c r="N257" s="1094"/>
      <c r="O257" s="1094"/>
      <c r="P257" s="1094"/>
      <c r="Q257" s="1094"/>
      <c r="R257" s="1090"/>
      <c r="S257" s="1094"/>
      <c r="T257" s="1094"/>
    </row>
    <row r="258" spans="1:20" ht="12.75" customHeight="1" x14ac:dyDescent="0.2">
      <c r="D258" s="1088" t="s">
        <v>1348</v>
      </c>
      <c r="H258" s="1089">
        <f>SUM(H57:H257)</f>
        <v>236715.46</v>
      </c>
      <c r="I258" s="1089">
        <f t="shared" ref="I258:T258" si="6">SUM(I57:I257)</f>
        <v>500839.15999999992</v>
      </c>
      <c r="J258" s="1089">
        <f t="shared" si="6"/>
        <v>528112.79999999981</v>
      </c>
      <c r="K258" s="1089">
        <f t="shared" si="6"/>
        <v>705742.46000000008</v>
      </c>
      <c r="L258" s="1089">
        <f t="shared" si="6"/>
        <v>521627.75000000006</v>
      </c>
      <c r="M258" s="1089">
        <f t="shared" si="6"/>
        <v>596612.43999999994</v>
      </c>
      <c r="N258" s="1089">
        <f t="shared" si="6"/>
        <v>657951.44000000018</v>
      </c>
      <c r="O258" s="1089">
        <f t="shared" si="6"/>
        <v>493910.34999999992</v>
      </c>
      <c r="P258" s="1089">
        <f t="shared" si="6"/>
        <v>0</v>
      </c>
      <c r="Q258" s="1089">
        <f t="shared" si="6"/>
        <v>0</v>
      </c>
      <c r="R258" s="1089">
        <f t="shared" si="6"/>
        <v>0</v>
      </c>
      <c r="S258" s="1089">
        <f t="shared" si="6"/>
        <v>0</v>
      </c>
      <c r="T258" s="1089">
        <f t="shared" si="6"/>
        <v>4241511.8599999994</v>
      </c>
    </row>
    <row r="259" spans="1:20" ht="12.75" customHeight="1" x14ac:dyDescent="0.2">
      <c r="B259" s="1111"/>
      <c r="C259" s="1111"/>
      <c r="D259" s="1111"/>
      <c r="E259" s="1111"/>
      <c r="F259" s="1111"/>
      <c r="G259" s="1111"/>
    </row>
    <row r="260" spans="1:20" ht="12.75" customHeight="1" x14ac:dyDescent="0.2">
      <c r="B260" s="1088" t="s">
        <v>784</v>
      </c>
      <c r="G260" s="1088" t="s">
        <v>785</v>
      </c>
      <c r="H260" s="1089">
        <v>0</v>
      </c>
      <c r="I260" s="1089">
        <v>0</v>
      </c>
      <c r="J260" s="1089">
        <v>0</v>
      </c>
      <c r="K260" s="1089">
        <v>0</v>
      </c>
      <c r="L260" s="1093">
        <v>0</v>
      </c>
      <c r="M260" s="1093">
        <v>0</v>
      </c>
      <c r="N260" s="1093">
        <v>0</v>
      </c>
      <c r="O260" s="1093">
        <v>0</v>
      </c>
      <c r="P260" s="1093">
        <v>0</v>
      </c>
      <c r="Q260" s="1093">
        <v>0</v>
      </c>
      <c r="R260" s="1089">
        <v>0</v>
      </c>
      <c r="S260" s="1093">
        <v>0</v>
      </c>
      <c r="T260" s="1093">
        <f>SUM(H260:S260)</f>
        <v>0</v>
      </c>
    </row>
    <row r="261" spans="1:20" ht="12.75" customHeight="1" x14ac:dyDescent="0.2">
      <c r="B261" s="1088" t="s">
        <v>786</v>
      </c>
      <c r="G261" s="1088" t="s">
        <v>421</v>
      </c>
      <c r="H261" s="1089">
        <v>0</v>
      </c>
      <c r="I261" s="1089">
        <v>0</v>
      </c>
      <c r="J261" s="1089">
        <v>0</v>
      </c>
      <c r="K261" s="1089">
        <v>0</v>
      </c>
      <c r="L261" s="1093">
        <v>0</v>
      </c>
      <c r="M261" s="1093">
        <v>0</v>
      </c>
      <c r="N261" s="1093">
        <v>0</v>
      </c>
      <c r="O261" s="1093">
        <v>0</v>
      </c>
      <c r="P261" s="1093">
        <v>0</v>
      </c>
      <c r="Q261" s="1093">
        <v>0</v>
      </c>
      <c r="R261" s="1089">
        <v>0</v>
      </c>
      <c r="S261" s="1093">
        <v>0</v>
      </c>
      <c r="T261" s="1093">
        <f>SUM(H261:S261)</f>
        <v>0</v>
      </c>
    </row>
    <row r="262" spans="1:20" ht="12.75" customHeight="1" x14ac:dyDescent="0.2">
      <c r="B262" s="1088" t="s">
        <v>1349</v>
      </c>
      <c r="G262" s="1088" t="s">
        <v>1350</v>
      </c>
      <c r="H262" s="1089">
        <f>81481.41-19583.34</f>
        <v>61898.070000000007</v>
      </c>
      <c r="I262" s="1089">
        <f>86702.09-19583.33-5220.68</f>
        <v>61898.079999999994</v>
      </c>
      <c r="J262" s="1089">
        <f>-5220.68+67118.76</f>
        <v>61898.079999999994</v>
      </c>
      <c r="K262" s="1089">
        <f>86702.09-5220.68-19583.34</f>
        <v>61898.070000000007</v>
      </c>
      <c r="L262" s="1093">
        <f>86702.09-5220.68-19583.33</f>
        <v>61898.080000000002</v>
      </c>
      <c r="M262" s="1093">
        <v>61898.080000000002</v>
      </c>
      <c r="N262" s="1180">
        <f>86101.66-5220.68-19583.33</f>
        <v>61297.650000000009</v>
      </c>
      <c r="O262" s="1093">
        <v>61482.8</v>
      </c>
      <c r="P262" s="1093">
        <v>0</v>
      </c>
      <c r="Q262" s="1093">
        <v>0</v>
      </c>
      <c r="R262" s="1089">
        <v>0</v>
      </c>
      <c r="S262" s="1093">
        <v>0</v>
      </c>
      <c r="T262" s="1093">
        <f>SUM(H262:S262)</f>
        <v>494168.91000000003</v>
      </c>
    </row>
    <row r="263" spans="1:20" ht="12.75" customHeight="1" x14ac:dyDescent="0.2">
      <c r="B263" s="1088" t="s">
        <v>787</v>
      </c>
      <c r="G263" s="1088" t="s">
        <v>788</v>
      </c>
      <c r="H263" s="1089">
        <v>0</v>
      </c>
      <c r="I263" s="1089">
        <v>0</v>
      </c>
      <c r="J263" s="1089">
        <v>0</v>
      </c>
      <c r="K263" s="1089">
        <v>0</v>
      </c>
      <c r="L263" s="1093">
        <v>0</v>
      </c>
      <c r="M263" s="1093">
        <v>0</v>
      </c>
      <c r="N263" s="1093">
        <v>0</v>
      </c>
      <c r="O263" s="1093">
        <v>0</v>
      </c>
      <c r="P263" s="1093">
        <v>0</v>
      </c>
      <c r="Q263" s="1093">
        <v>0</v>
      </c>
      <c r="R263" s="1089">
        <v>0</v>
      </c>
      <c r="S263" s="1093">
        <v>0</v>
      </c>
      <c r="T263" s="1093">
        <f>SUM(H263:S263)</f>
        <v>0</v>
      </c>
    </row>
    <row r="264" spans="1:20" ht="12.75" customHeight="1" x14ac:dyDescent="0.2">
      <c r="H264" s="1090"/>
      <c r="I264" s="1090"/>
      <c r="J264" s="1090"/>
      <c r="K264" s="1170"/>
      <c r="L264" s="1094"/>
      <c r="M264" s="1094"/>
      <c r="N264" s="1094"/>
      <c r="O264" s="1094"/>
      <c r="P264" s="1094"/>
      <c r="Q264" s="1094"/>
      <c r="R264" s="1090"/>
      <c r="S264" s="1094"/>
      <c r="T264" s="1094"/>
    </row>
    <row r="265" spans="1:20" ht="12.75" customHeight="1" x14ac:dyDescent="0.2">
      <c r="D265" s="1088" t="s">
        <v>1351</v>
      </c>
      <c r="H265" s="1089">
        <f>SUM(H260:H264)</f>
        <v>61898.070000000007</v>
      </c>
      <c r="I265" s="1089">
        <f t="shared" ref="I265:T265" si="7">SUM(I260:I264)</f>
        <v>61898.079999999994</v>
      </c>
      <c r="J265" s="1089">
        <f>SUM(J260:J264)</f>
        <v>61898.079999999994</v>
      </c>
      <c r="K265" s="1089">
        <f>SUM(K260:K264)</f>
        <v>61898.070000000007</v>
      </c>
      <c r="L265" s="1089">
        <f>SUM(L260:L264)</f>
        <v>61898.080000000002</v>
      </c>
      <c r="M265" s="1089">
        <f t="shared" ref="M265:O265" si="8">SUM(M260:M264)</f>
        <v>61898.080000000002</v>
      </c>
      <c r="N265" s="1089">
        <f t="shared" si="8"/>
        <v>61297.650000000009</v>
      </c>
      <c r="O265" s="1089">
        <f t="shared" si="8"/>
        <v>61482.8</v>
      </c>
      <c r="P265" s="1089">
        <f t="shared" si="7"/>
        <v>0</v>
      </c>
      <c r="Q265" s="1089">
        <f t="shared" si="7"/>
        <v>0</v>
      </c>
      <c r="R265" s="1089">
        <f t="shared" si="7"/>
        <v>0</v>
      </c>
      <c r="S265" s="1089">
        <f t="shared" si="7"/>
        <v>0</v>
      </c>
      <c r="T265" s="1089">
        <f t="shared" si="7"/>
        <v>494168.91000000003</v>
      </c>
    </row>
    <row r="266" spans="1:20" ht="12.75" customHeight="1" x14ac:dyDescent="0.2">
      <c r="H266" s="1090"/>
      <c r="I266" s="1090"/>
      <c r="J266" s="1090"/>
      <c r="K266" s="1090"/>
      <c r="L266" s="1090"/>
      <c r="M266" s="1090"/>
      <c r="N266" s="1090"/>
      <c r="O266" s="1090"/>
      <c r="P266" s="1090"/>
      <c r="Q266" s="1090"/>
      <c r="R266" s="1090"/>
      <c r="S266" s="1090"/>
      <c r="T266" s="1090"/>
    </row>
    <row r="267" spans="1:20" ht="12.75" customHeight="1" x14ac:dyDescent="0.2">
      <c r="D267" s="1088" t="s">
        <v>1352</v>
      </c>
      <c r="H267" s="1089">
        <f>+H258+H265</f>
        <v>298613.53000000003</v>
      </c>
      <c r="I267" s="1089">
        <f t="shared" ref="I267:T267" si="9">+I258+I265</f>
        <v>562737.23999999987</v>
      </c>
      <c r="J267" s="1089">
        <f>+J258+J265</f>
        <v>590010.87999999977</v>
      </c>
      <c r="K267" s="1089">
        <f>+K258+K265</f>
        <v>767640.53</v>
      </c>
      <c r="L267" s="1089">
        <f>+L258+L265</f>
        <v>583525.83000000007</v>
      </c>
      <c r="M267" s="1089">
        <f t="shared" ref="M267" si="10">+M258+M265</f>
        <v>658510.5199999999</v>
      </c>
      <c r="N267" s="1089">
        <f t="shared" ref="N267:O267" si="11">+N258+N265</f>
        <v>719249.0900000002</v>
      </c>
      <c r="O267" s="1089">
        <f t="shared" si="11"/>
        <v>555393.14999999991</v>
      </c>
      <c r="P267" s="1089">
        <f t="shared" si="9"/>
        <v>0</v>
      </c>
      <c r="Q267" s="1089">
        <f t="shared" si="9"/>
        <v>0</v>
      </c>
      <c r="R267" s="1089">
        <f t="shared" si="9"/>
        <v>0</v>
      </c>
      <c r="S267" s="1089">
        <f t="shared" si="9"/>
        <v>0</v>
      </c>
      <c r="T267" s="1089">
        <f t="shared" si="9"/>
        <v>4735680.7699999996</v>
      </c>
    </row>
    <row r="268" spans="1:20" ht="12.75" customHeight="1" x14ac:dyDescent="0.2">
      <c r="H268" s="1090"/>
      <c r="I268" s="1090"/>
      <c r="J268" s="1090"/>
      <c r="K268" s="1090"/>
      <c r="L268" s="1090"/>
      <c r="M268" s="1090"/>
      <c r="N268" s="1090"/>
      <c r="O268" s="1090"/>
      <c r="P268" s="1090"/>
      <c r="Q268" s="1090"/>
      <c r="R268" s="1090"/>
      <c r="S268" s="1090"/>
      <c r="T268" s="1090"/>
    </row>
    <row r="269" spans="1:20" ht="12.75" customHeight="1" x14ac:dyDescent="0.2">
      <c r="D269" s="1088" t="s">
        <v>1353</v>
      </c>
      <c r="H269" s="1089">
        <f>+H53-H267</f>
        <v>26285.789999999979</v>
      </c>
      <c r="I269" s="1089">
        <f t="shared" ref="I269:T269" si="12">+I53-I267</f>
        <v>37366.370000000112</v>
      </c>
      <c r="J269" s="1089">
        <f>+J53-J267</f>
        <v>-12549.479999999749</v>
      </c>
      <c r="K269" s="1089">
        <f>+K53-K267</f>
        <v>-150976.07000000007</v>
      </c>
      <c r="L269" s="1089">
        <f>+L53-L267</f>
        <v>-20878.770000000135</v>
      </c>
      <c r="M269" s="1089">
        <f t="shared" ref="M269" si="13">+M53-M267</f>
        <v>-169378.14999999991</v>
      </c>
      <c r="N269" s="1089">
        <f t="shared" ref="N269:O269" si="14">+N53-N267</f>
        <v>-94982.160000000149</v>
      </c>
      <c r="O269" s="1089">
        <f t="shared" si="14"/>
        <v>240270.24000000011</v>
      </c>
      <c r="P269" s="1089">
        <f t="shared" si="12"/>
        <v>0</v>
      </c>
      <c r="Q269" s="1089">
        <f t="shared" si="12"/>
        <v>0</v>
      </c>
      <c r="R269" s="1089">
        <f t="shared" si="12"/>
        <v>0</v>
      </c>
      <c r="S269" s="1089">
        <f t="shared" si="12"/>
        <v>0</v>
      </c>
      <c r="T269" s="1089">
        <f t="shared" si="12"/>
        <v>-144842.22999999952</v>
      </c>
    </row>
    <row r="270" spans="1:20" ht="12.75" customHeight="1" x14ac:dyDescent="0.2"/>
    <row r="271" spans="1:20" ht="12.75" customHeight="1" x14ac:dyDescent="0.2">
      <c r="A271" s="1088" t="s">
        <v>1354</v>
      </c>
    </row>
    <row r="272" spans="1:20" ht="12.75" customHeight="1" x14ac:dyDescent="0.2">
      <c r="B272" s="1111"/>
      <c r="C272" s="1111"/>
      <c r="D272" s="1111"/>
      <c r="E272" s="1111"/>
      <c r="F272" s="1111"/>
      <c r="G272" s="1111"/>
    </row>
    <row r="273" spans="2:20" ht="12.75" customHeight="1" x14ac:dyDescent="0.2">
      <c r="B273" s="1088" t="s">
        <v>800</v>
      </c>
      <c r="G273" s="1088" t="s">
        <v>425</v>
      </c>
      <c r="H273" s="1089">
        <v>3698.23</v>
      </c>
      <c r="I273" s="1089">
        <v>3698.23</v>
      </c>
      <c r="J273" s="1089">
        <v>3698.23</v>
      </c>
      <c r="K273" s="1089">
        <v>3698.23</v>
      </c>
      <c r="L273" s="1089">
        <v>3698.23</v>
      </c>
      <c r="M273" s="1093">
        <v>3698.23</v>
      </c>
      <c r="N273" s="1180">
        <v>3698.23</v>
      </c>
      <c r="O273" s="1180">
        <v>3698.23</v>
      </c>
      <c r="P273" s="1093">
        <v>0</v>
      </c>
      <c r="Q273" s="1093">
        <v>0</v>
      </c>
      <c r="R273" s="1089">
        <v>0</v>
      </c>
      <c r="S273" s="1093">
        <v>0</v>
      </c>
      <c r="T273" s="1093">
        <f>SUM(H273:S273)</f>
        <v>29585.84</v>
      </c>
    </row>
    <row r="274" spans="2:20" ht="12.75" customHeight="1" x14ac:dyDescent="0.2">
      <c r="B274" s="1088" t="s">
        <v>801</v>
      </c>
      <c r="G274" s="1111" t="s">
        <v>802</v>
      </c>
      <c r="H274" s="1089">
        <v>0</v>
      </c>
      <c r="I274" s="1089">
        <v>0</v>
      </c>
      <c r="J274" s="1089">
        <v>0</v>
      </c>
      <c r="K274" s="1089">
        <v>0</v>
      </c>
      <c r="L274" s="1089">
        <v>0</v>
      </c>
      <c r="M274" s="1093">
        <v>0</v>
      </c>
      <c r="N274" s="1180">
        <v>0</v>
      </c>
      <c r="O274" s="1180">
        <v>0</v>
      </c>
      <c r="P274" s="1093">
        <v>0</v>
      </c>
      <c r="Q274" s="1093">
        <v>0</v>
      </c>
      <c r="R274" s="1089">
        <v>0</v>
      </c>
      <c r="S274" s="1093">
        <v>0</v>
      </c>
      <c r="T274" s="1093">
        <f>SUM(H274:S274)</f>
        <v>0</v>
      </c>
    </row>
    <row r="275" spans="2:20" ht="12.75" customHeight="1" x14ac:dyDescent="0.2">
      <c r="B275" s="1088" t="s">
        <v>803</v>
      </c>
      <c r="G275" s="1088" t="s">
        <v>426</v>
      </c>
      <c r="H275" s="1089">
        <v>34080.559999999998</v>
      </c>
      <c r="I275" s="1089">
        <v>34080.559999999998</v>
      </c>
      <c r="J275" s="1089">
        <v>34080.559999999998</v>
      </c>
      <c r="K275" s="1089">
        <v>34080.559999999998</v>
      </c>
      <c r="L275" s="1089">
        <v>34080.559999999998</v>
      </c>
      <c r="M275" s="1093">
        <v>34080.559999999998</v>
      </c>
      <c r="N275" s="1180">
        <v>34080.559999999998</v>
      </c>
      <c r="O275" s="1180">
        <v>34080.559999999998</v>
      </c>
      <c r="P275" s="1093">
        <v>0</v>
      </c>
      <c r="Q275" s="1093">
        <v>0</v>
      </c>
      <c r="R275" s="1089">
        <v>0</v>
      </c>
      <c r="S275" s="1093">
        <v>0</v>
      </c>
      <c r="T275" s="1093">
        <f>SUM(H275:S275)</f>
        <v>272644.47999999998</v>
      </c>
    </row>
    <row r="276" spans="2:20" ht="12.75" customHeight="1" x14ac:dyDescent="0.2">
      <c r="B276" s="1088" t="s">
        <v>804</v>
      </c>
      <c r="G276" s="1111" t="s">
        <v>427</v>
      </c>
      <c r="H276" s="1089">
        <v>345.83</v>
      </c>
      <c r="I276" s="1089">
        <v>345.83</v>
      </c>
      <c r="J276" s="1089">
        <v>345.83</v>
      </c>
      <c r="K276" s="1089">
        <v>345.83</v>
      </c>
      <c r="L276" s="1089">
        <v>345.83</v>
      </c>
      <c r="M276" s="1093">
        <v>345.83</v>
      </c>
      <c r="N276" s="1180">
        <v>345.83</v>
      </c>
      <c r="O276" s="1180">
        <v>345.83</v>
      </c>
      <c r="P276" s="1093">
        <v>0</v>
      </c>
      <c r="Q276" s="1093">
        <v>0</v>
      </c>
      <c r="R276" s="1089">
        <v>0</v>
      </c>
      <c r="S276" s="1093">
        <v>0</v>
      </c>
      <c r="T276" s="1093">
        <f>SUM(H276:S276)</f>
        <v>2766.64</v>
      </c>
    </row>
    <row r="277" spans="2:20" ht="12.75" customHeight="1" x14ac:dyDescent="0.2">
      <c r="B277" s="1088" t="s">
        <v>805</v>
      </c>
      <c r="G277" s="1088" t="s">
        <v>428</v>
      </c>
      <c r="H277" s="1089">
        <v>4646.67</v>
      </c>
      <c r="I277" s="1089">
        <v>4646.67</v>
      </c>
      <c r="J277" s="1089">
        <v>4646.67</v>
      </c>
      <c r="K277" s="1089">
        <v>4646.67</v>
      </c>
      <c r="L277" s="1089">
        <v>4646.67</v>
      </c>
      <c r="M277" s="1093">
        <v>4646.67</v>
      </c>
      <c r="N277" s="1180">
        <v>4646.67</v>
      </c>
      <c r="O277" s="1180">
        <v>4646.67</v>
      </c>
      <c r="P277" s="1093">
        <v>0</v>
      </c>
      <c r="Q277" s="1093">
        <v>0</v>
      </c>
      <c r="R277" s="1089">
        <v>0</v>
      </c>
      <c r="S277" s="1093">
        <v>0</v>
      </c>
      <c r="T277" s="1093">
        <f>SUM(H277:S277)</f>
        <v>37173.359999999993</v>
      </c>
    </row>
    <row r="278" spans="2:20" ht="12.75" customHeight="1" x14ac:dyDescent="0.2">
      <c r="H278" s="1090"/>
      <c r="I278" s="1090"/>
      <c r="J278" s="1090"/>
      <c r="K278" s="1090"/>
      <c r="L278" s="1094"/>
      <c r="M278" s="1094"/>
      <c r="N278" s="1094"/>
      <c r="O278" s="1094"/>
      <c r="P278" s="1094"/>
      <c r="Q278" s="1094"/>
      <c r="R278" s="1090"/>
      <c r="S278" s="1094"/>
      <c r="T278" s="1094"/>
    </row>
    <row r="279" spans="2:20" ht="12.75" customHeight="1" x14ac:dyDescent="0.2">
      <c r="D279" s="1088" t="s">
        <v>1355</v>
      </c>
      <c r="H279" s="1089">
        <f>SUM(H273:H278)</f>
        <v>42771.29</v>
      </c>
      <c r="I279" s="1089">
        <f t="shared" ref="I279:T279" si="15">SUM(I273:I278)</f>
        <v>42771.29</v>
      </c>
      <c r="J279" s="1089">
        <f>SUM(J273:J278)</f>
        <v>42771.29</v>
      </c>
      <c r="K279" s="1089">
        <f>SUM(K273:K278)</f>
        <v>42771.29</v>
      </c>
      <c r="L279" s="1089">
        <f>SUM(L273:L278)</f>
        <v>42771.29</v>
      </c>
      <c r="M279" s="1089">
        <f t="shared" ref="M279" si="16">SUM(M273:M278)</f>
        <v>42771.29</v>
      </c>
      <c r="N279" s="1089">
        <f t="shared" ref="N279:O279" si="17">SUM(N273:N278)</f>
        <v>42771.29</v>
      </c>
      <c r="O279" s="1089">
        <f t="shared" si="17"/>
        <v>42771.29</v>
      </c>
      <c r="P279" s="1089">
        <f t="shared" si="15"/>
        <v>0</v>
      </c>
      <c r="Q279" s="1089">
        <f t="shared" si="15"/>
        <v>0</v>
      </c>
      <c r="R279" s="1089">
        <f t="shared" si="15"/>
        <v>0</v>
      </c>
      <c r="S279" s="1089">
        <f t="shared" si="15"/>
        <v>0</v>
      </c>
      <c r="T279" s="1089">
        <f t="shared" si="15"/>
        <v>342170.32</v>
      </c>
    </row>
    <row r="280" spans="2:20" ht="12.75" customHeight="1" x14ac:dyDescent="0.2">
      <c r="H280" s="1090"/>
      <c r="I280" s="1090"/>
      <c r="J280" s="1090"/>
      <c r="K280" s="1090"/>
      <c r="L280" s="1090"/>
      <c r="M280" s="1090"/>
      <c r="N280" s="1090"/>
      <c r="O280" s="1090"/>
      <c r="P280" s="1090"/>
      <c r="Q280" s="1090"/>
      <c r="R280" s="1090"/>
      <c r="S280" s="1090"/>
      <c r="T280" s="1090"/>
    </row>
    <row r="281" spans="2:20" ht="12.75" customHeight="1" thickBot="1" x14ac:dyDescent="0.25">
      <c r="D281" s="1088" t="s">
        <v>1356</v>
      </c>
      <c r="H281" s="1089">
        <f>+H269-H279</f>
        <v>-16485.500000000022</v>
      </c>
      <c r="I281" s="1089">
        <f t="shared" ref="I281:T281" si="18">+I269-I279</f>
        <v>-5404.9199999998891</v>
      </c>
      <c r="J281" s="1089">
        <f>+J269-J279</f>
        <v>-55320.769999999749</v>
      </c>
      <c r="K281" s="1089">
        <f>+K269-K279</f>
        <v>-193747.36000000007</v>
      </c>
      <c r="L281" s="1089">
        <f>+L269-L279</f>
        <v>-63650.060000000136</v>
      </c>
      <c r="M281" s="1089">
        <f t="shared" ref="M281" si="19">+M269-M279</f>
        <v>-212149.43999999992</v>
      </c>
      <c r="N281" s="1089">
        <f t="shared" ref="N281:O281" si="20">+N269-N279</f>
        <v>-137753.45000000016</v>
      </c>
      <c r="O281" s="1089">
        <f t="shared" si="20"/>
        <v>197498.9500000001</v>
      </c>
      <c r="P281" s="1089">
        <f t="shared" si="18"/>
        <v>0</v>
      </c>
      <c r="Q281" s="1089">
        <f t="shared" si="18"/>
        <v>0</v>
      </c>
      <c r="R281" s="1089">
        <f t="shared" si="18"/>
        <v>0</v>
      </c>
      <c r="S281" s="1089">
        <f t="shared" si="18"/>
        <v>0</v>
      </c>
      <c r="T281" s="1089">
        <f t="shared" si="18"/>
        <v>-487012.54999999952</v>
      </c>
    </row>
    <row r="282" spans="2:20" ht="12.75" customHeight="1" thickTop="1" x14ac:dyDescent="0.2">
      <c r="H282" s="1091"/>
      <c r="I282" s="1091"/>
      <c r="J282" s="1091"/>
      <c r="K282" s="1091"/>
      <c r="L282" s="1174">
        <f>+L281+79775.12</f>
        <v>16125.059999999859</v>
      </c>
      <c r="M282" s="1095"/>
      <c r="N282" s="1095"/>
      <c r="O282" s="1095"/>
      <c r="P282" s="1095"/>
      <c r="Q282" s="1095"/>
      <c r="R282" s="1091"/>
      <c r="S282" s="1095"/>
      <c r="T282" s="1095"/>
    </row>
    <row r="283" spans="2:20" ht="12.75" customHeight="1" x14ac:dyDescent="0.2"/>
    <row r="284" spans="2:20" ht="12.75" customHeight="1" x14ac:dyDescent="0.2"/>
    <row r="285" spans="2:20" ht="12.75" customHeight="1" x14ac:dyDescent="0.2"/>
    <row r="286" spans="2:20" ht="12.75" customHeight="1" x14ac:dyDescent="0.2"/>
    <row r="287" spans="2:20" ht="12.75" customHeight="1" x14ac:dyDescent="0.2"/>
    <row r="288" spans="2:20"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XFC311"/>
  <sheetViews>
    <sheetView topLeftCell="A34" zoomScaleNormal="100" workbookViewId="0">
      <pane xSplit="9" topLeftCell="J1" activePane="topRight" state="frozen"/>
      <selection activeCell="A142" sqref="A142"/>
      <selection pane="topRight" activeCell="J159" sqref="J159"/>
    </sheetView>
  </sheetViews>
  <sheetFormatPr defaultRowHeight="12.75" x14ac:dyDescent="0.2"/>
  <cols>
    <col min="1" max="1" width="31" style="325" customWidth="1"/>
    <col min="2" max="2" width="8.5703125" style="325" customWidth="1"/>
    <col min="3" max="3" width="10" style="325" customWidth="1"/>
    <col min="4" max="5" width="9.28515625" style="325" customWidth="1"/>
    <col min="6" max="6" width="21.28515625" style="279" customWidth="1" collapsed="1"/>
    <col min="7" max="7" width="20.7109375" style="279" bestFit="1" customWidth="1"/>
    <col min="8" max="9" width="20.7109375" style="279" customWidth="1"/>
    <col min="10" max="10" width="13.5703125" style="659" customWidth="1"/>
    <col min="11" max="11" width="10" style="319" bestFit="1" customWidth="1"/>
    <col min="12" max="12" width="10.42578125" style="320" customWidth="1"/>
    <col min="13" max="13" width="8.7109375" style="321" customWidth="1"/>
    <col min="14" max="16" width="11" style="1120" customWidth="1"/>
    <col min="17" max="17" width="7.28515625" style="323" customWidth="1"/>
    <col min="18" max="18" width="10.28515625" style="322" customWidth="1"/>
    <col min="19" max="19" width="9.5703125" style="322" customWidth="1"/>
    <col min="20" max="20" width="8.7109375" style="322" customWidth="1"/>
    <col min="21" max="21" width="7.5703125" style="322" customWidth="1"/>
    <col min="22" max="22" width="8.5703125" style="322" customWidth="1"/>
    <col min="23" max="23" width="9.28515625" style="322" customWidth="1"/>
    <col min="24" max="24" width="10.28515625" style="322" customWidth="1"/>
    <col min="25" max="25" width="9.5703125" style="322" customWidth="1"/>
    <col min="26" max="26" width="20.140625" style="324" bestFit="1" customWidth="1"/>
    <col min="27" max="27" width="32.28515625" style="279" customWidth="1"/>
    <col min="28" max="28" width="2.5703125" style="279" customWidth="1"/>
    <col min="29" max="29" width="35" style="325" customWidth="1"/>
    <col min="30" max="30" width="35" style="279" customWidth="1"/>
    <col min="31" max="31" width="8.28515625" style="279" customWidth="1"/>
    <col min="32" max="32" width="7" style="279" customWidth="1"/>
    <col min="33" max="33" width="7.28515625" style="279" customWidth="1"/>
    <col min="34" max="34" width="6.42578125" style="279" customWidth="1"/>
    <col min="35" max="35" width="8.28515625" style="279" customWidth="1"/>
    <col min="36" max="36" width="9.7109375" style="279" customWidth="1" collapsed="1"/>
    <col min="37" max="37" width="7.28515625" style="279" customWidth="1"/>
    <col min="38" max="38" width="7.42578125" style="279" customWidth="1"/>
    <col min="39" max="39" width="13.7109375" style="326" customWidth="1"/>
    <col min="40" max="40" width="15.7109375" style="327" customWidth="1"/>
    <col min="41" max="41" width="12" style="255" customWidth="1"/>
    <col min="42" max="42" width="8.7109375" style="325" customWidth="1"/>
    <col min="43" max="44" width="8.5703125" style="279" customWidth="1"/>
    <col min="45" max="45" width="7.42578125" style="279" customWidth="1"/>
    <col min="46" max="46" width="10.7109375" style="279" bestFit="1" customWidth="1"/>
    <col min="47" max="47" width="9.140625" style="279"/>
    <col min="48" max="48" width="12.42578125" style="279" bestFit="1" customWidth="1"/>
    <col min="49" max="49" width="14.42578125" style="279" bestFit="1" customWidth="1"/>
    <col min="50" max="50" width="8.28515625" style="279" bestFit="1" customWidth="1"/>
    <col min="51" max="51" width="10.28515625" style="279" bestFit="1" customWidth="1"/>
    <col min="52" max="52" width="7.42578125" style="279" bestFit="1" customWidth="1"/>
    <col min="53" max="53" width="9.42578125" style="279" bestFit="1" customWidth="1"/>
    <col min="54" max="54" width="9.7109375" style="279" bestFit="1" customWidth="1"/>
    <col min="55" max="55" width="8.7109375" style="279" bestFit="1" customWidth="1"/>
    <col min="56" max="56" width="12" style="279" bestFit="1" customWidth="1"/>
    <col min="57" max="57" width="7.28515625" style="279" bestFit="1" customWidth="1"/>
    <col min="58" max="58" width="8.7109375" style="279" bestFit="1" customWidth="1"/>
    <col min="59" max="59" width="12.28515625" style="329" bestFit="1" customWidth="1"/>
    <col min="60" max="60" width="9.28515625" style="329" bestFit="1" customWidth="1"/>
    <col min="61" max="61" width="33.42578125" style="279" bestFit="1" customWidth="1"/>
    <col min="62" max="62" width="10" style="279" customWidth="1"/>
    <col min="63" max="260" width="9.140625" style="279"/>
    <col min="261" max="261" width="31" style="279" customWidth="1"/>
    <col min="262" max="262" width="8.5703125" style="279" customWidth="1"/>
    <col min="263" max="263" width="10" style="279" customWidth="1"/>
    <col min="264" max="265" width="9.28515625" style="279" customWidth="1"/>
    <col min="266" max="266" width="21.28515625" style="279" customWidth="1"/>
    <col min="267" max="267" width="20.7109375" style="279" bestFit="1" customWidth="1"/>
    <col min="268" max="268" width="13.5703125" style="279" customWidth="1"/>
    <col min="269" max="269" width="9.42578125" style="279" customWidth="1"/>
    <col min="270" max="270" width="10.42578125" style="279" customWidth="1"/>
    <col min="271" max="271" width="8.7109375" style="279" customWidth="1"/>
    <col min="272" max="272" width="11" style="279" customWidth="1"/>
    <col min="273" max="273" width="9.5703125" style="279" customWidth="1"/>
    <col min="274" max="274" width="8.7109375" style="279" customWidth="1"/>
    <col min="275" max="275" width="7.5703125" style="279" customWidth="1"/>
    <col min="276" max="276" width="8.5703125" style="279" customWidth="1"/>
    <col min="277" max="277" width="9.28515625" style="279" customWidth="1"/>
    <col min="278" max="278" width="7.28515625" style="279" customWidth="1"/>
    <col min="279" max="280" width="10.28515625" style="279" customWidth="1"/>
    <col min="281" max="281" width="9.5703125" style="279" customWidth="1"/>
    <col min="282" max="282" width="12.7109375" style="279" bestFit="1" customWidth="1"/>
    <col min="283" max="283" width="32.28515625" style="279" customWidth="1"/>
    <col min="284" max="284" width="2.5703125" style="279" customWidth="1"/>
    <col min="285" max="285" width="22" style="279" customWidth="1"/>
    <col min="286" max="286" width="14.7109375" style="279" customWidth="1"/>
    <col min="287" max="287" width="8.28515625" style="279" customWidth="1"/>
    <col min="288" max="288" width="7" style="279" customWidth="1"/>
    <col min="289" max="289" width="7.28515625" style="279" customWidth="1"/>
    <col min="290" max="290" width="6.42578125" style="279" customWidth="1"/>
    <col min="291" max="291" width="8.28515625" style="279" customWidth="1"/>
    <col min="292" max="292" width="9.7109375" style="279" customWidth="1"/>
    <col min="293" max="293" width="7.28515625" style="279" customWidth="1"/>
    <col min="294" max="294" width="7.42578125" style="279" customWidth="1"/>
    <col min="295" max="295" width="13.7109375" style="279" customWidth="1"/>
    <col min="296" max="296" width="15.7109375" style="279" customWidth="1"/>
    <col min="297" max="297" width="12" style="279" customWidth="1"/>
    <col min="298" max="298" width="8.7109375" style="279" customWidth="1"/>
    <col min="299" max="300" width="8.5703125" style="279" customWidth="1"/>
    <col min="301" max="301" width="7.42578125" style="279" customWidth="1"/>
    <col min="302" max="302" width="10.7109375" style="279" bestFit="1" customWidth="1"/>
    <col min="303" max="303" width="9.140625" style="279"/>
    <col min="304" max="304" width="12.42578125" style="279" bestFit="1" customWidth="1"/>
    <col min="305" max="305" width="14.42578125" style="279" bestFit="1" customWidth="1"/>
    <col min="306" max="306" width="8.28515625" style="279" bestFit="1" customWidth="1"/>
    <col min="307" max="307" width="10.28515625" style="279" bestFit="1" customWidth="1"/>
    <col min="308" max="308" width="7.42578125" style="279" bestFit="1" customWidth="1"/>
    <col min="309" max="309" width="9.42578125" style="279" bestFit="1" customWidth="1"/>
    <col min="310" max="310" width="9.7109375" style="279" bestFit="1" customWidth="1"/>
    <col min="311" max="311" width="8.7109375" style="279" bestFit="1" customWidth="1"/>
    <col min="312" max="312" width="12" style="279" bestFit="1" customWidth="1"/>
    <col min="313" max="313" width="7.28515625" style="279" bestFit="1" customWidth="1"/>
    <col min="314" max="314" width="8.7109375" style="279" bestFit="1" customWidth="1"/>
    <col min="315" max="315" width="12.28515625" style="279" bestFit="1" customWidth="1"/>
    <col min="316" max="316" width="9.28515625" style="279" bestFit="1" customWidth="1"/>
    <col min="317" max="317" width="33.42578125" style="279" bestFit="1" customWidth="1"/>
    <col min="318" max="318" width="10" style="279" customWidth="1"/>
    <col min="319" max="516" width="9.140625" style="279"/>
    <col min="517" max="517" width="31" style="279" customWidth="1"/>
    <col min="518" max="518" width="8.5703125" style="279" customWidth="1"/>
    <col min="519" max="519" width="10" style="279" customWidth="1"/>
    <col min="520" max="521" width="9.28515625" style="279" customWidth="1"/>
    <col min="522" max="522" width="21.28515625" style="279" customWidth="1"/>
    <col min="523" max="523" width="20.7109375" style="279" bestFit="1" customWidth="1"/>
    <col min="524" max="524" width="13.5703125" style="279" customWidth="1"/>
    <col min="525" max="525" width="9.42578125" style="279" customWidth="1"/>
    <col min="526" max="526" width="10.42578125" style="279" customWidth="1"/>
    <col min="527" max="527" width="8.7109375" style="279" customWidth="1"/>
    <col min="528" max="528" width="11" style="279" customWidth="1"/>
    <col min="529" max="529" width="9.5703125" style="279" customWidth="1"/>
    <col min="530" max="530" width="8.7109375" style="279" customWidth="1"/>
    <col min="531" max="531" width="7.5703125" style="279" customWidth="1"/>
    <col min="532" max="532" width="8.5703125" style="279" customWidth="1"/>
    <col min="533" max="533" width="9.28515625" style="279" customWidth="1"/>
    <col min="534" max="534" width="7.28515625" style="279" customWidth="1"/>
    <col min="535" max="536" width="10.28515625" style="279" customWidth="1"/>
    <col min="537" max="537" width="9.5703125" style="279" customWidth="1"/>
    <col min="538" max="538" width="12.7109375" style="279" bestFit="1" customWidth="1"/>
    <col min="539" max="539" width="32.28515625" style="279" customWidth="1"/>
    <col min="540" max="540" width="2.5703125" style="279" customWidth="1"/>
    <col min="541" max="541" width="22" style="279" customWidth="1"/>
    <col min="542" max="542" width="14.7109375" style="279" customWidth="1"/>
    <col min="543" max="543" width="8.28515625" style="279" customWidth="1"/>
    <col min="544" max="544" width="7" style="279" customWidth="1"/>
    <col min="545" max="545" width="7.28515625" style="279" customWidth="1"/>
    <col min="546" max="546" width="6.42578125" style="279" customWidth="1"/>
    <col min="547" max="547" width="8.28515625" style="279" customWidth="1"/>
    <col min="548" max="548" width="9.7109375" style="279" customWidth="1"/>
    <col min="549" max="549" width="7.28515625" style="279" customWidth="1"/>
    <col min="550" max="550" width="7.42578125" style="279" customWidth="1"/>
    <col min="551" max="551" width="13.7109375" style="279" customWidth="1"/>
    <col min="552" max="552" width="15.7109375" style="279" customWidth="1"/>
    <col min="553" max="553" width="12" style="279" customWidth="1"/>
    <col min="554" max="554" width="8.7109375" style="279" customWidth="1"/>
    <col min="555" max="556" width="8.5703125" style="279" customWidth="1"/>
    <col min="557" max="557" width="7.42578125" style="279" customWidth="1"/>
    <col min="558" max="558" width="10.7109375" style="279" bestFit="1" customWidth="1"/>
    <col min="559" max="559" width="9.140625" style="279"/>
    <col min="560" max="560" width="12.42578125" style="279" bestFit="1" customWidth="1"/>
    <col min="561" max="561" width="14.42578125" style="279" bestFit="1" customWidth="1"/>
    <col min="562" max="562" width="8.28515625" style="279" bestFit="1" customWidth="1"/>
    <col min="563" max="563" width="10.28515625" style="279" bestFit="1" customWidth="1"/>
    <col min="564" max="564" width="7.42578125" style="279" bestFit="1" customWidth="1"/>
    <col min="565" max="565" width="9.42578125" style="279" bestFit="1" customWidth="1"/>
    <col min="566" max="566" width="9.7109375" style="279" bestFit="1" customWidth="1"/>
    <col min="567" max="567" width="8.7109375" style="279" bestFit="1" customWidth="1"/>
    <col min="568" max="568" width="12" style="279" bestFit="1" customWidth="1"/>
    <col min="569" max="569" width="7.28515625" style="279" bestFit="1" customWidth="1"/>
    <col min="570" max="570" width="8.7109375" style="279" bestFit="1" customWidth="1"/>
    <col min="571" max="571" width="12.28515625" style="279" bestFit="1" customWidth="1"/>
    <col min="572" max="572" width="9.28515625" style="279" bestFit="1" customWidth="1"/>
    <col min="573" max="573" width="33.42578125" style="279" bestFit="1" customWidth="1"/>
    <col min="574" max="574" width="10" style="279" customWidth="1"/>
    <col min="575" max="772" width="9.140625" style="279"/>
    <col min="773" max="773" width="31" style="279" customWidth="1"/>
    <col min="774" max="774" width="8.5703125" style="279" customWidth="1"/>
    <col min="775" max="775" width="10" style="279" customWidth="1"/>
    <col min="776" max="777" width="9.28515625" style="279" customWidth="1"/>
    <col min="778" max="778" width="21.28515625" style="279" customWidth="1"/>
    <col min="779" max="779" width="20.7109375" style="279" bestFit="1" customWidth="1"/>
    <col min="780" max="780" width="13.5703125" style="279" customWidth="1"/>
    <col min="781" max="781" width="9.42578125" style="279" customWidth="1"/>
    <col min="782" max="782" width="10.42578125" style="279" customWidth="1"/>
    <col min="783" max="783" width="8.7109375" style="279" customWidth="1"/>
    <col min="784" max="784" width="11" style="279" customWidth="1"/>
    <col min="785" max="785" width="9.5703125" style="279" customWidth="1"/>
    <col min="786" max="786" width="8.7109375" style="279" customWidth="1"/>
    <col min="787" max="787" width="7.5703125" style="279" customWidth="1"/>
    <col min="788" max="788" width="8.5703125" style="279" customWidth="1"/>
    <col min="789" max="789" width="9.28515625" style="279" customWidth="1"/>
    <col min="790" max="790" width="7.28515625" style="279" customWidth="1"/>
    <col min="791" max="792" width="10.28515625" style="279" customWidth="1"/>
    <col min="793" max="793" width="9.5703125" style="279" customWidth="1"/>
    <col min="794" max="794" width="12.7109375" style="279" bestFit="1" customWidth="1"/>
    <col min="795" max="795" width="32.28515625" style="279" customWidth="1"/>
    <col min="796" max="796" width="2.5703125" style="279" customWidth="1"/>
    <col min="797" max="797" width="22" style="279" customWidth="1"/>
    <col min="798" max="798" width="14.7109375" style="279" customWidth="1"/>
    <col min="799" max="799" width="8.28515625" style="279" customWidth="1"/>
    <col min="800" max="800" width="7" style="279" customWidth="1"/>
    <col min="801" max="801" width="7.28515625" style="279" customWidth="1"/>
    <col min="802" max="802" width="6.42578125" style="279" customWidth="1"/>
    <col min="803" max="803" width="8.28515625" style="279" customWidth="1"/>
    <col min="804" max="804" width="9.7109375" style="279" customWidth="1"/>
    <col min="805" max="805" width="7.28515625" style="279" customWidth="1"/>
    <col min="806" max="806" width="7.42578125" style="279" customWidth="1"/>
    <col min="807" max="807" width="13.7109375" style="279" customWidth="1"/>
    <col min="808" max="808" width="15.7109375" style="279" customWidth="1"/>
    <col min="809" max="809" width="12" style="279" customWidth="1"/>
    <col min="810" max="810" width="8.7109375" style="279" customWidth="1"/>
    <col min="811" max="812" width="8.5703125" style="279" customWidth="1"/>
    <col min="813" max="813" width="7.42578125" style="279" customWidth="1"/>
    <col min="814" max="814" width="10.7109375" style="279" bestFit="1" customWidth="1"/>
    <col min="815" max="815" width="9.140625" style="279"/>
    <col min="816" max="816" width="12.42578125" style="279" bestFit="1" customWidth="1"/>
    <col min="817" max="817" width="14.42578125" style="279" bestFit="1" customWidth="1"/>
    <col min="818" max="818" width="8.28515625" style="279" bestFit="1" customWidth="1"/>
    <col min="819" max="819" width="10.28515625" style="279" bestFit="1" customWidth="1"/>
    <col min="820" max="820" width="7.42578125" style="279" bestFit="1" customWidth="1"/>
    <col min="821" max="821" width="9.42578125" style="279" bestFit="1" customWidth="1"/>
    <col min="822" max="822" width="9.7109375" style="279" bestFit="1" customWidth="1"/>
    <col min="823" max="823" width="8.7109375" style="279" bestFit="1" customWidth="1"/>
    <col min="824" max="824" width="12" style="279" bestFit="1" customWidth="1"/>
    <col min="825" max="825" width="7.28515625" style="279" bestFit="1" customWidth="1"/>
    <col min="826" max="826" width="8.7109375" style="279" bestFit="1" customWidth="1"/>
    <col min="827" max="827" width="12.28515625" style="279" bestFit="1" customWidth="1"/>
    <col min="828" max="828" width="9.28515625" style="279" bestFit="1" customWidth="1"/>
    <col min="829" max="829" width="33.42578125" style="279" bestFit="1" customWidth="1"/>
    <col min="830" max="830" width="10" style="279" customWidth="1"/>
    <col min="831" max="1028" width="9.140625" style="279"/>
    <col min="1029" max="1029" width="31" style="279" customWidth="1"/>
    <col min="1030" max="1030" width="8.5703125" style="279" customWidth="1"/>
    <col min="1031" max="1031" width="10" style="279" customWidth="1"/>
    <col min="1032" max="1033" width="9.28515625" style="279" customWidth="1"/>
    <col min="1034" max="1034" width="21.28515625" style="279" customWidth="1"/>
    <col min="1035" max="1035" width="20.7109375" style="279" bestFit="1" customWidth="1"/>
    <col min="1036" max="1036" width="13.5703125" style="279" customWidth="1"/>
    <col min="1037" max="1037" width="9.42578125" style="279" customWidth="1"/>
    <col min="1038" max="1038" width="10.42578125" style="279" customWidth="1"/>
    <col min="1039" max="1039" width="8.7109375" style="279" customWidth="1"/>
    <col min="1040" max="1040" width="11" style="279" customWidth="1"/>
    <col min="1041" max="1041" width="9.5703125" style="279" customWidth="1"/>
    <col min="1042" max="1042" width="8.7109375" style="279" customWidth="1"/>
    <col min="1043" max="1043" width="7.5703125" style="279" customWidth="1"/>
    <col min="1044" max="1044" width="8.5703125" style="279" customWidth="1"/>
    <col min="1045" max="1045" width="9.28515625" style="279" customWidth="1"/>
    <col min="1046" max="1046" width="7.28515625" style="279" customWidth="1"/>
    <col min="1047" max="1048" width="10.28515625" style="279" customWidth="1"/>
    <col min="1049" max="1049" width="9.5703125" style="279" customWidth="1"/>
    <col min="1050" max="1050" width="12.7109375" style="279" bestFit="1" customWidth="1"/>
    <col min="1051" max="1051" width="32.28515625" style="279" customWidth="1"/>
    <col min="1052" max="1052" width="2.5703125" style="279" customWidth="1"/>
    <col min="1053" max="1053" width="22" style="279" customWidth="1"/>
    <col min="1054" max="1054" width="14.7109375" style="279" customWidth="1"/>
    <col min="1055" max="1055" width="8.28515625" style="279" customWidth="1"/>
    <col min="1056" max="1056" width="7" style="279" customWidth="1"/>
    <col min="1057" max="1057" width="7.28515625" style="279" customWidth="1"/>
    <col min="1058" max="1058" width="6.42578125" style="279" customWidth="1"/>
    <col min="1059" max="1059" width="8.28515625" style="279" customWidth="1"/>
    <col min="1060" max="1060" width="9.7109375" style="279" customWidth="1"/>
    <col min="1061" max="1061" width="7.28515625" style="279" customWidth="1"/>
    <col min="1062" max="1062" width="7.42578125" style="279" customWidth="1"/>
    <col min="1063" max="1063" width="13.7109375" style="279" customWidth="1"/>
    <col min="1064" max="1064" width="15.7109375" style="279" customWidth="1"/>
    <col min="1065" max="1065" width="12" style="279" customWidth="1"/>
    <col min="1066" max="1066" width="8.7109375" style="279" customWidth="1"/>
    <col min="1067" max="1068" width="8.5703125" style="279" customWidth="1"/>
    <col min="1069" max="1069" width="7.42578125" style="279" customWidth="1"/>
    <col min="1070" max="1070" width="10.7109375" style="279" bestFit="1" customWidth="1"/>
    <col min="1071" max="1071" width="9.140625" style="279"/>
    <col min="1072" max="1072" width="12.42578125" style="279" bestFit="1" customWidth="1"/>
    <col min="1073" max="1073" width="14.42578125" style="279" bestFit="1" customWidth="1"/>
    <col min="1074" max="1074" width="8.28515625" style="279" bestFit="1" customWidth="1"/>
    <col min="1075" max="1075" width="10.28515625" style="279" bestFit="1" customWidth="1"/>
    <col min="1076" max="1076" width="7.42578125" style="279" bestFit="1" customWidth="1"/>
    <col min="1077" max="1077" width="9.42578125" style="279" bestFit="1" customWidth="1"/>
    <col min="1078" max="1078" width="9.7109375" style="279" bestFit="1" customWidth="1"/>
    <col min="1079" max="1079" width="8.7109375" style="279" bestFit="1" customWidth="1"/>
    <col min="1080" max="1080" width="12" style="279" bestFit="1" customWidth="1"/>
    <col min="1081" max="1081" width="7.28515625" style="279" bestFit="1" customWidth="1"/>
    <col min="1082" max="1082" width="8.7109375" style="279" bestFit="1" customWidth="1"/>
    <col min="1083" max="1083" width="12.28515625" style="279" bestFit="1" customWidth="1"/>
    <col min="1084" max="1084" width="9.28515625" style="279" bestFit="1" customWidth="1"/>
    <col min="1085" max="1085" width="33.42578125" style="279" bestFit="1" customWidth="1"/>
    <col min="1086" max="1086" width="10" style="279" customWidth="1"/>
    <col min="1087" max="1284" width="9.140625" style="279"/>
    <col min="1285" max="1285" width="31" style="279" customWidth="1"/>
    <col min="1286" max="1286" width="8.5703125" style="279" customWidth="1"/>
    <col min="1287" max="1287" width="10" style="279" customWidth="1"/>
    <col min="1288" max="1289" width="9.28515625" style="279" customWidth="1"/>
    <col min="1290" max="1290" width="21.28515625" style="279" customWidth="1"/>
    <col min="1291" max="1291" width="20.7109375" style="279" bestFit="1" customWidth="1"/>
    <col min="1292" max="1292" width="13.5703125" style="279" customWidth="1"/>
    <col min="1293" max="1293" width="9.42578125" style="279" customWidth="1"/>
    <col min="1294" max="1294" width="10.42578125" style="279" customWidth="1"/>
    <col min="1295" max="1295" width="8.7109375" style="279" customWidth="1"/>
    <col min="1296" max="1296" width="11" style="279" customWidth="1"/>
    <col min="1297" max="1297" width="9.5703125" style="279" customWidth="1"/>
    <col min="1298" max="1298" width="8.7109375" style="279" customWidth="1"/>
    <col min="1299" max="1299" width="7.5703125" style="279" customWidth="1"/>
    <col min="1300" max="1300" width="8.5703125" style="279" customWidth="1"/>
    <col min="1301" max="1301" width="9.28515625" style="279" customWidth="1"/>
    <col min="1302" max="1302" width="7.28515625" style="279" customWidth="1"/>
    <col min="1303" max="1304" width="10.28515625" style="279" customWidth="1"/>
    <col min="1305" max="1305" width="9.5703125" style="279" customWidth="1"/>
    <col min="1306" max="1306" width="12.7109375" style="279" bestFit="1" customWidth="1"/>
    <col min="1307" max="1307" width="32.28515625" style="279" customWidth="1"/>
    <col min="1308" max="1308" width="2.5703125" style="279" customWidth="1"/>
    <col min="1309" max="1309" width="22" style="279" customWidth="1"/>
    <col min="1310" max="1310" width="14.7109375" style="279" customWidth="1"/>
    <col min="1311" max="1311" width="8.28515625" style="279" customWidth="1"/>
    <col min="1312" max="1312" width="7" style="279" customWidth="1"/>
    <col min="1313" max="1313" width="7.28515625" style="279" customWidth="1"/>
    <col min="1314" max="1314" width="6.42578125" style="279" customWidth="1"/>
    <col min="1315" max="1315" width="8.28515625" style="279" customWidth="1"/>
    <col min="1316" max="1316" width="9.7109375" style="279" customWidth="1"/>
    <col min="1317" max="1317" width="7.28515625" style="279" customWidth="1"/>
    <col min="1318" max="1318" width="7.42578125" style="279" customWidth="1"/>
    <col min="1319" max="1319" width="13.7109375" style="279" customWidth="1"/>
    <col min="1320" max="1320" width="15.7109375" style="279" customWidth="1"/>
    <col min="1321" max="1321" width="12" style="279" customWidth="1"/>
    <col min="1322" max="1322" width="8.7109375" style="279" customWidth="1"/>
    <col min="1323" max="1324" width="8.5703125" style="279" customWidth="1"/>
    <col min="1325" max="1325" width="7.42578125" style="279" customWidth="1"/>
    <col min="1326" max="1326" width="10.7109375" style="279" bestFit="1" customWidth="1"/>
    <col min="1327" max="1327" width="9.140625" style="279"/>
    <col min="1328" max="1328" width="12.42578125" style="279" bestFit="1" customWidth="1"/>
    <col min="1329" max="1329" width="14.42578125" style="279" bestFit="1" customWidth="1"/>
    <col min="1330" max="1330" width="8.28515625" style="279" bestFit="1" customWidth="1"/>
    <col min="1331" max="1331" width="10.28515625" style="279" bestFit="1" customWidth="1"/>
    <col min="1332" max="1332" width="7.42578125" style="279" bestFit="1" customWidth="1"/>
    <col min="1333" max="1333" width="9.42578125" style="279" bestFit="1" customWidth="1"/>
    <col min="1334" max="1334" width="9.7109375" style="279" bestFit="1" customWidth="1"/>
    <col min="1335" max="1335" width="8.7109375" style="279" bestFit="1" customWidth="1"/>
    <col min="1336" max="1336" width="12" style="279" bestFit="1" customWidth="1"/>
    <col min="1337" max="1337" width="7.28515625" style="279" bestFit="1" customWidth="1"/>
    <col min="1338" max="1338" width="8.7109375" style="279" bestFit="1" customWidth="1"/>
    <col min="1339" max="1339" width="12.28515625" style="279" bestFit="1" customWidth="1"/>
    <col min="1340" max="1340" width="9.28515625" style="279" bestFit="1" customWidth="1"/>
    <col min="1341" max="1341" width="33.42578125" style="279" bestFit="1" customWidth="1"/>
    <col min="1342" max="1342" width="10" style="279" customWidth="1"/>
    <col min="1343" max="1540" width="9.140625" style="279"/>
    <col min="1541" max="1541" width="31" style="279" customWidth="1"/>
    <col min="1542" max="1542" width="8.5703125" style="279" customWidth="1"/>
    <col min="1543" max="1543" width="10" style="279" customWidth="1"/>
    <col min="1544" max="1545" width="9.28515625" style="279" customWidth="1"/>
    <col min="1546" max="1546" width="21.28515625" style="279" customWidth="1"/>
    <col min="1547" max="1547" width="20.7109375" style="279" bestFit="1" customWidth="1"/>
    <col min="1548" max="1548" width="13.5703125" style="279" customWidth="1"/>
    <col min="1549" max="1549" width="9.42578125" style="279" customWidth="1"/>
    <col min="1550" max="1550" width="10.42578125" style="279" customWidth="1"/>
    <col min="1551" max="1551" width="8.7109375" style="279" customWidth="1"/>
    <col min="1552" max="1552" width="11" style="279" customWidth="1"/>
    <col min="1553" max="1553" width="9.5703125" style="279" customWidth="1"/>
    <col min="1554" max="1554" width="8.7109375" style="279" customWidth="1"/>
    <col min="1555" max="1555" width="7.5703125" style="279" customWidth="1"/>
    <col min="1556" max="1556" width="8.5703125" style="279" customWidth="1"/>
    <col min="1557" max="1557" width="9.28515625" style="279" customWidth="1"/>
    <col min="1558" max="1558" width="7.28515625" style="279" customWidth="1"/>
    <col min="1559" max="1560" width="10.28515625" style="279" customWidth="1"/>
    <col min="1561" max="1561" width="9.5703125" style="279" customWidth="1"/>
    <col min="1562" max="1562" width="12.7109375" style="279" bestFit="1" customWidth="1"/>
    <col min="1563" max="1563" width="32.28515625" style="279" customWidth="1"/>
    <col min="1564" max="1564" width="2.5703125" style="279" customWidth="1"/>
    <col min="1565" max="1565" width="22" style="279" customWidth="1"/>
    <col min="1566" max="1566" width="14.7109375" style="279" customWidth="1"/>
    <col min="1567" max="1567" width="8.28515625" style="279" customWidth="1"/>
    <col min="1568" max="1568" width="7" style="279" customWidth="1"/>
    <col min="1569" max="1569" width="7.28515625" style="279" customWidth="1"/>
    <col min="1570" max="1570" width="6.42578125" style="279" customWidth="1"/>
    <col min="1571" max="1571" width="8.28515625" style="279" customWidth="1"/>
    <col min="1572" max="1572" width="9.7109375" style="279" customWidth="1"/>
    <col min="1573" max="1573" width="7.28515625" style="279" customWidth="1"/>
    <col min="1574" max="1574" width="7.42578125" style="279" customWidth="1"/>
    <col min="1575" max="1575" width="13.7109375" style="279" customWidth="1"/>
    <col min="1576" max="1576" width="15.7109375" style="279" customWidth="1"/>
    <col min="1577" max="1577" width="12" style="279" customWidth="1"/>
    <col min="1578" max="1578" width="8.7109375" style="279" customWidth="1"/>
    <col min="1579" max="1580" width="8.5703125" style="279" customWidth="1"/>
    <col min="1581" max="1581" width="7.42578125" style="279" customWidth="1"/>
    <col min="1582" max="1582" width="10.7109375" style="279" bestFit="1" customWidth="1"/>
    <col min="1583" max="1583" width="9.140625" style="279"/>
    <col min="1584" max="1584" width="12.42578125" style="279" bestFit="1" customWidth="1"/>
    <col min="1585" max="1585" width="14.42578125" style="279" bestFit="1" customWidth="1"/>
    <col min="1586" max="1586" width="8.28515625" style="279" bestFit="1" customWidth="1"/>
    <col min="1587" max="1587" width="10.28515625" style="279" bestFit="1" customWidth="1"/>
    <col min="1588" max="1588" width="7.42578125" style="279" bestFit="1" customWidth="1"/>
    <col min="1589" max="1589" width="9.42578125" style="279" bestFit="1" customWidth="1"/>
    <col min="1590" max="1590" width="9.7109375" style="279" bestFit="1" customWidth="1"/>
    <col min="1591" max="1591" width="8.7109375" style="279" bestFit="1" customWidth="1"/>
    <col min="1592" max="1592" width="12" style="279" bestFit="1" customWidth="1"/>
    <col min="1593" max="1593" width="7.28515625" style="279" bestFit="1" customWidth="1"/>
    <col min="1594" max="1594" width="8.7109375" style="279" bestFit="1" customWidth="1"/>
    <col min="1595" max="1595" width="12.28515625" style="279" bestFit="1" customWidth="1"/>
    <col min="1596" max="1596" width="9.28515625" style="279" bestFit="1" customWidth="1"/>
    <col min="1597" max="1597" width="33.42578125" style="279" bestFit="1" customWidth="1"/>
    <col min="1598" max="1598" width="10" style="279" customWidth="1"/>
    <col min="1599" max="1796" width="9.140625" style="279"/>
    <col min="1797" max="1797" width="31" style="279" customWidth="1"/>
    <col min="1798" max="1798" width="8.5703125" style="279" customWidth="1"/>
    <col min="1799" max="1799" width="10" style="279" customWidth="1"/>
    <col min="1800" max="1801" width="9.28515625" style="279" customWidth="1"/>
    <col min="1802" max="1802" width="21.28515625" style="279" customWidth="1"/>
    <col min="1803" max="1803" width="20.7109375" style="279" bestFit="1" customWidth="1"/>
    <col min="1804" max="1804" width="13.5703125" style="279" customWidth="1"/>
    <col min="1805" max="1805" width="9.42578125" style="279" customWidth="1"/>
    <col min="1806" max="1806" width="10.42578125" style="279" customWidth="1"/>
    <col min="1807" max="1807" width="8.7109375" style="279" customWidth="1"/>
    <col min="1808" max="1808" width="11" style="279" customWidth="1"/>
    <col min="1809" max="1809" width="9.5703125" style="279" customWidth="1"/>
    <col min="1810" max="1810" width="8.7109375" style="279" customWidth="1"/>
    <col min="1811" max="1811" width="7.5703125" style="279" customWidth="1"/>
    <col min="1812" max="1812" width="8.5703125" style="279" customWidth="1"/>
    <col min="1813" max="1813" width="9.28515625" style="279" customWidth="1"/>
    <col min="1814" max="1814" width="7.28515625" style="279" customWidth="1"/>
    <col min="1815" max="1816" width="10.28515625" style="279" customWidth="1"/>
    <col min="1817" max="1817" width="9.5703125" style="279" customWidth="1"/>
    <col min="1818" max="1818" width="12.7109375" style="279" bestFit="1" customWidth="1"/>
    <col min="1819" max="1819" width="32.28515625" style="279" customWidth="1"/>
    <col min="1820" max="1820" width="2.5703125" style="279" customWidth="1"/>
    <col min="1821" max="1821" width="22" style="279" customWidth="1"/>
    <col min="1822" max="1822" width="14.7109375" style="279" customWidth="1"/>
    <col min="1823" max="1823" width="8.28515625" style="279" customWidth="1"/>
    <col min="1824" max="1824" width="7" style="279" customWidth="1"/>
    <col min="1825" max="1825" width="7.28515625" style="279" customWidth="1"/>
    <col min="1826" max="1826" width="6.42578125" style="279" customWidth="1"/>
    <col min="1827" max="1827" width="8.28515625" style="279" customWidth="1"/>
    <col min="1828" max="1828" width="9.7109375" style="279" customWidth="1"/>
    <col min="1829" max="1829" width="7.28515625" style="279" customWidth="1"/>
    <col min="1830" max="1830" width="7.42578125" style="279" customWidth="1"/>
    <col min="1831" max="1831" width="13.7109375" style="279" customWidth="1"/>
    <col min="1832" max="1832" width="15.7109375" style="279" customWidth="1"/>
    <col min="1833" max="1833" width="12" style="279" customWidth="1"/>
    <col min="1834" max="1834" width="8.7109375" style="279" customWidth="1"/>
    <col min="1835" max="1836" width="8.5703125" style="279" customWidth="1"/>
    <col min="1837" max="1837" width="7.42578125" style="279" customWidth="1"/>
    <col min="1838" max="1838" width="10.7109375" style="279" bestFit="1" customWidth="1"/>
    <col min="1839" max="1839" width="9.140625" style="279"/>
    <col min="1840" max="1840" width="12.42578125" style="279" bestFit="1" customWidth="1"/>
    <col min="1841" max="1841" width="14.42578125" style="279" bestFit="1" customWidth="1"/>
    <col min="1842" max="1842" width="8.28515625" style="279" bestFit="1" customWidth="1"/>
    <col min="1843" max="1843" width="10.28515625" style="279" bestFit="1" customWidth="1"/>
    <col min="1844" max="1844" width="7.42578125" style="279" bestFit="1" customWidth="1"/>
    <col min="1845" max="1845" width="9.42578125" style="279" bestFit="1" customWidth="1"/>
    <col min="1846" max="1846" width="9.7109375" style="279" bestFit="1" customWidth="1"/>
    <col min="1847" max="1847" width="8.7109375" style="279" bestFit="1" customWidth="1"/>
    <col min="1848" max="1848" width="12" style="279" bestFit="1" customWidth="1"/>
    <col min="1849" max="1849" width="7.28515625" style="279" bestFit="1" customWidth="1"/>
    <col min="1850" max="1850" width="8.7109375" style="279" bestFit="1" customWidth="1"/>
    <col min="1851" max="1851" width="12.28515625" style="279" bestFit="1" customWidth="1"/>
    <col min="1852" max="1852" width="9.28515625" style="279" bestFit="1" customWidth="1"/>
    <col min="1853" max="1853" width="33.42578125" style="279" bestFit="1" customWidth="1"/>
    <col min="1854" max="1854" width="10" style="279" customWidth="1"/>
    <col min="1855" max="2052" width="9.140625" style="279"/>
    <col min="2053" max="2053" width="31" style="279" customWidth="1"/>
    <col min="2054" max="2054" width="8.5703125" style="279" customWidth="1"/>
    <col min="2055" max="2055" width="10" style="279" customWidth="1"/>
    <col min="2056" max="2057" width="9.28515625" style="279" customWidth="1"/>
    <col min="2058" max="2058" width="21.28515625" style="279" customWidth="1"/>
    <col min="2059" max="2059" width="20.7109375" style="279" bestFit="1" customWidth="1"/>
    <col min="2060" max="2060" width="13.5703125" style="279" customWidth="1"/>
    <col min="2061" max="2061" width="9.42578125" style="279" customWidth="1"/>
    <col min="2062" max="2062" width="10.42578125" style="279" customWidth="1"/>
    <col min="2063" max="2063" width="8.7109375" style="279" customWidth="1"/>
    <col min="2064" max="2064" width="11" style="279" customWidth="1"/>
    <col min="2065" max="2065" width="9.5703125" style="279" customWidth="1"/>
    <col min="2066" max="2066" width="8.7109375" style="279" customWidth="1"/>
    <col min="2067" max="2067" width="7.5703125" style="279" customWidth="1"/>
    <col min="2068" max="2068" width="8.5703125" style="279" customWidth="1"/>
    <col min="2069" max="2069" width="9.28515625" style="279" customWidth="1"/>
    <col min="2070" max="2070" width="7.28515625" style="279" customWidth="1"/>
    <col min="2071" max="2072" width="10.28515625" style="279" customWidth="1"/>
    <col min="2073" max="2073" width="9.5703125" style="279" customWidth="1"/>
    <col min="2074" max="2074" width="12.7109375" style="279" bestFit="1" customWidth="1"/>
    <col min="2075" max="2075" width="32.28515625" style="279" customWidth="1"/>
    <col min="2076" max="2076" width="2.5703125" style="279" customWidth="1"/>
    <col min="2077" max="2077" width="22" style="279" customWidth="1"/>
    <col min="2078" max="2078" width="14.7109375" style="279" customWidth="1"/>
    <col min="2079" max="2079" width="8.28515625" style="279" customWidth="1"/>
    <col min="2080" max="2080" width="7" style="279" customWidth="1"/>
    <col min="2081" max="2081" width="7.28515625" style="279" customWidth="1"/>
    <col min="2082" max="2082" width="6.42578125" style="279" customWidth="1"/>
    <col min="2083" max="2083" width="8.28515625" style="279" customWidth="1"/>
    <col min="2084" max="2084" width="9.7109375" style="279" customWidth="1"/>
    <col min="2085" max="2085" width="7.28515625" style="279" customWidth="1"/>
    <col min="2086" max="2086" width="7.42578125" style="279" customWidth="1"/>
    <col min="2087" max="2087" width="13.7109375" style="279" customWidth="1"/>
    <col min="2088" max="2088" width="15.7109375" style="279" customWidth="1"/>
    <col min="2089" max="2089" width="12" style="279" customWidth="1"/>
    <col min="2090" max="2090" width="8.7109375" style="279" customWidth="1"/>
    <col min="2091" max="2092" width="8.5703125" style="279" customWidth="1"/>
    <col min="2093" max="2093" width="7.42578125" style="279" customWidth="1"/>
    <col min="2094" max="2094" width="10.7109375" style="279" bestFit="1" customWidth="1"/>
    <col min="2095" max="2095" width="9.140625" style="279"/>
    <col min="2096" max="2096" width="12.42578125" style="279" bestFit="1" customWidth="1"/>
    <col min="2097" max="2097" width="14.42578125" style="279" bestFit="1" customWidth="1"/>
    <col min="2098" max="2098" width="8.28515625" style="279" bestFit="1" customWidth="1"/>
    <col min="2099" max="2099" width="10.28515625" style="279" bestFit="1" customWidth="1"/>
    <col min="2100" max="2100" width="7.42578125" style="279" bestFit="1" customWidth="1"/>
    <col min="2101" max="2101" width="9.42578125" style="279" bestFit="1" customWidth="1"/>
    <col min="2102" max="2102" width="9.7109375" style="279" bestFit="1" customWidth="1"/>
    <col min="2103" max="2103" width="8.7109375" style="279" bestFit="1" customWidth="1"/>
    <col min="2104" max="2104" width="12" style="279" bestFit="1" customWidth="1"/>
    <col min="2105" max="2105" width="7.28515625" style="279" bestFit="1" customWidth="1"/>
    <col min="2106" max="2106" width="8.7109375" style="279" bestFit="1" customWidth="1"/>
    <col min="2107" max="2107" width="12.28515625" style="279" bestFit="1" customWidth="1"/>
    <col min="2108" max="2108" width="9.28515625" style="279" bestFit="1" customWidth="1"/>
    <col min="2109" max="2109" width="33.42578125" style="279" bestFit="1" customWidth="1"/>
    <col min="2110" max="2110" width="10" style="279" customWidth="1"/>
    <col min="2111" max="2308" width="9.140625" style="279"/>
    <col min="2309" max="2309" width="31" style="279" customWidth="1"/>
    <col min="2310" max="2310" width="8.5703125" style="279" customWidth="1"/>
    <col min="2311" max="2311" width="10" style="279" customWidth="1"/>
    <col min="2312" max="2313" width="9.28515625" style="279" customWidth="1"/>
    <col min="2314" max="2314" width="21.28515625" style="279" customWidth="1"/>
    <col min="2315" max="2315" width="20.7109375" style="279" bestFit="1" customWidth="1"/>
    <col min="2316" max="2316" width="13.5703125" style="279" customWidth="1"/>
    <col min="2317" max="2317" width="9.42578125" style="279" customWidth="1"/>
    <col min="2318" max="2318" width="10.42578125" style="279" customWidth="1"/>
    <col min="2319" max="2319" width="8.7109375" style="279" customWidth="1"/>
    <col min="2320" max="2320" width="11" style="279" customWidth="1"/>
    <col min="2321" max="2321" width="9.5703125" style="279" customWidth="1"/>
    <col min="2322" max="2322" width="8.7109375" style="279" customWidth="1"/>
    <col min="2323" max="2323" width="7.5703125" style="279" customWidth="1"/>
    <col min="2324" max="2324" width="8.5703125" style="279" customWidth="1"/>
    <col min="2325" max="2325" width="9.28515625" style="279" customWidth="1"/>
    <col min="2326" max="2326" width="7.28515625" style="279" customWidth="1"/>
    <col min="2327" max="2328" width="10.28515625" style="279" customWidth="1"/>
    <col min="2329" max="2329" width="9.5703125" style="279" customWidth="1"/>
    <col min="2330" max="2330" width="12.7109375" style="279" bestFit="1" customWidth="1"/>
    <col min="2331" max="2331" width="32.28515625" style="279" customWidth="1"/>
    <col min="2332" max="2332" width="2.5703125" style="279" customWidth="1"/>
    <col min="2333" max="2333" width="22" style="279" customWidth="1"/>
    <col min="2334" max="2334" width="14.7109375" style="279" customWidth="1"/>
    <col min="2335" max="2335" width="8.28515625" style="279" customWidth="1"/>
    <col min="2336" max="2336" width="7" style="279" customWidth="1"/>
    <col min="2337" max="2337" width="7.28515625" style="279" customWidth="1"/>
    <col min="2338" max="2338" width="6.42578125" style="279" customWidth="1"/>
    <col min="2339" max="2339" width="8.28515625" style="279" customWidth="1"/>
    <col min="2340" max="2340" width="9.7109375" style="279" customWidth="1"/>
    <col min="2341" max="2341" width="7.28515625" style="279" customWidth="1"/>
    <col min="2342" max="2342" width="7.42578125" style="279" customWidth="1"/>
    <col min="2343" max="2343" width="13.7109375" style="279" customWidth="1"/>
    <col min="2344" max="2344" width="15.7109375" style="279" customWidth="1"/>
    <col min="2345" max="2345" width="12" style="279" customWidth="1"/>
    <col min="2346" max="2346" width="8.7109375" style="279" customWidth="1"/>
    <col min="2347" max="2348" width="8.5703125" style="279" customWidth="1"/>
    <col min="2349" max="2349" width="7.42578125" style="279" customWidth="1"/>
    <col min="2350" max="2350" width="10.7109375" style="279" bestFit="1" customWidth="1"/>
    <col min="2351" max="2351" width="9.140625" style="279"/>
    <col min="2352" max="2352" width="12.42578125" style="279" bestFit="1" customWidth="1"/>
    <col min="2353" max="2353" width="14.42578125" style="279" bestFit="1" customWidth="1"/>
    <col min="2354" max="2354" width="8.28515625" style="279" bestFit="1" customWidth="1"/>
    <col min="2355" max="2355" width="10.28515625" style="279" bestFit="1" customWidth="1"/>
    <col min="2356" max="2356" width="7.42578125" style="279" bestFit="1" customWidth="1"/>
    <col min="2357" max="2357" width="9.42578125" style="279" bestFit="1" customWidth="1"/>
    <col min="2358" max="2358" width="9.7109375" style="279" bestFit="1" customWidth="1"/>
    <col min="2359" max="2359" width="8.7109375" style="279" bestFit="1" customWidth="1"/>
    <col min="2360" max="2360" width="12" style="279" bestFit="1" customWidth="1"/>
    <col min="2361" max="2361" width="7.28515625" style="279" bestFit="1" customWidth="1"/>
    <col min="2362" max="2362" width="8.7109375" style="279" bestFit="1" customWidth="1"/>
    <col min="2363" max="2363" width="12.28515625" style="279" bestFit="1" customWidth="1"/>
    <col min="2364" max="2364" width="9.28515625" style="279" bestFit="1" customWidth="1"/>
    <col min="2365" max="2365" width="33.42578125" style="279" bestFit="1" customWidth="1"/>
    <col min="2366" max="2366" width="10" style="279" customWidth="1"/>
    <col min="2367" max="2564" width="9.140625" style="279"/>
    <col min="2565" max="2565" width="31" style="279" customWidth="1"/>
    <col min="2566" max="2566" width="8.5703125" style="279" customWidth="1"/>
    <col min="2567" max="2567" width="10" style="279" customWidth="1"/>
    <col min="2568" max="2569" width="9.28515625" style="279" customWidth="1"/>
    <col min="2570" max="2570" width="21.28515625" style="279" customWidth="1"/>
    <col min="2571" max="2571" width="20.7109375" style="279" bestFit="1" customWidth="1"/>
    <col min="2572" max="2572" width="13.5703125" style="279" customWidth="1"/>
    <col min="2573" max="2573" width="9.42578125" style="279" customWidth="1"/>
    <col min="2574" max="2574" width="10.42578125" style="279" customWidth="1"/>
    <col min="2575" max="2575" width="8.7109375" style="279" customWidth="1"/>
    <col min="2576" max="2576" width="11" style="279" customWidth="1"/>
    <col min="2577" max="2577" width="9.5703125" style="279" customWidth="1"/>
    <col min="2578" max="2578" width="8.7109375" style="279" customWidth="1"/>
    <col min="2579" max="2579" width="7.5703125" style="279" customWidth="1"/>
    <col min="2580" max="2580" width="8.5703125" style="279" customWidth="1"/>
    <col min="2581" max="2581" width="9.28515625" style="279" customWidth="1"/>
    <col min="2582" max="2582" width="7.28515625" style="279" customWidth="1"/>
    <col min="2583" max="2584" width="10.28515625" style="279" customWidth="1"/>
    <col min="2585" max="2585" width="9.5703125" style="279" customWidth="1"/>
    <col min="2586" max="2586" width="12.7109375" style="279" bestFit="1" customWidth="1"/>
    <col min="2587" max="2587" width="32.28515625" style="279" customWidth="1"/>
    <col min="2588" max="2588" width="2.5703125" style="279" customWidth="1"/>
    <col min="2589" max="2589" width="22" style="279" customWidth="1"/>
    <col min="2590" max="2590" width="14.7109375" style="279" customWidth="1"/>
    <col min="2591" max="2591" width="8.28515625" style="279" customWidth="1"/>
    <col min="2592" max="2592" width="7" style="279" customWidth="1"/>
    <col min="2593" max="2593" width="7.28515625" style="279" customWidth="1"/>
    <col min="2594" max="2594" width="6.42578125" style="279" customWidth="1"/>
    <col min="2595" max="2595" width="8.28515625" style="279" customWidth="1"/>
    <col min="2596" max="2596" width="9.7109375" style="279" customWidth="1"/>
    <col min="2597" max="2597" width="7.28515625" style="279" customWidth="1"/>
    <col min="2598" max="2598" width="7.42578125" style="279" customWidth="1"/>
    <col min="2599" max="2599" width="13.7109375" style="279" customWidth="1"/>
    <col min="2600" max="2600" width="15.7109375" style="279" customWidth="1"/>
    <col min="2601" max="2601" width="12" style="279" customWidth="1"/>
    <col min="2602" max="2602" width="8.7109375" style="279" customWidth="1"/>
    <col min="2603" max="2604" width="8.5703125" style="279" customWidth="1"/>
    <col min="2605" max="2605" width="7.42578125" style="279" customWidth="1"/>
    <col min="2606" max="2606" width="10.7109375" style="279" bestFit="1" customWidth="1"/>
    <col min="2607" max="2607" width="9.140625" style="279"/>
    <col min="2608" max="2608" width="12.42578125" style="279" bestFit="1" customWidth="1"/>
    <col min="2609" max="2609" width="14.42578125" style="279" bestFit="1" customWidth="1"/>
    <col min="2610" max="2610" width="8.28515625" style="279" bestFit="1" customWidth="1"/>
    <col min="2611" max="2611" width="10.28515625" style="279" bestFit="1" customWidth="1"/>
    <col min="2612" max="2612" width="7.42578125" style="279" bestFit="1" customWidth="1"/>
    <col min="2613" max="2613" width="9.42578125" style="279" bestFit="1" customWidth="1"/>
    <col min="2614" max="2614" width="9.7109375" style="279" bestFit="1" customWidth="1"/>
    <col min="2615" max="2615" width="8.7109375" style="279" bestFit="1" customWidth="1"/>
    <col min="2616" max="2616" width="12" style="279" bestFit="1" customWidth="1"/>
    <col min="2617" max="2617" width="7.28515625" style="279" bestFit="1" customWidth="1"/>
    <col min="2618" max="2618" width="8.7109375" style="279" bestFit="1" customWidth="1"/>
    <col min="2619" max="2619" width="12.28515625" style="279" bestFit="1" customWidth="1"/>
    <col min="2620" max="2620" width="9.28515625" style="279" bestFit="1" customWidth="1"/>
    <col min="2621" max="2621" width="33.42578125" style="279" bestFit="1" customWidth="1"/>
    <col min="2622" max="2622" width="10" style="279" customWidth="1"/>
    <col min="2623" max="2820" width="9.140625" style="279"/>
    <col min="2821" max="2821" width="31" style="279" customWidth="1"/>
    <col min="2822" max="2822" width="8.5703125" style="279" customWidth="1"/>
    <col min="2823" max="2823" width="10" style="279" customWidth="1"/>
    <col min="2824" max="2825" width="9.28515625" style="279" customWidth="1"/>
    <col min="2826" max="2826" width="21.28515625" style="279" customWidth="1"/>
    <col min="2827" max="2827" width="20.7109375" style="279" bestFit="1" customWidth="1"/>
    <col min="2828" max="2828" width="13.5703125" style="279" customWidth="1"/>
    <col min="2829" max="2829" width="9.42578125" style="279" customWidth="1"/>
    <col min="2830" max="2830" width="10.42578125" style="279" customWidth="1"/>
    <col min="2831" max="2831" width="8.7109375" style="279" customWidth="1"/>
    <col min="2832" max="2832" width="11" style="279" customWidth="1"/>
    <col min="2833" max="2833" width="9.5703125" style="279" customWidth="1"/>
    <col min="2834" max="2834" width="8.7109375" style="279" customWidth="1"/>
    <col min="2835" max="2835" width="7.5703125" style="279" customWidth="1"/>
    <col min="2836" max="2836" width="8.5703125" style="279" customWidth="1"/>
    <col min="2837" max="2837" width="9.28515625" style="279" customWidth="1"/>
    <col min="2838" max="2838" width="7.28515625" style="279" customWidth="1"/>
    <col min="2839" max="2840" width="10.28515625" style="279" customWidth="1"/>
    <col min="2841" max="2841" width="9.5703125" style="279" customWidth="1"/>
    <col min="2842" max="2842" width="12.7109375" style="279" bestFit="1" customWidth="1"/>
    <col min="2843" max="2843" width="32.28515625" style="279" customWidth="1"/>
    <col min="2844" max="2844" width="2.5703125" style="279" customWidth="1"/>
    <col min="2845" max="2845" width="22" style="279" customWidth="1"/>
    <col min="2846" max="2846" width="14.7109375" style="279" customWidth="1"/>
    <col min="2847" max="2847" width="8.28515625" style="279" customWidth="1"/>
    <col min="2848" max="2848" width="7" style="279" customWidth="1"/>
    <col min="2849" max="2849" width="7.28515625" style="279" customWidth="1"/>
    <col min="2850" max="2850" width="6.42578125" style="279" customWidth="1"/>
    <col min="2851" max="2851" width="8.28515625" style="279" customWidth="1"/>
    <col min="2852" max="2852" width="9.7109375" style="279" customWidth="1"/>
    <col min="2853" max="2853" width="7.28515625" style="279" customWidth="1"/>
    <col min="2854" max="2854" width="7.42578125" style="279" customWidth="1"/>
    <col min="2855" max="2855" width="13.7109375" style="279" customWidth="1"/>
    <col min="2856" max="2856" width="15.7109375" style="279" customWidth="1"/>
    <col min="2857" max="2857" width="12" style="279" customWidth="1"/>
    <col min="2858" max="2858" width="8.7109375" style="279" customWidth="1"/>
    <col min="2859" max="2860" width="8.5703125" style="279" customWidth="1"/>
    <col min="2861" max="2861" width="7.42578125" style="279" customWidth="1"/>
    <col min="2862" max="2862" width="10.7109375" style="279" bestFit="1" customWidth="1"/>
    <col min="2863" max="2863" width="9.140625" style="279"/>
    <col min="2864" max="2864" width="12.42578125" style="279" bestFit="1" customWidth="1"/>
    <col min="2865" max="2865" width="14.42578125" style="279" bestFit="1" customWidth="1"/>
    <col min="2866" max="2866" width="8.28515625" style="279" bestFit="1" customWidth="1"/>
    <col min="2867" max="2867" width="10.28515625" style="279" bestFit="1" customWidth="1"/>
    <col min="2868" max="2868" width="7.42578125" style="279" bestFit="1" customWidth="1"/>
    <col min="2869" max="2869" width="9.42578125" style="279" bestFit="1" customWidth="1"/>
    <col min="2870" max="2870" width="9.7109375" style="279" bestFit="1" customWidth="1"/>
    <col min="2871" max="2871" width="8.7109375" style="279" bestFit="1" customWidth="1"/>
    <col min="2872" max="2872" width="12" style="279" bestFit="1" customWidth="1"/>
    <col min="2873" max="2873" width="7.28515625" style="279" bestFit="1" customWidth="1"/>
    <col min="2874" max="2874" width="8.7109375" style="279" bestFit="1" customWidth="1"/>
    <col min="2875" max="2875" width="12.28515625" style="279" bestFit="1" customWidth="1"/>
    <col min="2876" max="2876" width="9.28515625" style="279" bestFit="1" customWidth="1"/>
    <col min="2877" max="2877" width="33.42578125" style="279" bestFit="1" customWidth="1"/>
    <col min="2878" max="2878" width="10" style="279" customWidth="1"/>
    <col min="2879" max="3076" width="9.140625" style="279"/>
    <col min="3077" max="3077" width="31" style="279" customWidth="1"/>
    <col min="3078" max="3078" width="8.5703125" style="279" customWidth="1"/>
    <col min="3079" max="3079" width="10" style="279" customWidth="1"/>
    <col min="3080" max="3081" width="9.28515625" style="279" customWidth="1"/>
    <col min="3082" max="3082" width="21.28515625" style="279" customWidth="1"/>
    <col min="3083" max="3083" width="20.7109375" style="279" bestFit="1" customWidth="1"/>
    <col min="3084" max="3084" width="13.5703125" style="279" customWidth="1"/>
    <col min="3085" max="3085" width="9.42578125" style="279" customWidth="1"/>
    <col min="3086" max="3086" width="10.42578125" style="279" customWidth="1"/>
    <col min="3087" max="3087" width="8.7109375" style="279" customWidth="1"/>
    <col min="3088" max="3088" width="11" style="279" customWidth="1"/>
    <col min="3089" max="3089" width="9.5703125" style="279" customWidth="1"/>
    <col min="3090" max="3090" width="8.7109375" style="279" customWidth="1"/>
    <col min="3091" max="3091" width="7.5703125" style="279" customWidth="1"/>
    <col min="3092" max="3092" width="8.5703125" style="279" customWidth="1"/>
    <col min="3093" max="3093" width="9.28515625" style="279" customWidth="1"/>
    <col min="3094" max="3094" width="7.28515625" style="279" customWidth="1"/>
    <col min="3095" max="3096" width="10.28515625" style="279" customWidth="1"/>
    <col min="3097" max="3097" width="9.5703125" style="279" customWidth="1"/>
    <col min="3098" max="3098" width="12.7109375" style="279" bestFit="1" customWidth="1"/>
    <col min="3099" max="3099" width="32.28515625" style="279" customWidth="1"/>
    <col min="3100" max="3100" width="2.5703125" style="279" customWidth="1"/>
    <col min="3101" max="3101" width="22" style="279" customWidth="1"/>
    <col min="3102" max="3102" width="14.7109375" style="279" customWidth="1"/>
    <col min="3103" max="3103" width="8.28515625" style="279" customWidth="1"/>
    <col min="3104" max="3104" width="7" style="279" customWidth="1"/>
    <col min="3105" max="3105" width="7.28515625" style="279" customWidth="1"/>
    <col min="3106" max="3106" width="6.42578125" style="279" customWidth="1"/>
    <col min="3107" max="3107" width="8.28515625" style="279" customWidth="1"/>
    <col min="3108" max="3108" width="9.7109375" style="279" customWidth="1"/>
    <col min="3109" max="3109" width="7.28515625" style="279" customWidth="1"/>
    <col min="3110" max="3110" width="7.42578125" style="279" customWidth="1"/>
    <col min="3111" max="3111" width="13.7109375" style="279" customWidth="1"/>
    <col min="3112" max="3112" width="15.7109375" style="279" customWidth="1"/>
    <col min="3113" max="3113" width="12" style="279" customWidth="1"/>
    <col min="3114" max="3114" width="8.7109375" style="279" customWidth="1"/>
    <col min="3115" max="3116" width="8.5703125" style="279" customWidth="1"/>
    <col min="3117" max="3117" width="7.42578125" style="279" customWidth="1"/>
    <col min="3118" max="3118" width="10.7109375" style="279" bestFit="1" customWidth="1"/>
    <col min="3119" max="3119" width="9.140625" style="279"/>
    <col min="3120" max="3120" width="12.42578125" style="279" bestFit="1" customWidth="1"/>
    <col min="3121" max="3121" width="14.42578125" style="279" bestFit="1" customWidth="1"/>
    <col min="3122" max="3122" width="8.28515625" style="279" bestFit="1" customWidth="1"/>
    <col min="3123" max="3123" width="10.28515625" style="279" bestFit="1" customWidth="1"/>
    <col min="3124" max="3124" width="7.42578125" style="279" bestFit="1" customWidth="1"/>
    <col min="3125" max="3125" width="9.42578125" style="279" bestFit="1" customWidth="1"/>
    <col min="3126" max="3126" width="9.7109375" style="279" bestFit="1" customWidth="1"/>
    <col min="3127" max="3127" width="8.7109375" style="279" bestFit="1" customWidth="1"/>
    <col min="3128" max="3128" width="12" style="279" bestFit="1" customWidth="1"/>
    <col min="3129" max="3129" width="7.28515625" style="279" bestFit="1" customWidth="1"/>
    <col min="3130" max="3130" width="8.7109375" style="279" bestFit="1" customWidth="1"/>
    <col min="3131" max="3131" width="12.28515625" style="279" bestFit="1" customWidth="1"/>
    <col min="3132" max="3132" width="9.28515625" style="279" bestFit="1" customWidth="1"/>
    <col min="3133" max="3133" width="33.42578125" style="279" bestFit="1" customWidth="1"/>
    <col min="3134" max="3134" width="10" style="279" customWidth="1"/>
    <col min="3135" max="3332" width="9.140625" style="279"/>
    <col min="3333" max="3333" width="31" style="279" customWidth="1"/>
    <col min="3334" max="3334" width="8.5703125" style="279" customWidth="1"/>
    <col min="3335" max="3335" width="10" style="279" customWidth="1"/>
    <col min="3336" max="3337" width="9.28515625" style="279" customWidth="1"/>
    <col min="3338" max="3338" width="21.28515625" style="279" customWidth="1"/>
    <col min="3339" max="3339" width="20.7109375" style="279" bestFit="1" customWidth="1"/>
    <col min="3340" max="3340" width="13.5703125" style="279" customWidth="1"/>
    <col min="3341" max="3341" width="9.42578125" style="279" customWidth="1"/>
    <col min="3342" max="3342" width="10.42578125" style="279" customWidth="1"/>
    <col min="3343" max="3343" width="8.7109375" style="279" customWidth="1"/>
    <col min="3344" max="3344" width="11" style="279" customWidth="1"/>
    <col min="3345" max="3345" width="9.5703125" style="279" customWidth="1"/>
    <col min="3346" max="3346" width="8.7109375" style="279" customWidth="1"/>
    <col min="3347" max="3347" width="7.5703125" style="279" customWidth="1"/>
    <col min="3348" max="3348" width="8.5703125" style="279" customWidth="1"/>
    <col min="3349" max="3349" width="9.28515625" style="279" customWidth="1"/>
    <col min="3350" max="3350" width="7.28515625" style="279" customWidth="1"/>
    <col min="3351" max="3352" width="10.28515625" style="279" customWidth="1"/>
    <col min="3353" max="3353" width="9.5703125" style="279" customWidth="1"/>
    <col min="3354" max="3354" width="12.7109375" style="279" bestFit="1" customWidth="1"/>
    <col min="3355" max="3355" width="32.28515625" style="279" customWidth="1"/>
    <col min="3356" max="3356" width="2.5703125" style="279" customWidth="1"/>
    <col min="3357" max="3357" width="22" style="279" customWidth="1"/>
    <col min="3358" max="3358" width="14.7109375" style="279" customWidth="1"/>
    <col min="3359" max="3359" width="8.28515625" style="279" customWidth="1"/>
    <col min="3360" max="3360" width="7" style="279" customWidth="1"/>
    <col min="3361" max="3361" width="7.28515625" style="279" customWidth="1"/>
    <col min="3362" max="3362" width="6.42578125" style="279" customWidth="1"/>
    <col min="3363" max="3363" width="8.28515625" style="279" customWidth="1"/>
    <col min="3364" max="3364" width="9.7109375" style="279" customWidth="1"/>
    <col min="3365" max="3365" width="7.28515625" style="279" customWidth="1"/>
    <col min="3366" max="3366" width="7.42578125" style="279" customWidth="1"/>
    <col min="3367" max="3367" width="13.7109375" style="279" customWidth="1"/>
    <col min="3368" max="3368" width="15.7109375" style="279" customWidth="1"/>
    <col min="3369" max="3369" width="12" style="279" customWidth="1"/>
    <col min="3370" max="3370" width="8.7109375" style="279" customWidth="1"/>
    <col min="3371" max="3372" width="8.5703125" style="279" customWidth="1"/>
    <col min="3373" max="3373" width="7.42578125" style="279" customWidth="1"/>
    <col min="3374" max="3374" width="10.7109375" style="279" bestFit="1" customWidth="1"/>
    <col min="3375" max="3375" width="9.140625" style="279"/>
    <col min="3376" max="3376" width="12.42578125" style="279" bestFit="1" customWidth="1"/>
    <col min="3377" max="3377" width="14.42578125" style="279" bestFit="1" customWidth="1"/>
    <col min="3378" max="3378" width="8.28515625" style="279" bestFit="1" customWidth="1"/>
    <col min="3379" max="3379" width="10.28515625" style="279" bestFit="1" customWidth="1"/>
    <col min="3380" max="3380" width="7.42578125" style="279" bestFit="1" customWidth="1"/>
    <col min="3381" max="3381" width="9.42578125" style="279" bestFit="1" customWidth="1"/>
    <col min="3382" max="3382" width="9.7109375" style="279" bestFit="1" customWidth="1"/>
    <col min="3383" max="3383" width="8.7109375" style="279" bestFit="1" customWidth="1"/>
    <col min="3384" max="3384" width="12" style="279" bestFit="1" customWidth="1"/>
    <col min="3385" max="3385" width="7.28515625" style="279" bestFit="1" customWidth="1"/>
    <col min="3386" max="3386" width="8.7109375" style="279" bestFit="1" customWidth="1"/>
    <col min="3387" max="3387" width="12.28515625" style="279" bestFit="1" customWidth="1"/>
    <col min="3388" max="3388" width="9.28515625" style="279" bestFit="1" customWidth="1"/>
    <col min="3389" max="3389" width="33.42578125" style="279" bestFit="1" customWidth="1"/>
    <col min="3390" max="3390" width="10" style="279" customWidth="1"/>
    <col min="3391" max="3588" width="9.140625" style="279"/>
    <col min="3589" max="3589" width="31" style="279" customWidth="1"/>
    <col min="3590" max="3590" width="8.5703125" style="279" customWidth="1"/>
    <col min="3591" max="3591" width="10" style="279" customWidth="1"/>
    <col min="3592" max="3593" width="9.28515625" style="279" customWidth="1"/>
    <col min="3594" max="3594" width="21.28515625" style="279" customWidth="1"/>
    <col min="3595" max="3595" width="20.7109375" style="279" bestFit="1" customWidth="1"/>
    <col min="3596" max="3596" width="13.5703125" style="279" customWidth="1"/>
    <col min="3597" max="3597" width="9.42578125" style="279" customWidth="1"/>
    <col min="3598" max="3598" width="10.42578125" style="279" customWidth="1"/>
    <col min="3599" max="3599" width="8.7109375" style="279" customWidth="1"/>
    <col min="3600" max="3600" width="11" style="279" customWidth="1"/>
    <col min="3601" max="3601" width="9.5703125" style="279" customWidth="1"/>
    <col min="3602" max="3602" width="8.7109375" style="279" customWidth="1"/>
    <col min="3603" max="3603" width="7.5703125" style="279" customWidth="1"/>
    <col min="3604" max="3604" width="8.5703125" style="279" customWidth="1"/>
    <col min="3605" max="3605" width="9.28515625" style="279" customWidth="1"/>
    <col min="3606" max="3606" width="7.28515625" style="279" customWidth="1"/>
    <col min="3607" max="3608" width="10.28515625" style="279" customWidth="1"/>
    <col min="3609" max="3609" width="9.5703125" style="279" customWidth="1"/>
    <col min="3610" max="3610" width="12.7109375" style="279" bestFit="1" customWidth="1"/>
    <col min="3611" max="3611" width="32.28515625" style="279" customWidth="1"/>
    <col min="3612" max="3612" width="2.5703125" style="279" customWidth="1"/>
    <col min="3613" max="3613" width="22" style="279" customWidth="1"/>
    <col min="3614" max="3614" width="14.7109375" style="279" customWidth="1"/>
    <col min="3615" max="3615" width="8.28515625" style="279" customWidth="1"/>
    <col min="3616" max="3616" width="7" style="279" customWidth="1"/>
    <col min="3617" max="3617" width="7.28515625" style="279" customWidth="1"/>
    <col min="3618" max="3618" width="6.42578125" style="279" customWidth="1"/>
    <col min="3619" max="3619" width="8.28515625" style="279" customWidth="1"/>
    <col min="3620" max="3620" width="9.7109375" style="279" customWidth="1"/>
    <col min="3621" max="3621" width="7.28515625" style="279" customWidth="1"/>
    <col min="3622" max="3622" width="7.42578125" style="279" customWidth="1"/>
    <col min="3623" max="3623" width="13.7109375" style="279" customWidth="1"/>
    <col min="3624" max="3624" width="15.7109375" style="279" customWidth="1"/>
    <col min="3625" max="3625" width="12" style="279" customWidth="1"/>
    <col min="3626" max="3626" width="8.7109375" style="279" customWidth="1"/>
    <col min="3627" max="3628" width="8.5703125" style="279" customWidth="1"/>
    <col min="3629" max="3629" width="7.42578125" style="279" customWidth="1"/>
    <col min="3630" max="3630" width="10.7109375" style="279" bestFit="1" customWidth="1"/>
    <col min="3631" max="3631" width="9.140625" style="279"/>
    <col min="3632" max="3632" width="12.42578125" style="279" bestFit="1" customWidth="1"/>
    <col min="3633" max="3633" width="14.42578125" style="279" bestFit="1" customWidth="1"/>
    <col min="3634" max="3634" width="8.28515625" style="279" bestFit="1" customWidth="1"/>
    <col min="3635" max="3635" width="10.28515625" style="279" bestFit="1" customWidth="1"/>
    <col min="3636" max="3636" width="7.42578125" style="279" bestFit="1" customWidth="1"/>
    <col min="3637" max="3637" width="9.42578125" style="279" bestFit="1" customWidth="1"/>
    <col min="3638" max="3638" width="9.7109375" style="279" bestFit="1" customWidth="1"/>
    <col min="3639" max="3639" width="8.7109375" style="279" bestFit="1" customWidth="1"/>
    <col min="3640" max="3640" width="12" style="279" bestFit="1" customWidth="1"/>
    <col min="3641" max="3641" width="7.28515625" style="279" bestFit="1" customWidth="1"/>
    <col min="3642" max="3642" width="8.7109375" style="279" bestFit="1" customWidth="1"/>
    <col min="3643" max="3643" width="12.28515625" style="279" bestFit="1" customWidth="1"/>
    <col min="3644" max="3644" width="9.28515625" style="279" bestFit="1" customWidth="1"/>
    <col min="3645" max="3645" width="33.42578125" style="279" bestFit="1" customWidth="1"/>
    <col min="3646" max="3646" width="10" style="279" customWidth="1"/>
    <col min="3647" max="3844" width="9.140625" style="279"/>
    <col min="3845" max="3845" width="31" style="279" customWidth="1"/>
    <col min="3846" max="3846" width="8.5703125" style="279" customWidth="1"/>
    <col min="3847" max="3847" width="10" style="279" customWidth="1"/>
    <col min="3848" max="3849" width="9.28515625" style="279" customWidth="1"/>
    <col min="3850" max="3850" width="21.28515625" style="279" customWidth="1"/>
    <col min="3851" max="3851" width="20.7109375" style="279" bestFit="1" customWidth="1"/>
    <col min="3852" max="3852" width="13.5703125" style="279" customWidth="1"/>
    <col min="3853" max="3853" width="9.42578125" style="279" customWidth="1"/>
    <col min="3854" max="3854" width="10.42578125" style="279" customWidth="1"/>
    <col min="3855" max="3855" width="8.7109375" style="279" customWidth="1"/>
    <col min="3856" max="3856" width="11" style="279" customWidth="1"/>
    <col min="3857" max="3857" width="9.5703125" style="279" customWidth="1"/>
    <col min="3858" max="3858" width="8.7109375" style="279" customWidth="1"/>
    <col min="3859" max="3859" width="7.5703125" style="279" customWidth="1"/>
    <col min="3860" max="3860" width="8.5703125" style="279" customWidth="1"/>
    <col min="3861" max="3861" width="9.28515625" style="279" customWidth="1"/>
    <col min="3862" max="3862" width="7.28515625" style="279" customWidth="1"/>
    <col min="3863" max="3864" width="10.28515625" style="279" customWidth="1"/>
    <col min="3865" max="3865" width="9.5703125" style="279" customWidth="1"/>
    <col min="3866" max="3866" width="12.7109375" style="279" bestFit="1" customWidth="1"/>
    <col min="3867" max="3867" width="32.28515625" style="279" customWidth="1"/>
    <col min="3868" max="3868" width="2.5703125" style="279" customWidth="1"/>
    <col min="3869" max="3869" width="22" style="279" customWidth="1"/>
    <col min="3870" max="3870" width="14.7109375" style="279" customWidth="1"/>
    <col min="3871" max="3871" width="8.28515625" style="279" customWidth="1"/>
    <col min="3872" max="3872" width="7" style="279" customWidth="1"/>
    <col min="3873" max="3873" width="7.28515625" style="279" customWidth="1"/>
    <col min="3874" max="3874" width="6.42578125" style="279" customWidth="1"/>
    <col min="3875" max="3875" width="8.28515625" style="279" customWidth="1"/>
    <col min="3876" max="3876" width="9.7109375" style="279" customWidth="1"/>
    <col min="3877" max="3877" width="7.28515625" style="279" customWidth="1"/>
    <col min="3878" max="3878" width="7.42578125" style="279" customWidth="1"/>
    <col min="3879" max="3879" width="13.7109375" style="279" customWidth="1"/>
    <col min="3880" max="3880" width="15.7109375" style="279" customWidth="1"/>
    <col min="3881" max="3881" width="12" style="279" customWidth="1"/>
    <col min="3882" max="3882" width="8.7109375" style="279" customWidth="1"/>
    <col min="3883" max="3884" width="8.5703125" style="279" customWidth="1"/>
    <col min="3885" max="3885" width="7.42578125" style="279" customWidth="1"/>
    <col min="3886" max="3886" width="10.7109375" style="279" bestFit="1" customWidth="1"/>
    <col min="3887" max="3887" width="9.140625" style="279"/>
    <col min="3888" max="3888" width="12.42578125" style="279" bestFit="1" customWidth="1"/>
    <col min="3889" max="3889" width="14.42578125" style="279" bestFit="1" customWidth="1"/>
    <col min="3890" max="3890" width="8.28515625" style="279" bestFit="1" customWidth="1"/>
    <col min="3891" max="3891" width="10.28515625" style="279" bestFit="1" customWidth="1"/>
    <col min="3892" max="3892" width="7.42578125" style="279" bestFit="1" customWidth="1"/>
    <col min="3893" max="3893" width="9.42578125" style="279" bestFit="1" customWidth="1"/>
    <col min="3894" max="3894" width="9.7109375" style="279" bestFit="1" customWidth="1"/>
    <col min="3895" max="3895" width="8.7109375" style="279" bestFit="1" customWidth="1"/>
    <col min="3896" max="3896" width="12" style="279" bestFit="1" customWidth="1"/>
    <col min="3897" max="3897" width="7.28515625" style="279" bestFit="1" customWidth="1"/>
    <col min="3898" max="3898" width="8.7109375" style="279" bestFit="1" customWidth="1"/>
    <col min="3899" max="3899" width="12.28515625" style="279" bestFit="1" customWidth="1"/>
    <col min="3900" max="3900" width="9.28515625" style="279" bestFit="1" customWidth="1"/>
    <col min="3901" max="3901" width="33.42578125" style="279" bestFit="1" customWidth="1"/>
    <col min="3902" max="3902" width="10" style="279" customWidth="1"/>
    <col min="3903" max="4100" width="9.140625" style="279"/>
    <col min="4101" max="4101" width="31" style="279" customWidth="1"/>
    <col min="4102" max="4102" width="8.5703125" style="279" customWidth="1"/>
    <col min="4103" max="4103" width="10" style="279" customWidth="1"/>
    <col min="4104" max="4105" width="9.28515625" style="279" customWidth="1"/>
    <col min="4106" max="4106" width="21.28515625" style="279" customWidth="1"/>
    <col min="4107" max="4107" width="20.7109375" style="279" bestFit="1" customWidth="1"/>
    <col min="4108" max="4108" width="13.5703125" style="279" customWidth="1"/>
    <col min="4109" max="4109" width="9.42578125" style="279" customWidth="1"/>
    <col min="4110" max="4110" width="10.42578125" style="279" customWidth="1"/>
    <col min="4111" max="4111" width="8.7109375" style="279" customWidth="1"/>
    <col min="4112" max="4112" width="11" style="279" customWidth="1"/>
    <col min="4113" max="4113" width="9.5703125" style="279" customWidth="1"/>
    <col min="4114" max="4114" width="8.7109375" style="279" customWidth="1"/>
    <col min="4115" max="4115" width="7.5703125" style="279" customWidth="1"/>
    <col min="4116" max="4116" width="8.5703125" style="279" customWidth="1"/>
    <col min="4117" max="4117" width="9.28515625" style="279" customWidth="1"/>
    <col min="4118" max="4118" width="7.28515625" style="279" customWidth="1"/>
    <col min="4119" max="4120" width="10.28515625" style="279" customWidth="1"/>
    <col min="4121" max="4121" width="9.5703125" style="279" customWidth="1"/>
    <col min="4122" max="4122" width="12.7109375" style="279" bestFit="1" customWidth="1"/>
    <col min="4123" max="4123" width="32.28515625" style="279" customWidth="1"/>
    <col min="4124" max="4124" width="2.5703125" style="279" customWidth="1"/>
    <col min="4125" max="4125" width="22" style="279" customWidth="1"/>
    <col min="4126" max="4126" width="14.7109375" style="279" customWidth="1"/>
    <col min="4127" max="4127" width="8.28515625" style="279" customWidth="1"/>
    <col min="4128" max="4128" width="7" style="279" customWidth="1"/>
    <col min="4129" max="4129" width="7.28515625" style="279" customWidth="1"/>
    <col min="4130" max="4130" width="6.42578125" style="279" customWidth="1"/>
    <col min="4131" max="4131" width="8.28515625" style="279" customWidth="1"/>
    <col min="4132" max="4132" width="9.7109375" style="279" customWidth="1"/>
    <col min="4133" max="4133" width="7.28515625" style="279" customWidth="1"/>
    <col min="4134" max="4134" width="7.42578125" style="279" customWidth="1"/>
    <col min="4135" max="4135" width="13.7109375" style="279" customWidth="1"/>
    <col min="4136" max="4136" width="15.7109375" style="279" customWidth="1"/>
    <col min="4137" max="4137" width="12" style="279" customWidth="1"/>
    <col min="4138" max="4138" width="8.7109375" style="279" customWidth="1"/>
    <col min="4139" max="4140" width="8.5703125" style="279" customWidth="1"/>
    <col min="4141" max="4141" width="7.42578125" style="279" customWidth="1"/>
    <col min="4142" max="4142" width="10.7109375" style="279" bestFit="1" customWidth="1"/>
    <col min="4143" max="4143" width="9.140625" style="279"/>
    <col min="4144" max="4144" width="12.42578125" style="279" bestFit="1" customWidth="1"/>
    <col min="4145" max="4145" width="14.42578125" style="279" bestFit="1" customWidth="1"/>
    <col min="4146" max="4146" width="8.28515625" style="279" bestFit="1" customWidth="1"/>
    <col min="4147" max="4147" width="10.28515625" style="279" bestFit="1" customWidth="1"/>
    <col min="4148" max="4148" width="7.42578125" style="279" bestFit="1" customWidth="1"/>
    <col min="4149" max="4149" width="9.42578125" style="279" bestFit="1" customWidth="1"/>
    <col min="4150" max="4150" width="9.7109375" style="279" bestFit="1" customWidth="1"/>
    <col min="4151" max="4151" width="8.7109375" style="279" bestFit="1" customWidth="1"/>
    <col min="4152" max="4152" width="12" style="279" bestFit="1" customWidth="1"/>
    <col min="4153" max="4153" width="7.28515625" style="279" bestFit="1" customWidth="1"/>
    <col min="4154" max="4154" width="8.7109375" style="279" bestFit="1" customWidth="1"/>
    <col min="4155" max="4155" width="12.28515625" style="279" bestFit="1" customWidth="1"/>
    <col min="4156" max="4156" width="9.28515625" style="279" bestFit="1" customWidth="1"/>
    <col min="4157" max="4157" width="33.42578125" style="279" bestFit="1" customWidth="1"/>
    <col min="4158" max="4158" width="10" style="279" customWidth="1"/>
    <col min="4159" max="4356" width="9.140625" style="279"/>
    <col min="4357" max="4357" width="31" style="279" customWidth="1"/>
    <col min="4358" max="4358" width="8.5703125" style="279" customWidth="1"/>
    <col min="4359" max="4359" width="10" style="279" customWidth="1"/>
    <col min="4360" max="4361" width="9.28515625" style="279" customWidth="1"/>
    <col min="4362" max="4362" width="21.28515625" style="279" customWidth="1"/>
    <col min="4363" max="4363" width="20.7109375" style="279" bestFit="1" customWidth="1"/>
    <col min="4364" max="4364" width="13.5703125" style="279" customWidth="1"/>
    <col min="4365" max="4365" width="9.42578125" style="279" customWidth="1"/>
    <col min="4366" max="4366" width="10.42578125" style="279" customWidth="1"/>
    <col min="4367" max="4367" width="8.7109375" style="279" customWidth="1"/>
    <col min="4368" max="4368" width="11" style="279" customWidth="1"/>
    <col min="4369" max="4369" width="9.5703125" style="279" customWidth="1"/>
    <col min="4370" max="4370" width="8.7109375" style="279" customWidth="1"/>
    <col min="4371" max="4371" width="7.5703125" style="279" customWidth="1"/>
    <col min="4372" max="4372" width="8.5703125" style="279" customWidth="1"/>
    <col min="4373" max="4373" width="9.28515625" style="279" customWidth="1"/>
    <col min="4374" max="4374" width="7.28515625" style="279" customWidth="1"/>
    <col min="4375" max="4376" width="10.28515625" style="279" customWidth="1"/>
    <col min="4377" max="4377" width="9.5703125" style="279" customWidth="1"/>
    <col min="4378" max="4378" width="12.7109375" style="279" bestFit="1" customWidth="1"/>
    <col min="4379" max="4379" width="32.28515625" style="279" customWidth="1"/>
    <col min="4380" max="4380" width="2.5703125" style="279" customWidth="1"/>
    <col min="4381" max="4381" width="22" style="279" customWidth="1"/>
    <col min="4382" max="4382" width="14.7109375" style="279" customWidth="1"/>
    <col min="4383" max="4383" width="8.28515625" style="279" customWidth="1"/>
    <col min="4384" max="4384" width="7" style="279" customWidth="1"/>
    <col min="4385" max="4385" width="7.28515625" style="279" customWidth="1"/>
    <col min="4386" max="4386" width="6.42578125" style="279" customWidth="1"/>
    <col min="4387" max="4387" width="8.28515625" style="279" customWidth="1"/>
    <col min="4388" max="4388" width="9.7109375" style="279" customWidth="1"/>
    <col min="4389" max="4389" width="7.28515625" style="279" customWidth="1"/>
    <col min="4390" max="4390" width="7.42578125" style="279" customWidth="1"/>
    <col min="4391" max="4391" width="13.7109375" style="279" customWidth="1"/>
    <col min="4392" max="4392" width="15.7109375" style="279" customWidth="1"/>
    <col min="4393" max="4393" width="12" style="279" customWidth="1"/>
    <col min="4394" max="4394" width="8.7109375" style="279" customWidth="1"/>
    <col min="4395" max="4396" width="8.5703125" style="279" customWidth="1"/>
    <col min="4397" max="4397" width="7.42578125" style="279" customWidth="1"/>
    <col min="4398" max="4398" width="10.7109375" style="279" bestFit="1" customWidth="1"/>
    <col min="4399" max="4399" width="9.140625" style="279"/>
    <col min="4400" max="4400" width="12.42578125" style="279" bestFit="1" customWidth="1"/>
    <col min="4401" max="4401" width="14.42578125" style="279" bestFit="1" customWidth="1"/>
    <col min="4402" max="4402" width="8.28515625" style="279" bestFit="1" customWidth="1"/>
    <col min="4403" max="4403" width="10.28515625" style="279" bestFit="1" customWidth="1"/>
    <col min="4404" max="4404" width="7.42578125" style="279" bestFit="1" customWidth="1"/>
    <col min="4405" max="4405" width="9.42578125" style="279" bestFit="1" customWidth="1"/>
    <col min="4406" max="4406" width="9.7109375" style="279" bestFit="1" customWidth="1"/>
    <col min="4407" max="4407" width="8.7109375" style="279" bestFit="1" customWidth="1"/>
    <col min="4408" max="4408" width="12" style="279" bestFit="1" customWidth="1"/>
    <col min="4409" max="4409" width="7.28515625" style="279" bestFit="1" customWidth="1"/>
    <col min="4410" max="4410" width="8.7109375" style="279" bestFit="1" customWidth="1"/>
    <col min="4411" max="4411" width="12.28515625" style="279" bestFit="1" customWidth="1"/>
    <col min="4412" max="4412" width="9.28515625" style="279" bestFit="1" customWidth="1"/>
    <col min="4413" max="4413" width="33.42578125" style="279" bestFit="1" customWidth="1"/>
    <col min="4414" max="4414" width="10" style="279" customWidth="1"/>
    <col min="4415" max="4612" width="9.140625" style="279"/>
    <col min="4613" max="4613" width="31" style="279" customWidth="1"/>
    <col min="4614" max="4614" width="8.5703125" style="279" customWidth="1"/>
    <col min="4615" max="4615" width="10" style="279" customWidth="1"/>
    <col min="4616" max="4617" width="9.28515625" style="279" customWidth="1"/>
    <col min="4618" max="4618" width="21.28515625" style="279" customWidth="1"/>
    <col min="4619" max="4619" width="20.7109375" style="279" bestFit="1" customWidth="1"/>
    <col min="4620" max="4620" width="13.5703125" style="279" customWidth="1"/>
    <col min="4621" max="4621" width="9.42578125" style="279" customWidth="1"/>
    <col min="4622" max="4622" width="10.42578125" style="279" customWidth="1"/>
    <col min="4623" max="4623" width="8.7109375" style="279" customWidth="1"/>
    <col min="4624" max="4624" width="11" style="279" customWidth="1"/>
    <col min="4625" max="4625" width="9.5703125" style="279" customWidth="1"/>
    <col min="4626" max="4626" width="8.7109375" style="279" customWidth="1"/>
    <col min="4627" max="4627" width="7.5703125" style="279" customWidth="1"/>
    <col min="4628" max="4628" width="8.5703125" style="279" customWidth="1"/>
    <col min="4629" max="4629" width="9.28515625" style="279" customWidth="1"/>
    <col min="4630" max="4630" width="7.28515625" style="279" customWidth="1"/>
    <col min="4631" max="4632" width="10.28515625" style="279" customWidth="1"/>
    <col min="4633" max="4633" width="9.5703125" style="279" customWidth="1"/>
    <col min="4634" max="4634" width="12.7109375" style="279" bestFit="1" customWidth="1"/>
    <col min="4635" max="4635" width="32.28515625" style="279" customWidth="1"/>
    <col min="4636" max="4636" width="2.5703125" style="279" customWidth="1"/>
    <col min="4637" max="4637" width="22" style="279" customWidth="1"/>
    <col min="4638" max="4638" width="14.7109375" style="279" customWidth="1"/>
    <col min="4639" max="4639" width="8.28515625" style="279" customWidth="1"/>
    <col min="4640" max="4640" width="7" style="279" customWidth="1"/>
    <col min="4641" max="4641" width="7.28515625" style="279" customWidth="1"/>
    <col min="4642" max="4642" width="6.42578125" style="279" customWidth="1"/>
    <col min="4643" max="4643" width="8.28515625" style="279" customWidth="1"/>
    <col min="4644" max="4644" width="9.7109375" style="279" customWidth="1"/>
    <col min="4645" max="4645" width="7.28515625" style="279" customWidth="1"/>
    <col min="4646" max="4646" width="7.42578125" style="279" customWidth="1"/>
    <col min="4647" max="4647" width="13.7109375" style="279" customWidth="1"/>
    <col min="4648" max="4648" width="15.7109375" style="279" customWidth="1"/>
    <col min="4649" max="4649" width="12" style="279" customWidth="1"/>
    <col min="4650" max="4650" width="8.7109375" style="279" customWidth="1"/>
    <col min="4651" max="4652" width="8.5703125" style="279" customWidth="1"/>
    <col min="4653" max="4653" width="7.42578125" style="279" customWidth="1"/>
    <col min="4654" max="4654" width="10.7109375" style="279" bestFit="1" customWidth="1"/>
    <col min="4655" max="4655" width="9.140625" style="279"/>
    <col min="4656" max="4656" width="12.42578125" style="279" bestFit="1" customWidth="1"/>
    <col min="4657" max="4657" width="14.42578125" style="279" bestFit="1" customWidth="1"/>
    <col min="4658" max="4658" width="8.28515625" style="279" bestFit="1" customWidth="1"/>
    <col min="4659" max="4659" width="10.28515625" style="279" bestFit="1" customWidth="1"/>
    <col min="4660" max="4660" width="7.42578125" style="279" bestFit="1" customWidth="1"/>
    <col min="4661" max="4661" width="9.42578125" style="279" bestFit="1" customWidth="1"/>
    <col min="4662" max="4662" width="9.7109375" style="279" bestFit="1" customWidth="1"/>
    <col min="4663" max="4663" width="8.7109375" style="279" bestFit="1" customWidth="1"/>
    <col min="4664" max="4664" width="12" style="279" bestFit="1" customWidth="1"/>
    <col min="4665" max="4665" width="7.28515625" style="279" bestFit="1" customWidth="1"/>
    <col min="4666" max="4666" width="8.7109375" style="279" bestFit="1" customWidth="1"/>
    <col min="4667" max="4667" width="12.28515625" style="279" bestFit="1" customWidth="1"/>
    <col min="4668" max="4668" width="9.28515625" style="279" bestFit="1" customWidth="1"/>
    <col min="4669" max="4669" width="33.42578125" style="279" bestFit="1" customWidth="1"/>
    <col min="4670" max="4670" width="10" style="279" customWidth="1"/>
    <col min="4671" max="4868" width="9.140625" style="279"/>
    <col min="4869" max="4869" width="31" style="279" customWidth="1"/>
    <col min="4870" max="4870" width="8.5703125" style="279" customWidth="1"/>
    <col min="4871" max="4871" width="10" style="279" customWidth="1"/>
    <col min="4872" max="4873" width="9.28515625" style="279" customWidth="1"/>
    <col min="4874" max="4874" width="21.28515625" style="279" customWidth="1"/>
    <col min="4875" max="4875" width="20.7109375" style="279" bestFit="1" customWidth="1"/>
    <col min="4876" max="4876" width="13.5703125" style="279" customWidth="1"/>
    <col min="4877" max="4877" width="9.42578125" style="279" customWidth="1"/>
    <col min="4878" max="4878" width="10.42578125" style="279" customWidth="1"/>
    <col min="4879" max="4879" width="8.7109375" style="279" customWidth="1"/>
    <col min="4880" max="4880" width="11" style="279" customWidth="1"/>
    <col min="4881" max="4881" width="9.5703125" style="279" customWidth="1"/>
    <col min="4882" max="4882" width="8.7109375" style="279" customWidth="1"/>
    <col min="4883" max="4883" width="7.5703125" style="279" customWidth="1"/>
    <col min="4884" max="4884" width="8.5703125" style="279" customWidth="1"/>
    <col min="4885" max="4885" width="9.28515625" style="279" customWidth="1"/>
    <col min="4886" max="4886" width="7.28515625" style="279" customWidth="1"/>
    <col min="4887" max="4888" width="10.28515625" style="279" customWidth="1"/>
    <col min="4889" max="4889" width="9.5703125" style="279" customWidth="1"/>
    <col min="4890" max="4890" width="12.7109375" style="279" bestFit="1" customWidth="1"/>
    <col min="4891" max="4891" width="32.28515625" style="279" customWidth="1"/>
    <col min="4892" max="4892" width="2.5703125" style="279" customWidth="1"/>
    <col min="4893" max="4893" width="22" style="279" customWidth="1"/>
    <col min="4894" max="4894" width="14.7109375" style="279" customWidth="1"/>
    <col min="4895" max="4895" width="8.28515625" style="279" customWidth="1"/>
    <col min="4896" max="4896" width="7" style="279" customWidth="1"/>
    <col min="4897" max="4897" width="7.28515625" style="279" customWidth="1"/>
    <col min="4898" max="4898" width="6.42578125" style="279" customWidth="1"/>
    <col min="4899" max="4899" width="8.28515625" style="279" customWidth="1"/>
    <col min="4900" max="4900" width="9.7109375" style="279" customWidth="1"/>
    <col min="4901" max="4901" width="7.28515625" style="279" customWidth="1"/>
    <col min="4902" max="4902" width="7.42578125" style="279" customWidth="1"/>
    <col min="4903" max="4903" width="13.7109375" style="279" customWidth="1"/>
    <col min="4904" max="4904" width="15.7109375" style="279" customWidth="1"/>
    <col min="4905" max="4905" width="12" style="279" customWidth="1"/>
    <col min="4906" max="4906" width="8.7109375" style="279" customWidth="1"/>
    <col min="4907" max="4908" width="8.5703125" style="279" customWidth="1"/>
    <col min="4909" max="4909" width="7.42578125" style="279" customWidth="1"/>
    <col min="4910" max="4910" width="10.7109375" style="279" bestFit="1" customWidth="1"/>
    <col min="4911" max="4911" width="9.140625" style="279"/>
    <col min="4912" max="4912" width="12.42578125" style="279" bestFit="1" customWidth="1"/>
    <col min="4913" max="4913" width="14.42578125" style="279" bestFit="1" customWidth="1"/>
    <col min="4914" max="4914" width="8.28515625" style="279" bestFit="1" customWidth="1"/>
    <col min="4915" max="4915" width="10.28515625" style="279" bestFit="1" customWidth="1"/>
    <col min="4916" max="4916" width="7.42578125" style="279" bestFit="1" customWidth="1"/>
    <col min="4917" max="4917" width="9.42578125" style="279" bestFit="1" customWidth="1"/>
    <col min="4918" max="4918" width="9.7109375" style="279" bestFit="1" customWidth="1"/>
    <col min="4919" max="4919" width="8.7109375" style="279" bestFit="1" customWidth="1"/>
    <col min="4920" max="4920" width="12" style="279" bestFit="1" customWidth="1"/>
    <col min="4921" max="4921" width="7.28515625" style="279" bestFit="1" customWidth="1"/>
    <col min="4922" max="4922" width="8.7109375" style="279" bestFit="1" customWidth="1"/>
    <col min="4923" max="4923" width="12.28515625" style="279" bestFit="1" customWidth="1"/>
    <col min="4924" max="4924" width="9.28515625" style="279" bestFit="1" customWidth="1"/>
    <col min="4925" max="4925" width="33.42578125" style="279" bestFit="1" customWidth="1"/>
    <col min="4926" max="4926" width="10" style="279" customWidth="1"/>
    <col min="4927" max="5124" width="9.140625" style="279"/>
    <col min="5125" max="5125" width="31" style="279" customWidth="1"/>
    <col min="5126" max="5126" width="8.5703125" style="279" customWidth="1"/>
    <col min="5127" max="5127" width="10" style="279" customWidth="1"/>
    <col min="5128" max="5129" width="9.28515625" style="279" customWidth="1"/>
    <col min="5130" max="5130" width="21.28515625" style="279" customWidth="1"/>
    <col min="5131" max="5131" width="20.7109375" style="279" bestFit="1" customWidth="1"/>
    <col min="5132" max="5132" width="13.5703125" style="279" customWidth="1"/>
    <col min="5133" max="5133" width="9.42578125" style="279" customWidth="1"/>
    <col min="5134" max="5134" width="10.42578125" style="279" customWidth="1"/>
    <col min="5135" max="5135" width="8.7109375" style="279" customWidth="1"/>
    <col min="5136" max="5136" width="11" style="279" customWidth="1"/>
    <col min="5137" max="5137" width="9.5703125" style="279" customWidth="1"/>
    <col min="5138" max="5138" width="8.7109375" style="279" customWidth="1"/>
    <col min="5139" max="5139" width="7.5703125" style="279" customWidth="1"/>
    <col min="5140" max="5140" width="8.5703125" style="279" customWidth="1"/>
    <col min="5141" max="5141" width="9.28515625" style="279" customWidth="1"/>
    <col min="5142" max="5142" width="7.28515625" style="279" customWidth="1"/>
    <col min="5143" max="5144" width="10.28515625" style="279" customWidth="1"/>
    <col min="5145" max="5145" width="9.5703125" style="279" customWidth="1"/>
    <col min="5146" max="5146" width="12.7109375" style="279" bestFit="1" customWidth="1"/>
    <col min="5147" max="5147" width="32.28515625" style="279" customWidth="1"/>
    <col min="5148" max="5148" width="2.5703125" style="279" customWidth="1"/>
    <col min="5149" max="5149" width="22" style="279" customWidth="1"/>
    <col min="5150" max="5150" width="14.7109375" style="279" customWidth="1"/>
    <col min="5151" max="5151" width="8.28515625" style="279" customWidth="1"/>
    <col min="5152" max="5152" width="7" style="279" customWidth="1"/>
    <col min="5153" max="5153" width="7.28515625" style="279" customWidth="1"/>
    <col min="5154" max="5154" width="6.42578125" style="279" customWidth="1"/>
    <col min="5155" max="5155" width="8.28515625" style="279" customWidth="1"/>
    <col min="5156" max="5156" width="9.7109375" style="279" customWidth="1"/>
    <col min="5157" max="5157" width="7.28515625" style="279" customWidth="1"/>
    <col min="5158" max="5158" width="7.42578125" style="279" customWidth="1"/>
    <col min="5159" max="5159" width="13.7109375" style="279" customWidth="1"/>
    <col min="5160" max="5160" width="15.7109375" style="279" customWidth="1"/>
    <col min="5161" max="5161" width="12" style="279" customWidth="1"/>
    <col min="5162" max="5162" width="8.7109375" style="279" customWidth="1"/>
    <col min="5163" max="5164" width="8.5703125" style="279" customWidth="1"/>
    <col min="5165" max="5165" width="7.42578125" style="279" customWidth="1"/>
    <col min="5166" max="5166" width="10.7109375" style="279" bestFit="1" customWidth="1"/>
    <col min="5167" max="5167" width="9.140625" style="279"/>
    <col min="5168" max="5168" width="12.42578125" style="279" bestFit="1" customWidth="1"/>
    <col min="5169" max="5169" width="14.42578125" style="279" bestFit="1" customWidth="1"/>
    <col min="5170" max="5170" width="8.28515625" style="279" bestFit="1" customWidth="1"/>
    <col min="5171" max="5171" width="10.28515625" style="279" bestFit="1" customWidth="1"/>
    <col min="5172" max="5172" width="7.42578125" style="279" bestFit="1" customWidth="1"/>
    <col min="5173" max="5173" width="9.42578125" style="279" bestFit="1" customWidth="1"/>
    <col min="5174" max="5174" width="9.7109375" style="279" bestFit="1" customWidth="1"/>
    <col min="5175" max="5175" width="8.7109375" style="279" bestFit="1" customWidth="1"/>
    <col min="5176" max="5176" width="12" style="279" bestFit="1" customWidth="1"/>
    <col min="5177" max="5177" width="7.28515625" style="279" bestFit="1" customWidth="1"/>
    <col min="5178" max="5178" width="8.7109375" style="279" bestFit="1" customWidth="1"/>
    <col min="5179" max="5179" width="12.28515625" style="279" bestFit="1" customWidth="1"/>
    <col min="5180" max="5180" width="9.28515625" style="279" bestFit="1" customWidth="1"/>
    <col min="5181" max="5181" width="33.42578125" style="279" bestFit="1" customWidth="1"/>
    <col min="5182" max="5182" width="10" style="279" customWidth="1"/>
    <col min="5183" max="5380" width="9.140625" style="279"/>
    <col min="5381" max="5381" width="31" style="279" customWidth="1"/>
    <col min="5382" max="5382" width="8.5703125" style="279" customWidth="1"/>
    <col min="5383" max="5383" width="10" style="279" customWidth="1"/>
    <col min="5384" max="5385" width="9.28515625" style="279" customWidth="1"/>
    <col min="5386" max="5386" width="21.28515625" style="279" customWidth="1"/>
    <col min="5387" max="5387" width="20.7109375" style="279" bestFit="1" customWidth="1"/>
    <col min="5388" max="5388" width="13.5703125" style="279" customWidth="1"/>
    <col min="5389" max="5389" width="9.42578125" style="279" customWidth="1"/>
    <col min="5390" max="5390" width="10.42578125" style="279" customWidth="1"/>
    <col min="5391" max="5391" width="8.7109375" style="279" customWidth="1"/>
    <col min="5392" max="5392" width="11" style="279" customWidth="1"/>
    <col min="5393" max="5393" width="9.5703125" style="279" customWidth="1"/>
    <col min="5394" max="5394" width="8.7109375" style="279" customWidth="1"/>
    <col min="5395" max="5395" width="7.5703125" style="279" customWidth="1"/>
    <col min="5396" max="5396" width="8.5703125" style="279" customWidth="1"/>
    <col min="5397" max="5397" width="9.28515625" style="279" customWidth="1"/>
    <col min="5398" max="5398" width="7.28515625" style="279" customWidth="1"/>
    <col min="5399" max="5400" width="10.28515625" style="279" customWidth="1"/>
    <col min="5401" max="5401" width="9.5703125" style="279" customWidth="1"/>
    <col min="5402" max="5402" width="12.7109375" style="279" bestFit="1" customWidth="1"/>
    <col min="5403" max="5403" width="32.28515625" style="279" customWidth="1"/>
    <col min="5404" max="5404" width="2.5703125" style="279" customWidth="1"/>
    <col min="5405" max="5405" width="22" style="279" customWidth="1"/>
    <col min="5406" max="5406" width="14.7109375" style="279" customWidth="1"/>
    <col min="5407" max="5407" width="8.28515625" style="279" customWidth="1"/>
    <col min="5408" max="5408" width="7" style="279" customWidth="1"/>
    <col min="5409" max="5409" width="7.28515625" style="279" customWidth="1"/>
    <col min="5410" max="5410" width="6.42578125" style="279" customWidth="1"/>
    <col min="5411" max="5411" width="8.28515625" style="279" customWidth="1"/>
    <col min="5412" max="5412" width="9.7109375" style="279" customWidth="1"/>
    <col min="5413" max="5413" width="7.28515625" style="279" customWidth="1"/>
    <col min="5414" max="5414" width="7.42578125" style="279" customWidth="1"/>
    <col min="5415" max="5415" width="13.7109375" style="279" customWidth="1"/>
    <col min="5416" max="5416" width="15.7109375" style="279" customWidth="1"/>
    <col min="5417" max="5417" width="12" style="279" customWidth="1"/>
    <col min="5418" max="5418" width="8.7109375" style="279" customWidth="1"/>
    <col min="5419" max="5420" width="8.5703125" style="279" customWidth="1"/>
    <col min="5421" max="5421" width="7.42578125" style="279" customWidth="1"/>
    <col min="5422" max="5422" width="10.7109375" style="279" bestFit="1" customWidth="1"/>
    <col min="5423" max="5423" width="9.140625" style="279"/>
    <col min="5424" max="5424" width="12.42578125" style="279" bestFit="1" customWidth="1"/>
    <col min="5425" max="5425" width="14.42578125" style="279" bestFit="1" customWidth="1"/>
    <col min="5426" max="5426" width="8.28515625" style="279" bestFit="1" customWidth="1"/>
    <col min="5427" max="5427" width="10.28515625" style="279" bestFit="1" customWidth="1"/>
    <col min="5428" max="5428" width="7.42578125" style="279" bestFit="1" customWidth="1"/>
    <col min="5429" max="5429" width="9.42578125" style="279" bestFit="1" customWidth="1"/>
    <col min="5430" max="5430" width="9.7109375" style="279" bestFit="1" customWidth="1"/>
    <col min="5431" max="5431" width="8.7109375" style="279" bestFit="1" customWidth="1"/>
    <col min="5432" max="5432" width="12" style="279" bestFit="1" customWidth="1"/>
    <col min="5433" max="5433" width="7.28515625" style="279" bestFit="1" customWidth="1"/>
    <col min="5434" max="5434" width="8.7109375" style="279" bestFit="1" customWidth="1"/>
    <col min="5435" max="5435" width="12.28515625" style="279" bestFit="1" customWidth="1"/>
    <col min="5436" max="5436" width="9.28515625" style="279" bestFit="1" customWidth="1"/>
    <col min="5437" max="5437" width="33.42578125" style="279" bestFit="1" customWidth="1"/>
    <col min="5438" max="5438" width="10" style="279" customWidth="1"/>
    <col min="5439" max="5636" width="9.140625" style="279"/>
    <col min="5637" max="5637" width="31" style="279" customWidth="1"/>
    <col min="5638" max="5638" width="8.5703125" style="279" customWidth="1"/>
    <col min="5639" max="5639" width="10" style="279" customWidth="1"/>
    <col min="5640" max="5641" width="9.28515625" style="279" customWidth="1"/>
    <col min="5642" max="5642" width="21.28515625" style="279" customWidth="1"/>
    <col min="5643" max="5643" width="20.7109375" style="279" bestFit="1" customWidth="1"/>
    <col min="5644" max="5644" width="13.5703125" style="279" customWidth="1"/>
    <col min="5645" max="5645" width="9.42578125" style="279" customWidth="1"/>
    <col min="5646" max="5646" width="10.42578125" style="279" customWidth="1"/>
    <col min="5647" max="5647" width="8.7109375" style="279" customWidth="1"/>
    <col min="5648" max="5648" width="11" style="279" customWidth="1"/>
    <col min="5649" max="5649" width="9.5703125" style="279" customWidth="1"/>
    <col min="5650" max="5650" width="8.7109375" style="279" customWidth="1"/>
    <col min="5651" max="5651" width="7.5703125" style="279" customWidth="1"/>
    <col min="5652" max="5652" width="8.5703125" style="279" customWidth="1"/>
    <col min="5653" max="5653" width="9.28515625" style="279" customWidth="1"/>
    <col min="5654" max="5654" width="7.28515625" style="279" customWidth="1"/>
    <col min="5655" max="5656" width="10.28515625" style="279" customWidth="1"/>
    <col min="5657" max="5657" width="9.5703125" style="279" customWidth="1"/>
    <col min="5658" max="5658" width="12.7109375" style="279" bestFit="1" customWidth="1"/>
    <col min="5659" max="5659" width="32.28515625" style="279" customWidth="1"/>
    <col min="5660" max="5660" width="2.5703125" style="279" customWidth="1"/>
    <col min="5661" max="5661" width="22" style="279" customWidth="1"/>
    <col min="5662" max="5662" width="14.7109375" style="279" customWidth="1"/>
    <col min="5663" max="5663" width="8.28515625" style="279" customWidth="1"/>
    <col min="5664" max="5664" width="7" style="279" customWidth="1"/>
    <col min="5665" max="5665" width="7.28515625" style="279" customWidth="1"/>
    <col min="5666" max="5666" width="6.42578125" style="279" customWidth="1"/>
    <col min="5667" max="5667" width="8.28515625" style="279" customWidth="1"/>
    <col min="5668" max="5668" width="9.7109375" style="279" customWidth="1"/>
    <col min="5669" max="5669" width="7.28515625" style="279" customWidth="1"/>
    <col min="5670" max="5670" width="7.42578125" style="279" customWidth="1"/>
    <col min="5671" max="5671" width="13.7109375" style="279" customWidth="1"/>
    <col min="5672" max="5672" width="15.7109375" style="279" customWidth="1"/>
    <col min="5673" max="5673" width="12" style="279" customWidth="1"/>
    <col min="5674" max="5674" width="8.7109375" style="279" customWidth="1"/>
    <col min="5675" max="5676" width="8.5703125" style="279" customWidth="1"/>
    <col min="5677" max="5677" width="7.42578125" style="279" customWidth="1"/>
    <col min="5678" max="5678" width="10.7109375" style="279" bestFit="1" customWidth="1"/>
    <col min="5679" max="5679" width="9.140625" style="279"/>
    <col min="5680" max="5680" width="12.42578125" style="279" bestFit="1" customWidth="1"/>
    <col min="5681" max="5681" width="14.42578125" style="279" bestFit="1" customWidth="1"/>
    <col min="5682" max="5682" width="8.28515625" style="279" bestFit="1" customWidth="1"/>
    <col min="5683" max="5683" width="10.28515625" style="279" bestFit="1" customWidth="1"/>
    <col min="5684" max="5684" width="7.42578125" style="279" bestFit="1" customWidth="1"/>
    <col min="5685" max="5685" width="9.42578125" style="279" bestFit="1" customWidth="1"/>
    <col min="5686" max="5686" width="9.7109375" style="279" bestFit="1" customWidth="1"/>
    <col min="5687" max="5687" width="8.7109375" style="279" bestFit="1" customWidth="1"/>
    <col min="5688" max="5688" width="12" style="279" bestFit="1" customWidth="1"/>
    <col min="5689" max="5689" width="7.28515625" style="279" bestFit="1" customWidth="1"/>
    <col min="5690" max="5690" width="8.7109375" style="279" bestFit="1" customWidth="1"/>
    <col min="5691" max="5691" width="12.28515625" style="279" bestFit="1" customWidth="1"/>
    <col min="5692" max="5692" width="9.28515625" style="279" bestFit="1" customWidth="1"/>
    <col min="5693" max="5693" width="33.42578125" style="279" bestFit="1" customWidth="1"/>
    <col min="5694" max="5694" width="10" style="279" customWidth="1"/>
    <col min="5695" max="5892" width="9.140625" style="279"/>
    <col min="5893" max="5893" width="31" style="279" customWidth="1"/>
    <col min="5894" max="5894" width="8.5703125" style="279" customWidth="1"/>
    <col min="5895" max="5895" width="10" style="279" customWidth="1"/>
    <col min="5896" max="5897" width="9.28515625" style="279" customWidth="1"/>
    <col min="5898" max="5898" width="21.28515625" style="279" customWidth="1"/>
    <col min="5899" max="5899" width="20.7109375" style="279" bestFit="1" customWidth="1"/>
    <col min="5900" max="5900" width="13.5703125" style="279" customWidth="1"/>
    <col min="5901" max="5901" width="9.42578125" style="279" customWidth="1"/>
    <col min="5902" max="5902" width="10.42578125" style="279" customWidth="1"/>
    <col min="5903" max="5903" width="8.7109375" style="279" customWidth="1"/>
    <col min="5904" max="5904" width="11" style="279" customWidth="1"/>
    <col min="5905" max="5905" width="9.5703125" style="279" customWidth="1"/>
    <col min="5906" max="5906" width="8.7109375" style="279" customWidth="1"/>
    <col min="5907" max="5907" width="7.5703125" style="279" customWidth="1"/>
    <col min="5908" max="5908" width="8.5703125" style="279" customWidth="1"/>
    <col min="5909" max="5909" width="9.28515625" style="279" customWidth="1"/>
    <col min="5910" max="5910" width="7.28515625" style="279" customWidth="1"/>
    <col min="5911" max="5912" width="10.28515625" style="279" customWidth="1"/>
    <col min="5913" max="5913" width="9.5703125" style="279" customWidth="1"/>
    <col min="5914" max="5914" width="12.7109375" style="279" bestFit="1" customWidth="1"/>
    <col min="5915" max="5915" width="32.28515625" style="279" customWidth="1"/>
    <col min="5916" max="5916" width="2.5703125" style="279" customWidth="1"/>
    <col min="5917" max="5917" width="22" style="279" customWidth="1"/>
    <col min="5918" max="5918" width="14.7109375" style="279" customWidth="1"/>
    <col min="5919" max="5919" width="8.28515625" style="279" customWidth="1"/>
    <col min="5920" max="5920" width="7" style="279" customWidth="1"/>
    <col min="5921" max="5921" width="7.28515625" style="279" customWidth="1"/>
    <col min="5922" max="5922" width="6.42578125" style="279" customWidth="1"/>
    <col min="5923" max="5923" width="8.28515625" style="279" customWidth="1"/>
    <col min="5924" max="5924" width="9.7109375" style="279" customWidth="1"/>
    <col min="5925" max="5925" width="7.28515625" style="279" customWidth="1"/>
    <col min="5926" max="5926" width="7.42578125" style="279" customWidth="1"/>
    <col min="5927" max="5927" width="13.7109375" style="279" customWidth="1"/>
    <col min="5928" max="5928" width="15.7109375" style="279" customWidth="1"/>
    <col min="5929" max="5929" width="12" style="279" customWidth="1"/>
    <col min="5930" max="5930" width="8.7109375" style="279" customWidth="1"/>
    <col min="5931" max="5932" width="8.5703125" style="279" customWidth="1"/>
    <col min="5933" max="5933" width="7.42578125" style="279" customWidth="1"/>
    <col min="5934" max="5934" width="10.7109375" style="279" bestFit="1" customWidth="1"/>
    <col min="5935" max="5935" width="9.140625" style="279"/>
    <col min="5936" max="5936" width="12.42578125" style="279" bestFit="1" customWidth="1"/>
    <col min="5937" max="5937" width="14.42578125" style="279" bestFit="1" customWidth="1"/>
    <col min="5938" max="5938" width="8.28515625" style="279" bestFit="1" customWidth="1"/>
    <col min="5939" max="5939" width="10.28515625" style="279" bestFit="1" customWidth="1"/>
    <col min="5940" max="5940" width="7.42578125" style="279" bestFit="1" customWidth="1"/>
    <col min="5941" max="5941" width="9.42578125" style="279" bestFit="1" customWidth="1"/>
    <col min="5942" max="5942" width="9.7109375" style="279" bestFit="1" customWidth="1"/>
    <col min="5943" max="5943" width="8.7109375" style="279" bestFit="1" customWidth="1"/>
    <col min="5944" max="5944" width="12" style="279" bestFit="1" customWidth="1"/>
    <col min="5945" max="5945" width="7.28515625" style="279" bestFit="1" customWidth="1"/>
    <col min="5946" max="5946" width="8.7109375" style="279" bestFit="1" customWidth="1"/>
    <col min="5947" max="5947" width="12.28515625" style="279" bestFit="1" customWidth="1"/>
    <col min="5948" max="5948" width="9.28515625" style="279" bestFit="1" customWidth="1"/>
    <col min="5949" max="5949" width="33.42578125" style="279" bestFit="1" customWidth="1"/>
    <col min="5950" max="5950" width="10" style="279" customWidth="1"/>
    <col min="5951" max="6148" width="9.140625" style="279"/>
    <col min="6149" max="6149" width="31" style="279" customWidth="1"/>
    <col min="6150" max="6150" width="8.5703125" style="279" customWidth="1"/>
    <col min="6151" max="6151" width="10" style="279" customWidth="1"/>
    <col min="6152" max="6153" width="9.28515625" style="279" customWidth="1"/>
    <col min="6154" max="6154" width="21.28515625" style="279" customWidth="1"/>
    <col min="6155" max="6155" width="20.7109375" style="279" bestFit="1" customWidth="1"/>
    <col min="6156" max="6156" width="13.5703125" style="279" customWidth="1"/>
    <col min="6157" max="6157" width="9.42578125" style="279" customWidth="1"/>
    <col min="6158" max="6158" width="10.42578125" style="279" customWidth="1"/>
    <col min="6159" max="6159" width="8.7109375" style="279" customWidth="1"/>
    <col min="6160" max="6160" width="11" style="279" customWidth="1"/>
    <col min="6161" max="6161" width="9.5703125" style="279" customWidth="1"/>
    <col min="6162" max="6162" width="8.7109375" style="279" customWidth="1"/>
    <col min="6163" max="6163" width="7.5703125" style="279" customWidth="1"/>
    <col min="6164" max="6164" width="8.5703125" style="279" customWidth="1"/>
    <col min="6165" max="6165" width="9.28515625" style="279" customWidth="1"/>
    <col min="6166" max="6166" width="7.28515625" style="279" customWidth="1"/>
    <col min="6167" max="6168" width="10.28515625" style="279" customWidth="1"/>
    <col min="6169" max="6169" width="9.5703125" style="279" customWidth="1"/>
    <col min="6170" max="6170" width="12.7109375" style="279" bestFit="1" customWidth="1"/>
    <col min="6171" max="6171" width="32.28515625" style="279" customWidth="1"/>
    <col min="6172" max="6172" width="2.5703125" style="279" customWidth="1"/>
    <col min="6173" max="6173" width="22" style="279" customWidth="1"/>
    <col min="6174" max="6174" width="14.7109375" style="279" customWidth="1"/>
    <col min="6175" max="6175" width="8.28515625" style="279" customWidth="1"/>
    <col min="6176" max="6176" width="7" style="279" customWidth="1"/>
    <col min="6177" max="6177" width="7.28515625" style="279" customWidth="1"/>
    <col min="6178" max="6178" width="6.42578125" style="279" customWidth="1"/>
    <col min="6179" max="6179" width="8.28515625" style="279" customWidth="1"/>
    <col min="6180" max="6180" width="9.7109375" style="279" customWidth="1"/>
    <col min="6181" max="6181" width="7.28515625" style="279" customWidth="1"/>
    <col min="6182" max="6182" width="7.42578125" style="279" customWidth="1"/>
    <col min="6183" max="6183" width="13.7109375" style="279" customWidth="1"/>
    <col min="6184" max="6184" width="15.7109375" style="279" customWidth="1"/>
    <col min="6185" max="6185" width="12" style="279" customWidth="1"/>
    <col min="6186" max="6186" width="8.7109375" style="279" customWidth="1"/>
    <col min="6187" max="6188" width="8.5703125" style="279" customWidth="1"/>
    <col min="6189" max="6189" width="7.42578125" style="279" customWidth="1"/>
    <col min="6190" max="6190" width="10.7109375" style="279" bestFit="1" customWidth="1"/>
    <col min="6191" max="6191" width="9.140625" style="279"/>
    <col min="6192" max="6192" width="12.42578125" style="279" bestFit="1" customWidth="1"/>
    <col min="6193" max="6193" width="14.42578125" style="279" bestFit="1" customWidth="1"/>
    <col min="6194" max="6194" width="8.28515625" style="279" bestFit="1" customWidth="1"/>
    <col min="6195" max="6195" width="10.28515625" style="279" bestFit="1" customWidth="1"/>
    <col min="6196" max="6196" width="7.42578125" style="279" bestFit="1" customWidth="1"/>
    <col min="6197" max="6197" width="9.42578125" style="279" bestFit="1" customWidth="1"/>
    <col min="6198" max="6198" width="9.7109375" style="279" bestFit="1" customWidth="1"/>
    <col min="6199" max="6199" width="8.7109375" style="279" bestFit="1" customWidth="1"/>
    <col min="6200" max="6200" width="12" style="279" bestFit="1" customWidth="1"/>
    <col min="6201" max="6201" width="7.28515625" style="279" bestFit="1" customWidth="1"/>
    <col min="6202" max="6202" width="8.7109375" style="279" bestFit="1" customWidth="1"/>
    <col min="6203" max="6203" width="12.28515625" style="279" bestFit="1" customWidth="1"/>
    <col min="6204" max="6204" width="9.28515625" style="279" bestFit="1" customWidth="1"/>
    <col min="6205" max="6205" width="33.42578125" style="279" bestFit="1" customWidth="1"/>
    <col min="6206" max="6206" width="10" style="279" customWidth="1"/>
    <col min="6207" max="6404" width="9.140625" style="279"/>
    <col min="6405" max="6405" width="31" style="279" customWidth="1"/>
    <col min="6406" max="6406" width="8.5703125" style="279" customWidth="1"/>
    <col min="6407" max="6407" width="10" style="279" customWidth="1"/>
    <col min="6408" max="6409" width="9.28515625" style="279" customWidth="1"/>
    <col min="6410" max="6410" width="21.28515625" style="279" customWidth="1"/>
    <col min="6411" max="6411" width="20.7109375" style="279" bestFit="1" customWidth="1"/>
    <col min="6412" max="6412" width="13.5703125" style="279" customWidth="1"/>
    <col min="6413" max="6413" width="9.42578125" style="279" customWidth="1"/>
    <col min="6414" max="6414" width="10.42578125" style="279" customWidth="1"/>
    <col min="6415" max="6415" width="8.7109375" style="279" customWidth="1"/>
    <col min="6416" max="6416" width="11" style="279" customWidth="1"/>
    <col min="6417" max="6417" width="9.5703125" style="279" customWidth="1"/>
    <col min="6418" max="6418" width="8.7109375" style="279" customWidth="1"/>
    <col min="6419" max="6419" width="7.5703125" style="279" customWidth="1"/>
    <col min="6420" max="6420" width="8.5703125" style="279" customWidth="1"/>
    <col min="6421" max="6421" width="9.28515625" style="279" customWidth="1"/>
    <col min="6422" max="6422" width="7.28515625" style="279" customWidth="1"/>
    <col min="6423" max="6424" width="10.28515625" style="279" customWidth="1"/>
    <col min="6425" max="6425" width="9.5703125" style="279" customWidth="1"/>
    <col min="6426" max="6426" width="12.7109375" style="279" bestFit="1" customWidth="1"/>
    <col min="6427" max="6427" width="32.28515625" style="279" customWidth="1"/>
    <col min="6428" max="6428" width="2.5703125" style="279" customWidth="1"/>
    <col min="6429" max="6429" width="22" style="279" customWidth="1"/>
    <col min="6430" max="6430" width="14.7109375" style="279" customWidth="1"/>
    <col min="6431" max="6431" width="8.28515625" style="279" customWidth="1"/>
    <col min="6432" max="6432" width="7" style="279" customWidth="1"/>
    <col min="6433" max="6433" width="7.28515625" style="279" customWidth="1"/>
    <col min="6434" max="6434" width="6.42578125" style="279" customWidth="1"/>
    <col min="6435" max="6435" width="8.28515625" style="279" customWidth="1"/>
    <col min="6436" max="6436" width="9.7109375" style="279" customWidth="1"/>
    <col min="6437" max="6437" width="7.28515625" style="279" customWidth="1"/>
    <col min="6438" max="6438" width="7.42578125" style="279" customWidth="1"/>
    <col min="6439" max="6439" width="13.7109375" style="279" customWidth="1"/>
    <col min="6440" max="6440" width="15.7109375" style="279" customWidth="1"/>
    <col min="6441" max="6441" width="12" style="279" customWidth="1"/>
    <col min="6442" max="6442" width="8.7109375" style="279" customWidth="1"/>
    <col min="6443" max="6444" width="8.5703125" style="279" customWidth="1"/>
    <col min="6445" max="6445" width="7.42578125" style="279" customWidth="1"/>
    <col min="6446" max="6446" width="10.7109375" style="279" bestFit="1" customWidth="1"/>
    <col min="6447" max="6447" width="9.140625" style="279"/>
    <col min="6448" max="6448" width="12.42578125" style="279" bestFit="1" customWidth="1"/>
    <col min="6449" max="6449" width="14.42578125" style="279" bestFit="1" customWidth="1"/>
    <col min="6450" max="6450" width="8.28515625" style="279" bestFit="1" customWidth="1"/>
    <col min="6451" max="6451" width="10.28515625" style="279" bestFit="1" customWidth="1"/>
    <col min="6452" max="6452" width="7.42578125" style="279" bestFit="1" customWidth="1"/>
    <col min="6453" max="6453" width="9.42578125" style="279" bestFit="1" customWidth="1"/>
    <col min="6454" max="6454" width="9.7109375" style="279" bestFit="1" customWidth="1"/>
    <col min="6455" max="6455" width="8.7109375" style="279" bestFit="1" customWidth="1"/>
    <col min="6456" max="6456" width="12" style="279" bestFit="1" customWidth="1"/>
    <col min="6457" max="6457" width="7.28515625" style="279" bestFit="1" customWidth="1"/>
    <col min="6458" max="6458" width="8.7109375" style="279" bestFit="1" customWidth="1"/>
    <col min="6459" max="6459" width="12.28515625" style="279" bestFit="1" customWidth="1"/>
    <col min="6460" max="6460" width="9.28515625" style="279" bestFit="1" customWidth="1"/>
    <col min="6461" max="6461" width="33.42578125" style="279" bestFit="1" customWidth="1"/>
    <col min="6462" max="6462" width="10" style="279" customWidth="1"/>
    <col min="6463" max="6660" width="9.140625" style="279"/>
    <col min="6661" max="6661" width="31" style="279" customWidth="1"/>
    <col min="6662" max="6662" width="8.5703125" style="279" customWidth="1"/>
    <col min="6663" max="6663" width="10" style="279" customWidth="1"/>
    <col min="6664" max="6665" width="9.28515625" style="279" customWidth="1"/>
    <col min="6666" max="6666" width="21.28515625" style="279" customWidth="1"/>
    <col min="6667" max="6667" width="20.7109375" style="279" bestFit="1" customWidth="1"/>
    <col min="6668" max="6668" width="13.5703125" style="279" customWidth="1"/>
    <col min="6669" max="6669" width="9.42578125" style="279" customWidth="1"/>
    <col min="6670" max="6670" width="10.42578125" style="279" customWidth="1"/>
    <col min="6671" max="6671" width="8.7109375" style="279" customWidth="1"/>
    <col min="6672" max="6672" width="11" style="279" customWidth="1"/>
    <col min="6673" max="6673" width="9.5703125" style="279" customWidth="1"/>
    <col min="6674" max="6674" width="8.7109375" style="279" customWidth="1"/>
    <col min="6675" max="6675" width="7.5703125" style="279" customWidth="1"/>
    <col min="6676" max="6676" width="8.5703125" style="279" customWidth="1"/>
    <col min="6677" max="6677" width="9.28515625" style="279" customWidth="1"/>
    <col min="6678" max="6678" width="7.28515625" style="279" customWidth="1"/>
    <col min="6679" max="6680" width="10.28515625" style="279" customWidth="1"/>
    <col min="6681" max="6681" width="9.5703125" style="279" customWidth="1"/>
    <col min="6682" max="6682" width="12.7109375" style="279" bestFit="1" customWidth="1"/>
    <col min="6683" max="6683" width="32.28515625" style="279" customWidth="1"/>
    <col min="6684" max="6684" width="2.5703125" style="279" customWidth="1"/>
    <col min="6685" max="6685" width="22" style="279" customWidth="1"/>
    <col min="6686" max="6686" width="14.7109375" style="279" customWidth="1"/>
    <col min="6687" max="6687" width="8.28515625" style="279" customWidth="1"/>
    <col min="6688" max="6688" width="7" style="279" customWidth="1"/>
    <col min="6689" max="6689" width="7.28515625" style="279" customWidth="1"/>
    <col min="6690" max="6690" width="6.42578125" style="279" customWidth="1"/>
    <col min="6691" max="6691" width="8.28515625" style="279" customWidth="1"/>
    <col min="6692" max="6692" width="9.7109375" style="279" customWidth="1"/>
    <col min="6693" max="6693" width="7.28515625" style="279" customWidth="1"/>
    <col min="6694" max="6694" width="7.42578125" style="279" customWidth="1"/>
    <col min="6695" max="6695" width="13.7109375" style="279" customWidth="1"/>
    <col min="6696" max="6696" width="15.7109375" style="279" customWidth="1"/>
    <col min="6697" max="6697" width="12" style="279" customWidth="1"/>
    <col min="6698" max="6698" width="8.7109375" style="279" customWidth="1"/>
    <col min="6699" max="6700" width="8.5703125" style="279" customWidth="1"/>
    <col min="6701" max="6701" width="7.42578125" style="279" customWidth="1"/>
    <col min="6702" max="6702" width="10.7109375" style="279" bestFit="1" customWidth="1"/>
    <col min="6703" max="6703" width="9.140625" style="279"/>
    <col min="6704" max="6704" width="12.42578125" style="279" bestFit="1" customWidth="1"/>
    <col min="6705" max="6705" width="14.42578125" style="279" bestFit="1" customWidth="1"/>
    <col min="6706" max="6706" width="8.28515625" style="279" bestFit="1" customWidth="1"/>
    <col min="6707" max="6707" width="10.28515625" style="279" bestFit="1" customWidth="1"/>
    <col min="6708" max="6708" width="7.42578125" style="279" bestFit="1" customWidth="1"/>
    <col min="6709" max="6709" width="9.42578125" style="279" bestFit="1" customWidth="1"/>
    <col min="6710" max="6710" width="9.7109375" style="279" bestFit="1" customWidth="1"/>
    <col min="6711" max="6711" width="8.7109375" style="279" bestFit="1" customWidth="1"/>
    <col min="6712" max="6712" width="12" style="279" bestFit="1" customWidth="1"/>
    <col min="6713" max="6713" width="7.28515625" style="279" bestFit="1" customWidth="1"/>
    <col min="6714" max="6714" width="8.7109375" style="279" bestFit="1" customWidth="1"/>
    <col min="6715" max="6715" width="12.28515625" style="279" bestFit="1" customWidth="1"/>
    <col min="6716" max="6716" width="9.28515625" style="279" bestFit="1" customWidth="1"/>
    <col min="6717" max="6717" width="33.42578125" style="279" bestFit="1" customWidth="1"/>
    <col min="6718" max="6718" width="10" style="279" customWidth="1"/>
    <col min="6719" max="6916" width="9.140625" style="279"/>
    <col min="6917" max="6917" width="31" style="279" customWidth="1"/>
    <col min="6918" max="6918" width="8.5703125" style="279" customWidth="1"/>
    <col min="6919" max="6919" width="10" style="279" customWidth="1"/>
    <col min="6920" max="6921" width="9.28515625" style="279" customWidth="1"/>
    <col min="6922" max="6922" width="21.28515625" style="279" customWidth="1"/>
    <col min="6923" max="6923" width="20.7109375" style="279" bestFit="1" customWidth="1"/>
    <col min="6924" max="6924" width="13.5703125" style="279" customWidth="1"/>
    <col min="6925" max="6925" width="9.42578125" style="279" customWidth="1"/>
    <col min="6926" max="6926" width="10.42578125" style="279" customWidth="1"/>
    <col min="6927" max="6927" width="8.7109375" style="279" customWidth="1"/>
    <col min="6928" max="6928" width="11" style="279" customWidth="1"/>
    <col min="6929" max="6929" width="9.5703125" style="279" customWidth="1"/>
    <col min="6930" max="6930" width="8.7109375" style="279" customWidth="1"/>
    <col min="6931" max="6931" width="7.5703125" style="279" customWidth="1"/>
    <col min="6932" max="6932" width="8.5703125" style="279" customWidth="1"/>
    <col min="6933" max="6933" width="9.28515625" style="279" customWidth="1"/>
    <col min="6934" max="6934" width="7.28515625" style="279" customWidth="1"/>
    <col min="6935" max="6936" width="10.28515625" style="279" customWidth="1"/>
    <col min="6937" max="6937" width="9.5703125" style="279" customWidth="1"/>
    <col min="6938" max="6938" width="12.7109375" style="279" bestFit="1" customWidth="1"/>
    <col min="6939" max="6939" width="32.28515625" style="279" customWidth="1"/>
    <col min="6940" max="6940" width="2.5703125" style="279" customWidth="1"/>
    <col min="6941" max="6941" width="22" style="279" customWidth="1"/>
    <col min="6942" max="6942" width="14.7109375" style="279" customWidth="1"/>
    <col min="6943" max="6943" width="8.28515625" style="279" customWidth="1"/>
    <col min="6944" max="6944" width="7" style="279" customWidth="1"/>
    <col min="6945" max="6945" width="7.28515625" style="279" customWidth="1"/>
    <col min="6946" max="6946" width="6.42578125" style="279" customWidth="1"/>
    <col min="6947" max="6947" width="8.28515625" style="279" customWidth="1"/>
    <col min="6948" max="6948" width="9.7109375" style="279" customWidth="1"/>
    <col min="6949" max="6949" width="7.28515625" style="279" customWidth="1"/>
    <col min="6950" max="6950" width="7.42578125" style="279" customWidth="1"/>
    <col min="6951" max="6951" width="13.7109375" style="279" customWidth="1"/>
    <col min="6952" max="6952" width="15.7109375" style="279" customWidth="1"/>
    <col min="6953" max="6953" width="12" style="279" customWidth="1"/>
    <col min="6954" max="6954" width="8.7109375" style="279" customWidth="1"/>
    <col min="6955" max="6956" width="8.5703125" style="279" customWidth="1"/>
    <col min="6957" max="6957" width="7.42578125" style="279" customWidth="1"/>
    <col min="6958" max="6958" width="10.7109375" style="279" bestFit="1" customWidth="1"/>
    <col min="6959" max="6959" width="9.140625" style="279"/>
    <col min="6960" max="6960" width="12.42578125" style="279" bestFit="1" customWidth="1"/>
    <col min="6961" max="6961" width="14.42578125" style="279" bestFit="1" customWidth="1"/>
    <col min="6962" max="6962" width="8.28515625" style="279" bestFit="1" customWidth="1"/>
    <col min="6963" max="6963" width="10.28515625" style="279" bestFit="1" customWidth="1"/>
    <col min="6964" max="6964" width="7.42578125" style="279" bestFit="1" customWidth="1"/>
    <col min="6965" max="6965" width="9.42578125" style="279" bestFit="1" customWidth="1"/>
    <col min="6966" max="6966" width="9.7109375" style="279" bestFit="1" customWidth="1"/>
    <col min="6967" max="6967" width="8.7109375" style="279" bestFit="1" customWidth="1"/>
    <col min="6968" max="6968" width="12" style="279" bestFit="1" customWidth="1"/>
    <col min="6969" max="6969" width="7.28515625" style="279" bestFit="1" customWidth="1"/>
    <col min="6970" max="6970" width="8.7109375" style="279" bestFit="1" customWidth="1"/>
    <col min="6971" max="6971" width="12.28515625" style="279" bestFit="1" customWidth="1"/>
    <col min="6972" max="6972" width="9.28515625" style="279" bestFit="1" customWidth="1"/>
    <col min="6973" max="6973" width="33.42578125" style="279" bestFit="1" customWidth="1"/>
    <col min="6974" max="6974" width="10" style="279" customWidth="1"/>
    <col min="6975" max="7172" width="9.140625" style="279"/>
    <col min="7173" max="7173" width="31" style="279" customWidth="1"/>
    <col min="7174" max="7174" width="8.5703125" style="279" customWidth="1"/>
    <col min="7175" max="7175" width="10" style="279" customWidth="1"/>
    <col min="7176" max="7177" width="9.28515625" style="279" customWidth="1"/>
    <col min="7178" max="7178" width="21.28515625" style="279" customWidth="1"/>
    <col min="7179" max="7179" width="20.7109375" style="279" bestFit="1" customWidth="1"/>
    <col min="7180" max="7180" width="13.5703125" style="279" customWidth="1"/>
    <col min="7181" max="7181" width="9.42578125" style="279" customWidth="1"/>
    <col min="7182" max="7182" width="10.42578125" style="279" customWidth="1"/>
    <col min="7183" max="7183" width="8.7109375" style="279" customWidth="1"/>
    <col min="7184" max="7184" width="11" style="279" customWidth="1"/>
    <col min="7185" max="7185" width="9.5703125" style="279" customWidth="1"/>
    <col min="7186" max="7186" width="8.7109375" style="279" customWidth="1"/>
    <col min="7187" max="7187" width="7.5703125" style="279" customWidth="1"/>
    <col min="7188" max="7188" width="8.5703125" style="279" customWidth="1"/>
    <col min="7189" max="7189" width="9.28515625" style="279" customWidth="1"/>
    <col min="7190" max="7190" width="7.28515625" style="279" customWidth="1"/>
    <col min="7191" max="7192" width="10.28515625" style="279" customWidth="1"/>
    <col min="7193" max="7193" width="9.5703125" style="279" customWidth="1"/>
    <col min="7194" max="7194" width="12.7109375" style="279" bestFit="1" customWidth="1"/>
    <col min="7195" max="7195" width="32.28515625" style="279" customWidth="1"/>
    <col min="7196" max="7196" width="2.5703125" style="279" customWidth="1"/>
    <col min="7197" max="7197" width="22" style="279" customWidth="1"/>
    <col min="7198" max="7198" width="14.7109375" style="279" customWidth="1"/>
    <col min="7199" max="7199" width="8.28515625" style="279" customWidth="1"/>
    <col min="7200" max="7200" width="7" style="279" customWidth="1"/>
    <col min="7201" max="7201" width="7.28515625" style="279" customWidth="1"/>
    <col min="7202" max="7202" width="6.42578125" style="279" customWidth="1"/>
    <col min="7203" max="7203" width="8.28515625" style="279" customWidth="1"/>
    <col min="7204" max="7204" width="9.7109375" style="279" customWidth="1"/>
    <col min="7205" max="7205" width="7.28515625" style="279" customWidth="1"/>
    <col min="7206" max="7206" width="7.42578125" style="279" customWidth="1"/>
    <col min="7207" max="7207" width="13.7109375" style="279" customWidth="1"/>
    <col min="7208" max="7208" width="15.7109375" style="279" customWidth="1"/>
    <col min="7209" max="7209" width="12" style="279" customWidth="1"/>
    <col min="7210" max="7210" width="8.7109375" style="279" customWidth="1"/>
    <col min="7211" max="7212" width="8.5703125" style="279" customWidth="1"/>
    <col min="7213" max="7213" width="7.42578125" style="279" customWidth="1"/>
    <col min="7214" max="7214" width="10.7109375" style="279" bestFit="1" customWidth="1"/>
    <col min="7215" max="7215" width="9.140625" style="279"/>
    <col min="7216" max="7216" width="12.42578125" style="279" bestFit="1" customWidth="1"/>
    <col min="7217" max="7217" width="14.42578125" style="279" bestFit="1" customWidth="1"/>
    <col min="7218" max="7218" width="8.28515625" style="279" bestFit="1" customWidth="1"/>
    <col min="7219" max="7219" width="10.28515625" style="279" bestFit="1" customWidth="1"/>
    <col min="7220" max="7220" width="7.42578125" style="279" bestFit="1" customWidth="1"/>
    <col min="7221" max="7221" width="9.42578125" style="279" bestFit="1" customWidth="1"/>
    <col min="7222" max="7222" width="9.7109375" style="279" bestFit="1" customWidth="1"/>
    <col min="7223" max="7223" width="8.7109375" style="279" bestFit="1" customWidth="1"/>
    <col min="7224" max="7224" width="12" style="279" bestFit="1" customWidth="1"/>
    <col min="7225" max="7225" width="7.28515625" style="279" bestFit="1" customWidth="1"/>
    <col min="7226" max="7226" width="8.7109375" style="279" bestFit="1" customWidth="1"/>
    <col min="7227" max="7227" width="12.28515625" style="279" bestFit="1" customWidth="1"/>
    <col min="7228" max="7228" width="9.28515625" style="279" bestFit="1" customWidth="1"/>
    <col min="7229" max="7229" width="33.42578125" style="279" bestFit="1" customWidth="1"/>
    <col min="7230" max="7230" width="10" style="279" customWidth="1"/>
    <col min="7231" max="7428" width="9.140625" style="279"/>
    <col min="7429" max="7429" width="31" style="279" customWidth="1"/>
    <col min="7430" max="7430" width="8.5703125" style="279" customWidth="1"/>
    <col min="7431" max="7431" width="10" style="279" customWidth="1"/>
    <col min="7432" max="7433" width="9.28515625" style="279" customWidth="1"/>
    <col min="7434" max="7434" width="21.28515625" style="279" customWidth="1"/>
    <col min="7435" max="7435" width="20.7109375" style="279" bestFit="1" customWidth="1"/>
    <col min="7436" max="7436" width="13.5703125" style="279" customWidth="1"/>
    <col min="7437" max="7437" width="9.42578125" style="279" customWidth="1"/>
    <col min="7438" max="7438" width="10.42578125" style="279" customWidth="1"/>
    <col min="7439" max="7439" width="8.7109375" style="279" customWidth="1"/>
    <col min="7440" max="7440" width="11" style="279" customWidth="1"/>
    <col min="7441" max="7441" width="9.5703125" style="279" customWidth="1"/>
    <col min="7442" max="7442" width="8.7109375" style="279" customWidth="1"/>
    <col min="7443" max="7443" width="7.5703125" style="279" customWidth="1"/>
    <col min="7444" max="7444" width="8.5703125" style="279" customWidth="1"/>
    <col min="7445" max="7445" width="9.28515625" style="279" customWidth="1"/>
    <col min="7446" max="7446" width="7.28515625" style="279" customWidth="1"/>
    <col min="7447" max="7448" width="10.28515625" style="279" customWidth="1"/>
    <col min="7449" max="7449" width="9.5703125" style="279" customWidth="1"/>
    <col min="7450" max="7450" width="12.7109375" style="279" bestFit="1" customWidth="1"/>
    <col min="7451" max="7451" width="32.28515625" style="279" customWidth="1"/>
    <col min="7452" max="7452" width="2.5703125" style="279" customWidth="1"/>
    <col min="7453" max="7453" width="22" style="279" customWidth="1"/>
    <col min="7454" max="7454" width="14.7109375" style="279" customWidth="1"/>
    <col min="7455" max="7455" width="8.28515625" style="279" customWidth="1"/>
    <col min="7456" max="7456" width="7" style="279" customWidth="1"/>
    <col min="7457" max="7457" width="7.28515625" style="279" customWidth="1"/>
    <col min="7458" max="7458" width="6.42578125" style="279" customWidth="1"/>
    <col min="7459" max="7459" width="8.28515625" style="279" customWidth="1"/>
    <col min="7460" max="7460" width="9.7109375" style="279" customWidth="1"/>
    <col min="7461" max="7461" width="7.28515625" style="279" customWidth="1"/>
    <col min="7462" max="7462" width="7.42578125" style="279" customWidth="1"/>
    <col min="7463" max="7463" width="13.7109375" style="279" customWidth="1"/>
    <col min="7464" max="7464" width="15.7109375" style="279" customWidth="1"/>
    <col min="7465" max="7465" width="12" style="279" customWidth="1"/>
    <col min="7466" max="7466" width="8.7109375" style="279" customWidth="1"/>
    <col min="7467" max="7468" width="8.5703125" style="279" customWidth="1"/>
    <col min="7469" max="7469" width="7.42578125" style="279" customWidth="1"/>
    <col min="7470" max="7470" width="10.7109375" style="279" bestFit="1" customWidth="1"/>
    <col min="7471" max="7471" width="9.140625" style="279"/>
    <col min="7472" max="7472" width="12.42578125" style="279" bestFit="1" customWidth="1"/>
    <col min="7473" max="7473" width="14.42578125" style="279" bestFit="1" customWidth="1"/>
    <col min="7474" max="7474" width="8.28515625" style="279" bestFit="1" customWidth="1"/>
    <col min="7475" max="7475" width="10.28515625" style="279" bestFit="1" customWidth="1"/>
    <col min="7476" max="7476" width="7.42578125" style="279" bestFit="1" customWidth="1"/>
    <col min="7477" max="7477" width="9.42578125" style="279" bestFit="1" customWidth="1"/>
    <col min="7478" max="7478" width="9.7109375" style="279" bestFit="1" customWidth="1"/>
    <col min="7479" max="7479" width="8.7109375" style="279" bestFit="1" customWidth="1"/>
    <col min="7480" max="7480" width="12" style="279" bestFit="1" customWidth="1"/>
    <col min="7481" max="7481" width="7.28515625" style="279" bestFit="1" customWidth="1"/>
    <col min="7482" max="7482" width="8.7109375" style="279" bestFit="1" customWidth="1"/>
    <col min="7483" max="7483" width="12.28515625" style="279" bestFit="1" customWidth="1"/>
    <col min="7484" max="7484" width="9.28515625" style="279" bestFit="1" customWidth="1"/>
    <col min="7485" max="7485" width="33.42578125" style="279" bestFit="1" customWidth="1"/>
    <col min="7486" max="7486" width="10" style="279" customWidth="1"/>
    <col min="7487" max="7684" width="9.140625" style="279"/>
    <col min="7685" max="7685" width="31" style="279" customWidth="1"/>
    <col min="7686" max="7686" width="8.5703125" style="279" customWidth="1"/>
    <col min="7687" max="7687" width="10" style="279" customWidth="1"/>
    <col min="7688" max="7689" width="9.28515625" style="279" customWidth="1"/>
    <col min="7690" max="7690" width="21.28515625" style="279" customWidth="1"/>
    <col min="7691" max="7691" width="20.7109375" style="279" bestFit="1" customWidth="1"/>
    <col min="7692" max="7692" width="13.5703125" style="279" customWidth="1"/>
    <col min="7693" max="7693" width="9.42578125" style="279" customWidth="1"/>
    <col min="7694" max="7694" width="10.42578125" style="279" customWidth="1"/>
    <col min="7695" max="7695" width="8.7109375" style="279" customWidth="1"/>
    <col min="7696" max="7696" width="11" style="279" customWidth="1"/>
    <col min="7697" max="7697" width="9.5703125" style="279" customWidth="1"/>
    <col min="7698" max="7698" width="8.7109375" style="279" customWidth="1"/>
    <col min="7699" max="7699" width="7.5703125" style="279" customWidth="1"/>
    <col min="7700" max="7700" width="8.5703125" style="279" customWidth="1"/>
    <col min="7701" max="7701" width="9.28515625" style="279" customWidth="1"/>
    <col min="7702" max="7702" width="7.28515625" style="279" customWidth="1"/>
    <col min="7703" max="7704" width="10.28515625" style="279" customWidth="1"/>
    <col min="7705" max="7705" width="9.5703125" style="279" customWidth="1"/>
    <col min="7706" max="7706" width="12.7109375" style="279" bestFit="1" customWidth="1"/>
    <col min="7707" max="7707" width="32.28515625" style="279" customWidth="1"/>
    <col min="7708" max="7708" width="2.5703125" style="279" customWidth="1"/>
    <col min="7709" max="7709" width="22" style="279" customWidth="1"/>
    <col min="7710" max="7710" width="14.7109375" style="279" customWidth="1"/>
    <col min="7711" max="7711" width="8.28515625" style="279" customWidth="1"/>
    <col min="7712" max="7712" width="7" style="279" customWidth="1"/>
    <col min="7713" max="7713" width="7.28515625" style="279" customWidth="1"/>
    <col min="7714" max="7714" width="6.42578125" style="279" customWidth="1"/>
    <col min="7715" max="7715" width="8.28515625" style="279" customWidth="1"/>
    <col min="7716" max="7716" width="9.7109375" style="279" customWidth="1"/>
    <col min="7717" max="7717" width="7.28515625" style="279" customWidth="1"/>
    <col min="7718" max="7718" width="7.42578125" style="279" customWidth="1"/>
    <col min="7719" max="7719" width="13.7109375" style="279" customWidth="1"/>
    <col min="7720" max="7720" width="15.7109375" style="279" customWidth="1"/>
    <col min="7721" max="7721" width="12" style="279" customWidth="1"/>
    <col min="7722" max="7722" width="8.7109375" style="279" customWidth="1"/>
    <col min="7723" max="7724" width="8.5703125" style="279" customWidth="1"/>
    <col min="7725" max="7725" width="7.42578125" style="279" customWidth="1"/>
    <col min="7726" max="7726" width="10.7109375" style="279" bestFit="1" customWidth="1"/>
    <col min="7727" max="7727" width="9.140625" style="279"/>
    <col min="7728" max="7728" width="12.42578125" style="279" bestFit="1" customWidth="1"/>
    <col min="7729" max="7729" width="14.42578125" style="279" bestFit="1" customWidth="1"/>
    <col min="7730" max="7730" width="8.28515625" style="279" bestFit="1" customWidth="1"/>
    <col min="7731" max="7731" width="10.28515625" style="279" bestFit="1" customWidth="1"/>
    <col min="7732" max="7732" width="7.42578125" style="279" bestFit="1" customWidth="1"/>
    <col min="7733" max="7733" width="9.42578125" style="279" bestFit="1" customWidth="1"/>
    <col min="7734" max="7734" width="9.7109375" style="279" bestFit="1" customWidth="1"/>
    <col min="7735" max="7735" width="8.7109375" style="279" bestFit="1" customWidth="1"/>
    <col min="7736" max="7736" width="12" style="279" bestFit="1" customWidth="1"/>
    <col min="7737" max="7737" width="7.28515625" style="279" bestFit="1" customWidth="1"/>
    <col min="7738" max="7738" width="8.7109375" style="279" bestFit="1" customWidth="1"/>
    <col min="7739" max="7739" width="12.28515625" style="279" bestFit="1" customWidth="1"/>
    <col min="7740" max="7740" width="9.28515625" style="279" bestFit="1" customWidth="1"/>
    <col min="7741" max="7741" width="33.42578125" style="279" bestFit="1" customWidth="1"/>
    <col min="7742" max="7742" width="10" style="279" customWidth="1"/>
    <col min="7743" max="7940" width="9.140625" style="279"/>
    <col min="7941" max="7941" width="31" style="279" customWidth="1"/>
    <col min="7942" max="7942" width="8.5703125" style="279" customWidth="1"/>
    <col min="7943" max="7943" width="10" style="279" customWidth="1"/>
    <col min="7944" max="7945" width="9.28515625" style="279" customWidth="1"/>
    <col min="7946" max="7946" width="21.28515625" style="279" customWidth="1"/>
    <col min="7947" max="7947" width="20.7109375" style="279" bestFit="1" customWidth="1"/>
    <col min="7948" max="7948" width="13.5703125" style="279" customWidth="1"/>
    <col min="7949" max="7949" width="9.42578125" style="279" customWidth="1"/>
    <col min="7950" max="7950" width="10.42578125" style="279" customWidth="1"/>
    <col min="7951" max="7951" width="8.7109375" style="279" customWidth="1"/>
    <col min="7952" max="7952" width="11" style="279" customWidth="1"/>
    <col min="7953" max="7953" width="9.5703125" style="279" customWidth="1"/>
    <col min="7954" max="7954" width="8.7109375" style="279" customWidth="1"/>
    <col min="7955" max="7955" width="7.5703125" style="279" customWidth="1"/>
    <col min="7956" max="7956" width="8.5703125" style="279" customWidth="1"/>
    <col min="7957" max="7957" width="9.28515625" style="279" customWidth="1"/>
    <col min="7958" max="7958" width="7.28515625" style="279" customWidth="1"/>
    <col min="7959" max="7960" width="10.28515625" style="279" customWidth="1"/>
    <col min="7961" max="7961" width="9.5703125" style="279" customWidth="1"/>
    <col min="7962" max="7962" width="12.7109375" style="279" bestFit="1" customWidth="1"/>
    <col min="7963" max="7963" width="32.28515625" style="279" customWidth="1"/>
    <col min="7964" max="7964" width="2.5703125" style="279" customWidth="1"/>
    <col min="7965" max="7965" width="22" style="279" customWidth="1"/>
    <col min="7966" max="7966" width="14.7109375" style="279" customWidth="1"/>
    <col min="7967" max="7967" width="8.28515625" style="279" customWidth="1"/>
    <col min="7968" max="7968" width="7" style="279" customWidth="1"/>
    <col min="7969" max="7969" width="7.28515625" style="279" customWidth="1"/>
    <col min="7970" max="7970" width="6.42578125" style="279" customWidth="1"/>
    <col min="7971" max="7971" width="8.28515625" style="279" customWidth="1"/>
    <col min="7972" max="7972" width="9.7109375" style="279" customWidth="1"/>
    <col min="7973" max="7973" width="7.28515625" style="279" customWidth="1"/>
    <col min="7974" max="7974" width="7.42578125" style="279" customWidth="1"/>
    <col min="7975" max="7975" width="13.7109375" style="279" customWidth="1"/>
    <col min="7976" max="7976" width="15.7109375" style="279" customWidth="1"/>
    <col min="7977" max="7977" width="12" style="279" customWidth="1"/>
    <col min="7978" max="7978" width="8.7109375" style="279" customWidth="1"/>
    <col min="7979" max="7980" width="8.5703125" style="279" customWidth="1"/>
    <col min="7981" max="7981" width="7.42578125" style="279" customWidth="1"/>
    <col min="7982" max="7982" width="10.7109375" style="279" bestFit="1" customWidth="1"/>
    <col min="7983" max="7983" width="9.140625" style="279"/>
    <col min="7984" max="7984" width="12.42578125" style="279" bestFit="1" customWidth="1"/>
    <col min="7985" max="7985" width="14.42578125" style="279" bestFit="1" customWidth="1"/>
    <col min="7986" max="7986" width="8.28515625" style="279" bestFit="1" customWidth="1"/>
    <col min="7987" max="7987" width="10.28515625" style="279" bestFit="1" customWidth="1"/>
    <col min="7988" max="7988" width="7.42578125" style="279" bestFit="1" customWidth="1"/>
    <col min="7989" max="7989" width="9.42578125" style="279" bestFit="1" customWidth="1"/>
    <col min="7990" max="7990" width="9.7109375" style="279" bestFit="1" customWidth="1"/>
    <col min="7991" max="7991" width="8.7109375" style="279" bestFit="1" customWidth="1"/>
    <col min="7992" max="7992" width="12" style="279" bestFit="1" customWidth="1"/>
    <col min="7993" max="7993" width="7.28515625" style="279" bestFit="1" customWidth="1"/>
    <col min="7994" max="7994" width="8.7109375" style="279" bestFit="1" customWidth="1"/>
    <col min="7995" max="7995" width="12.28515625" style="279" bestFit="1" customWidth="1"/>
    <col min="7996" max="7996" width="9.28515625" style="279" bestFit="1" customWidth="1"/>
    <col min="7997" max="7997" width="33.42578125" style="279" bestFit="1" customWidth="1"/>
    <col min="7998" max="7998" width="10" style="279" customWidth="1"/>
    <col min="7999" max="8196" width="9.140625" style="279"/>
    <col min="8197" max="8197" width="31" style="279" customWidth="1"/>
    <col min="8198" max="8198" width="8.5703125" style="279" customWidth="1"/>
    <col min="8199" max="8199" width="10" style="279" customWidth="1"/>
    <col min="8200" max="8201" width="9.28515625" style="279" customWidth="1"/>
    <col min="8202" max="8202" width="21.28515625" style="279" customWidth="1"/>
    <col min="8203" max="8203" width="20.7109375" style="279" bestFit="1" customWidth="1"/>
    <col min="8204" max="8204" width="13.5703125" style="279" customWidth="1"/>
    <col min="8205" max="8205" width="9.42578125" style="279" customWidth="1"/>
    <col min="8206" max="8206" width="10.42578125" style="279" customWidth="1"/>
    <col min="8207" max="8207" width="8.7109375" style="279" customWidth="1"/>
    <col min="8208" max="8208" width="11" style="279" customWidth="1"/>
    <col min="8209" max="8209" width="9.5703125" style="279" customWidth="1"/>
    <col min="8210" max="8210" width="8.7109375" style="279" customWidth="1"/>
    <col min="8211" max="8211" width="7.5703125" style="279" customWidth="1"/>
    <col min="8212" max="8212" width="8.5703125" style="279" customWidth="1"/>
    <col min="8213" max="8213" width="9.28515625" style="279" customWidth="1"/>
    <col min="8214" max="8214" width="7.28515625" style="279" customWidth="1"/>
    <col min="8215" max="8216" width="10.28515625" style="279" customWidth="1"/>
    <col min="8217" max="8217" width="9.5703125" style="279" customWidth="1"/>
    <col min="8218" max="8218" width="12.7109375" style="279" bestFit="1" customWidth="1"/>
    <col min="8219" max="8219" width="32.28515625" style="279" customWidth="1"/>
    <col min="8220" max="8220" width="2.5703125" style="279" customWidth="1"/>
    <col min="8221" max="8221" width="22" style="279" customWidth="1"/>
    <col min="8222" max="8222" width="14.7109375" style="279" customWidth="1"/>
    <col min="8223" max="8223" width="8.28515625" style="279" customWidth="1"/>
    <col min="8224" max="8224" width="7" style="279" customWidth="1"/>
    <col min="8225" max="8225" width="7.28515625" style="279" customWidth="1"/>
    <col min="8226" max="8226" width="6.42578125" style="279" customWidth="1"/>
    <col min="8227" max="8227" width="8.28515625" style="279" customWidth="1"/>
    <col min="8228" max="8228" width="9.7109375" style="279" customWidth="1"/>
    <col min="8229" max="8229" width="7.28515625" style="279" customWidth="1"/>
    <col min="8230" max="8230" width="7.42578125" style="279" customWidth="1"/>
    <col min="8231" max="8231" width="13.7109375" style="279" customWidth="1"/>
    <col min="8232" max="8232" width="15.7109375" style="279" customWidth="1"/>
    <col min="8233" max="8233" width="12" style="279" customWidth="1"/>
    <col min="8234" max="8234" width="8.7109375" style="279" customWidth="1"/>
    <col min="8235" max="8236" width="8.5703125" style="279" customWidth="1"/>
    <col min="8237" max="8237" width="7.42578125" style="279" customWidth="1"/>
    <col min="8238" max="8238" width="10.7109375" style="279" bestFit="1" customWidth="1"/>
    <col min="8239" max="8239" width="9.140625" style="279"/>
    <col min="8240" max="8240" width="12.42578125" style="279" bestFit="1" customWidth="1"/>
    <col min="8241" max="8241" width="14.42578125" style="279" bestFit="1" customWidth="1"/>
    <col min="8242" max="8242" width="8.28515625" style="279" bestFit="1" customWidth="1"/>
    <col min="8243" max="8243" width="10.28515625" style="279" bestFit="1" customWidth="1"/>
    <col min="8244" max="8244" width="7.42578125" style="279" bestFit="1" customWidth="1"/>
    <col min="8245" max="8245" width="9.42578125" style="279" bestFit="1" customWidth="1"/>
    <col min="8246" max="8246" width="9.7109375" style="279" bestFit="1" customWidth="1"/>
    <col min="8247" max="8247" width="8.7109375" style="279" bestFit="1" customWidth="1"/>
    <col min="8248" max="8248" width="12" style="279" bestFit="1" customWidth="1"/>
    <col min="8249" max="8249" width="7.28515625" style="279" bestFit="1" customWidth="1"/>
    <col min="8250" max="8250" width="8.7109375" style="279" bestFit="1" customWidth="1"/>
    <col min="8251" max="8251" width="12.28515625" style="279" bestFit="1" customWidth="1"/>
    <col min="8252" max="8252" width="9.28515625" style="279" bestFit="1" customWidth="1"/>
    <col min="8253" max="8253" width="33.42578125" style="279" bestFit="1" customWidth="1"/>
    <col min="8254" max="8254" width="10" style="279" customWidth="1"/>
    <col min="8255" max="8452" width="9.140625" style="279"/>
    <col min="8453" max="8453" width="31" style="279" customWidth="1"/>
    <col min="8454" max="8454" width="8.5703125" style="279" customWidth="1"/>
    <col min="8455" max="8455" width="10" style="279" customWidth="1"/>
    <col min="8456" max="8457" width="9.28515625" style="279" customWidth="1"/>
    <col min="8458" max="8458" width="21.28515625" style="279" customWidth="1"/>
    <col min="8459" max="8459" width="20.7109375" style="279" bestFit="1" customWidth="1"/>
    <col min="8460" max="8460" width="13.5703125" style="279" customWidth="1"/>
    <col min="8461" max="8461" width="9.42578125" style="279" customWidth="1"/>
    <col min="8462" max="8462" width="10.42578125" style="279" customWidth="1"/>
    <col min="8463" max="8463" width="8.7109375" style="279" customWidth="1"/>
    <col min="8464" max="8464" width="11" style="279" customWidth="1"/>
    <col min="8465" max="8465" width="9.5703125" style="279" customWidth="1"/>
    <col min="8466" max="8466" width="8.7109375" style="279" customWidth="1"/>
    <col min="8467" max="8467" width="7.5703125" style="279" customWidth="1"/>
    <col min="8468" max="8468" width="8.5703125" style="279" customWidth="1"/>
    <col min="8469" max="8469" width="9.28515625" style="279" customWidth="1"/>
    <col min="8470" max="8470" width="7.28515625" style="279" customWidth="1"/>
    <col min="8471" max="8472" width="10.28515625" style="279" customWidth="1"/>
    <col min="8473" max="8473" width="9.5703125" style="279" customWidth="1"/>
    <col min="8474" max="8474" width="12.7109375" style="279" bestFit="1" customWidth="1"/>
    <col min="8475" max="8475" width="32.28515625" style="279" customWidth="1"/>
    <col min="8476" max="8476" width="2.5703125" style="279" customWidth="1"/>
    <col min="8477" max="8477" width="22" style="279" customWidth="1"/>
    <col min="8478" max="8478" width="14.7109375" style="279" customWidth="1"/>
    <col min="8479" max="8479" width="8.28515625" style="279" customWidth="1"/>
    <col min="8480" max="8480" width="7" style="279" customWidth="1"/>
    <col min="8481" max="8481" width="7.28515625" style="279" customWidth="1"/>
    <col min="8482" max="8482" width="6.42578125" style="279" customWidth="1"/>
    <col min="8483" max="8483" width="8.28515625" style="279" customWidth="1"/>
    <col min="8484" max="8484" width="9.7109375" style="279" customWidth="1"/>
    <col min="8485" max="8485" width="7.28515625" style="279" customWidth="1"/>
    <col min="8486" max="8486" width="7.42578125" style="279" customWidth="1"/>
    <col min="8487" max="8487" width="13.7109375" style="279" customWidth="1"/>
    <col min="8488" max="8488" width="15.7109375" style="279" customWidth="1"/>
    <col min="8489" max="8489" width="12" style="279" customWidth="1"/>
    <col min="8490" max="8490" width="8.7109375" style="279" customWidth="1"/>
    <col min="8491" max="8492" width="8.5703125" style="279" customWidth="1"/>
    <col min="8493" max="8493" width="7.42578125" style="279" customWidth="1"/>
    <col min="8494" max="8494" width="10.7109375" style="279" bestFit="1" customWidth="1"/>
    <col min="8495" max="8495" width="9.140625" style="279"/>
    <col min="8496" max="8496" width="12.42578125" style="279" bestFit="1" customWidth="1"/>
    <col min="8497" max="8497" width="14.42578125" style="279" bestFit="1" customWidth="1"/>
    <col min="8498" max="8498" width="8.28515625" style="279" bestFit="1" customWidth="1"/>
    <col min="8499" max="8499" width="10.28515625" style="279" bestFit="1" customWidth="1"/>
    <col min="8500" max="8500" width="7.42578125" style="279" bestFit="1" customWidth="1"/>
    <col min="8501" max="8501" width="9.42578125" style="279" bestFit="1" customWidth="1"/>
    <col min="8502" max="8502" width="9.7109375" style="279" bestFit="1" customWidth="1"/>
    <col min="8503" max="8503" width="8.7109375" style="279" bestFit="1" customWidth="1"/>
    <col min="8504" max="8504" width="12" style="279" bestFit="1" customWidth="1"/>
    <col min="8505" max="8505" width="7.28515625" style="279" bestFit="1" customWidth="1"/>
    <col min="8506" max="8506" width="8.7109375" style="279" bestFit="1" customWidth="1"/>
    <col min="8507" max="8507" width="12.28515625" style="279" bestFit="1" customWidth="1"/>
    <col min="8508" max="8508" width="9.28515625" style="279" bestFit="1" customWidth="1"/>
    <col min="8509" max="8509" width="33.42578125" style="279" bestFit="1" customWidth="1"/>
    <col min="8510" max="8510" width="10" style="279" customWidth="1"/>
    <col min="8511" max="8708" width="9.140625" style="279"/>
    <col min="8709" max="8709" width="31" style="279" customWidth="1"/>
    <col min="8710" max="8710" width="8.5703125" style="279" customWidth="1"/>
    <col min="8711" max="8711" width="10" style="279" customWidth="1"/>
    <col min="8712" max="8713" width="9.28515625" style="279" customWidth="1"/>
    <col min="8714" max="8714" width="21.28515625" style="279" customWidth="1"/>
    <col min="8715" max="8715" width="20.7109375" style="279" bestFit="1" customWidth="1"/>
    <col min="8716" max="8716" width="13.5703125" style="279" customWidth="1"/>
    <col min="8717" max="8717" width="9.42578125" style="279" customWidth="1"/>
    <col min="8718" max="8718" width="10.42578125" style="279" customWidth="1"/>
    <col min="8719" max="8719" width="8.7109375" style="279" customWidth="1"/>
    <col min="8720" max="8720" width="11" style="279" customWidth="1"/>
    <col min="8721" max="8721" width="9.5703125" style="279" customWidth="1"/>
    <col min="8722" max="8722" width="8.7109375" style="279" customWidth="1"/>
    <col min="8723" max="8723" width="7.5703125" style="279" customWidth="1"/>
    <col min="8724" max="8724" width="8.5703125" style="279" customWidth="1"/>
    <col min="8725" max="8725" width="9.28515625" style="279" customWidth="1"/>
    <col min="8726" max="8726" width="7.28515625" style="279" customWidth="1"/>
    <col min="8727" max="8728" width="10.28515625" style="279" customWidth="1"/>
    <col min="8729" max="8729" width="9.5703125" style="279" customWidth="1"/>
    <col min="8730" max="8730" width="12.7109375" style="279" bestFit="1" customWidth="1"/>
    <col min="8731" max="8731" width="32.28515625" style="279" customWidth="1"/>
    <col min="8732" max="8732" width="2.5703125" style="279" customWidth="1"/>
    <col min="8733" max="8733" width="22" style="279" customWidth="1"/>
    <col min="8734" max="8734" width="14.7109375" style="279" customWidth="1"/>
    <col min="8735" max="8735" width="8.28515625" style="279" customWidth="1"/>
    <col min="8736" max="8736" width="7" style="279" customWidth="1"/>
    <col min="8737" max="8737" width="7.28515625" style="279" customWidth="1"/>
    <col min="8738" max="8738" width="6.42578125" style="279" customWidth="1"/>
    <col min="8739" max="8739" width="8.28515625" style="279" customWidth="1"/>
    <col min="8740" max="8740" width="9.7109375" style="279" customWidth="1"/>
    <col min="8741" max="8741" width="7.28515625" style="279" customWidth="1"/>
    <col min="8742" max="8742" width="7.42578125" style="279" customWidth="1"/>
    <col min="8743" max="8743" width="13.7109375" style="279" customWidth="1"/>
    <col min="8744" max="8744" width="15.7109375" style="279" customWidth="1"/>
    <col min="8745" max="8745" width="12" style="279" customWidth="1"/>
    <col min="8746" max="8746" width="8.7109375" style="279" customWidth="1"/>
    <col min="8747" max="8748" width="8.5703125" style="279" customWidth="1"/>
    <col min="8749" max="8749" width="7.42578125" style="279" customWidth="1"/>
    <col min="8750" max="8750" width="10.7109375" style="279" bestFit="1" customWidth="1"/>
    <col min="8751" max="8751" width="9.140625" style="279"/>
    <col min="8752" max="8752" width="12.42578125" style="279" bestFit="1" customWidth="1"/>
    <col min="8753" max="8753" width="14.42578125" style="279" bestFit="1" customWidth="1"/>
    <col min="8754" max="8754" width="8.28515625" style="279" bestFit="1" customWidth="1"/>
    <col min="8755" max="8755" width="10.28515625" style="279" bestFit="1" customWidth="1"/>
    <col min="8756" max="8756" width="7.42578125" style="279" bestFit="1" customWidth="1"/>
    <col min="8757" max="8757" width="9.42578125" style="279" bestFit="1" customWidth="1"/>
    <col min="8758" max="8758" width="9.7109375" style="279" bestFit="1" customWidth="1"/>
    <col min="8759" max="8759" width="8.7109375" style="279" bestFit="1" customWidth="1"/>
    <col min="8760" max="8760" width="12" style="279" bestFit="1" customWidth="1"/>
    <col min="8761" max="8761" width="7.28515625" style="279" bestFit="1" customWidth="1"/>
    <col min="8762" max="8762" width="8.7109375" style="279" bestFit="1" customWidth="1"/>
    <col min="8763" max="8763" width="12.28515625" style="279" bestFit="1" customWidth="1"/>
    <col min="8764" max="8764" width="9.28515625" style="279" bestFit="1" customWidth="1"/>
    <col min="8765" max="8765" width="33.42578125" style="279" bestFit="1" customWidth="1"/>
    <col min="8766" max="8766" width="10" style="279" customWidth="1"/>
    <col min="8767" max="8964" width="9.140625" style="279"/>
    <col min="8965" max="8965" width="31" style="279" customWidth="1"/>
    <col min="8966" max="8966" width="8.5703125" style="279" customWidth="1"/>
    <col min="8967" max="8967" width="10" style="279" customWidth="1"/>
    <col min="8968" max="8969" width="9.28515625" style="279" customWidth="1"/>
    <col min="8970" max="8970" width="21.28515625" style="279" customWidth="1"/>
    <col min="8971" max="8971" width="20.7109375" style="279" bestFit="1" customWidth="1"/>
    <col min="8972" max="8972" width="13.5703125" style="279" customWidth="1"/>
    <col min="8973" max="8973" width="9.42578125" style="279" customWidth="1"/>
    <col min="8974" max="8974" width="10.42578125" style="279" customWidth="1"/>
    <col min="8975" max="8975" width="8.7109375" style="279" customWidth="1"/>
    <col min="8976" max="8976" width="11" style="279" customWidth="1"/>
    <col min="8977" max="8977" width="9.5703125" style="279" customWidth="1"/>
    <col min="8978" max="8978" width="8.7109375" style="279" customWidth="1"/>
    <col min="8979" max="8979" width="7.5703125" style="279" customWidth="1"/>
    <col min="8980" max="8980" width="8.5703125" style="279" customWidth="1"/>
    <col min="8981" max="8981" width="9.28515625" style="279" customWidth="1"/>
    <col min="8982" max="8982" width="7.28515625" style="279" customWidth="1"/>
    <col min="8983" max="8984" width="10.28515625" style="279" customWidth="1"/>
    <col min="8985" max="8985" width="9.5703125" style="279" customWidth="1"/>
    <col min="8986" max="8986" width="12.7109375" style="279" bestFit="1" customWidth="1"/>
    <col min="8987" max="8987" width="32.28515625" style="279" customWidth="1"/>
    <col min="8988" max="8988" width="2.5703125" style="279" customWidth="1"/>
    <col min="8989" max="8989" width="22" style="279" customWidth="1"/>
    <col min="8990" max="8990" width="14.7109375" style="279" customWidth="1"/>
    <col min="8991" max="8991" width="8.28515625" style="279" customWidth="1"/>
    <col min="8992" max="8992" width="7" style="279" customWidth="1"/>
    <col min="8993" max="8993" width="7.28515625" style="279" customWidth="1"/>
    <col min="8994" max="8994" width="6.42578125" style="279" customWidth="1"/>
    <col min="8995" max="8995" width="8.28515625" style="279" customWidth="1"/>
    <col min="8996" max="8996" width="9.7109375" style="279" customWidth="1"/>
    <col min="8997" max="8997" width="7.28515625" style="279" customWidth="1"/>
    <col min="8998" max="8998" width="7.42578125" style="279" customWidth="1"/>
    <col min="8999" max="8999" width="13.7109375" style="279" customWidth="1"/>
    <col min="9000" max="9000" width="15.7109375" style="279" customWidth="1"/>
    <col min="9001" max="9001" width="12" style="279" customWidth="1"/>
    <col min="9002" max="9002" width="8.7109375" style="279" customWidth="1"/>
    <col min="9003" max="9004" width="8.5703125" style="279" customWidth="1"/>
    <col min="9005" max="9005" width="7.42578125" style="279" customWidth="1"/>
    <col min="9006" max="9006" width="10.7109375" style="279" bestFit="1" customWidth="1"/>
    <col min="9007" max="9007" width="9.140625" style="279"/>
    <col min="9008" max="9008" width="12.42578125" style="279" bestFit="1" customWidth="1"/>
    <col min="9009" max="9009" width="14.42578125" style="279" bestFit="1" customWidth="1"/>
    <col min="9010" max="9010" width="8.28515625" style="279" bestFit="1" customWidth="1"/>
    <col min="9011" max="9011" width="10.28515625" style="279" bestFit="1" customWidth="1"/>
    <col min="9012" max="9012" width="7.42578125" style="279" bestFit="1" customWidth="1"/>
    <col min="9013" max="9013" width="9.42578125" style="279" bestFit="1" customWidth="1"/>
    <col min="9014" max="9014" width="9.7109375" style="279" bestFit="1" customWidth="1"/>
    <col min="9015" max="9015" width="8.7109375" style="279" bestFit="1" customWidth="1"/>
    <col min="9016" max="9016" width="12" style="279" bestFit="1" customWidth="1"/>
    <col min="9017" max="9017" width="7.28515625" style="279" bestFit="1" customWidth="1"/>
    <col min="9018" max="9018" width="8.7109375" style="279" bestFit="1" customWidth="1"/>
    <col min="9019" max="9019" width="12.28515625" style="279" bestFit="1" customWidth="1"/>
    <col min="9020" max="9020" width="9.28515625" style="279" bestFit="1" customWidth="1"/>
    <col min="9021" max="9021" width="33.42578125" style="279" bestFit="1" customWidth="1"/>
    <col min="9022" max="9022" width="10" style="279" customWidth="1"/>
    <col min="9023" max="9220" width="9.140625" style="279"/>
    <col min="9221" max="9221" width="31" style="279" customWidth="1"/>
    <col min="9222" max="9222" width="8.5703125" style="279" customWidth="1"/>
    <col min="9223" max="9223" width="10" style="279" customWidth="1"/>
    <col min="9224" max="9225" width="9.28515625" style="279" customWidth="1"/>
    <col min="9226" max="9226" width="21.28515625" style="279" customWidth="1"/>
    <col min="9227" max="9227" width="20.7109375" style="279" bestFit="1" customWidth="1"/>
    <col min="9228" max="9228" width="13.5703125" style="279" customWidth="1"/>
    <col min="9229" max="9229" width="9.42578125" style="279" customWidth="1"/>
    <col min="9230" max="9230" width="10.42578125" style="279" customWidth="1"/>
    <col min="9231" max="9231" width="8.7109375" style="279" customWidth="1"/>
    <col min="9232" max="9232" width="11" style="279" customWidth="1"/>
    <col min="9233" max="9233" width="9.5703125" style="279" customWidth="1"/>
    <col min="9234" max="9234" width="8.7109375" style="279" customWidth="1"/>
    <col min="9235" max="9235" width="7.5703125" style="279" customWidth="1"/>
    <col min="9236" max="9236" width="8.5703125" style="279" customWidth="1"/>
    <col min="9237" max="9237" width="9.28515625" style="279" customWidth="1"/>
    <col min="9238" max="9238" width="7.28515625" style="279" customWidth="1"/>
    <col min="9239" max="9240" width="10.28515625" style="279" customWidth="1"/>
    <col min="9241" max="9241" width="9.5703125" style="279" customWidth="1"/>
    <col min="9242" max="9242" width="12.7109375" style="279" bestFit="1" customWidth="1"/>
    <col min="9243" max="9243" width="32.28515625" style="279" customWidth="1"/>
    <col min="9244" max="9244" width="2.5703125" style="279" customWidth="1"/>
    <col min="9245" max="9245" width="22" style="279" customWidth="1"/>
    <col min="9246" max="9246" width="14.7109375" style="279" customWidth="1"/>
    <col min="9247" max="9247" width="8.28515625" style="279" customWidth="1"/>
    <col min="9248" max="9248" width="7" style="279" customWidth="1"/>
    <col min="9249" max="9249" width="7.28515625" style="279" customWidth="1"/>
    <col min="9250" max="9250" width="6.42578125" style="279" customWidth="1"/>
    <col min="9251" max="9251" width="8.28515625" style="279" customWidth="1"/>
    <col min="9252" max="9252" width="9.7109375" style="279" customWidth="1"/>
    <col min="9253" max="9253" width="7.28515625" style="279" customWidth="1"/>
    <col min="9254" max="9254" width="7.42578125" style="279" customWidth="1"/>
    <col min="9255" max="9255" width="13.7109375" style="279" customWidth="1"/>
    <col min="9256" max="9256" width="15.7109375" style="279" customWidth="1"/>
    <col min="9257" max="9257" width="12" style="279" customWidth="1"/>
    <col min="9258" max="9258" width="8.7109375" style="279" customWidth="1"/>
    <col min="9259" max="9260" width="8.5703125" style="279" customWidth="1"/>
    <col min="9261" max="9261" width="7.42578125" style="279" customWidth="1"/>
    <col min="9262" max="9262" width="10.7109375" style="279" bestFit="1" customWidth="1"/>
    <col min="9263" max="9263" width="9.140625" style="279"/>
    <col min="9264" max="9264" width="12.42578125" style="279" bestFit="1" customWidth="1"/>
    <col min="9265" max="9265" width="14.42578125" style="279" bestFit="1" customWidth="1"/>
    <col min="9266" max="9266" width="8.28515625" style="279" bestFit="1" customWidth="1"/>
    <col min="9267" max="9267" width="10.28515625" style="279" bestFit="1" customWidth="1"/>
    <col min="9268" max="9268" width="7.42578125" style="279" bestFit="1" customWidth="1"/>
    <col min="9269" max="9269" width="9.42578125" style="279" bestFit="1" customWidth="1"/>
    <col min="9270" max="9270" width="9.7109375" style="279" bestFit="1" customWidth="1"/>
    <col min="9271" max="9271" width="8.7109375" style="279" bestFit="1" customWidth="1"/>
    <col min="9272" max="9272" width="12" style="279" bestFit="1" customWidth="1"/>
    <col min="9273" max="9273" width="7.28515625" style="279" bestFit="1" customWidth="1"/>
    <col min="9274" max="9274" width="8.7109375" style="279" bestFit="1" customWidth="1"/>
    <col min="9275" max="9275" width="12.28515625" style="279" bestFit="1" customWidth="1"/>
    <col min="9276" max="9276" width="9.28515625" style="279" bestFit="1" customWidth="1"/>
    <col min="9277" max="9277" width="33.42578125" style="279" bestFit="1" customWidth="1"/>
    <col min="9278" max="9278" width="10" style="279" customWidth="1"/>
    <col min="9279" max="9476" width="9.140625" style="279"/>
    <col min="9477" max="9477" width="31" style="279" customWidth="1"/>
    <col min="9478" max="9478" width="8.5703125" style="279" customWidth="1"/>
    <col min="9479" max="9479" width="10" style="279" customWidth="1"/>
    <col min="9480" max="9481" width="9.28515625" style="279" customWidth="1"/>
    <col min="9482" max="9482" width="21.28515625" style="279" customWidth="1"/>
    <col min="9483" max="9483" width="20.7109375" style="279" bestFit="1" customWidth="1"/>
    <col min="9484" max="9484" width="13.5703125" style="279" customWidth="1"/>
    <col min="9485" max="9485" width="9.42578125" style="279" customWidth="1"/>
    <col min="9486" max="9486" width="10.42578125" style="279" customWidth="1"/>
    <col min="9487" max="9487" width="8.7109375" style="279" customWidth="1"/>
    <col min="9488" max="9488" width="11" style="279" customWidth="1"/>
    <col min="9489" max="9489" width="9.5703125" style="279" customWidth="1"/>
    <col min="9490" max="9490" width="8.7109375" style="279" customWidth="1"/>
    <col min="9491" max="9491" width="7.5703125" style="279" customWidth="1"/>
    <col min="9492" max="9492" width="8.5703125" style="279" customWidth="1"/>
    <col min="9493" max="9493" width="9.28515625" style="279" customWidth="1"/>
    <col min="9494" max="9494" width="7.28515625" style="279" customWidth="1"/>
    <col min="9495" max="9496" width="10.28515625" style="279" customWidth="1"/>
    <col min="9497" max="9497" width="9.5703125" style="279" customWidth="1"/>
    <col min="9498" max="9498" width="12.7109375" style="279" bestFit="1" customWidth="1"/>
    <col min="9499" max="9499" width="32.28515625" style="279" customWidth="1"/>
    <col min="9500" max="9500" width="2.5703125" style="279" customWidth="1"/>
    <col min="9501" max="9501" width="22" style="279" customWidth="1"/>
    <col min="9502" max="9502" width="14.7109375" style="279" customWidth="1"/>
    <col min="9503" max="9503" width="8.28515625" style="279" customWidth="1"/>
    <col min="9504" max="9504" width="7" style="279" customWidth="1"/>
    <col min="9505" max="9505" width="7.28515625" style="279" customWidth="1"/>
    <col min="9506" max="9506" width="6.42578125" style="279" customWidth="1"/>
    <col min="9507" max="9507" width="8.28515625" style="279" customWidth="1"/>
    <col min="9508" max="9508" width="9.7109375" style="279" customWidth="1"/>
    <col min="9509" max="9509" width="7.28515625" style="279" customWidth="1"/>
    <col min="9510" max="9510" width="7.42578125" style="279" customWidth="1"/>
    <col min="9511" max="9511" width="13.7109375" style="279" customWidth="1"/>
    <col min="9512" max="9512" width="15.7109375" style="279" customWidth="1"/>
    <col min="9513" max="9513" width="12" style="279" customWidth="1"/>
    <col min="9514" max="9514" width="8.7109375" style="279" customWidth="1"/>
    <col min="9515" max="9516" width="8.5703125" style="279" customWidth="1"/>
    <col min="9517" max="9517" width="7.42578125" style="279" customWidth="1"/>
    <col min="9518" max="9518" width="10.7109375" style="279" bestFit="1" customWidth="1"/>
    <col min="9519" max="9519" width="9.140625" style="279"/>
    <col min="9520" max="9520" width="12.42578125" style="279" bestFit="1" customWidth="1"/>
    <col min="9521" max="9521" width="14.42578125" style="279" bestFit="1" customWidth="1"/>
    <col min="9522" max="9522" width="8.28515625" style="279" bestFit="1" customWidth="1"/>
    <col min="9523" max="9523" width="10.28515625" style="279" bestFit="1" customWidth="1"/>
    <col min="9524" max="9524" width="7.42578125" style="279" bestFit="1" customWidth="1"/>
    <col min="9525" max="9525" width="9.42578125" style="279" bestFit="1" customWidth="1"/>
    <col min="9526" max="9526" width="9.7109375" style="279" bestFit="1" customWidth="1"/>
    <col min="9527" max="9527" width="8.7109375" style="279" bestFit="1" customWidth="1"/>
    <col min="9528" max="9528" width="12" style="279" bestFit="1" customWidth="1"/>
    <col min="9529" max="9529" width="7.28515625" style="279" bestFit="1" customWidth="1"/>
    <col min="9530" max="9530" width="8.7109375" style="279" bestFit="1" customWidth="1"/>
    <col min="9531" max="9531" width="12.28515625" style="279" bestFit="1" customWidth="1"/>
    <col min="9532" max="9532" width="9.28515625" style="279" bestFit="1" customWidth="1"/>
    <col min="9533" max="9533" width="33.42578125" style="279" bestFit="1" customWidth="1"/>
    <col min="9534" max="9534" width="10" style="279" customWidth="1"/>
    <col min="9535" max="9732" width="9.140625" style="279"/>
    <col min="9733" max="9733" width="31" style="279" customWidth="1"/>
    <col min="9734" max="9734" width="8.5703125" style="279" customWidth="1"/>
    <col min="9735" max="9735" width="10" style="279" customWidth="1"/>
    <col min="9736" max="9737" width="9.28515625" style="279" customWidth="1"/>
    <col min="9738" max="9738" width="21.28515625" style="279" customWidth="1"/>
    <col min="9739" max="9739" width="20.7109375" style="279" bestFit="1" customWidth="1"/>
    <col min="9740" max="9740" width="13.5703125" style="279" customWidth="1"/>
    <col min="9741" max="9741" width="9.42578125" style="279" customWidth="1"/>
    <col min="9742" max="9742" width="10.42578125" style="279" customWidth="1"/>
    <col min="9743" max="9743" width="8.7109375" style="279" customWidth="1"/>
    <col min="9744" max="9744" width="11" style="279" customWidth="1"/>
    <col min="9745" max="9745" width="9.5703125" style="279" customWidth="1"/>
    <col min="9746" max="9746" width="8.7109375" style="279" customWidth="1"/>
    <col min="9747" max="9747" width="7.5703125" style="279" customWidth="1"/>
    <col min="9748" max="9748" width="8.5703125" style="279" customWidth="1"/>
    <col min="9749" max="9749" width="9.28515625" style="279" customWidth="1"/>
    <col min="9750" max="9750" width="7.28515625" style="279" customWidth="1"/>
    <col min="9751" max="9752" width="10.28515625" style="279" customWidth="1"/>
    <col min="9753" max="9753" width="9.5703125" style="279" customWidth="1"/>
    <col min="9754" max="9754" width="12.7109375" style="279" bestFit="1" customWidth="1"/>
    <col min="9755" max="9755" width="32.28515625" style="279" customWidth="1"/>
    <col min="9756" max="9756" width="2.5703125" style="279" customWidth="1"/>
    <col min="9757" max="9757" width="22" style="279" customWidth="1"/>
    <col min="9758" max="9758" width="14.7109375" style="279" customWidth="1"/>
    <col min="9759" max="9759" width="8.28515625" style="279" customWidth="1"/>
    <col min="9760" max="9760" width="7" style="279" customWidth="1"/>
    <col min="9761" max="9761" width="7.28515625" style="279" customWidth="1"/>
    <col min="9762" max="9762" width="6.42578125" style="279" customWidth="1"/>
    <col min="9763" max="9763" width="8.28515625" style="279" customWidth="1"/>
    <col min="9764" max="9764" width="9.7109375" style="279" customWidth="1"/>
    <col min="9765" max="9765" width="7.28515625" style="279" customWidth="1"/>
    <col min="9766" max="9766" width="7.42578125" style="279" customWidth="1"/>
    <col min="9767" max="9767" width="13.7109375" style="279" customWidth="1"/>
    <col min="9768" max="9768" width="15.7109375" style="279" customWidth="1"/>
    <col min="9769" max="9769" width="12" style="279" customWidth="1"/>
    <col min="9770" max="9770" width="8.7109375" style="279" customWidth="1"/>
    <col min="9771" max="9772" width="8.5703125" style="279" customWidth="1"/>
    <col min="9773" max="9773" width="7.42578125" style="279" customWidth="1"/>
    <col min="9774" max="9774" width="10.7109375" style="279" bestFit="1" customWidth="1"/>
    <col min="9775" max="9775" width="9.140625" style="279"/>
    <col min="9776" max="9776" width="12.42578125" style="279" bestFit="1" customWidth="1"/>
    <col min="9777" max="9777" width="14.42578125" style="279" bestFit="1" customWidth="1"/>
    <col min="9778" max="9778" width="8.28515625" style="279" bestFit="1" customWidth="1"/>
    <col min="9779" max="9779" width="10.28515625" style="279" bestFit="1" customWidth="1"/>
    <col min="9780" max="9780" width="7.42578125" style="279" bestFit="1" customWidth="1"/>
    <col min="9781" max="9781" width="9.42578125" style="279" bestFit="1" customWidth="1"/>
    <col min="9782" max="9782" width="9.7109375" style="279" bestFit="1" customWidth="1"/>
    <col min="9783" max="9783" width="8.7109375" style="279" bestFit="1" customWidth="1"/>
    <col min="9784" max="9784" width="12" style="279" bestFit="1" customWidth="1"/>
    <col min="9785" max="9785" width="7.28515625" style="279" bestFit="1" customWidth="1"/>
    <col min="9786" max="9786" width="8.7109375" style="279" bestFit="1" customWidth="1"/>
    <col min="9787" max="9787" width="12.28515625" style="279" bestFit="1" customWidth="1"/>
    <col min="9788" max="9788" width="9.28515625" style="279" bestFit="1" customWidth="1"/>
    <col min="9789" max="9789" width="33.42578125" style="279" bestFit="1" customWidth="1"/>
    <col min="9790" max="9790" width="10" style="279" customWidth="1"/>
    <col min="9791" max="9988" width="9.140625" style="279"/>
    <col min="9989" max="9989" width="31" style="279" customWidth="1"/>
    <col min="9990" max="9990" width="8.5703125" style="279" customWidth="1"/>
    <col min="9991" max="9991" width="10" style="279" customWidth="1"/>
    <col min="9992" max="9993" width="9.28515625" style="279" customWidth="1"/>
    <col min="9994" max="9994" width="21.28515625" style="279" customWidth="1"/>
    <col min="9995" max="9995" width="20.7109375" style="279" bestFit="1" customWidth="1"/>
    <col min="9996" max="9996" width="13.5703125" style="279" customWidth="1"/>
    <col min="9997" max="9997" width="9.42578125" style="279" customWidth="1"/>
    <col min="9998" max="9998" width="10.42578125" style="279" customWidth="1"/>
    <col min="9999" max="9999" width="8.7109375" style="279" customWidth="1"/>
    <col min="10000" max="10000" width="11" style="279" customWidth="1"/>
    <col min="10001" max="10001" width="9.5703125" style="279" customWidth="1"/>
    <col min="10002" max="10002" width="8.7109375" style="279" customWidth="1"/>
    <col min="10003" max="10003" width="7.5703125" style="279" customWidth="1"/>
    <col min="10004" max="10004" width="8.5703125" style="279" customWidth="1"/>
    <col min="10005" max="10005" width="9.28515625" style="279" customWidth="1"/>
    <col min="10006" max="10006" width="7.28515625" style="279" customWidth="1"/>
    <col min="10007" max="10008" width="10.28515625" style="279" customWidth="1"/>
    <col min="10009" max="10009" width="9.5703125" style="279" customWidth="1"/>
    <col min="10010" max="10010" width="12.7109375" style="279" bestFit="1" customWidth="1"/>
    <col min="10011" max="10011" width="32.28515625" style="279" customWidth="1"/>
    <col min="10012" max="10012" width="2.5703125" style="279" customWidth="1"/>
    <col min="10013" max="10013" width="22" style="279" customWidth="1"/>
    <col min="10014" max="10014" width="14.7109375" style="279" customWidth="1"/>
    <col min="10015" max="10015" width="8.28515625" style="279" customWidth="1"/>
    <col min="10016" max="10016" width="7" style="279" customWidth="1"/>
    <col min="10017" max="10017" width="7.28515625" style="279" customWidth="1"/>
    <col min="10018" max="10018" width="6.42578125" style="279" customWidth="1"/>
    <col min="10019" max="10019" width="8.28515625" style="279" customWidth="1"/>
    <col min="10020" max="10020" width="9.7109375" style="279" customWidth="1"/>
    <col min="10021" max="10021" width="7.28515625" style="279" customWidth="1"/>
    <col min="10022" max="10022" width="7.42578125" style="279" customWidth="1"/>
    <col min="10023" max="10023" width="13.7109375" style="279" customWidth="1"/>
    <col min="10024" max="10024" width="15.7109375" style="279" customWidth="1"/>
    <col min="10025" max="10025" width="12" style="279" customWidth="1"/>
    <col min="10026" max="10026" width="8.7109375" style="279" customWidth="1"/>
    <col min="10027" max="10028" width="8.5703125" style="279" customWidth="1"/>
    <col min="10029" max="10029" width="7.42578125" style="279" customWidth="1"/>
    <col min="10030" max="10030" width="10.7109375" style="279" bestFit="1" customWidth="1"/>
    <col min="10031" max="10031" width="9.140625" style="279"/>
    <col min="10032" max="10032" width="12.42578125" style="279" bestFit="1" customWidth="1"/>
    <col min="10033" max="10033" width="14.42578125" style="279" bestFit="1" customWidth="1"/>
    <col min="10034" max="10034" width="8.28515625" style="279" bestFit="1" customWidth="1"/>
    <col min="10035" max="10035" width="10.28515625" style="279" bestFit="1" customWidth="1"/>
    <col min="10036" max="10036" width="7.42578125" style="279" bestFit="1" customWidth="1"/>
    <col min="10037" max="10037" width="9.42578125" style="279" bestFit="1" customWidth="1"/>
    <col min="10038" max="10038" width="9.7109375" style="279" bestFit="1" customWidth="1"/>
    <col min="10039" max="10039" width="8.7109375" style="279" bestFit="1" customWidth="1"/>
    <col min="10040" max="10040" width="12" style="279" bestFit="1" customWidth="1"/>
    <col min="10041" max="10041" width="7.28515625" style="279" bestFit="1" customWidth="1"/>
    <col min="10042" max="10042" width="8.7109375" style="279" bestFit="1" customWidth="1"/>
    <col min="10043" max="10043" width="12.28515625" style="279" bestFit="1" customWidth="1"/>
    <col min="10044" max="10044" width="9.28515625" style="279" bestFit="1" customWidth="1"/>
    <col min="10045" max="10045" width="33.42578125" style="279" bestFit="1" customWidth="1"/>
    <col min="10046" max="10046" width="10" style="279" customWidth="1"/>
    <col min="10047" max="10244" width="9.140625" style="279"/>
    <col min="10245" max="10245" width="31" style="279" customWidth="1"/>
    <col min="10246" max="10246" width="8.5703125" style="279" customWidth="1"/>
    <col min="10247" max="10247" width="10" style="279" customWidth="1"/>
    <col min="10248" max="10249" width="9.28515625" style="279" customWidth="1"/>
    <col min="10250" max="10250" width="21.28515625" style="279" customWidth="1"/>
    <col min="10251" max="10251" width="20.7109375" style="279" bestFit="1" customWidth="1"/>
    <col min="10252" max="10252" width="13.5703125" style="279" customWidth="1"/>
    <col min="10253" max="10253" width="9.42578125" style="279" customWidth="1"/>
    <col min="10254" max="10254" width="10.42578125" style="279" customWidth="1"/>
    <col min="10255" max="10255" width="8.7109375" style="279" customWidth="1"/>
    <col min="10256" max="10256" width="11" style="279" customWidth="1"/>
    <col min="10257" max="10257" width="9.5703125" style="279" customWidth="1"/>
    <col min="10258" max="10258" width="8.7109375" style="279" customWidth="1"/>
    <col min="10259" max="10259" width="7.5703125" style="279" customWidth="1"/>
    <col min="10260" max="10260" width="8.5703125" style="279" customWidth="1"/>
    <col min="10261" max="10261" width="9.28515625" style="279" customWidth="1"/>
    <col min="10262" max="10262" width="7.28515625" style="279" customWidth="1"/>
    <col min="10263" max="10264" width="10.28515625" style="279" customWidth="1"/>
    <col min="10265" max="10265" width="9.5703125" style="279" customWidth="1"/>
    <col min="10266" max="10266" width="12.7109375" style="279" bestFit="1" customWidth="1"/>
    <col min="10267" max="10267" width="32.28515625" style="279" customWidth="1"/>
    <col min="10268" max="10268" width="2.5703125" style="279" customWidth="1"/>
    <col min="10269" max="10269" width="22" style="279" customWidth="1"/>
    <col min="10270" max="10270" width="14.7109375" style="279" customWidth="1"/>
    <col min="10271" max="10271" width="8.28515625" style="279" customWidth="1"/>
    <col min="10272" max="10272" width="7" style="279" customWidth="1"/>
    <col min="10273" max="10273" width="7.28515625" style="279" customWidth="1"/>
    <col min="10274" max="10274" width="6.42578125" style="279" customWidth="1"/>
    <col min="10275" max="10275" width="8.28515625" style="279" customWidth="1"/>
    <col min="10276" max="10276" width="9.7109375" style="279" customWidth="1"/>
    <col min="10277" max="10277" width="7.28515625" style="279" customWidth="1"/>
    <col min="10278" max="10278" width="7.42578125" style="279" customWidth="1"/>
    <col min="10279" max="10279" width="13.7109375" style="279" customWidth="1"/>
    <col min="10280" max="10280" width="15.7109375" style="279" customWidth="1"/>
    <col min="10281" max="10281" width="12" style="279" customWidth="1"/>
    <col min="10282" max="10282" width="8.7109375" style="279" customWidth="1"/>
    <col min="10283" max="10284" width="8.5703125" style="279" customWidth="1"/>
    <col min="10285" max="10285" width="7.42578125" style="279" customWidth="1"/>
    <col min="10286" max="10286" width="10.7109375" style="279" bestFit="1" customWidth="1"/>
    <col min="10287" max="10287" width="9.140625" style="279"/>
    <col min="10288" max="10288" width="12.42578125" style="279" bestFit="1" customWidth="1"/>
    <col min="10289" max="10289" width="14.42578125" style="279" bestFit="1" customWidth="1"/>
    <col min="10290" max="10290" width="8.28515625" style="279" bestFit="1" customWidth="1"/>
    <col min="10291" max="10291" width="10.28515625" style="279" bestFit="1" customWidth="1"/>
    <col min="10292" max="10292" width="7.42578125" style="279" bestFit="1" customWidth="1"/>
    <col min="10293" max="10293" width="9.42578125" style="279" bestFit="1" customWidth="1"/>
    <col min="10294" max="10294" width="9.7109375" style="279" bestFit="1" customWidth="1"/>
    <col min="10295" max="10295" width="8.7109375" style="279" bestFit="1" customWidth="1"/>
    <col min="10296" max="10296" width="12" style="279" bestFit="1" customWidth="1"/>
    <col min="10297" max="10297" width="7.28515625" style="279" bestFit="1" customWidth="1"/>
    <col min="10298" max="10298" width="8.7109375" style="279" bestFit="1" customWidth="1"/>
    <col min="10299" max="10299" width="12.28515625" style="279" bestFit="1" customWidth="1"/>
    <col min="10300" max="10300" width="9.28515625" style="279" bestFit="1" customWidth="1"/>
    <col min="10301" max="10301" width="33.42578125" style="279" bestFit="1" customWidth="1"/>
    <col min="10302" max="10302" width="10" style="279" customWidth="1"/>
    <col min="10303" max="10500" width="9.140625" style="279"/>
    <col min="10501" max="10501" width="31" style="279" customWidth="1"/>
    <col min="10502" max="10502" width="8.5703125" style="279" customWidth="1"/>
    <col min="10503" max="10503" width="10" style="279" customWidth="1"/>
    <col min="10504" max="10505" width="9.28515625" style="279" customWidth="1"/>
    <col min="10506" max="10506" width="21.28515625" style="279" customWidth="1"/>
    <col min="10507" max="10507" width="20.7109375" style="279" bestFit="1" customWidth="1"/>
    <col min="10508" max="10508" width="13.5703125" style="279" customWidth="1"/>
    <col min="10509" max="10509" width="9.42578125" style="279" customWidth="1"/>
    <col min="10510" max="10510" width="10.42578125" style="279" customWidth="1"/>
    <col min="10511" max="10511" width="8.7109375" style="279" customWidth="1"/>
    <col min="10512" max="10512" width="11" style="279" customWidth="1"/>
    <col min="10513" max="10513" width="9.5703125" style="279" customWidth="1"/>
    <col min="10514" max="10514" width="8.7109375" style="279" customWidth="1"/>
    <col min="10515" max="10515" width="7.5703125" style="279" customWidth="1"/>
    <col min="10516" max="10516" width="8.5703125" style="279" customWidth="1"/>
    <col min="10517" max="10517" width="9.28515625" style="279" customWidth="1"/>
    <col min="10518" max="10518" width="7.28515625" style="279" customWidth="1"/>
    <col min="10519" max="10520" width="10.28515625" style="279" customWidth="1"/>
    <col min="10521" max="10521" width="9.5703125" style="279" customWidth="1"/>
    <col min="10522" max="10522" width="12.7109375" style="279" bestFit="1" customWidth="1"/>
    <col min="10523" max="10523" width="32.28515625" style="279" customWidth="1"/>
    <col min="10524" max="10524" width="2.5703125" style="279" customWidth="1"/>
    <col min="10525" max="10525" width="22" style="279" customWidth="1"/>
    <col min="10526" max="10526" width="14.7109375" style="279" customWidth="1"/>
    <col min="10527" max="10527" width="8.28515625" style="279" customWidth="1"/>
    <col min="10528" max="10528" width="7" style="279" customWidth="1"/>
    <col min="10529" max="10529" width="7.28515625" style="279" customWidth="1"/>
    <col min="10530" max="10530" width="6.42578125" style="279" customWidth="1"/>
    <col min="10531" max="10531" width="8.28515625" style="279" customWidth="1"/>
    <col min="10532" max="10532" width="9.7109375" style="279" customWidth="1"/>
    <col min="10533" max="10533" width="7.28515625" style="279" customWidth="1"/>
    <col min="10534" max="10534" width="7.42578125" style="279" customWidth="1"/>
    <col min="10535" max="10535" width="13.7109375" style="279" customWidth="1"/>
    <col min="10536" max="10536" width="15.7109375" style="279" customWidth="1"/>
    <col min="10537" max="10537" width="12" style="279" customWidth="1"/>
    <col min="10538" max="10538" width="8.7109375" style="279" customWidth="1"/>
    <col min="10539" max="10540" width="8.5703125" style="279" customWidth="1"/>
    <col min="10541" max="10541" width="7.42578125" style="279" customWidth="1"/>
    <col min="10542" max="10542" width="10.7109375" style="279" bestFit="1" customWidth="1"/>
    <col min="10543" max="10543" width="9.140625" style="279"/>
    <col min="10544" max="10544" width="12.42578125" style="279" bestFit="1" customWidth="1"/>
    <col min="10545" max="10545" width="14.42578125" style="279" bestFit="1" customWidth="1"/>
    <col min="10546" max="10546" width="8.28515625" style="279" bestFit="1" customWidth="1"/>
    <col min="10547" max="10547" width="10.28515625" style="279" bestFit="1" customWidth="1"/>
    <col min="10548" max="10548" width="7.42578125" style="279" bestFit="1" customWidth="1"/>
    <col min="10549" max="10549" width="9.42578125" style="279" bestFit="1" customWidth="1"/>
    <col min="10550" max="10550" width="9.7109375" style="279" bestFit="1" customWidth="1"/>
    <col min="10551" max="10551" width="8.7109375" style="279" bestFit="1" customWidth="1"/>
    <col min="10552" max="10552" width="12" style="279" bestFit="1" customWidth="1"/>
    <col min="10553" max="10553" width="7.28515625" style="279" bestFit="1" customWidth="1"/>
    <col min="10554" max="10554" width="8.7109375" style="279" bestFit="1" customWidth="1"/>
    <col min="10555" max="10555" width="12.28515625" style="279" bestFit="1" customWidth="1"/>
    <col min="10556" max="10556" width="9.28515625" style="279" bestFit="1" customWidth="1"/>
    <col min="10557" max="10557" width="33.42578125" style="279" bestFit="1" customWidth="1"/>
    <col min="10558" max="10558" width="10" style="279" customWidth="1"/>
    <col min="10559" max="10756" width="9.140625" style="279"/>
    <col min="10757" max="10757" width="31" style="279" customWidth="1"/>
    <col min="10758" max="10758" width="8.5703125" style="279" customWidth="1"/>
    <col min="10759" max="10759" width="10" style="279" customWidth="1"/>
    <col min="10760" max="10761" width="9.28515625" style="279" customWidth="1"/>
    <col min="10762" max="10762" width="21.28515625" style="279" customWidth="1"/>
    <col min="10763" max="10763" width="20.7109375" style="279" bestFit="1" customWidth="1"/>
    <col min="10764" max="10764" width="13.5703125" style="279" customWidth="1"/>
    <col min="10765" max="10765" width="9.42578125" style="279" customWidth="1"/>
    <col min="10766" max="10766" width="10.42578125" style="279" customWidth="1"/>
    <col min="10767" max="10767" width="8.7109375" style="279" customWidth="1"/>
    <col min="10768" max="10768" width="11" style="279" customWidth="1"/>
    <col min="10769" max="10769" width="9.5703125" style="279" customWidth="1"/>
    <col min="10770" max="10770" width="8.7109375" style="279" customWidth="1"/>
    <col min="10771" max="10771" width="7.5703125" style="279" customWidth="1"/>
    <col min="10772" max="10772" width="8.5703125" style="279" customWidth="1"/>
    <col min="10773" max="10773" width="9.28515625" style="279" customWidth="1"/>
    <col min="10774" max="10774" width="7.28515625" style="279" customWidth="1"/>
    <col min="10775" max="10776" width="10.28515625" style="279" customWidth="1"/>
    <col min="10777" max="10777" width="9.5703125" style="279" customWidth="1"/>
    <col min="10778" max="10778" width="12.7109375" style="279" bestFit="1" customWidth="1"/>
    <col min="10779" max="10779" width="32.28515625" style="279" customWidth="1"/>
    <col min="10780" max="10780" width="2.5703125" style="279" customWidth="1"/>
    <col min="10781" max="10781" width="22" style="279" customWidth="1"/>
    <col min="10782" max="10782" width="14.7109375" style="279" customWidth="1"/>
    <col min="10783" max="10783" width="8.28515625" style="279" customWidth="1"/>
    <col min="10784" max="10784" width="7" style="279" customWidth="1"/>
    <col min="10785" max="10785" width="7.28515625" style="279" customWidth="1"/>
    <col min="10786" max="10786" width="6.42578125" style="279" customWidth="1"/>
    <col min="10787" max="10787" width="8.28515625" style="279" customWidth="1"/>
    <col min="10788" max="10788" width="9.7109375" style="279" customWidth="1"/>
    <col min="10789" max="10789" width="7.28515625" style="279" customWidth="1"/>
    <col min="10790" max="10790" width="7.42578125" style="279" customWidth="1"/>
    <col min="10791" max="10791" width="13.7109375" style="279" customWidth="1"/>
    <col min="10792" max="10792" width="15.7109375" style="279" customWidth="1"/>
    <col min="10793" max="10793" width="12" style="279" customWidth="1"/>
    <col min="10794" max="10794" width="8.7109375" style="279" customWidth="1"/>
    <col min="10795" max="10796" width="8.5703125" style="279" customWidth="1"/>
    <col min="10797" max="10797" width="7.42578125" style="279" customWidth="1"/>
    <col min="10798" max="10798" width="10.7109375" style="279" bestFit="1" customWidth="1"/>
    <col min="10799" max="10799" width="9.140625" style="279"/>
    <col min="10800" max="10800" width="12.42578125" style="279" bestFit="1" customWidth="1"/>
    <col min="10801" max="10801" width="14.42578125" style="279" bestFit="1" customWidth="1"/>
    <col min="10802" max="10802" width="8.28515625" style="279" bestFit="1" customWidth="1"/>
    <col min="10803" max="10803" width="10.28515625" style="279" bestFit="1" customWidth="1"/>
    <col min="10804" max="10804" width="7.42578125" style="279" bestFit="1" customWidth="1"/>
    <col min="10805" max="10805" width="9.42578125" style="279" bestFit="1" customWidth="1"/>
    <col min="10806" max="10806" width="9.7109375" style="279" bestFit="1" customWidth="1"/>
    <col min="10807" max="10807" width="8.7109375" style="279" bestFit="1" customWidth="1"/>
    <col min="10808" max="10808" width="12" style="279" bestFit="1" customWidth="1"/>
    <col min="10809" max="10809" width="7.28515625" style="279" bestFit="1" customWidth="1"/>
    <col min="10810" max="10810" width="8.7109375" style="279" bestFit="1" customWidth="1"/>
    <col min="10811" max="10811" width="12.28515625" style="279" bestFit="1" customWidth="1"/>
    <col min="10812" max="10812" width="9.28515625" style="279" bestFit="1" customWidth="1"/>
    <col min="10813" max="10813" width="33.42578125" style="279" bestFit="1" customWidth="1"/>
    <col min="10814" max="10814" width="10" style="279" customWidth="1"/>
    <col min="10815" max="11012" width="9.140625" style="279"/>
    <col min="11013" max="11013" width="31" style="279" customWidth="1"/>
    <col min="11014" max="11014" width="8.5703125" style="279" customWidth="1"/>
    <col min="11015" max="11015" width="10" style="279" customWidth="1"/>
    <col min="11016" max="11017" width="9.28515625" style="279" customWidth="1"/>
    <col min="11018" max="11018" width="21.28515625" style="279" customWidth="1"/>
    <col min="11019" max="11019" width="20.7109375" style="279" bestFit="1" customWidth="1"/>
    <col min="11020" max="11020" width="13.5703125" style="279" customWidth="1"/>
    <col min="11021" max="11021" width="9.42578125" style="279" customWidth="1"/>
    <col min="11022" max="11022" width="10.42578125" style="279" customWidth="1"/>
    <col min="11023" max="11023" width="8.7109375" style="279" customWidth="1"/>
    <col min="11024" max="11024" width="11" style="279" customWidth="1"/>
    <col min="11025" max="11025" width="9.5703125" style="279" customWidth="1"/>
    <col min="11026" max="11026" width="8.7109375" style="279" customWidth="1"/>
    <col min="11027" max="11027" width="7.5703125" style="279" customWidth="1"/>
    <col min="11028" max="11028" width="8.5703125" style="279" customWidth="1"/>
    <col min="11029" max="11029" width="9.28515625" style="279" customWidth="1"/>
    <col min="11030" max="11030" width="7.28515625" style="279" customWidth="1"/>
    <col min="11031" max="11032" width="10.28515625" style="279" customWidth="1"/>
    <col min="11033" max="11033" width="9.5703125" style="279" customWidth="1"/>
    <col min="11034" max="11034" width="12.7109375" style="279" bestFit="1" customWidth="1"/>
    <col min="11035" max="11035" width="32.28515625" style="279" customWidth="1"/>
    <col min="11036" max="11036" width="2.5703125" style="279" customWidth="1"/>
    <col min="11037" max="11037" width="22" style="279" customWidth="1"/>
    <col min="11038" max="11038" width="14.7109375" style="279" customWidth="1"/>
    <col min="11039" max="11039" width="8.28515625" style="279" customWidth="1"/>
    <col min="11040" max="11040" width="7" style="279" customWidth="1"/>
    <col min="11041" max="11041" width="7.28515625" style="279" customWidth="1"/>
    <col min="11042" max="11042" width="6.42578125" style="279" customWidth="1"/>
    <col min="11043" max="11043" width="8.28515625" style="279" customWidth="1"/>
    <col min="11044" max="11044" width="9.7109375" style="279" customWidth="1"/>
    <col min="11045" max="11045" width="7.28515625" style="279" customWidth="1"/>
    <col min="11046" max="11046" width="7.42578125" style="279" customWidth="1"/>
    <col min="11047" max="11047" width="13.7109375" style="279" customWidth="1"/>
    <col min="11048" max="11048" width="15.7109375" style="279" customWidth="1"/>
    <col min="11049" max="11049" width="12" style="279" customWidth="1"/>
    <col min="11050" max="11050" width="8.7109375" style="279" customWidth="1"/>
    <col min="11051" max="11052" width="8.5703125" style="279" customWidth="1"/>
    <col min="11053" max="11053" width="7.42578125" style="279" customWidth="1"/>
    <col min="11054" max="11054" width="10.7109375" style="279" bestFit="1" customWidth="1"/>
    <col min="11055" max="11055" width="9.140625" style="279"/>
    <col min="11056" max="11056" width="12.42578125" style="279" bestFit="1" customWidth="1"/>
    <col min="11057" max="11057" width="14.42578125" style="279" bestFit="1" customWidth="1"/>
    <col min="11058" max="11058" width="8.28515625" style="279" bestFit="1" customWidth="1"/>
    <col min="11059" max="11059" width="10.28515625" style="279" bestFit="1" customWidth="1"/>
    <col min="11060" max="11060" width="7.42578125" style="279" bestFit="1" customWidth="1"/>
    <col min="11061" max="11061" width="9.42578125" style="279" bestFit="1" customWidth="1"/>
    <col min="11062" max="11062" width="9.7109375" style="279" bestFit="1" customWidth="1"/>
    <col min="11063" max="11063" width="8.7109375" style="279" bestFit="1" customWidth="1"/>
    <col min="11064" max="11064" width="12" style="279" bestFit="1" customWidth="1"/>
    <col min="11065" max="11065" width="7.28515625" style="279" bestFit="1" customWidth="1"/>
    <col min="11066" max="11066" width="8.7109375" style="279" bestFit="1" customWidth="1"/>
    <col min="11067" max="11067" width="12.28515625" style="279" bestFit="1" customWidth="1"/>
    <col min="11068" max="11068" width="9.28515625" style="279" bestFit="1" customWidth="1"/>
    <col min="11069" max="11069" width="33.42578125" style="279" bestFit="1" customWidth="1"/>
    <col min="11070" max="11070" width="10" style="279" customWidth="1"/>
    <col min="11071" max="11268" width="9.140625" style="279"/>
    <col min="11269" max="11269" width="31" style="279" customWidth="1"/>
    <col min="11270" max="11270" width="8.5703125" style="279" customWidth="1"/>
    <col min="11271" max="11271" width="10" style="279" customWidth="1"/>
    <col min="11272" max="11273" width="9.28515625" style="279" customWidth="1"/>
    <col min="11274" max="11274" width="21.28515625" style="279" customWidth="1"/>
    <col min="11275" max="11275" width="20.7109375" style="279" bestFit="1" customWidth="1"/>
    <col min="11276" max="11276" width="13.5703125" style="279" customWidth="1"/>
    <col min="11277" max="11277" width="9.42578125" style="279" customWidth="1"/>
    <col min="11278" max="11278" width="10.42578125" style="279" customWidth="1"/>
    <col min="11279" max="11279" width="8.7109375" style="279" customWidth="1"/>
    <col min="11280" max="11280" width="11" style="279" customWidth="1"/>
    <col min="11281" max="11281" width="9.5703125" style="279" customWidth="1"/>
    <col min="11282" max="11282" width="8.7109375" style="279" customWidth="1"/>
    <col min="11283" max="11283" width="7.5703125" style="279" customWidth="1"/>
    <col min="11284" max="11284" width="8.5703125" style="279" customWidth="1"/>
    <col min="11285" max="11285" width="9.28515625" style="279" customWidth="1"/>
    <col min="11286" max="11286" width="7.28515625" style="279" customWidth="1"/>
    <col min="11287" max="11288" width="10.28515625" style="279" customWidth="1"/>
    <col min="11289" max="11289" width="9.5703125" style="279" customWidth="1"/>
    <col min="11290" max="11290" width="12.7109375" style="279" bestFit="1" customWidth="1"/>
    <col min="11291" max="11291" width="32.28515625" style="279" customWidth="1"/>
    <col min="11292" max="11292" width="2.5703125" style="279" customWidth="1"/>
    <col min="11293" max="11293" width="22" style="279" customWidth="1"/>
    <col min="11294" max="11294" width="14.7109375" style="279" customWidth="1"/>
    <col min="11295" max="11295" width="8.28515625" style="279" customWidth="1"/>
    <col min="11296" max="11296" width="7" style="279" customWidth="1"/>
    <col min="11297" max="11297" width="7.28515625" style="279" customWidth="1"/>
    <col min="11298" max="11298" width="6.42578125" style="279" customWidth="1"/>
    <col min="11299" max="11299" width="8.28515625" style="279" customWidth="1"/>
    <col min="11300" max="11300" width="9.7109375" style="279" customWidth="1"/>
    <col min="11301" max="11301" width="7.28515625" style="279" customWidth="1"/>
    <col min="11302" max="11302" width="7.42578125" style="279" customWidth="1"/>
    <col min="11303" max="11303" width="13.7109375" style="279" customWidth="1"/>
    <col min="11304" max="11304" width="15.7109375" style="279" customWidth="1"/>
    <col min="11305" max="11305" width="12" style="279" customWidth="1"/>
    <col min="11306" max="11306" width="8.7109375" style="279" customWidth="1"/>
    <col min="11307" max="11308" width="8.5703125" style="279" customWidth="1"/>
    <col min="11309" max="11309" width="7.42578125" style="279" customWidth="1"/>
    <col min="11310" max="11310" width="10.7109375" style="279" bestFit="1" customWidth="1"/>
    <col min="11311" max="11311" width="9.140625" style="279"/>
    <col min="11312" max="11312" width="12.42578125" style="279" bestFit="1" customWidth="1"/>
    <col min="11313" max="11313" width="14.42578125" style="279" bestFit="1" customWidth="1"/>
    <col min="11314" max="11314" width="8.28515625" style="279" bestFit="1" customWidth="1"/>
    <col min="11315" max="11315" width="10.28515625" style="279" bestFit="1" customWidth="1"/>
    <col min="11316" max="11316" width="7.42578125" style="279" bestFit="1" customWidth="1"/>
    <col min="11317" max="11317" width="9.42578125" style="279" bestFit="1" customWidth="1"/>
    <col min="11318" max="11318" width="9.7109375" style="279" bestFit="1" customWidth="1"/>
    <col min="11319" max="11319" width="8.7109375" style="279" bestFit="1" customWidth="1"/>
    <col min="11320" max="11320" width="12" style="279" bestFit="1" customWidth="1"/>
    <col min="11321" max="11321" width="7.28515625" style="279" bestFit="1" customWidth="1"/>
    <col min="11322" max="11322" width="8.7109375" style="279" bestFit="1" customWidth="1"/>
    <col min="11323" max="11323" width="12.28515625" style="279" bestFit="1" customWidth="1"/>
    <col min="11324" max="11324" width="9.28515625" style="279" bestFit="1" customWidth="1"/>
    <col min="11325" max="11325" width="33.42578125" style="279" bestFit="1" customWidth="1"/>
    <col min="11326" max="11326" width="10" style="279" customWidth="1"/>
    <col min="11327" max="11524" width="9.140625" style="279"/>
    <col min="11525" max="11525" width="31" style="279" customWidth="1"/>
    <col min="11526" max="11526" width="8.5703125" style="279" customWidth="1"/>
    <col min="11527" max="11527" width="10" style="279" customWidth="1"/>
    <col min="11528" max="11529" width="9.28515625" style="279" customWidth="1"/>
    <col min="11530" max="11530" width="21.28515625" style="279" customWidth="1"/>
    <col min="11531" max="11531" width="20.7109375" style="279" bestFit="1" customWidth="1"/>
    <col min="11532" max="11532" width="13.5703125" style="279" customWidth="1"/>
    <col min="11533" max="11533" width="9.42578125" style="279" customWidth="1"/>
    <col min="11534" max="11534" width="10.42578125" style="279" customWidth="1"/>
    <col min="11535" max="11535" width="8.7109375" style="279" customWidth="1"/>
    <col min="11536" max="11536" width="11" style="279" customWidth="1"/>
    <col min="11537" max="11537" width="9.5703125" style="279" customWidth="1"/>
    <col min="11538" max="11538" width="8.7109375" style="279" customWidth="1"/>
    <col min="11539" max="11539" width="7.5703125" style="279" customWidth="1"/>
    <col min="11540" max="11540" width="8.5703125" style="279" customWidth="1"/>
    <col min="11541" max="11541" width="9.28515625" style="279" customWidth="1"/>
    <col min="11542" max="11542" width="7.28515625" style="279" customWidth="1"/>
    <col min="11543" max="11544" width="10.28515625" style="279" customWidth="1"/>
    <col min="11545" max="11545" width="9.5703125" style="279" customWidth="1"/>
    <col min="11546" max="11546" width="12.7109375" style="279" bestFit="1" customWidth="1"/>
    <col min="11547" max="11547" width="32.28515625" style="279" customWidth="1"/>
    <col min="11548" max="11548" width="2.5703125" style="279" customWidth="1"/>
    <col min="11549" max="11549" width="22" style="279" customWidth="1"/>
    <col min="11550" max="11550" width="14.7109375" style="279" customWidth="1"/>
    <col min="11551" max="11551" width="8.28515625" style="279" customWidth="1"/>
    <col min="11552" max="11552" width="7" style="279" customWidth="1"/>
    <col min="11553" max="11553" width="7.28515625" style="279" customWidth="1"/>
    <col min="11554" max="11554" width="6.42578125" style="279" customWidth="1"/>
    <col min="11555" max="11555" width="8.28515625" style="279" customWidth="1"/>
    <col min="11556" max="11556" width="9.7109375" style="279" customWidth="1"/>
    <col min="11557" max="11557" width="7.28515625" style="279" customWidth="1"/>
    <col min="11558" max="11558" width="7.42578125" style="279" customWidth="1"/>
    <col min="11559" max="11559" width="13.7109375" style="279" customWidth="1"/>
    <col min="11560" max="11560" width="15.7109375" style="279" customWidth="1"/>
    <col min="11561" max="11561" width="12" style="279" customWidth="1"/>
    <col min="11562" max="11562" width="8.7109375" style="279" customWidth="1"/>
    <col min="11563" max="11564" width="8.5703125" style="279" customWidth="1"/>
    <col min="11565" max="11565" width="7.42578125" style="279" customWidth="1"/>
    <col min="11566" max="11566" width="10.7109375" style="279" bestFit="1" customWidth="1"/>
    <col min="11567" max="11567" width="9.140625" style="279"/>
    <col min="11568" max="11568" width="12.42578125" style="279" bestFit="1" customWidth="1"/>
    <col min="11569" max="11569" width="14.42578125" style="279" bestFit="1" customWidth="1"/>
    <col min="11570" max="11570" width="8.28515625" style="279" bestFit="1" customWidth="1"/>
    <col min="11571" max="11571" width="10.28515625" style="279" bestFit="1" customWidth="1"/>
    <col min="11572" max="11572" width="7.42578125" style="279" bestFit="1" customWidth="1"/>
    <col min="11573" max="11573" width="9.42578125" style="279" bestFit="1" customWidth="1"/>
    <col min="11574" max="11574" width="9.7109375" style="279" bestFit="1" customWidth="1"/>
    <col min="11575" max="11575" width="8.7109375" style="279" bestFit="1" customWidth="1"/>
    <col min="11576" max="11576" width="12" style="279" bestFit="1" customWidth="1"/>
    <col min="11577" max="11577" width="7.28515625" style="279" bestFit="1" customWidth="1"/>
    <col min="11578" max="11578" width="8.7109375" style="279" bestFit="1" customWidth="1"/>
    <col min="11579" max="11579" width="12.28515625" style="279" bestFit="1" customWidth="1"/>
    <col min="11580" max="11580" width="9.28515625" style="279" bestFit="1" customWidth="1"/>
    <col min="11581" max="11581" width="33.42578125" style="279" bestFit="1" customWidth="1"/>
    <col min="11582" max="11582" width="10" style="279" customWidth="1"/>
    <col min="11583" max="11780" width="9.140625" style="279"/>
    <col min="11781" max="11781" width="31" style="279" customWidth="1"/>
    <col min="11782" max="11782" width="8.5703125" style="279" customWidth="1"/>
    <col min="11783" max="11783" width="10" style="279" customWidth="1"/>
    <col min="11784" max="11785" width="9.28515625" style="279" customWidth="1"/>
    <col min="11786" max="11786" width="21.28515625" style="279" customWidth="1"/>
    <col min="11787" max="11787" width="20.7109375" style="279" bestFit="1" customWidth="1"/>
    <col min="11788" max="11788" width="13.5703125" style="279" customWidth="1"/>
    <col min="11789" max="11789" width="9.42578125" style="279" customWidth="1"/>
    <col min="11790" max="11790" width="10.42578125" style="279" customWidth="1"/>
    <col min="11791" max="11791" width="8.7109375" style="279" customWidth="1"/>
    <col min="11792" max="11792" width="11" style="279" customWidth="1"/>
    <col min="11793" max="11793" width="9.5703125" style="279" customWidth="1"/>
    <col min="11794" max="11794" width="8.7109375" style="279" customWidth="1"/>
    <col min="11795" max="11795" width="7.5703125" style="279" customWidth="1"/>
    <col min="11796" max="11796" width="8.5703125" style="279" customWidth="1"/>
    <col min="11797" max="11797" width="9.28515625" style="279" customWidth="1"/>
    <col min="11798" max="11798" width="7.28515625" style="279" customWidth="1"/>
    <col min="11799" max="11800" width="10.28515625" style="279" customWidth="1"/>
    <col min="11801" max="11801" width="9.5703125" style="279" customWidth="1"/>
    <col min="11802" max="11802" width="12.7109375" style="279" bestFit="1" customWidth="1"/>
    <col min="11803" max="11803" width="32.28515625" style="279" customWidth="1"/>
    <col min="11804" max="11804" width="2.5703125" style="279" customWidth="1"/>
    <col min="11805" max="11805" width="22" style="279" customWidth="1"/>
    <col min="11806" max="11806" width="14.7109375" style="279" customWidth="1"/>
    <col min="11807" max="11807" width="8.28515625" style="279" customWidth="1"/>
    <col min="11808" max="11808" width="7" style="279" customWidth="1"/>
    <col min="11809" max="11809" width="7.28515625" style="279" customWidth="1"/>
    <col min="11810" max="11810" width="6.42578125" style="279" customWidth="1"/>
    <col min="11811" max="11811" width="8.28515625" style="279" customWidth="1"/>
    <col min="11812" max="11812" width="9.7109375" style="279" customWidth="1"/>
    <col min="11813" max="11813" width="7.28515625" style="279" customWidth="1"/>
    <col min="11814" max="11814" width="7.42578125" style="279" customWidth="1"/>
    <col min="11815" max="11815" width="13.7109375" style="279" customWidth="1"/>
    <col min="11816" max="11816" width="15.7109375" style="279" customWidth="1"/>
    <col min="11817" max="11817" width="12" style="279" customWidth="1"/>
    <col min="11818" max="11818" width="8.7109375" style="279" customWidth="1"/>
    <col min="11819" max="11820" width="8.5703125" style="279" customWidth="1"/>
    <col min="11821" max="11821" width="7.42578125" style="279" customWidth="1"/>
    <col min="11822" max="11822" width="10.7109375" style="279" bestFit="1" customWidth="1"/>
    <col min="11823" max="11823" width="9.140625" style="279"/>
    <col min="11824" max="11824" width="12.42578125" style="279" bestFit="1" customWidth="1"/>
    <col min="11825" max="11825" width="14.42578125" style="279" bestFit="1" customWidth="1"/>
    <col min="11826" max="11826" width="8.28515625" style="279" bestFit="1" customWidth="1"/>
    <col min="11827" max="11827" width="10.28515625" style="279" bestFit="1" customWidth="1"/>
    <col min="11828" max="11828" width="7.42578125" style="279" bestFit="1" customWidth="1"/>
    <col min="11829" max="11829" width="9.42578125" style="279" bestFit="1" customWidth="1"/>
    <col min="11830" max="11830" width="9.7109375" style="279" bestFit="1" customWidth="1"/>
    <col min="11831" max="11831" width="8.7109375" style="279" bestFit="1" customWidth="1"/>
    <col min="11832" max="11832" width="12" style="279" bestFit="1" customWidth="1"/>
    <col min="11833" max="11833" width="7.28515625" style="279" bestFit="1" customWidth="1"/>
    <col min="11834" max="11834" width="8.7109375" style="279" bestFit="1" customWidth="1"/>
    <col min="11835" max="11835" width="12.28515625" style="279" bestFit="1" customWidth="1"/>
    <col min="11836" max="11836" width="9.28515625" style="279" bestFit="1" customWidth="1"/>
    <col min="11837" max="11837" width="33.42578125" style="279" bestFit="1" customWidth="1"/>
    <col min="11838" max="11838" width="10" style="279" customWidth="1"/>
    <col min="11839" max="12036" width="9.140625" style="279"/>
    <col min="12037" max="12037" width="31" style="279" customWidth="1"/>
    <col min="12038" max="12038" width="8.5703125" style="279" customWidth="1"/>
    <col min="12039" max="12039" width="10" style="279" customWidth="1"/>
    <col min="12040" max="12041" width="9.28515625" style="279" customWidth="1"/>
    <col min="12042" max="12042" width="21.28515625" style="279" customWidth="1"/>
    <col min="12043" max="12043" width="20.7109375" style="279" bestFit="1" customWidth="1"/>
    <col min="12044" max="12044" width="13.5703125" style="279" customWidth="1"/>
    <col min="12045" max="12045" width="9.42578125" style="279" customWidth="1"/>
    <col min="12046" max="12046" width="10.42578125" style="279" customWidth="1"/>
    <col min="12047" max="12047" width="8.7109375" style="279" customWidth="1"/>
    <col min="12048" max="12048" width="11" style="279" customWidth="1"/>
    <col min="12049" max="12049" width="9.5703125" style="279" customWidth="1"/>
    <col min="12050" max="12050" width="8.7109375" style="279" customWidth="1"/>
    <col min="12051" max="12051" width="7.5703125" style="279" customWidth="1"/>
    <col min="12052" max="12052" width="8.5703125" style="279" customWidth="1"/>
    <col min="12053" max="12053" width="9.28515625" style="279" customWidth="1"/>
    <col min="12054" max="12054" width="7.28515625" style="279" customWidth="1"/>
    <col min="12055" max="12056" width="10.28515625" style="279" customWidth="1"/>
    <col min="12057" max="12057" width="9.5703125" style="279" customWidth="1"/>
    <col min="12058" max="12058" width="12.7109375" style="279" bestFit="1" customWidth="1"/>
    <col min="12059" max="12059" width="32.28515625" style="279" customWidth="1"/>
    <col min="12060" max="12060" width="2.5703125" style="279" customWidth="1"/>
    <col min="12061" max="12061" width="22" style="279" customWidth="1"/>
    <col min="12062" max="12062" width="14.7109375" style="279" customWidth="1"/>
    <col min="12063" max="12063" width="8.28515625" style="279" customWidth="1"/>
    <col min="12064" max="12064" width="7" style="279" customWidth="1"/>
    <col min="12065" max="12065" width="7.28515625" style="279" customWidth="1"/>
    <col min="12066" max="12066" width="6.42578125" style="279" customWidth="1"/>
    <col min="12067" max="12067" width="8.28515625" style="279" customWidth="1"/>
    <col min="12068" max="12068" width="9.7109375" style="279" customWidth="1"/>
    <col min="12069" max="12069" width="7.28515625" style="279" customWidth="1"/>
    <col min="12070" max="12070" width="7.42578125" style="279" customWidth="1"/>
    <col min="12071" max="12071" width="13.7109375" style="279" customWidth="1"/>
    <col min="12072" max="12072" width="15.7109375" style="279" customWidth="1"/>
    <col min="12073" max="12073" width="12" style="279" customWidth="1"/>
    <col min="12074" max="12074" width="8.7109375" style="279" customWidth="1"/>
    <col min="12075" max="12076" width="8.5703125" style="279" customWidth="1"/>
    <col min="12077" max="12077" width="7.42578125" style="279" customWidth="1"/>
    <col min="12078" max="12078" width="10.7109375" style="279" bestFit="1" customWidth="1"/>
    <col min="12079" max="12079" width="9.140625" style="279"/>
    <col min="12080" max="12080" width="12.42578125" style="279" bestFit="1" customWidth="1"/>
    <col min="12081" max="12081" width="14.42578125" style="279" bestFit="1" customWidth="1"/>
    <col min="12082" max="12082" width="8.28515625" style="279" bestFit="1" customWidth="1"/>
    <col min="12083" max="12083" width="10.28515625" style="279" bestFit="1" customWidth="1"/>
    <col min="12084" max="12084" width="7.42578125" style="279" bestFit="1" customWidth="1"/>
    <col min="12085" max="12085" width="9.42578125" style="279" bestFit="1" customWidth="1"/>
    <col min="12086" max="12086" width="9.7109375" style="279" bestFit="1" customWidth="1"/>
    <col min="12087" max="12087" width="8.7109375" style="279" bestFit="1" customWidth="1"/>
    <col min="12088" max="12088" width="12" style="279" bestFit="1" customWidth="1"/>
    <col min="12089" max="12089" width="7.28515625" style="279" bestFit="1" customWidth="1"/>
    <col min="12090" max="12090" width="8.7109375" style="279" bestFit="1" customWidth="1"/>
    <col min="12091" max="12091" width="12.28515625" style="279" bestFit="1" customWidth="1"/>
    <col min="12092" max="12092" width="9.28515625" style="279" bestFit="1" customWidth="1"/>
    <col min="12093" max="12093" width="33.42578125" style="279" bestFit="1" customWidth="1"/>
    <col min="12094" max="12094" width="10" style="279" customWidth="1"/>
    <col min="12095" max="12292" width="9.140625" style="279"/>
    <col min="12293" max="12293" width="31" style="279" customWidth="1"/>
    <col min="12294" max="12294" width="8.5703125" style="279" customWidth="1"/>
    <col min="12295" max="12295" width="10" style="279" customWidth="1"/>
    <col min="12296" max="12297" width="9.28515625" style="279" customWidth="1"/>
    <col min="12298" max="12298" width="21.28515625" style="279" customWidth="1"/>
    <col min="12299" max="12299" width="20.7109375" style="279" bestFit="1" customWidth="1"/>
    <col min="12300" max="12300" width="13.5703125" style="279" customWidth="1"/>
    <col min="12301" max="12301" width="9.42578125" style="279" customWidth="1"/>
    <col min="12302" max="12302" width="10.42578125" style="279" customWidth="1"/>
    <col min="12303" max="12303" width="8.7109375" style="279" customWidth="1"/>
    <col min="12304" max="12304" width="11" style="279" customWidth="1"/>
    <col min="12305" max="12305" width="9.5703125" style="279" customWidth="1"/>
    <col min="12306" max="12306" width="8.7109375" style="279" customWidth="1"/>
    <col min="12307" max="12307" width="7.5703125" style="279" customWidth="1"/>
    <col min="12308" max="12308" width="8.5703125" style="279" customWidth="1"/>
    <col min="12309" max="12309" width="9.28515625" style="279" customWidth="1"/>
    <col min="12310" max="12310" width="7.28515625" style="279" customWidth="1"/>
    <col min="12311" max="12312" width="10.28515625" style="279" customWidth="1"/>
    <col min="12313" max="12313" width="9.5703125" style="279" customWidth="1"/>
    <col min="12314" max="12314" width="12.7109375" style="279" bestFit="1" customWidth="1"/>
    <col min="12315" max="12315" width="32.28515625" style="279" customWidth="1"/>
    <col min="12316" max="12316" width="2.5703125" style="279" customWidth="1"/>
    <col min="12317" max="12317" width="22" style="279" customWidth="1"/>
    <col min="12318" max="12318" width="14.7109375" style="279" customWidth="1"/>
    <col min="12319" max="12319" width="8.28515625" style="279" customWidth="1"/>
    <col min="12320" max="12320" width="7" style="279" customWidth="1"/>
    <col min="12321" max="12321" width="7.28515625" style="279" customWidth="1"/>
    <col min="12322" max="12322" width="6.42578125" style="279" customWidth="1"/>
    <col min="12323" max="12323" width="8.28515625" style="279" customWidth="1"/>
    <col min="12324" max="12324" width="9.7109375" style="279" customWidth="1"/>
    <col min="12325" max="12325" width="7.28515625" style="279" customWidth="1"/>
    <col min="12326" max="12326" width="7.42578125" style="279" customWidth="1"/>
    <col min="12327" max="12327" width="13.7109375" style="279" customWidth="1"/>
    <col min="12328" max="12328" width="15.7109375" style="279" customWidth="1"/>
    <col min="12329" max="12329" width="12" style="279" customWidth="1"/>
    <col min="12330" max="12330" width="8.7109375" style="279" customWidth="1"/>
    <col min="12331" max="12332" width="8.5703125" style="279" customWidth="1"/>
    <col min="12333" max="12333" width="7.42578125" style="279" customWidth="1"/>
    <col min="12334" max="12334" width="10.7109375" style="279" bestFit="1" customWidth="1"/>
    <col min="12335" max="12335" width="9.140625" style="279"/>
    <col min="12336" max="12336" width="12.42578125" style="279" bestFit="1" customWidth="1"/>
    <col min="12337" max="12337" width="14.42578125" style="279" bestFit="1" customWidth="1"/>
    <col min="12338" max="12338" width="8.28515625" style="279" bestFit="1" customWidth="1"/>
    <col min="12339" max="12339" width="10.28515625" style="279" bestFit="1" customWidth="1"/>
    <col min="12340" max="12340" width="7.42578125" style="279" bestFit="1" customWidth="1"/>
    <col min="12341" max="12341" width="9.42578125" style="279" bestFit="1" customWidth="1"/>
    <col min="12342" max="12342" width="9.7109375" style="279" bestFit="1" customWidth="1"/>
    <col min="12343" max="12343" width="8.7109375" style="279" bestFit="1" customWidth="1"/>
    <col min="12344" max="12344" width="12" style="279" bestFit="1" customWidth="1"/>
    <col min="12345" max="12345" width="7.28515625" style="279" bestFit="1" customWidth="1"/>
    <col min="12346" max="12346" width="8.7109375" style="279" bestFit="1" customWidth="1"/>
    <col min="12347" max="12347" width="12.28515625" style="279" bestFit="1" customWidth="1"/>
    <col min="12348" max="12348" width="9.28515625" style="279" bestFit="1" customWidth="1"/>
    <col min="12349" max="12349" width="33.42578125" style="279" bestFit="1" customWidth="1"/>
    <col min="12350" max="12350" width="10" style="279" customWidth="1"/>
    <col min="12351" max="12548" width="9.140625" style="279"/>
    <col min="12549" max="12549" width="31" style="279" customWidth="1"/>
    <col min="12550" max="12550" width="8.5703125" style="279" customWidth="1"/>
    <col min="12551" max="12551" width="10" style="279" customWidth="1"/>
    <col min="12552" max="12553" width="9.28515625" style="279" customWidth="1"/>
    <col min="12554" max="12554" width="21.28515625" style="279" customWidth="1"/>
    <col min="12555" max="12555" width="20.7109375" style="279" bestFit="1" customWidth="1"/>
    <col min="12556" max="12556" width="13.5703125" style="279" customWidth="1"/>
    <col min="12557" max="12557" width="9.42578125" style="279" customWidth="1"/>
    <col min="12558" max="12558" width="10.42578125" style="279" customWidth="1"/>
    <col min="12559" max="12559" width="8.7109375" style="279" customWidth="1"/>
    <col min="12560" max="12560" width="11" style="279" customWidth="1"/>
    <col min="12561" max="12561" width="9.5703125" style="279" customWidth="1"/>
    <col min="12562" max="12562" width="8.7109375" style="279" customWidth="1"/>
    <col min="12563" max="12563" width="7.5703125" style="279" customWidth="1"/>
    <col min="12564" max="12564" width="8.5703125" style="279" customWidth="1"/>
    <col min="12565" max="12565" width="9.28515625" style="279" customWidth="1"/>
    <col min="12566" max="12566" width="7.28515625" style="279" customWidth="1"/>
    <col min="12567" max="12568" width="10.28515625" style="279" customWidth="1"/>
    <col min="12569" max="12569" width="9.5703125" style="279" customWidth="1"/>
    <col min="12570" max="12570" width="12.7109375" style="279" bestFit="1" customWidth="1"/>
    <col min="12571" max="12571" width="32.28515625" style="279" customWidth="1"/>
    <col min="12572" max="12572" width="2.5703125" style="279" customWidth="1"/>
    <col min="12573" max="12573" width="22" style="279" customWidth="1"/>
    <col min="12574" max="12574" width="14.7109375" style="279" customWidth="1"/>
    <col min="12575" max="12575" width="8.28515625" style="279" customWidth="1"/>
    <col min="12576" max="12576" width="7" style="279" customWidth="1"/>
    <col min="12577" max="12577" width="7.28515625" style="279" customWidth="1"/>
    <col min="12578" max="12578" width="6.42578125" style="279" customWidth="1"/>
    <col min="12579" max="12579" width="8.28515625" style="279" customWidth="1"/>
    <col min="12580" max="12580" width="9.7109375" style="279" customWidth="1"/>
    <col min="12581" max="12581" width="7.28515625" style="279" customWidth="1"/>
    <col min="12582" max="12582" width="7.42578125" style="279" customWidth="1"/>
    <col min="12583" max="12583" width="13.7109375" style="279" customWidth="1"/>
    <col min="12584" max="12584" width="15.7109375" style="279" customWidth="1"/>
    <col min="12585" max="12585" width="12" style="279" customWidth="1"/>
    <col min="12586" max="12586" width="8.7109375" style="279" customWidth="1"/>
    <col min="12587" max="12588" width="8.5703125" style="279" customWidth="1"/>
    <col min="12589" max="12589" width="7.42578125" style="279" customWidth="1"/>
    <col min="12590" max="12590" width="10.7109375" style="279" bestFit="1" customWidth="1"/>
    <col min="12591" max="12591" width="9.140625" style="279"/>
    <col min="12592" max="12592" width="12.42578125" style="279" bestFit="1" customWidth="1"/>
    <col min="12593" max="12593" width="14.42578125" style="279" bestFit="1" customWidth="1"/>
    <col min="12594" max="12594" width="8.28515625" style="279" bestFit="1" customWidth="1"/>
    <col min="12595" max="12595" width="10.28515625" style="279" bestFit="1" customWidth="1"/>
    <col min="12596" max="12596" width="7.42578125" style="279" bestFit="1" customWidth="1"/>
    <col min="12597" max="12597" width="9.42578125" style="279" bestFit="1" customWidth="1"/>
    <col min="12598" max="12598" width="9.7109375" style="279" bestFit="1" customWidth="1"/>
    <col min="12599" max="12599" width="8.7109375" style="279" bestFit="1" customWidth="1"/>
    <col min="12600" max="12600" width="12" style="279" bestFit="1" customWidth="1"/>
    <col min="12601" max="12601" width="7.28515625" style="279" bestFit="1" customWidth="1"/>
    <col min="12602" max="12602" width="8.7109375" style="279" bestFit="1" customWidth="1"/>
    <col min="12603" max="12603" width="12.28515625" style="279" bestFit="1" customWidth="1"/>
    <col min="12604" max="12604" width="9.28515625" style="279" bestFit="1" customWidth="1"/>
    <col min="12605" max="12605" width="33.42578125" style="279" bestFit="1" customWidth="1"/>
    <col min="12606" max="12606" width="10" style="279" customWidth="1"/>
    <col min="12607" max="12804" width="9.140625" style="279"/>
    <col min="12805" max="12805" width="31" style="279" customWidth="1"/>
    <col min="12806" max="12806" width="8.5703125" style="279" customWidth="1"/>
    <col min="12807" max="12807" width="10" style="279" customWidth="1"/>
    <col min="12808" max="12809" width="9.28515625" style="279" customWidth="1"/>
    <col min="12810" max="12810" width="21.28515625" style="279" customWidth="1"/>
    <col min="12811" max="12811" width="20.7109375" style="279" bestFit="1" customWidth="1"/>
    <col min="12812" max="12812" width="13.5703125" style="279" customWidth="1"/>
    <col min="12813" max="12813" width="9.42578125" style="279" customWidth="1"/>
    <col min="12814" max="12814" width="10.42578125" style="279" customWidth="1"/>
    <col min="12815" max="12815" width="8.7109375" style="279" customWidth="1"/>
    <col min="12816" max="12816" width="11" style="279" customWidth="1"/>
    <col min="12817" max="12817" width="9.5703125" style="279" customWidth="1"/>
    <col min="12818" max="12818" width="8.7109375" style="279" customWidth="1"/>
    <col min="12819" max="12819" width="7.5703125" style="279" customWidth="1"/>
    <col min="12820" max="12820" width="8.5703125" style="279" customWidth="1"/>
    <col min="12821" max="12821" width="9.28515625" style="279" customWidth="1"/>
    <col min="12822" max="12822" width="7.28515625" style="279" customWidth="1"/>
    <col min="12823" max="12824" width="10.28515625" style="279" customWidth="1"/>
    <col min="12825" max="12825" width="9.5703125" style="279" customWidth="1"/>
    <col min="12826" max="12826" width="12.7109375" style="279" bestFit="1" customWidth="1"/>
    <col min="12827" max="12827" width="32.28515625" style="279" customWidth="1"/>
    <col min="12828" max="12828" width="2.5703125" style="279" customWidth="1"/>
    <col min="12829" max="12829" width="22" style="279" customWidth="1"/>
    <col min="12830" max="12830" width="14.7109375" style="279" customWidth="1"/>
    <col min="12831" max="12831" width="8.28515625" style="279" customWidth="1"/>
    <col min="12832" max="12832" width="7" style="279" customWidth="1"/>
    <col min="12833" max="12833" width="7.28515625" style="279" customWidth="1"/>
    <col min="12834" max="12834" width="6.42578125" style="279" customWidth="1"/>
    <col min="12835" max="12835" width="8.28515625" style="279" customWidth="1"/>
    <col min="12836" max="12836" width="9.7109375" style="279" customWidth="1"/>
    <col min="12837" max="12837" width="7.28515625" style="279" customWidth="1"/>
    <col min="12838" max="12838" width="7.42578125" style="279" customWidth="1"/>
    <col min="12839" max="12839" width="13.7109375" style="279" customWidth="1"/>
    <col min="12840" max="12840" width="15.7109375" style="279" customWidth="1"/>
    <col min="12841" max="12841" width="12" style="279" customWidth="1"/>
    <col min="12842" max="12842" width="8.7109375" style="279" customWidth="1"/>
    <col min="12843" max="12844" width="8.5703125" style="279" customWidth="1"/>
    <col min="12845" max="12845" width="7.42578125" style="279" customWidth="1"/>
    <col min="12846" max="12846" width="10.7109375" style="279" bestFit="1" customWidth="1"/>
    <col min="12847" max="12847" width="9.140625" style="279"/>
    <col min="12848" max="12848" width="12.42578125" style="279" bestFit="1" customWidth="1"/>
    <col min="12849" max="12849" width="14.42578125" style="279" bestFit="1" customWidth="1"/>
    <col min="12850" max="12850" width="8.28515625" style="279" bestFit="1" customWidth="1"/>
    <col min="12851" max="12851" width="10.28515625" style="279" bestFit="1" customWidth="1"/>
    <col min="12852" max="12852" width="7.42578125" style="279" bestFit="1" customWidth="1"/>
    <col min="12853" max="12853" width="9.42578125" style="279" bestFit="1" customWidth="1"/>
    <col min="12854" max="12854" width="9.7109375" style="279" bestFit="1" customWidth="1"/>
    <col min="12855" max="12855" width="8.7109375" style="279" bestFit="1" customWidth="1"/>
    <col min="12856" max="12856" width="12" style="279" bestFit="1" customWidth="1"/>
    <col min="12857" max="12857" width="7.28515625" style="279" bestFit="1" customWidth="1"/>
    <col min="12858" max="12858" width="8.7109375" style="279" bestFit="1" customWidth="1"/>
    <col min="12859" max="12859" width="12.28515625" style="279" bestFit="1" customWidth="1"/>
    <col min="12860" max="12860" width="9.28515625" style="279" bestFit="1" customWidth="1"/>
    <col min="12861" max="12861" width="33.42578125" style="279" bestFit="1" customWidth="1"/>
    <col min="12862" max="12862" width="10" style="279" customWidth="1"/>
    <col min="12863" max="13060" width="9.140625" style="279"/>
    <col min="13061" max="13061" width="31" style="279" customWidth="1"/>
    <col min="13062" max="13062" width="8.5703125" style="279" customWidth="1"/>
    <col min="13063" max="13063" width="10" style="279" customWidth="1"/>
    <col min="13064" max="13065" width="9.28515625" style="279" customWidth="1"/>
    <col min="13066" max="13066" width="21.28515625" style="279" customWidth="1"/>
    <col min="13067" max="13067" width="20.7109375" style="279" bestFit="1" customWidth="1"/>
    <col min="13068" max="13068" width="13.5703125" style="279" customWidth="1"/>
    <col min="13069" max="13069" width="9.42578125" style="279" customWidth="1"/>
    <col min="13070" max="13070" width="10.42578125" style="279" customWidth="1"/>
    <col min="13071" max="13071" width="8.7109375" style="279" customWidth="1"/>
    <col min="13072" max="13072" width="11" style="279" customWidth="1"/>
    <col min="13073" max="13073" width="9.5703125" style="279" customWidth="1"/>
    <col min="13074" max="13074" width="8.7109375" style="279" customWidth="1"/>
    <col min="13075" max="13075" width="7.5703125" style="279" customWidth="1"/>
    <col min="13076" max="13076" width="8.5703125" style="279" customWidth="1"/>
    <col min="13077" max="13077" width="9.28515625" style="279" customWidth="1"/>
    <col min="13078" max="13078" width="7.28515625" style="279" customWidth="1"/>
    <col min="13079" max="13080" width="10.28515625" style="279" customWidth="1"/>
    <col min="13081" max="13081" width="9.5703125" style="279" customWidth="1"/>
    <col min="13082" max="13082" width="12.7109375" style="279" bestFit="1" customWidth="1"/>
    <col min="13083" max="13083" width="32.28515625" style="279" customWidth="1"/>
    <col min="13084" max="13084" width="2.5703125" style="279" customWidth="1"/>
    <col min="13085" max="13085" width="22" style="279" customWidth="1"/>
    <col min="13086" max="13086" width="14.7109375" style="279" customWidth="1"/>
    <col min="13087" max="13087" width="8.28515625" style="279" customWidth="1"/>
    <col min="13088" max="13088" width="7" style="279" customWidth="1"/>
    <col min="13089" max="13089" width="7.28515625" style="279" customWidth="1"/>
    <col min="13090" max="13090" width="6.42578125" style="279" customWidth="1"/>
    <col min="13091" max="13091" width="8.28515625" style="279" customWidth="1"/>
    <col min="13092" max="13092" width="9.7109375" style="279" customWidth="1"/>
    <col min="13093" max="13093" width="7.28515625" style="279" customWidth="1"/>
    <col min="13094" max="13094" width="7.42578125" style="279" customWidth="1"/>
    <col min="13095" max="13095" width="13.7109375" style="279" customWidth="1"/>
    <col min="13096" max="13096" width="15.7109375" style="279" customWidth="1"/>
    <col min="13097" max="13097" width="12" style="279" customWidth="1"/>
    <col min="13098" max="13098" width="8.7109375" style="279" customWidth="1"/>
    <col min="13099" max="13100" width="8.5703125" style="279" customWidth="1"/>
    <col min="13101" max="13101" width="7.42578125" style="279" customWidth="1"/>
    <col min="13102" max="13102" width="10.7109375" style="279" bestFit="1" customWidth="1"/>
    <col min="13103" max="13103" width="9.140625" style="279"/>
    <col min="13104" max="13104" width="12.42578125" style="279" bestFit="1" customWidth="1"/>
    <col min="13105" max="13105" width="14.42578125" style="279" bestFit="1" customWidth="1"/>
    <col min="13106" max="13106" width="8.28515625" style="279" bestFit="1" customWidth="1"/>
    <col min="13107" max="13107" width="10.28515625" style="279" bestFit="1" customWidth="1"/>
    <col min="13108" max="13108" width="7.42578125" style="279" bestFit="1" customWidth="1"/>
    <col min="13109" max="13109" width="9.42578125" style="279" bestFit="1" customWidth="1"/>
    <col min="13110" max="13110" width="9.7109375" style="279" bestFit="1" customWidth="1"/>
    <col min="13111" max="13111" width="8.7109375" style="279" bestFit="1" customWidth="1"/>
    <col min="13112" max="13112" width="12" style="279" bestFit="1" customWidth="1"/>
    <col min="13113" max="13113" width="7.28515625" style="279" bestFit="1" customWidth="1"/>
    <col min="13114" max="13114" width="8.7109375" style="279" bestFit="1" customWidth="1"/>
    <col min="13115" max="13115" width="12.28515625" style="279" bestFit="1" customWidth="1"/>
    <col min="13116" max="13116" width="9.28515625" style="279" bestFit="1" customWidth="1"/>
    <col min="13117" max="13117" width="33.42578125" style="279" bestFit="1" customWidth="1"/>
    <col min="13118" max="13118" width="10" style="279" customWidth="1"/>
    <col min="13119" max="13316" width="9.140625" style="279"/>
    <col min="13317" max="13317" width="31" style="279" customWidth="1"/>
    <col min="13318" max="13318" width="8.5703125" style="279" customWidth="1"/>
    <col min="13319" max="13319" width="10" style="279" customWidth="1"/>
    <col min="13320" max="13321" width="9.28515625" style="279" customWidth="1"/>
    <col min="13322" max="13322" width="21.28515625" style="279" customWidth="1"/>
    <col min="13323" max="13323" width="20.7109375" style="279" bestFit="1" customWidth="1"/>
    <col min="13324" max="13324" width="13.5703125" style="279" customWidth="1"/>
    <col min="13325" max="13325" width="9.42578125" style="279" customWidth="1"/>
    <col min="13326" max="13326" width="10.42578125" style="279" customWidth="1"/>
    <col min="13327" max="13327" width="8.7109375" style="279" customWidth="1"/>
    <col min="13328" max="13328" width="11" style="279" customWidth="1"/>
    <col min="13329" max="13329" width="9.5703125" style="279" customWidth="1"/>
    <col min="13330" max="13330" width="8.7109375" style="279" customWidth="1"/>
    <col min="13331" max="13331" width="7.5703125" style="279" customWidth="1"/>
    <col min="13332" max="13332" width="8.5703125" style="279" customWidth="1"/>
    <col min="13333" max="13333" width="9.28515625" style="279" customWidth="1"/>
    <col min="13334" max="13334" width="7.28515625" style="279" customWidth="1"/>
    <col min="13335" max="13336" width="10.28515625" style="279" customWidth="1"/>
    <col min="13337" max="13337" width="9.5703125" style="279" customWidth="1"/>
    <col min="13338" max="13338" width="12.7109375" style="279" bestFit="1" customWidth="1"/>
    <col min="13339" max="13339" width="32.28515625" style="279" customWidth="1"/>
    <col min="13340" max="13340" width="2.5703125" style="279" customWidth="1"/>
    <col min="13341" max="13341" width="22" style="279" customWidth="1"/>
    <col min="13342" max="13342" width="14.7109375" style="279" customWidth="1"/>
    <col min="13343" max="13343" width="8.28515625" style="279" customWidth="1"/>
    <col min="13344" max="13344" width="7" style="279" customWidth="1"/>
    <col min="13345" max="13345" width="7.28515625" style="279" customWidth="1"/>
    <col min="13346" max="13346" width="6.42578125" style="279" customWidth="1"/>
    <col min="13347" max="13347" width="8.28515625" style="279" customWidth="1"/>
    <col min="13348" max="13348" width="9.7109375" style="279" customWidth="1"/>
    <col min="13349" max="13349" width="7.28515625" style="279" customWidth="1"/>
    <col min="13350" max="13350" width="7.42578125" style="279" customWidth="1"/>
    <col min="13351" max="13351" width="13.7109375" style="279" customWidth="1"/>
    <col min="13352" max="13352" width="15.7109375" style="279" customWidth="1"/>
    <col min="13353" max="13353" width="12" style="279" customWidth="1"/>
    <col min="13354" max="13354" width="8.7109375" style="279" customWidth="1"/>
    <col min="13355" max="13356" width="8.5703125" style="279" customWidth="1"/>
    <col min="13357" max="13357" width="7.42578125" style="279" customWidth="1"/>
    <col min="13358" max="13358" width="10.7109375" style="279" bestFit="1" customWidth="1"/>
    <col min="13359" max="13359" width="9.140625" style="279"/>
    <col min="13360" max="13360" width="12.42578125" style="279" bestFit="1" customWidth="1"/>
    <col min="13361" max="13361" width="14.42578125" style="279" bestFit="1" customWidth="1"/>
    <col min="13362" max="13362" width="8.28515625" style="279" bestFit="1" customWidth="1"/>
    <col min="13363" max="13363" width="10.28515625" style="279" bestFit="1" customWidth="1"/>
    <col min="13364" max="13364" width="7.42578125" style="279" bestFit="1" customWidth="1"/>
    <col min="13365" max="13365" width="9.42578125" style="279" bestFit="1" customWidth="1"/>
    <col min="13366" max="13366" width="9.7109375" style="279" bestFit="1" customWidth="1"/>
    <col min="13367" max="13367" width="8.7109375" style="279" bestFit="1" customWidth="1"/>
    <col min="13368" max="13368" width="12" style="279" bestFit="1" customWidth="1"/>
    <col min="13369" max="13369" width="7.28515625" style="279" bestFit="1" customWidth="1"/>
    <col min="13370" max="13370" width="8.7109375" style="279" bestFit="1" customWidth="1"/>
    <col min="13371" max="13371" width="12.28515625" style="279" bestFit="1" customWidth="1"/>
    <col min="13372" max="13372" width="9.28515625" style="279" bestFit="1" customWidth="1"/>
    <col min="13373" max="13373" width="33.42578125" style="279" bestFit="1" customWidth="1"/>
    <col min="13374" max="13374" width="10" style="279" customWidth="1"/>
    <col min="13375" max="13572" width="9.140625" style="279"/>
    <col min="13573" max="13573" width="31" style="279" customWidth="1"/>
    <col min="13574" max="13574" width="8.5703125" style="279" customWidth="1"/>
    <col min="13575" max="13575" width="10" style="279" customWidth="1"/>
    <col min="13576" max="13577" width="9.28515625" style="279" customWidth="1"/>
    <col min="13578" max="13578" width="21.28515625" style="279" customWidth="1"/>
    <col min="13579" max="13579" width="20.7109375" style="279" bestFit="1" customWidth="1"/>
    <col min="13580" max="13580" width="13.5703125" style="279" customWidth="1"/>
    <col min="13581" max="13581" width="9.42578125" style="279" customWidth="1"/>
    <col min="13582" max="13582" width="10.42578125" style="279" customWidth="1"/>
    <col min="13583" max="13583" width="8.7109375" style="279" customWidth="1"/>
    <col min="13584" max="13584" width="11" style="279" customWidth="1"/>
    <col min="13585" max="13585" width="9.5703125" style="279" customWidth="1"/>
    <col min="13586" max="13586" width="8.7109375" style="279" customWidth="1"/>
    <col min="13587" max="13587" width="7.5703125" style="279" customWidth="1"/>
    <col min="13588" max="13588" width="8.5703125" style="279" customWidth="1"/>
    <col min="13589" max="13589" width="9.28515625" style="279" customWidth="1"/>
    <col min="13590" max="13590" width="7.28515625" style="279" customWidth="1"/>
    <col min="13591" max="13592" width="10.28515625" style="279" customWidth="1"/>
    <col min="13593" max="13593" width="9.5703125" style="279" customWidth="1"/>
    <col min="13594" max="13594" width="12.7109375" style="279" bestFit="1" customWidth="1"/>
    <col min="13595" max="13595" width="32.28515625" style="279" customWidth="1"/>
    <col min="13596" max="13596" width="2.5703125" style="279" customWidth="1"/>
    <col min="13597" max="13597" width="22" style="279" customWidth="1"/>
    <col min="13598" max="13598" width="14.7109375" style="279" customWidth="1"/>
    <col min="13599" max="13599" width="8.28515625" style="279" customWidth="1"/>
    <col min="13600" max="13600" width="7" style="279" customWidth="1"/>
    <col min="13601" max="13601" width="7.28515625" style="279" customWidth="1"/>
    <col min="13602" max="13602" width="6.42578125" style="279" customWidth="1"/>
    <col min="13603" max="13603" width="8.28515625" style="279" customWidth="1"/>
    <col min="13604" max="13604" width="9.7109375" style="279" customWidth="1"/>
    <col min="13605" max="13605" width="7.28515625" style="279" customWidth="1"/>
    <col min="13606" max="13606" width="7.42578125" style="279" customWidth="1"/>
    <col min="13607" max="13607" width="13.7109375" style="279" customWidth="1"/>
    <col min="13608" max="13608" width="15.7109375" style="279" customWidth="1"/>
    <col min="13609" max="13609" width="12" style="279" customWidth="1"/>
    <col min="13610" max="13610" width="8.7109375" style="279" customWidth="1"/>
    <col min="13611" max="13612" width="8.5703125" style="279" customWidth="1"/>
    <col min="13613" max="13613" width="7.42578125" style="279" customWidth="1"/>
    <col min="13614" max="13614" width="10.7109375" style="279" bestFit="1" customWidth="1"/>
    <col min="13615" max="13615" width="9.140625" style="279"/>
    <col min="13616" max="13616" width="12.42578125" style="279" bestFit="1" customWidth="1"/>
    <col min="13617" max="13617" width="14.42578125" style="279" bestFit="1" customWidth="1"/>
    <col min="13618" max="13618" width="8.28515625" style="279" bestFit="1" customWidth="1"/>
    <col min="13619" max="13619" width="10.28515625" style="279" bestFit="1" customWidth="1"/>
    <col min="13620" max="13620" width="7.42578125" style="279" bestFit="1" customWidth="1"/>
    <col min="13621" max="13621" width="9.42578125" style="279" bestFit="1" customWidth="1"/>
    <col min="13622" max="13622" width="9.7109375" style="279" bestFit="1" customWidth="1"/>
    <col min="13623" max="13623" width="8.7109375" style="279" bestFit="1" customWidth="1"/>
    <col min="13624" max="13624" width="12" style="279" bestFit="1" customWidth="1"/>
    <col min="13625" max="13625" width="7.28515625" style="279" bestFit="1" customWidth="1"/>
    <col min="13626" max="13626" width="8.7109375" style="279" bestFit="1" customWidth="1"/>
    <col min="13627" max="13627" width="12.28515625" style="279" bestFit="1" customWidth="1"/>
    <col min="13628" max="13628" width="9.28515625" style="279" bestFit="1" customWidth="1"/>
    <col min="13629" max="13629" width="33.42578125" style="279" bestFit="1" customWidth="1"/>
    <col min="13630" max="13630" width="10" style="279" customWidth="1"/>
    <col min="13631" max="13828" width="9.140625" style="279"/>
    <col min="13829" max="13829" width="31" style="279" customWidth="1"/>
    <col min="13830" max="13830" width="8.5703125" style="279" customWidth="1"/>
    <col min="13831" max="13831" width="10" style="279" customWidth="1"/>
    <col min="13832" max="13833" width="9.28515625" style="279" customWidth="1"/>
    <col min="13834" max="13834" width="21.28515625" style="279" customWidth="1"/>
    <col min="13835" max="13835" width="20.7109375" style="279" bestFit="1" customWidth="1"/>
    <col min="13836" max="13836" width="13.5703125" style="279" customWidth="1"/>
    <col min="13837" max="13837" width="9.42578125" style="279" customWidth="1"/>
    <col min="13838" max="13838" width="10.42578125" style="279" customWidth="1"/>
    <col min="13839" max="13839" width="8.7109375" style="279" customWidth="1"/>
    <col min="13840" max="13840" width="11" style="279" customWidth="1"/>
    <col min="13841" max="13841" width="9.5703125" style="279" customWidth="1"/>
    <col min="13842" max="13842" width="8.7109375" style="279" customWidth="1"/>
    <col min="13843" max="13843" width="7.5703125" style="279" customWidth="1"/>
    <col min="13844" max="13844" width="8.5703125" style="279" customWidth="1"/>
    <col min="13845" max="13845" width="9.28515625" style="279" customWidth="1"/>
    <col min="13846" max="13846" width="7.28515625" style="279" customWidth="1"/>
    <col min="13847" max="13848" width="10.28515625" style="279" customWidth="1"/>
    <col min="13849" max="13849" width="9.5703125" style="279" customWidth="1"/>
    <col min="13850" max="13850" width="12.7109375" style="279" bestFit="1" customWidth="1"/>
    <col min="13851" max="13851" width="32.28515625" style="279" customWidth="1"/>
    <col min="13852" max="13852" width="2.5703125" style="279" customWidth="1"/>
    <col min="13853" max="13853" width="22" style="279" customWidth="1"/>
    <col min="13854" max="13854" width="14.7109375" style="279" customWidth="1"/>
    <col min="13855" max="13855" width="8.28515625" style="279" customWidth="1"/>
    <col min="13856" max="13856" width="7" style="279" customWidth="1"/>
    <col min="13857" max="13857" width="7.28515625" style="279" customWidth="1"/>
    <col min="13858" max="13858" width="6.42578125" style="279" customWidth="1"/>
    <col min="13859" max="13859" width="8.28515625" style="279" customWidth="1"/>
    <col min="13860" max="13860" width="9.7109375" style="279" customWidth="1"/>
    <col min="13861" max="13861" width="7.28515625" style="279" customWidth="1"/>
    <col min="13862" max="13862" width="7.42578125" style="279" customWidth="1"/>
    <col min="13863" max="13863" width="13.7109375" style="279" customWidth="1"/>
    <col min="13864" max="13864" width="15.7109375" style="279" customWidth="1"/>
    <col min="13865" max="13865" width="12" style="279" customWidth="1"/>
    <col min="13866" max="13866" width="8.7109375" style="279" customWidth="1"/>
    <col min="13867" max="13868" width="8.5703125" style="279" customWidth="1"/>
    <col min="13869" max="13869" width="7.42578125" style="279" customWidth="1"/>
    <col min="13870" max="13870" width="10.7109375" style="279" bestFit="1" customWidth="1"/>
    <col min="13871" max="13871" width="9.140625" style="279"/>
    <col min="13872" max="13872" width="12.42578125" style="279" bestFit="1" customWidth="1"/>
    <col min="13873" max="13873" width="14.42578125" style="279" bestFit="1" customWidth="1"/>
    <col min="13874" max="13874" width="8.28515625" style="279" bestFit="1" customWidth="1"/>
    <col min="13875" max="13875" width="10.28515625" style="279" bestFit="1" customWidth="1"/>
    <col min="13876" max="13876" width="7.42578125" style="279" bestFit="1" customWidth="1"/>
    <col min="13877" max="13877" width="9.42578125" style="279" bestFit="1" customWidth="1"/>
    <col min="13878" max="13878" width="9.7109375" style="279" bestFit="1" customWidth="1"/>
    <col min="13879" max="13879" width="8.7109375" style="279" bestFit="1" customWidth="1"/>
    <col min="13880" max="13880" width="12" style="279" bestFit="1" customWidth="1"/>
    <col min="13881" max="13881" width="7.28515625" style="279" bestFit="1" customWidth="1"/>
    <col min="13882" max="13882" width="8.7109375" style="279" bestFit="1" customWidth="1"/>
    <col min="13883" max="13883" width="12.28515625" style="279" bestFit="1" customWidth="1"/>
    <col min="13884" max="13884" width="9.28515625" style="279" bestFit="1" customWidth="1"/>
    <col min="13885" max="13885" width="33.42578125" style="279" bestFit="1" customWidth="1"/>
    <col min="13886" max="13886" width="10" style="279" customWidth="1"/>
    <col min="13887" max="14084" width="9.140625" style="279"/>
    <col min="14085" max="14085" width="31" style="279" customWidth="1"/>
    <col min="14086" max="14086" width="8.5703125" style="279" customWidth="1"/>
    <col min="14087" max="14087" width="10" style="279" customWidth="1"/>
    <col min="14088" max="14089" width="9.28515625" style="279" customWidth="1"/>
    <col min="14090" max="14090" width="21.28515625" style="279" customWidth="1"/>
    <col min="14091" max="14091" width="20.7109375" style="279" bestFit="1" customWidth="1"/>
    <col min="14092" max="14092" width="13.5703125" style="279" customWidth="1"/>
    <col min="14093" max="14093" width="9.42578125" style="279" customWidth="1"/>
    <col min="14094" max="14094" width="10.42578125" style="279" customWidth="1"/>
    <col min="14095" max="14095" width="8.7109375" style="279" customWidth="1"/>
    <col min="14096" max="14096" width="11" style="279" customWidth="1"/>
    <col min="14097" max="14097" width="9.5703125" style="279" customWidth="1"/>
    <col min="14098" max="14098" width="8.7109375" style="279" customWidth="1"/>
    <col min="14099" max="14099" width="7.5703125" style="279" customWidth="1"/>
    <col min="14100" max="14100" width="8.5703125" style="279" customWidth="1"/>
    <col min="14101" max="14101" width="9.28515625" style="279" customWidth="1"/>
    <col min="14102" max="14102" width="7.28515625" style="279" customWidth="1"/>
    <col min="14103" max="14104" width="10.28515625" style="279" customWidth="1"/>
    <col min="14105" max="14105" width="9.5703125" style="279" customWidth="1"/>
    <col min="14106" max="14106" width="12.7109375" style="279" bestFit="1" customWidth="1"/>
    <col min="14107" max="14107" width="32.28515625" style="279" customWidth="1"/>
    <col min="14108" max="14108" width="2.5703125" style="279" customWidth="1"/>
    <col min="14109" max="14109" width="22" style="279" customWidth="1"/>
    <col min="14110" max="14110" width="14.7109375" style="279" customWidth="1"/>
    <col min="14111" max="14111" width="8.28515625" style="279" customWidth="1"/>
    <col min="14112" max="14112" width="7" style="279" customWidth="1"/>
    <col min="14113" max="14113" width="7.28515625" style="279" customWidth="1"/>
    <col min="14114" max="14114" width="6.42578125" style="279" customWidth="1"/>
    <col min="14115" max="14115" width="8.28515625" style="279" customWidth="1"/>
    <col min="14116" max="14116" width="9.7109375" style="279" customWidth="1"/>
    <col min="14117" max="14117" width="7.28515625" style="279" customWidth="1"/>
    <col min="14118" max="14118" width="7.42578125" style="279" customWidth="1"/>
    <col min="14119" max="14119" width="13.7109375" style="279" customWidth="1"/>
    <col min="14120" max="14120" width="15.7109375" style="279" customWidth="1"/>
    <col min="14121" max="14121" width="12" style="279" customWidth="1"/>
    <col min="14122" max="14122" width="8.7109375" style="279" customWidth="1"/>
    <col min="14123" max="14124" width="8.5703125" style="279" customWidth="1"/>
    <col min="14125" max="14125" width="7.42578125" style="279" customWidth="1"/>
    <col min="14126" max="14126" width="10.7109375" style="279" bestFit="1" customWidth="1"/>
    <col min="14127" max="14127" width="9.140625" style="279"/>
    <col min="14128" max="14128" width="12.42578125" style="279" bestFit="1" customWidth="1"/>
    <col min="14129" max="14129" width="14.42578125" style="279" bestFit="1" customWidth="1"/>
    <col min="14130" max="14130" width="8.28515625" style="279" bestFit="1" customWidth="1"/>
    <col min="14131" max="14131" width="10.28515625" style="279" bestFit="1" customWidth="1"/>
    <col min="14132" max="14132" width="7.42578125" style="279" bestFit="1" customWidth="1"/>
    <col min="14133" max="14133" width="9.42578125" style="279" bestFit="1" customWidth="1"/>
    <col min="14134" max="14134" width="9.7109375" style="279" bestFit="1" customWidth="1"/>
    <col min="14135" max="14135" width="8.7109375" style="279" bestFit="1" customWidth="1"/>
    <col min="14136" max="14136" width="12" style="279" bestFit="1" customWidth="1"/>
    <col min="14137" max="14137" width="7.28515625" style="279" bestFit="1" customWidth="1"/>
    <col min="14138" max="14138" width="8.7109375" style="279" bestFit="1" customWidth="1"/>
    <col min="14139" max="14139" width="12.28515625" style="279" bestFit="1" customWidth="1"/>
    <col min="14140" max="14140" width="9.28515625" style="279" bestFit="1" customWidth="1"/>
    <col min="14141" max="14141" width="33.42578125" style="279" bestFit="1" customWidth="1"/>
    <col min="14142" max="14142" width="10" style="279" customWidth="1"/>
    <col min="14143" max="14340" width="9.140625" style="279"/>
    <col min="14341" max="14341" width="31" style="279" customWidth="1"/>
    <col min="14342" max="14342" width="8.5703125" style="279" customWidth="1"/>
    <col min="14343" max="14343" width="10" style="279" customWidth="1"/>
    <col min="14344" max="14345" width="9.28515625" style="279" customWidth="1"/>
    <col min="14346" max="14346" width="21.28515625" style="279" customWidth="1"/>
    <col min="14347" max="14347" width="20.7109375" style="279" bestFit="1" customWidth="1"/>
    <col min="14348" max="14348" width="13.5703125" style="279" customWidth="1"/>
    <col min="14349" max="14349" width="9.42578125" style="279" customWidth="1"/>
    <col min="14350" max="14350" width="10.42578125" style="279" customWidth="1"/>
    <col min="14351" max="14351" width="8.7109375" style="279" customWidth="1"/>
    <col min="14352" max="14352" width="11" style="279" customWidth="1"/>
    <col min="14353" max="14353" width="9.5703125" style="279" customWidth="1"/>
    <col min="14354" max="14354" width="8.7109375" style="279" customWidth="1"/>
    <col min="14355" max="14355" width="7.5703125" style="279" customWidth="1"/>
    <col min="14356" max="14356" width="8.5703125" style="279" customWidth="1"/>
    <col min="14357" max="14357" width="9.28515625" style="279" customWidth="1"/>
    <col min="14358" max="14358" width="7.28515625" style="279" customWidth="1"/>
    <col min="14359" max="14360" width="10.28515625" style="279" customWidth="1"/>
    <col min="14361" max="14361" width="9.5703125" style="279" customWidth="1"/>
    <col min="14362" max="14362" width="12.7109375" style="279" bestFit="1" customWidth="1"/>
    <col min="14363" max="14363" width="32.28515625" style="279" customWidth="1"/>
    <col min="14364" max="14364" width="2.5703125" style="279" customWidth="1"/>
    <col min="14365" max="14365" width="22" style="279" customWidth="1"/>
    <col min="14366" max="14366" width="14.7109375" style="279" customWidth="1"/>
    <col min="14367" max="14367" width="8.28515625" style="279" customWidth="1"/>
    <col min="14368" max="14368" width="7" style="279" customWidth="1"/>
    <col min="14369" max="14369" width="7.28515625" style="279" customWidth="1"/>
    <col min="14370" max="14370" width="6.42578125" style="279" customWidth="1"/>
    <col min="14371" max="14371" width="8.28515625" style="279" customWidth="1"/>
    <col min="14372" max="14372" width="9.7109375" style="279" customWidth="1"/>
    <col min="14373" max="14373" width="7.28515625" style="279" customWidth="1"/>
    <col min="14374" max="14374" width="7.42578125" style="279" customWidth="1"/>
    <col min="14375" max="14375" width="13.7109375" style="279" customWidth="1"/>
    <col min="14376" max="14376" width="15.7109375" style="279" customWidth="1"/>
    <col min="14377" max="14377" width="12" style="279" customWidth="1"/>
    <col min="14378" max="14378" width="8.7109375" style="279" customWidth="1"/>
    <col min="14379" max="14380" width="8.5703125" style="279" customWidth="1"/>
    <col min="14381" max="14381" width="7.42578125" style="279" customWidth="1"/>
    <col min="14382" max="14382" width="10.7109375" style="279" bestFit="1" customWidth="1"/>
    <col min="14383" max="14383" width="9.140625" style="279"/>
    <col min="14384" max="14384" width="12.42578125" style="279" bestFit="1" customWidth="1"/>
    <col min="14385" max="14385" width="14.42578125" style="279" bestFit="1" customWidth="1"/>
    <col min="14386" max="14386" width="8.28515625" style="279" bestFit="1" customWidth="1"/>
    <col min="14387" max="14387" width="10.28515625" style="279" bestFit="1" customWidth="1"/>
    <col min="14388" max="14388" width="7.42578125" style="279" bestFit="1" customWidth="1"/>
    <col min="14389" max="14389" width="9.42578125" style="279" bestFit="1" customWidth="1"/>
    <col min="14390" max="14390" width="9.7109375" style="279" bestFit="1" customWidth="1"/>
    <col min="14391" max="14391" width="8.7109375" style="279" bestFit="1" customWidth="1"/>
    <col min="14392" max="14392" width="12" style="279" bestFit="1" customWidth="1"/>
    <col min="14393" max="14393" width="7.28515625" style="279" bestFit="1" customWidth="1"/>
    <col min="14394" max="14394" width="8.7109375" style="279" bestFit="1" customWidth="1"/>
    <col min="14395" max="14395" width="12.28515625" style="279" bestFit="1" customWidth="1"/>
    <col min="14396" max="14396" width="9.28515625" style="279" bestFit="1" customWidth="1"/>
    <col min="14397" max="14397" width="33.42578125" style="279" bestFit="1" customWidth="1"/>
    <col min="14398" max="14398" width="10" style="279" customWidth="1"/>
    <col min="14399" max="14596" width="9.140625" style="279"/>
    <col min="14597" max="14597" width="31" style="279" customWidth="1"/>
    <col min="14598" max="14598" width="8.5703125" style="279" customWidth="1"/>
    <col min="14599" max="14599" width="10" style="279" customWidth="1"/>
    <col min="14600" max="14601" width="9.28515625" style="279" customWidth="1"/>
    <col min="14602" max="14602" width="21.28515625" style="279" customWidth="1"/>
    <col min="14603" max="14603" width="20.7109375" style="279" bestFit="1" customWidth="1"/>
    <col min="14604" max="14604" width="13.5703125" style="279" customWidth="1"/>
    <col min="14605" max="14605" width="9.42578125" style="279" customWidth="1"/>
    <col min="14606" max="14606" width="10.42578125" style="279" customWidth="1"/>
    <col min="14607" max="14607" width="8.7109375" style="279" customWidth="1"/>
    <col min="14608" max="14608" width="11" style="279" customWidth="1"/>
    <col min="14609" max="14609" width="9.5703125" style="279" customWidth="1"/>
    <col min="14610" max="14610" width="8.7109375" style="279" customWidth="1"/>
    <col min="14611" max="14611" width="7.5703125" style="279" customWidth="1"/>
    <col min="14612" max="14612" width="8.5703125" style="279" customWidth="1"/>
    <col min="14613" max="14613" width="9.28515625" style="279" customWidth="1"/>
    <col min="14614" max="14614" width="7.28515625" style="279" customWidth="1"/>
    <col min="14615" max="14616" width="10.28515625" style="279" customWidth="1"/>
    <col min="14617" max="14617" width="9.5703125" style="279" customWidth="1"/>
    <col min="14618" max="14618" width="12.7109375" style="279" bestFit="1" customWidth="1"/>
    <col min="14619" max="14619" width="32.28515625" style="279" customWidth="1"/>
    <col min="14620" max="14620" width="2.5703125" style="279" customWidth="1"/>
    <col min="14621" max="14621" width="22" style="279" customWidth="1"/>
    <col min="14622" max="14622" width="14.7109375" style="279" customWidth="1"/>
    <col min="14623" max="14623" width="8.28515625" style="279" customWidth="1"/>
    <col min="14624" max="14624" width="7" style="279" customWidth="1"/>
    <col min="14625" max="14625" width="7.28515625" style="279" customWidth="1"/>
    <col min="14626" max="14626" width="6.42578125" style="279" customWidth="1"/>
    <col min="14627" max="14627" width="8.28515625" style="279" customWidth="1"/>
    <col min="14628" max="14628" width="9.7109375" style="279" customWidth="1"/>
    <col min="14629" max="14629" width="7.28515625" style="279" customWidth="1"/>
    <col min="14630" max="14630" width="7.42578125" style="279" customWidth="1"/>
    <col min="14631" max="14631" width="13.7109375" style="279" customWidth="1"/>
    <col min="14632" max="14632" width="15.7109375" style="279" customWidth="1"/>
    <col min="14633" max="14633" width="12" style="279" customWidth="1"/>
    <col min="14634" max="14634" width="8.7109375" style="279" customWidth="1"/>
    <col min="14635" max="14636" width="8.5703125" style="279" customWidth="1"/>
    <col min="14637" max="14637" width="7.42578125" style="279" customWidth="1"/>
    <col min="14638" max="14638" width="10.7109375" style="279" bestFit="1" customWidth="1"/>
    <col min="14639" max="14639" width="9.140625" style="279"/>
    <col min="14640" max="14640" width="12.42578125" style="279" bestFit="1" customWidth="1"/>
    <col min="14641" max="14641" width="14.42578125" style="279" bestFit="1" customWidth="1"/>
    <col min="14642" max="14642" width="8.28515625" style="279" bestFit="1" customWidth="1"/>
    <col min="14643" max="14643" width="10.28515625" style="279" bestFit="1" customWidth="1"/>
    <col min="14644" max="14644" width="7.42578125" style="279" bestFit="1" customWidth="1"/>
    <col min="14645" max="14645" width="9.42578125" style="279" bestFit="1" customWidth="1"/>
    <col min="14646" max="14646" width="9.7109375" style="279" bestFit="1" customWidth="1"/>
    <col min="14647" max="14647" width="8.7109375" style="279" bestFit="1" customWidth="1"/>
    <col min="14648" max="14648" width="12" style="279" bestFit="1" customWidth="1"/>
    <col min="14649" max="14649" width="7.28515625" style="279" bestFit="1" customWidth="1"/>
    <col min="14650" max="14650" width="8.7109375" style="279" bestFit="1" customWidth="1"/>
    <col min="14651" max="14651" width="12.28515625" style="279" bestFit="1" customWidth="1"/>
    <col min="14652" max="14652" width="9.28515625" style="279" bestFit="1" customWidth="1"/>
    <col min="14653" max="14653" width="33.42578125" style="279" bestFit="1" customWidth="1"/>
    <col min="14654" max="14654" width="10" style="279" customWidth="1"/>
    <col min="14655" max="14852" width="9.140625" style="279"/>
    <col min="14853" max="14853" width="31" style="279" customWidth="1"/>
    <col min="14854" max="14854" width="8.5703125" style="279" customWidth="1"/>
    <col min="14855" max="14855" width="10" style="279" customWidth="1"/>
    <col min="14856" max="14857" width="9.28515625" style="279" customWidth="1"/>
    <col min="14858" max="14858" width="21.28515625" style="279" customWidth="1"/>
    <col min="14859" max="14859" width="20.7109375" style="279" bestFit="1" customWidth="1"/>
    <col min="14860" max="14860" width="13.5703125" style="279" customWidth="1"/>
    <col min="14861" max="14861" width="9.42578125" style="279" customWidth="1"/>
    <col min="14862" max="14862" width="10.42578125" style="279" customWidth="1"/>
    <col min="14863" max="14863" width="8.7109375" style="279" customWidth="1"/>
    <col min="14864" max="14864" width="11" style="279" customWidth="1"/>
    <col min="14865" max="14865" width="9.5703125" style="279" customWidth="1"/>
    <col min="14866" max="14866" width="8.7109375" style="279" customWidth="1"/>
    <col min="14867" max="14867" width="7.5703125" style="279" customWidth="1"/>
    <col min="14868" max="14868" width="8.5703125" style="279" customWidth="1"/>
    <col min="14869" max="14869" width="9.28515625" style="279" customWidth="1"/>
    <col min="14870" max="14870" width="7.28515625" style="279" customWidth="1"/>
    <col min="14871" max="14872" width="10.28515625" style="279" customWidth="1"/>
    <col min="14873" max="14873" width="9.5703125" style="279" customWidth="1"/>
    <col min="14874" max="14874" width="12.7109375" style="279" bestFit="1" customWidth="1"/>
    <col min="14875" max="14875" width="32.28515625" style="279" customWidth="1"/>
    <col min="14876" max="14876" width="2.5703125" style="279" customWidth="1"/>
    <col min="14877" max="14877" width="22" style="279" customWidth="1"/>
    <col min="14878" max="14878" width="14.7109375" style="279" customWidth="1"/>
    <col min="14879" max="14879" width="8.28515625" style="279" customWidth="1"/>
    <col min="14880" max="14880" width="7" style="279" customWidth="1"/>
    <col min="14881" max="14881" width="7.28515625" style="279" customWidth="1"/>
    <col min="14882" max="14882" width="6.42578125" style="279" customWidth="1"/>
    <col min="14883" max="14883" width="8.28515625" style="279" customWidth="1"/>
    <col min="14884" max="14884" width="9.7109375" style="279" customWidth="1"/>
    <col min="14885" max="14885" width="7.28515625" style="279" customWidth="1"/>
    <col min="14886" max="14886" width="7.42578125" style="279" customWidth="1"/>
    <col min="14887" max="14887" width="13.7109375" style="279" customWidth="1"/>
    <col min="14888" max="14888" width="15.7109375" style="279" customWidth="1"/>
    <col min="14889" max="14889" width="12" style="279" customWidth="1"/>
    <col min="14890" max="14890" width="8.7109375" style="279" customWidth="1"/>
    <col min="14891" max="14892" width="8.5703125" style="279" customWidth="1"/>
    <col min="14893" max="14893" width="7.42578125" style="279" customWidth="1"/>
    <col min="14894" max="14894" width="10.7109375" style="279" bestFit="1" customWidth="1"/>
    <col min="14895" max="14895" width="9.140625" style="279"/>
    <col min="14896" max="14896" width="12.42578125" style="279" bestFit="1" customWidth="1"/>
    <col min="14897" max="14897" width="14.42578125" style="279" bestFit="1" customWidth="1"/>
    <col min="14898" max="14898" width="8.28515625" style="279" bestFit="1" customWidth="1"/>
    <col min="14899" max="14899" width="10.28515625" style="279" bestFit="1" customWidth="1"/>
    <col min="14900" max="14900" width="7.42578125" style="279" bestFit="1" customWidth="1"/>
    <col min="14901" max="14901" width="9.42578125" style="279" bestFit="1" customWidth="1"/>
    <col min="14902" max="14902" width="9.7109375" style="279" bestFit="1" customWidth="1"/>
    <col min="14903" max="14903" width="8.7109375" style="279" bestFit="1" customWidth="1"/>
    <col min="14904" max="14904" width="12" style="279" bestFit="1" customWidth="1"/>
    <col min="14905" max="14905" width="7.28515625" style="279" bestFit="1" customWidth="1"/>
    <col min="14906" max="14906" width="8.7109375" style="279" bestFit="1" customWidth="1"/>
    <col min="14907" max="14907" width="12.28515625" style="279" bestFit="1" customWidth="1"/>
    <col min="14908" max="14908" width="9.28515625" style="279" bestFit="1" customWidth="1"/>
    <col min="14909" max="14909" width="33.42578125" style="279" bestFit="1" customWidth="1"/>
    <col min="14910" max="14910" width="10" style="279" customWidth="1"/>
    <col min="14911" max="15108" width="9.140625" style="279"/>
    <col min="15109" max="15109" width="31" style="279" customWidth="1"/>
    <col min="15110" max="15110" width="8.5703125" style="279" customWidth="1"/>
    <col min="15111" max="15111" width="10" style="279" customWidth="1"/>
    <col min="15112" max="15113" width="9.28515625" style="279" customWidth="1"/>
    <col min="15114" max="15114" width="21.28515625" style="279" customWidth="1"/>
    <col min="15115" max="15115" width="20.7109375" style="279" bestFit="1" customWidth="1"/>
    <col min="15116" max="15116" width="13.5703125" style="279" customWidth="1"/>
    <col min="15117" max="15117" width="9.42578125" style="279" customWidth="1"/>
    <col min="15118" max="15118" width="10.42578125" style="279" customWidth="1"/>
    <col min="15119" max="15119" width="8.7109375" style="279" customWidth="1"/>
    <col min="15120" max="15120" width="11" style="279" customWidth="1"/>
    <col min="15121" max="15121" width="9.5703125" style="279" customWidth="1"/>
    <col min="15122" max="15122" width="8.7109375" style="279" customWidth="1"/>
    <col min="15123" max="15123" width="7.5703125" style="279" customWidth="1"/>
    <col min="15124" max="15124" width="8.5703125" style="279" customWidth="1"/>
    <col min="15125" max="15125" width="9.28515625" style="279" customWidth="1"/>
    <col min="15126" max="15126" width="7.28515625" style="279" customWidth="1"/>
    <col min="15127" max="15128" width="10.28515625" style="279" customWidth="1"/>
    <col min="15129" max="15129" width="9.5703125" style="279" customWidth="1"/>
    <col min="15130" max="15130" width="12.7109375" style="279" bestFit="1" customWidth="1"/>
    <col min="15131" max="15131" width="32.28515625" style="279" customWidth="1"/>
    <col min="15132" max="15132" width="2.5703125" style="279" customWidth="1"/>
    <col min="15133" max="15133" width="22" style="279" customWidth="1"/>
    <col min="15134" max="15134" width="14.7109375" style="279" customWidth="1"/>
    <col min="15135" max="15135" width="8.28515625" style="279" customWidth="1"/>
    <col min="15136" max="15136" width="7" style="279" customWidth="1"/>
    <col min="15137" max="15137" width="7.28515625" style="279" customWidth="1"/>
    <col min="15138" max="15138" width="6.42578125" style="279" customWidth="1"/>
    <col min="15139" max="15139" width="8.28515625" style="279" customWidth="1"/>
    <col min="15140" max="15140" width="9.7109375" style="279" customWidth="1"/>
    <col min="15141" max="15141" width="7.28515625" style="279" customWidth="1"/>
    <col min="15142" max="15142" width="7.42578125" style="279" customWidth="1"/>
    <col min="15143" max="15143" width="13.7109375" style="279" customWidth="1"/>
    <col min="15144" max="15144" width="15.7109375" style="279" customWidth="1"/>
    <col min="15145" max="15145" width="12" style="279" customWidth="1"/>
    <col min="15146" max="15146" width="8.7109375" style="279" customWidth="1"/>
    <col min="15147" max="15148" width="8.5703125" style="279" customWidth="1"/>
    <col min="15149" max="15149" width="7.42578125" style="279" customWidth="1"/>
    <col min="15150" max="15150" width="10.7109375" style="279" bestFit="1" customWidth="1"/>
    <col min="15151" max="15151" width="9.140625" style="279"/>
    <col min="15152" max="15152" width="12.42578125" style="279" bestFit="1" customWidth="1"/>
    <col min="15153" max="15153" width="14.42578125" style="279" bestFit="1" customWidth="1"/>
    <col min="15154" max="15154" width="8.28515625" style="279" bestFit="1" customWidth="1"/>
    <col min="15155" max="15155" width="10.28515625" style="279" bestFit="1" customWidth="1"/>
    <col min="15156" max="15156" width="7.42578125" style="279" bestFit="1" customWidth="1"/>
    <col min="15157" max="15157" width="9.42578125" style="279" bestFit="1" customWidth="1"/>
    <col min="15158" max="15158" width="9.7109375" style="279" bestFit="1" customWidth="1"/>
    <col min="15159" max="15159" width="8.7109375" style="279" bestFit="1" customWidth="1"/>
    <col min="15160" max="15160" width="12" style="279" bestFit="1" customWidth="1"/>
    <col min="15161" max="15161" width="7.28515625" style="279" bestFit="1" customWidth="1"/>
    <col min="15162" max="15162" width="8.7109375" style="279" bestFit="1" customWidth="1"/>
    <col min="15163" max="15163" width="12.28515625" style="279" bestFit="1" customWidth="1"/>
    <col min="15164" max="15164" width="9.28515625" style="279" bestFit="1" customWidth="1"/>
    <col min="15165" max="15165" width="33.42578125" style="279" bestFit="1" customWidth="1"/>
    <col min="15166" max="15166" width="10" style="279" customWidth="1"/>
    <col min="15167" max="15364" width="9.140625" style="279"/>
    <col min="15365" max="15365" width="31" style="279" customWidth="1"/>
    <col min="15366" max="15366" width="8.5703125" style="279" customWidth="1"/>
    <col min="15367" max="15367" width="10" style="279" customWidth="1"/>
    <col min="15368" max="15369" width="9.28515625" style="279" customWidth="1"/>
    <col min="15370" max="15370" width="21.28515625" style="279" customWidth="1"/>
    <col min="15371" max="15371" width="20.7109375" style="279" bestFit="1" customWidth="1"/>
    <col min="15372" max="15372" width="13.5703125" style="279" customWidth="1"/>
    <col min="15373" max="15373" width="9.42578125" style="279" customWidth="1"/>
    <col min="15374" max="15374" width="10.42578125" style="279" customWidth="1"/>
    <col min="15375" max="15375" width="8.7109375" style="279" customWidth="1"/>
    <col min="15376" max="15376" width="11" style="279" customWidth="1"/>
    <col min="15377" max="15377" width="9.5703125" style="279" customWidth="1"/>
    <col min="15378" max="15378" width="8.7109375" style="279" customWidth="1"/>
    <col min="15379" max="15379" width="7.5703125" style="279" customWidth="1"/>
    <col min="15380" max="15380" width="8.5703125" style="279" customWidth="1"/>
    <col min="15381" max="15381" width="9.28515625" style="279" customWidth="1"/>
    <col min="15382" max="15382" width="7.28515625" style="279" customWidth="1"/>
    <col min="15383" max="15384" width="10.28515625" style="279" customWidth="1"/>
    <col min="15385" max="15385" width="9.5703125" style="279" customWidth="1"/>
    <col min="15386" max="15386" width="12.7109375" style="279" bestFit="1" customWidth="1"/>
    <col min="15387" max="15387" width="32.28515625" style="279" customWidth="1"/>
    <col min="15388" max="15388" width="2.5703125" style="279" customWidth="1"/>
    <col min="15389" max="15389" width="22" style="279" customWidth="1"/>
    <col min="15390" max="15390" width="14.7109375" style="279" customWidth="1"/>
    <col min="15391" max="15391" width="8.28515625" style="279" customWidth="1"/>
    <col min="15392" max="15392" width="7" style="279" customWidth="1"/>
    <col min="15393" max="15393" width="7.28515625" style="279" customWidth="1"/>
    <col min="15394" max="15394" width="6.42578125" style="279" customWidth="1"/>
    <col min="15395" max="15395" width="8.28515625" style="279" customWidth="1"/>
    <col min="15396" max="15396" width="9.7109375" style="279" customWidth="1"/>
    <col min="15397" max="15397" width="7.28515625" style="279" customWidth="1"/>
    <col min="15398" max="15398" width="7.42578125" style="279" customWidth="1"/>
    <col min="15399" max="15399" width="13.7109375" style="279" customWidth="1"/>
    <col min="15400" max="15400" width="15.7109375" style="279" customWidth="1"/>
    <col min="15401" max="15401" width="12" style="279" customWidth="1"/>
    <col min="15402" max="15402" width="8.7109375" style="279" customWidth="1"/>
    <col min="15403" max="15404" width="8.5703125" style="279" customWidth="1"/>
    <col min="15405" max="15405" width="7.42578125" style="279" customWidth="1"/>
    <col min="15406" max="15406" width="10.7109375" style="279" bestFit="1" customWidth="1"/>
    <col min="15407" max="15407" width="9.140625" style="279"/>
    <col min="15408" max="15408" width="12.42578125" style="279" bestFit="1" customWidth="1"/>
    <col min="15409" max="15409" width="14.42578125" style="279" bestFit="1" customWidth="1"/>
    <col min="15410" max="15410" width="8.28515625" style="279" bestFit="1" customWidth="1"/>
    <col min="15411" max="15411" width="10.28515625" style="279" bestFit="1" customWidth="1"/>
    <col min="15412" max="15412" width="7.42578125" style="279" bestFit="1" customWidth="1"/>
    <col min="15413" max="15413" width="9.42578125" style="279" bestFit="1" customWidth="1"/>
    <col min="15414" max="15414" width="9.7109375" style="279" bestFit="1" customWidth="1"/>
    <col min="15415" max="15415" width="8.7109375" style="279" bestFit="1" customWidth="1"/>
    <col min="15416" max="15416" width="12" style="279" bestFit="1" customWidth="1"/>
    <col min="15417" max="15417" width="7.28515625" style="279" bestFit="1" customWidth="1"/>
    <col min="15418" max="15418" width="8.7109375" style="279" bestFit="1" customWidth="1"/>
    <col min="15419" max="15419" width="12.28515625" style="279" bestFit="1" customWidth="1"/>
    <col min="15420" max="15420" width="9.28515625" style="279" bestFit="1" customWidth="1"/>
    <col min="15421" max="15421" width="33.42578125" style="279" bestFit="1" customWidth="1"/>
    <col min="15422" max="15422" width="10" style="279" customWidth="1"/>
    <col min="15423" max="15620" width="9.140625" style="279"/>
    <col min="15621" max="15621" width="31" style="279" customWidth="1"/>
    <col min="15622" max="15622" width="8.5703125" style="279" customWidth="1"/>
    <col min="15623" max="15623" width="10" style="279" customWidth="1"/>
    <col min="15624" max="15625" width="9.28515625" style="279" customWidth="1"/>
    <col min="15626" max="15626" width="21.28515625" style="279" customWidth="1"/>
    <col min="15627" max="15627" width="20.7109375" style="279" bestFit="1" customWidth="1"/>
    <col min="15628" max="15628" width="13.5703125" style="279" customWidth="1"/>
    <col min="15629" max="15629" width="9.42578125" style="279" customWidth="1"/>
    <col min="15630" max="15630" width="10.42578125" style="279" customWidth="1"/>
    <col min="15631" max="15631" width="8.7109375" style="279" customWidth="1"/>
    <col min="15632" max="15632" width="11" style="279" customWidth="1"/>
    <col min="15633" max="15633" width="9.5703125" style="279" customWidth="1"/>
    <col min="15634" max="15634" width="8.7109375" style="279" customWidth="1"/>
    <col min="15635" max="15635" width="7.5703125" style="279" customWidth="1"/>
    <col min="15636" max="15636" width="8.5703125" style="279" customWidth="1"/>
    <col min="15637" max="15637" width="9.28515625" style="279" customWidth="1"/>
    <col min="15638" max="15638" width="7.28515625" style="279" customWidth="1"/>
    <col min="15639" max="15640" width="10.28515625" style="279" customWidth="1"/>
    <col min="15641" max="15641" width="9.5703125" style="279" customWidth="1"/>
    <col min="15642" max="15642" width="12.7109375" style="279" bestFit="1" customWidth="1"/>
    <col min="15643" max="15643" width="32.28515625" style="279" customWidth="1"/>
    <col min="15644" max="15644" width="2.5703125" style="279" customWidth="1"/>
    <col min="15645" max="15645" width="22" style="279" customWidth="1"/>
    <col min="15646" max="15646" width="14.7109375" style="279" customWidth="1"/>
    <col min="15647" max="15647" width="8.28515625" style="279" customWidth="1"/>
    <col min="15648" max="15648" width="7" style="279" customWidth="1"/>
    <col min="15649" max="15649" width="7.28515625" style="279" customWidth="1"/>
    <col min="15650" max="15650" width="6.42578125" style="279" customWidth="1"/>
    <col min="15651" max="15651" width="8.28515625" style="279" customWidth="1"/>
    <col min="15652" max="15652" width="9.7109375" style="279" customWidth="1"/>
    <col min="15653" max="15653" width="7.28515625" style="279" customWidth="1"/>
    <col min="15654" max="15654" width="7.42578125" style="279" customWidth="1"/>
    <col min="15655" max="15655" width="13.7109375" style="279" customWidth="1"/>
    <col min="15656" max="15656" width="15.7109375" style="279" customWidth="1"/>
    <col min="15657" max="15657" width="12" style="279" customWidth="1"/>
    <col min="15658" max="15658" width="8.7109375" style="279" customWidth="1"/>
    <col min="15659" max="15660" width="8.5703125" style="279" customWidth="1"/>
    <col min="15661" max="15661" width="7.42578125" style="279" customWidth="1"/>
    <col min="15662" max="15662" width="10.7109375" style="279" bestFit="1" customWidth="1"/>
    <col min="15663" max="15663" width="9.140625" style="279"/>
    <col min="15664" max="15664" width="12.42578125" style="279" bestFit="1" customWidth="1"/>
    <col min="15665" max="15665" width="14.42578125" style="279" bestFit="1" customWidth="1"/>
    <col min="15666" max="15666" width="8.28515625" style="279" bestFit="1" customWidth="1"/>
    <col min="15667" max="15667" width="10.28515625" style="279" bestFit="1" customWidth="1"/>
    <col min="15668" max="15668" width="7.42578125" style="279" bestFit="1" customWidth="1"/>
    <col min="15669" max="15669" width="9.42578125" style="279" bestFit="1" customWidth="1"/>
    <col min="15670" max="15670" width="9.7109375" style="279" bestFit="1" customWidth="1"/>
    <col min="15671" max="15671" width="8.7109375" style="279" bestFit="1" customWidth="1"/>
    <col min="15672" max="15672" width="12" style="279" bestFit="1" customWidth="1"/>
    <col min="15673" max="15673" width="7.28515625" style="279" bestFit="1" customWidth="1"/>
    <col min="15674" max="15674" width="8.7109375" style="279" bestFit="1" customWidth="1"/>
    <col min="15675" max="15675" width="12.28515625" style="279" bestFit="1" customWidth="1"/>
    <col min="15676" max="15676" width="9.28515625" style="279" bestFit="1" customWidth="1"/>
    <col min="15677" max="15677" width="33.42578125" style="279" bestFit="1" customWidth="1"/>
    <col min="15678" max="15678" width="10" style="279" customWidth="1"/>
    <col min="15679" max="15876" width="9.140625" style="279"/>
    <col min="15877" max="15877" width="31" style="279" customWidth="1"/>
    <col min="15878" max="15878" width="8.5703125" style="279" customWidth="1"/>
    <col min="15879" max="15879" width="10" style="279" customWidth="1"/>
    <col min="15880" max="15881" width="9.28515625" style="279" customWidth="1"/>
    <col min="15882" max="15882" width="21.28515625" style="279" customWidth="1"/>
    <col min="15883" max="15883" width="20.7109375" style="279" bestFit="1" customWidth="1"/>
    <col min="15884" max="15884" width="13.5703125" style="279" customWidth="1"/>
    <col min="15885" max="15885" width="9.42578125" style="279" customWidth="1"/>
    <col min="15886" max="15886" width="10.42578125" style="279" customWidth="1"/>
    <col min="15887" max="15887" width="8.7109375" style="279" customWidth="1"/>
    <col min="15888" max="15888" width="11" style="279" customWidth="1"/>
    <col min="15889" max="15889" width="9.5703125" style="279" customWidth="1"/>
    <col min="15890" max="15890" width="8.7109375" style="279" customWidth="1"/>
    <col min="15891" max="15891" width="7.5703125" style="279" customWidth="1"/>
    <col min="15892" max="15892" width="8.5703125" style="279" customWidth="1"/>
    <col min="15893" max="15893" width="9.28515625" style="279" customWidth="1"/>
    <col min="15894" max="15894" width="7.28515625" style="279" customWidth="1"/>
    <col min="15895" max="15896" width="10.28515625" style="279" customWidth="1"/>
    <col min="15897" max="15897" width="9.5703125" style="279" customWidth="1"/>
    <col min="15898" max="15898" width="12.7109375" style="279" bestFit="1" customWidth="1"/>
    <col min="15899" max="15899" width="32.28515625" style="279" customWidth="1"/>
    <col min="15900" max="15900" width="2.5703125" style="279" customWidth="1"/>
    <col min="15901" max="15901" width="22" style="279" customWidth="1"/>
    <col min="15902" max="15902" width="14.7109375" style="279" customWidth="1"/>
    <col min="15903" max="15903" width="8.28515625" style="279" customWidth="1"/>
    <col min="15904" max="15904" width="7" style="279" customWidth="1"/>
    <col min="15905" max="15905" width="7.28515625" style="279" customWidth="1"/>
    <col min="15906" max="15906" width="6.42578125" style="279" customWidth="1"/>
    <col min="15907" max="15907" width="8.28515625" style="279" customWidth="1"/>
    <col min="15908" max="15908" width="9.7109375" style="279" customWidth="1"/>
    <col min="15909" max="15909" width="7.28515625" style="279" customWidth="1"/>
    <col min="15910" max="15910" width="7.42578125" style="279" customWidth="1"/>
    <col min="15911" max="15911" width="13.7109375" style="279" customWidth="1"/>
    <col min="15912" max="15912" width="15.7109375" style="279" customWidth="1"/>
    <col min="15913" max="15913" width="12" style="279" customWidth="1"/>
    <col min="15914" max="15914" width="8.7109375" style="279" customWidth="1"/>
    <col min="15915" max="15916" width="8.5703125" style="279" customWidth="1"/>
    <col min="15917" max="15917" width="7.42578125" style="279" customWidth="1"/>
    <col min="15918" max="15918" width="10.7109375" style="279" bestFit="1" customWidth="1"/>
    <col min="15919" max="15919" width="9.140625" style="279"/>
    <col min="15920" max="15920" width="12.42578125" style="279" bestFit="1" customWidth="1"/>
    <col min="15921" max="15921" width="14.42578125" style="279" bestFit="1" customWidth="1"/>
    <col min="15922" max="15922" width="8.28515625" style="279" bestFit="1" customWidth="1"/>
    <col min="15923" max="15923" width="10.28515625" style="279" bestFit="1" customWidth="1"/>
    <col min="15924" max="15924" width="7.42578125" style="279" bestFit="1" customWidth="1"/>
    <col min="15925" max="15925" width="9.42578125" style="279" bestFit="1" customWidth="1"/>
    <col min="15926" max="15926" width="9.7109375" style="279" bestFit="1" customWidth="1"/>
    <col min="15927" max="15927" width="8.7109375" style="279" bestFit="1" customWidth="1"/>
    <col min="15928" max="15928" width="12" style="279" bestFit="1" customWidth="1"/>
    <col min="15929" max="15929" width="7.28515625" style="279" bestFit="1" customWidth="1"/>
    <col min="15930" max="15930" width="8.7109375" style="279" bestFit="1" customWidth="1"/>
    <col min="15931" max="15931" width="12.28515625" style="279" bestFit="1" customWidth="1"/>
    <col min="15932" max="15932" width="9.28515625" style="279" bestFit="1" customWidth="1"/>
    <col min="15933" max="15933" width="33.42578125" style="279" bestFit="1" customWidth="1"/>
    <col min="15934" max="15934" width="10" style="279" customWidth="1"/>
    <col min="15935" max="16132" width="9.140625" style="279"/>
    <col min="16133" max="16133" width="31" style="279" customWidth="1"/>
    <col min="16134" max="16134" width="8.5703125" style="279" customWidth="1"/>
    <col min="16135" max="16135" width="10" style="279" customWidth="1"/>
    <col min="16136" max="16137" width="9.28515625" style="279" customWidth="1"/>
    <col min="16138" max="16138" width="21.28515625" style="279" customWidth="1"/>
    <col min="16139" max="16139" width="20.7109375" style="279" bestFit="1" customWidth="1"/>
    <col min="16140" max="16140" width="13.5703125" style="279" customWidth="1"/>
    <col min="16141" max="16141" width="9.42578125" style="279" customWidth="1"/>
    <col min="16142" max="16142" width="10.42578125" style="279" customWidth="1"/>
    <col min="16143" max="16143" width="8.7109375" style="279" customWidth="1"/>
    <col min="16144" max="16144" width="11" style="279" customWidth="1"/>
    <col min="16145" max="16145" width="9.5703125" style="279" customWidth="1"/>
    <col min="16146" max="16146" width="8.7109375" style="279" customWidth="1"/>
    <col min="16147" max="16147" width="7.5703125" style="279" customWidth="1"/>
    <col min="16148" max="16148" width="8.5703125" style="279" customWidth="1"/>
    <col min="16149" max="16149" width="9.28515625" style="279" customWidth="1"/>
    <col min="16150" max="16150" width="7.28515625" style="279" customWidth="1"/>
    <col min="16151" max="16152" width="10.28515625" style="279" customWidth="1"/>
    <col min="16153" max="16153" width="9.5703125" style="279" customWidth="1"/>
    <col min="16154" max="16154" width="12.7109375" style="279" bestFit="1" customWidth="1"/>
    <col min="16155" max="16155" width="32.28515625" style="279" customWidth="1"/>
    <col min="16156" max="16156" width="2.5703125" style="279" customWidth="1"/>
    <col min="16157" max="16157" width="22" style="279" customWidth="1"/>
    <col min="16158" max="16158" width="14.7109375" style="279" customWidth="1"/>
    <col min="16159" max="16159" width="8.28515625" style="279" customWidth="1"/>
    <col min="16160" max="16160" width="7" style="279" customWidth="1"/>
    <col min="16161" max="16161" width="7.28515625" style="279" customWidth="1"/>
    <col min="16162" max="16162" width="6.42578125" style="279" customWidth="1"/>
    <col min="16163" max="16163" width="8.28515625" style="279" customWidth="1"/>
    <col min="16164" max="16164" width="9.7109375" style="279" customWidth="1"/>
    <col min="16165" max="16165" width="7.28515625" style="279" customWidth="1"/>
    <col min="16166" max="16166" width="7.42578125" style="279" customWidth="1"/>
    <col min="16167" max="16167" width="13.7109375" style="279" customWidth="1"/>
    <col min="16168" max="16168" width="15.7109375" style="279" customWidth="1"/>
    <col min="16169" max="16169" width="12" style="279" customWidth="1"/>
    <col min="16170" max="16170" width="8.7109375" style="279" customWidth="1"/>
    <col min="16171" max="16172" width="8.5703125" style="279" customWidth="1"/>
    <col min="16173" max="16173" width="7.42578125" style="279" customWidth="1"/>
    <col min="16174" max="16174" width="10.7109375" style="279" bestFit="1" customWidth="1"/>
    <col min="16175" max="16175" width="9.140625" style="279"/>
    <col min="16176" max="16176" width="12.42578125" style="279" bestFit="1" customWidth="1"/>
    <col min="16177" max="16177" width="14.42578125" style="279" bestFit="1" customWidth="1"/>
    <col min="16178" max="16178" width="8.28515625" style="279" bestFit="1" customWidth="1"/>
    <col min="16179" max="16179" width="10.28515625" style="279" bestFit="1" customWidth="1"/>
    <col min="16180" max="16180" width="7.42578125" style="279" bestFit="1" customWidth="1"/>
    <col min="16181" max="16181" width="9.42578125" style="279" bestFit="1" customWidth="1"/>
    <col min="16182" max="16182" width="9.7109375" style="279" bestFit="1" customWidth="1"/>
    <col min="16183" max="16183" width="8.7109375" style="279" bestFit="1" customWidth="1"/>
    <col min="16184" max="16184" width="12" style="279" bestFit="1" customWidth="1"/>
    <col min="16185" max="16185" width="7.28515625" style="279" bestFit="1" customWidth="1"/>
    <col min="16186" max="16186" width="8.7109375" style="279" bestFit="1" customWidth="1"/>
    <col min="16187" max="16187" width="12.28515625" style="279" bestFit="1" customWidth="1"/>
    <col min="16188" max="16188" width="9.28515625" style="279" bestFit="1" customWidth="1"/>
    <col min="16189" max="16189" width="33.42578125" style="279" bestFit="1" customWidth="1"/>
    <col min="16190" max="16190" width="10" style="279" customWidth="1"/>
    <col min="16191" max="16383" width="9.140625" style="279"/>
    <col min="16384" max="16384" width="9.28515625" style="279" customWidth="1"/>
  </cols>
  <sheetData>
    <row r="1" spans="1:16383" x14ac:dyDescent="0.2">
      <c r="A1" s="1269" t="s">
        <v>655</v>
      </c>
      <c r="B1" s="1269"/>
      <c r="C1" s="1269"/>
      <c r="D1" s="1269"/>
      <c r="E1" s="1269"/>
      <c r="F1" s="1269"/>
      <c r="J1" s="658"/>
      <c r="AX1" s="325"/>
      <c r="BB1" s="328"/>
      <c r="BC1" s="328"/>
    </row>
    <row r="2" spans="1:16383" ht="13.5" thickBot="1" x14ac:dyDescent="0.25">
      <c r="A2" s="1270" t="s">
        <v>460</v>
      </c>
      <c r="B2" s="1270"/>
      <c r="C2" s="1270"/>
      <c r="D2" s="1270"/>
      <c r="E2" s="1270"/>
      <c r="F2" s="1270"/>
      <c r="G2" s="330"/>
      <c r="H2" s="330"/>
      <c r="I2" s="330"/>
      <c r="J2" s="1212">
        <f>+J3/J5</f>
        <v>0</v>
      </c>
      <c r="AX2" s="325"/>
      <c r="BB2" s="328"/>
      <c r="BC2" s="328"/>
    </row>
    <row r="3" spans="1:16383" ht="13.5" thickBot="1" x14ac:dyDescent="0.25">
      <c r="A3" s="331" t="s">
        <v>296</v>
      </c>
      <c r="B3" s="331"/>
      <c r="C3" s="331"/>
      <c r="D3" s="331"/>
      <c r="E3" s="331"/>
      <c r="F3" s="330"/>
      <c r="G3" s="882"/>
      <c r="H3" s="882"/>
      <c r="I3" s="882"/>
      <c r="J3" s="920">
        <f>47500-J5</f>
        <v>0</v>
      </c>
      <c r="K3" s="1213">
        <v>47500</v>
      </c>
      <c r="Q3" s="332"/>
      <c r="R3" s="333"/>
      <c r="S3" s="332"/>
      <c r="T3" s="332"/>
      <c r="U3" s="332"/>
      <c r="V3" s="332"/>
      <c r="W3" s="333"/>
      <c r="X3" s="333"/>
      <c r="Y3" s="333"/>
      <c r="AC3" s="334"/>
      <c r="AD3" s="1271" t="s">
        <v>461</v>
      </c>
      <c r="AE3" s="1272"/>
      <c r="AF3" s="1272"/>
      <c r="AG3" s="1272"/>
      <c r="AH3" s="1272"/>
      <c r="AI3" s="1273"/>
      <c r="AJ3" s="1271" t="s">
        <v>462</v>
      </c>
      <c r="AK3" s="1272"/>
      <c r="AL3" s="1273"/>
      <c r="AP3" s="1284" t="s">
        <v>463</v>
      </c>
      <c r="AQ3" s="1285"/>
      <c r="AR3" s="1285"/>
      <c r="AS3" s="1285"/>
      <c r="AT3" s="1286"/>
      <c r="AV3" s="1274" t="s">
        <v>345</v>
      </c>
      <c r="AW3" s="1275"/>
      <c r="AX3" s="1275"/>
      <c r="AY3" s="1275"/>
      <c r="AZ3" s="1275"/>
      <c r="BA3" s="1275"/>
      <c r="BB3" s="1275"/>
      <c r="BC3" s="1275"/>
      <c r="BD3" s="1275"/>
      <c r="BE3" s="1275"/>
      <c r="BF3" s="1275"/>
      <c r="BG3" s="1276"/>
    </row>
    <row r="4" spans="1:16383" ht="42" customHeight="1" thickBot="1" x14ac:dyDescent="0.25">
      <c r="A4" s="335" t="s">
        <v>464</v>
      </c>
      <c r="B4" s="335" t="s">
        <v>465</v>
      </c>
      <c r="C4" s="335" t="s">
        <v>466</v>
      </c>
      <c r="D4" s="335" t="s">
        <v>467</v>
      </c>
      <c r="E4" s="335" t="s">
        <v>468</v>
      </c>
      <c r="F4" s="335" t="s">
        <v>469</v>
      </c>
      <c r="G4" s="335" t="s">
        <v>470</v>
      </c>
      <c r="H4" s="335"/>
      <c r="I4" s="335"/>
      <c r="J4" s="336" t="s">
        <v>471</v>
      </c>
      <c r="K4" s="337" t="s">
        <v>656</v>
      </c>
      <c r="L4" s="336" t="s">
        <v>1479</v>
      </c>
      <c r="M4" s="338" t="s">
        <v>472</v>
      </c>
      <c r="N4" s="1121" t="s">
        <v>473</v>
      </c>
      <c r="O4" s="1121"/>
      <c r="P4" s="1121"/>
      <c r="Q4" s="338" t="s">
        <v>479</v>
      </c>
      <c r="R4" s="338" t="s">
        <v>480</v>
      </c>
      <c r="S4" s="338" t="s">
        <v>474</v>
      </c>
      <c r="T4" s="338" t="s">
        <v>475</v>
      </c>
      <c r="U4" s="338" t="s">
        <v>476</v>
      </c>
      <c r="V4" s="338" t="s">
        <v>477</v>
      </c>
      <c r="W4" s="338" t="s">
        <v>478</v>
      </c>
      <c r="X4" s="338" t="s">
        <v>481</v>
      </c>
      <c r="Y4" s="338" t="s">
        <v>482</v>
      </c>
      <c r="Z4" s="339" t="s">
        <v>483</v>
      </c>
      <c r="AA4" s="335" t="s">
        <v>484</v>
      </c>
      <c r="AB4" s="340"/>
      <c r="AC4" s="341" t="s">
        <v>485</v>
      </c>
      <c r="AD4" s="334" t="s">
        <v>486</v>
      </c>
      <c r="AE4" s="342" t="s">
        <v>16</v>
      </c>
      <c r="AF4" s="343" t="s">
        <v>487</v>
      </c>
      <c r="AG4" s="342" t="s">
        <v>16</v>
      </c>
      <c r="AH4" s="343" t="s">
        <v>488</v>
      </c>
      <c r="AI4" s="342" t="s">
        <v>16</v>
      </c>
      <c r="AJ4" s="343" t="s">
        <v>16</v>
      </c>
      <c r="AK4" s="342" t="s">
        <v>16</v>
      </c>
      <c r="AL4" s="344" t="s">
        <v>16</v>
      </c>
      <c r="AM4" s="345" t="s">
        <v>489</v>
      </c>
      <c r="AN4" s="346" t="s">
        <v>490</v>
      </c>
      <c r="AO4" s="347" t="s">
        <v>16</v>
      </c>
      <c r="AP4" s="348" t="s">
        <v>491</v>
      </c>
      <c r="AQ4" s="349" t="s">
        <v>492</v>
      </c>
      <c r="AR4" s="349" t="s">
        <v>493</v>
      </c>
      <c r="AS4" s="349" t="s">
        <v>494</v>
      </c>
      <c r="AT4" s="350" t="s">
        <v>16</v>
      </c>
      <c r="AU4" s="340"/>
      <c r="AV4" s="351" t="s">
        <v>495</v>
      </c>
      <c r="AW4" s="352" t="s">
        <v>496</v>
      </c>
      <c r="AX4" s="352" t="s">
        <v>497</v>
      </c>
      <c r="AY4" s="353" t="s">
        <v>498</v>
      </c>
      <c r="AZ4" s="353" t="s">
        <v>499</v>
      </c>
      <c r="BA4" s="353" t="s">
        <v>500</v>
      </c>
      <c r="BB4" s="354" t="s">
        <v>501</v>
      </c>
      <c r="BC4" s="354" t="s">
        <v>502</v>
      </c>
      <c r="BD4" s="354" t="s">
        <v>503</v>
      </c>
      <c r="BE4" s="354" t="s">
        <v>504</v>
      </c>
      <c r="BF4" s="355" t="s">
        <v>505</v>
      </c>
      <c r="BG4" s="356" t="s">
        <v>506</v>
      </c>
      <c r="BH4" s="357"/>
      <c r="BI4" s="340"/>
      <c r="BJ4" s="340"/>
      <c r="BK4" s="340"/>
      <c r="BL4" s="340"/>
      <c r="BM4" s="340"/>
      <c r="BN4" s="340"/>
    </row>
    <row r="5" spans="1:16383" s="340" customFormat="1" x14ac:dyDescent="0.2">
      <c r="A5" s="382" t="s">
        <v>507</v>
      </c>
      <c r="B5" s="383">
        <v>1</v>
      </c>
      <c r="C5" s="359"/>
      <c r="D5" s="359"/>
      <c r="E5" s="671"/>
      <c r="F5" s="661" t="s">
        <v>838</v>
      </c>
      <c r="G5" s="882" t="s">
        <v>658</v>
      </c>
      <c r="H5" s="882" t="s">
        <v>862</v>
      </c>
      <c r="I5" s="882" t="s">
        <v>863</v>
      </c>
      <c r="J5" s="920">
        <v>47500</v>
      </c>
      <c r="K5" s="672">
        <v>0.03</v>
      </c>
      <c r="L5" s="663">
        <v>1000</v>
      </c>
      <c r="M5" s="664">
        <v>1200</v>
      </c>
      <c r="N5" s="1122">
        <f>J5*(1+K5)+L5+M5</f>
        <v>51125</v>
      </c>
      <c r="O5" s="1122"/>
      <c r="P5" s="1122"/>
      <c r="Q5" s="667">
        <v>0.05</v>
      </c>
      <c r="R5" s="665">
        <f t="shared" ref="R5:R48" si="0">N5*Q5</f>
        <v>2556.25</v>
      </c>
      <c r="S5" s="665">
        <f t="shared" ref="S5:S63" si="1">(N5-R5)*0.062</f>
        <v>3011.2624999999998</v>
      </c>
      <c r="T5" s="665">
        <f t="shared" ref="T5:T63" si="2">(N5-R5)*0.0145</f>
        <v>704.24687500000005</v>
      </c>
      <c r="U5" s="666">
        <f t="shared" ref="U5:U68" si="3">IF(N5&gt;=7000,7000*0.006,IF(N5&lt;=7000,N5*0.006))</f>
        <v>42</v>
      </c>
      <c r="V5" s="666">
        <f t="shared" ref="V5:V63" si="4">IF(N5&gt;=7000,7000*0.0144,IF(N5&lt;=7000,N5*0.0144))</f>
        <v>100.8</v>
      </c>
      <c r="W5" s="665">
        <f t="shared" ref="W5:W47" si="5">AT5</f>
        <v>364.79999999999995</v>
      </c>
      <c r="X5" s="665">
        <f>+AN5*6</f>
        <v>8700</v>
      </c>
      <c r="Y5" s="665">
        <f>+AN5*6</f>
        <v>8700</v>
      </c>
      <c r="Z5" s="361">
        <f t="shared" ref="Z5:Z48" si="6">SUM(N5:Y5)</f>
        <v>75304.409375000003</v>
      </c>
      <c r="AA5" s="279"/>
      <c r="AB5" s="362"/>
      <c r="AC5" s="1181" t="str">
        <f t="shared" ref="AC5:AC48" si="7">G5</f>
        <v>Michelle Hernandez</v>
      </c>
      <c r="AD5" s="668" t="s">
        <v>513</v>
      </c>
      <c r="AE5" s="669">
        <f t="shared" ref="AE5:AE48" si="8">IF(ISNA(VLOOKUP(AD5,$A$226:$E$266,4,FALSE)),"0",VLOOKUP(AD5,$A$226:$E$266,4,FALSE))</f>
        <v>339.32</v>
      </c>
      <c r="AF5" s="670" t="s">
        <v>555</v>
      </c>
      <c r="AG5" s="669">
        <f t="shared" ref="AG5:AG48" si="9">IF(ISNA(VLOOKUP(AF5,$A$253:$E$266,4,FALSE)),"0",VLOOKUP(AF5,$A$253:$E$266,4,FALSE))</f>
        <v>38.93</v>
      </c>
      <c r="AH5" s="670" t="s">
        <v>898</v>
      </c>
      <c r="AI5" s="364">
        <f t="shared" ref="AI5:AI48" si="10">IF(ISNA(VLOOKUP(AH5,$A$226:$E$266,4,FALSE)),"0",VLOOKUP(AH5,$A$226:$E$266,4,FALSE))</f>
        <v>4.88</v>
      </c>
      <c r="AJ5" s="364">
        <f t="shared" ref="AJ5:AJ48" si="11">IF(ISNA(VLOOKUP(AD5,$A$226:$E$266,5,FALSE)),"0",VLOOKUP(AD5,$A$226:$E$266,5,FALSE))</f>
        <v>1400.78</v>
      </c>
      <c r="AK5" s="364">
        <f t="shared" ref="AK5:AK48" si="12">IF(ISNA(VLOOKUP(AF5,$A$226:$E$266,5,FALSE)),"0",VLOOKUP(AF5,$A$226:$E$266,5,FALSE))</f>
        <v>43.250000000000007</v>
      </c>
      <c r="AL5" s="364">
        <f t="shared" ref="AL5:AL48" si="13">IF(ISNA(VLOOKUP(AH5,$A$226:$E$259,5,FALSE)),"0",VLOOKUP(AH5,$A$226:$E$259,5,FALSE))</f>
        <v>5.97</v>
      </c>
      <c r="AM5" s="365">
        <f t="shared" ref="AM5:AM47" si="14">AE5+AG5+AI5</f>
        <v>383.13</v>
      </c>
      <c r="AN5" s="366">
        <f t="shared" ref="AN5:AN47" si="15">AJ5+AK5+AL5</f>
        <v>1450</v>
      </c>
      <c r="AO5" s="367">
        <f>SUM(AM5:AN5)</f>
        <v>1833.13</v>
      </c>
      <c r="AP5" s="368">
        <v>8.7999999999999998E-5</v>
      </c>
      <c r="AQ5" s="369">
        <v>2.0000000000000002E-5</v>
      </c>
      <c r="AR5" s="370">
        <v>2.22E-4</v>
      </c>
      <c r="AS5" s="371">
        <v>3.1E-4</v>
      </c>
      <c r="AT5" s="372">
        <f t="shared" ref="AT5:AT36" si="16">SUM((J5*AP5)+(J5*AQ5)+(J5*AR5)+(J5*AS5))*12</f>
        <v>364.79999999999995</v>
      </c>
      <c r="AU5" s="279"/>
      <c r="AV5" s="373">
        <f t="shared" ref="AV5:AV48" si="17">J5</f>
        <v>47500</v>
      </c>
      <c r="AW5" s="374">
        <f t="shared" ref="AW5:AW21" si="18">NETWORKDAYS(C5,D5)</f>
        <v>0</v>
      </c>
      <c r="AX5" s="375" t="str">
        <f t="shared" ref="AX5:AX21" si="19">IF(ISERROR(AV5/AW5),"",(AV5/AW5))</f>
        <v/>
      </c>
      <c r="AY5" s="376">
        <v>41820</v>
      </c>
      <c r="AZ5" s="377">
        <f t="shared" ref="AZ5:AZ21" si="20">NETWORKDAYS(AY5,D5)</f>
        <v>-29871</v>
      </c>
      <c r="BA5" s="378">
        <f t="shared" ref="BA5:BA21" si="21">AW5-AZ5</f>
        <v>29871</v>
      </c>
      <c r="BB5" s="379" t="str">
        <f t="shared" ref="BB5:BB21" si="22">IF(ISERROR(BA5*AX5),"",(BA5*AX5))</f>
        <v/>
      </c>
      <c r="BC5" s="379" t="str">
        <f t="shared" ref="BC5:BC21" si="23">IF(ISERROR(AZ5*AX5),"",(AZ5*AX5))</f>
        <v/>
      </c>
      <c r="BD5" s="379">
        <f t="shared" ref="BD5:BD21" si="24">IF(ISERROR(SUM(BB5:BC5)),"",((SUM(BB5:BC5))))</f>
        <v>0</v>
      </c>
      <c r="BE5" s="379" t="str">
        <f t="shared" ref="BE5:BE21" si="25">IF(ISERROR(BC5*7.65%),"",((BC5*7.65%)))</f>
        <v/>
      </c>
      <c r="BF5" s="380" t="str">
        <f t="shared" ref="BF5:BF21" si="26">IF(ISERROR(BC5*21.17%),"",((BC5*21.17%)))</f>
        <v/>
      </c>
      <c r="BG5" s="381" t="e">
        <f t="shared" ref="BG5:BG21" si="27">SUM(BE5:BF5)+BC5</f>
        <v>#VALUE!</v>
      </c>
      <c r="BH5" s="32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c r="FE5" s="279"/>
      <c r="FF5" s="279"/>
      <c r="FG5" s="279"/>
      <c r="FH5" s="279"/>
      <c r="FI5" s="279"/>
      <c r="FJ5" s="279"/>
      <c r="FK5" s="279"/>
      <c r="FL5" s="279"/>
      <c r="FM5" s="279"/>
      <c r="FN5" s="279"/>
      <c r="FO5" s="279"/>
      <c r="FP5" s="279"/>
      <c r="FQ5" s="279"/>
      <c r="FR5" s="279"/>
      <c r="FS5" s="279"/>
      <c r="FT5" s="279"/>
      <c r="FU5" s="279"/>
      <c r="FV5" s="279"/>
      <c r="FW5" s="279"/>
      <c r="FX5" s="279"/>
      <c r="FY5" s="279"/>
      <c r="FZ5" s="279"/>
      <c r="GA5" s="279"/>
      <c r="GB5" s="279"/>
      <c r="GC5" s="279"/>
      <c r="GD5" s="279"/>
      <c r="GE5" s="279"/>
      <c r="GF5" s="279"/>
      <c r="GG5" s="279"/>
      <c r="GH5" s="279"/>
      <c r="GI5" s="279"/>
      <c r="GJ5" s="279"/>
      <c r="GK5" s="279"/>
      <c r="GL5" s="279"/>
      <c r="GM5" s="279"/>
      <c r="GN5" s="279"/>
      <c r="GO5" s="279"/>
      <c r="GP5" s="279"/>
      <c r="GQ5" s="279"/>
      <c r="GR5" s="279"/>
      <c r="GS5" s="279"/>
      <c r="GT5" s="279"/>
      <c r="GU5" s="279"/>
      <c r="GV5" s="279"/>
      <c r="GW5" s="279"/>
      <c r="GX5" s="279"/>
      <c r="GY5" s="279"/>
      <c r="GZ5" s="279"/>
      <c r="HA5" s="279"/>
      <c r="HB5" s="279"/>
      <c r="HC5" s="279"/>
      <c r="HD5" s="279"/>
      <c r="HE5" s="279"/>
      <c r="HF5" s="279"/>
      <c r="HG5" s="279"/>
      <c r="HH5" s="279"/>
      <c r="HI5" s="279"/>
      <c r="HJ5" s="279"/>
      <c r="HK5" s="279"/>
      <c r="HL5" s="279"/>
      <c r="HM5" s="279"/>
      <c r="HN5" s="279"/>
      <c r="HO5" s="279"/>
      <c r="HP5" s="279"/>
      <c r="HQ5" s="279"/>
      <c r="HR5" s="279"/>
      <c r="HS5" s="279"/>
      <c r="HT5" s="279"/>
      <c r="HU5" s="279"/>
      <c r="HV5" s="279"/>
      <c r="HW5" s="279"/>
      <c r="HX5" s="279"/>
      <c r="HY5" s="279"/>
      <c r="HZ5" s="279"/>
      <c r="IA5" s="279"/>
      <c r="IB5" s="279"/>
      <c r="IC5" s="279"/>
      <c r="ID5" s="279"/>
      <c r="IE5" s="279"/>
      <c r="IF5" s="279"/>
      <c r="IG5" s="279"/>
      <c r="IH5" s="279"/>
      <c r="II5" s="279"/>
      <c r="IJ5" s="279"/>
      <c r="IK5" s="279"/>
      <c r="IL5" s="279"/>
      <c r="IM5" s="279"/>
      <c r="IN5" s="279"/>
      <c r="IO5" s="279"/>
      <c r="IP5" s="279"/>
      <c r="IQ5" s="279"/>
      <c r="IR5" s="279"/>
      <c r="IS5" s="279"/>
      <c r="IT5" s="279"/>
      <c r="IU5" s="279"/>
      <c r="IV5" s="279"/>
      <c r="IW5" s="279"/>
      <c r="IX5" s="279"/>
      <c r="IY5" s="279"/>
      <c r="IZ5" s="279"/>
      <c r="JA5" s="279"/>
      <c r="JB5" s="279"/>
      <c r="JC5" s="279"/>
      <c r="JD5" s="279"/>
      <c r="JE5" s="279"/>
      <c r="JF5" s="279"/>
      <c r="JG5" s="279"/>
      <c r="JH5" s="279"/>
      <c r="JI5" s="279"/>
      <c r="JJ5" s="279"/>
      <c r="JK5" s="279"/>
      <c r="JL5" s="279"/>
      <c r="JM5" s="279"/>
      <c r="JN5" s="279"/>
      <c r="JO5" s="279"/>
      <c r="JP5" s="279"/>
      <c r="JQ5" s="279"/>
      <c r="JR5" s="279"/>
      <c r="JS5" s="279"/>
      <c r="JT5" s="279"/>
      <c r="JU5" s="279"/>
      <c r="JV5" s="279"/>
      <c r="JW5" s="279"/>
      <c r="JX5" s="279"/>
      <c r="JY5" s="279"/>
      <c r="JZ5" s="279"/>
      <c r="KA5" s="279"/>
      <c r="KB5" s="279"/>
      <c r="KC5" s="279"/>
      <c r="KD5" s="279"/>
      <c r="KE5" s="279"/>
      <c r="KF5" s="279"/>
      <c r="KG5" s="279"/>
      <c r="KH5" s="279"/>
      <c r="KI5" s="279"/>
      <c r="KJ5" s="279"/>
      <c r="KK5" s="279"/>
      <c r="KL5" s="279"/>
      <c r="KM5" s="279"/>
      <c r="KN5" s="279"/>
      <c r="KO5" s="279"/>
      <c r="KP5" s="279"/>
      <c r="KQ5" s="279"/>
      <c r="KR5" s="279"/>
      <c r="KS5" s="279"/>
      <c r="KT5" s="279"/>
      <c r="KU5" s="279"/>
      <c r="KV5" s="279"/>
      <c r="KW5" s="279"/>
      <c r="KX5" s="279"/>
      <c r="KY5" s="279"/>
      <c r="KZ5" s="279"/>
      <c r="LA5" s="279"/>
      <c r="LB5" s="279"/>
      <c r="LC5" s="279"/>
      <c r="LD5" s="279"/>
      <c r="LE5" s="279"/>
      <c r="LF5" s="279"/>
      <c r="LG5" s="279"/>
      <c r="LH5" s="279"/>
      <c r="LI5" s="279"/>
      <c r="LJ5" s="279"/>
      <c r="LK5" s="279"/>
      <c r="LL5" s="279"/>
      <c r="LM5" s="279"/>
      <c r="LN5" s="279"/>
      <c r="LO5" s="279"/>
      <c r="LP5" s="279"/>
      <c r="LQ5" s="279"/>
      <c r="LR5" s="279"/>
      <c r="LS5" s="279"/>
      <c r="LT5" s="279"/>
      <c r="LU5" s="279"/>
      <c r="LV5" s="279"/>
      <c r="LW5" s="279"/>
      <c r="LX5" s="279"/>
      <c r="LY5" s="279"/>
      <c r="LZ5" s="279"/>
      <c r="MA5" s="279"/>
      <c r="MB5" s="279"/>
      <c r="MC5" s="279"/>
      <c r="MD5" s="279"/>
      <c r="ME5" s="279"/>
      <c r="MF5" s="279"/>
      <c r="MG5" s="279"/>
      <c r="MH5" s="279"/>
      <c r="MI5" s="279"/>
      <c r="MJ5" s="279"/>
      <c r="MK5" s="279"/>
      <c r="ML5" s="279"/>
      <c r="MM5" s="279"/>
      <c r="MN5" s="279"/>
      <c r="MO5" s="279"/>
      <c r="MP5" s="279"/>
      <c r="MQ5" s="279"/>
      <c r="MR5" s="279"/>
      <c r="MS5" s="279"/>
      <c r="MT5" s="279"/>
      <c r="MU5" s="279"/>
      <c r="MV5" s="279"/>
      <c r="MW5" s="279"/>
      <c r="MX5" s="279"/>
      <c r="MY5" s="279"/>
      <c r="MZ5" s="279"/>
      <c r="NA5" s="279"/>
      <c r="NB5" s="279"/>
      <c r="NC5" s="279"/>
      <c r="ND5" s="279"/>
      <c r="NE5" s="279"/>
      <c r="NF5" s="279"/>
      <c r="NG5" s="279"/>
      <c r="NH5" s="279"/>
      <c r="NI5" s="279"/>
      <c r="NJ5" s="279"/>
      <c r="NK5" s="279"/>
      <c r="NL5" s="279"/>
      <c r="NM5" s="279"/>
      <c r="NN5" s="279"/>
      <c r="NO5" s="279"/>
      <c r="NP5" s="279"/>
      <c r="NQ5" s="279"/>
      <c r="NR5" s="279"/>
      <c r="NS5" s="279"/>
      <c r="NT5" s="279"/>
      <c r="NU5" s="279"/>
      <c r="NV5" s="279"/>
      <c r="NW5" s="279"/>
      <c r="NX5" s="279"/>
      <c r="NY5" s="279"/>
      <c r="NZ5" s="279"/>
      <c r="OA5" s="279"/>
      <c r="OB5" s="279"/>
      <c r="OC5" s="279"/>
      <c r="OD5" s="279"/>
      <c r="OE5" s="279"/>
      <c r="OF5" s="279"/>
      <c r="OG5" s="279"/>
      <c r="OH5" s="279"/>
      <c r="OI5" s="279"/>
      <c r="OJ5" s="279"/>
      <c r="OK5" s="279"/>
      <c r="OL5" s="279"/>
      <c r="OM5" s="279"/>
      <c r="ON5" s="279"/>
      <c r="OO5" s="279"/>
      <c r="OP5" s="279"/>
      <c r="OQ5" s="279"/>
      <c r="OR5" s="279"/>
      <c r="OS5" s="279"/>
      <c r="OT5" s="279"/>
      <c r="OU5" s="279"/>
      <c r="OV5" s="279"/>
      <c r="OW5" s="279"/>
      <c r="OX5" s="279"/>
      <c r="OY5" s="279"/>
      <c r="OZ5" s="279"/>
      <c r="PA5" s="279"/>
      <c r="PB5" s="279"/>
      <c r="PC5" s="279"/>
      <c r="PD5" s="279"/>
      <c r="PE5" s="279"/>
      <c r="PF5" s="279"/>
      <c r="PG5" s="279"/>
      <c r="PH5" s="279"/>
      <c r="PI5" s="279"/>
      <c r="PJ5" s="279"/>
      <c r="PK5" s="279"/>
      <c r="PL5" s="279"/>
      <c r="PM5" s="279"/>
      <c r="PN5" s="279"/>
      <c r="PO5" s="279"/>
      <c r="PP5" s="279"/>
      <c r="PQ5" s="279"/>
      <c r="PR5" s="279"/>
      <c r="PS5" s="279"/>
      <c r="PT5" s="279"/>
      <c r="PU5" s="279"/>
      <c r="PV5" s="279"/>
      <c r="PW5" s="279"/>
      <c r="PX5" s="279"/>
      <c r="PY5" s="279"/>
      <c r="PZ5" s="279"/>
      <c r="QA5" s="279"/>
      <c r="QB5" s="279"/>
      <c r="QC5" s="279"/>
      <c r="QD5" s="279"/>
      <c r="QE5" s="279"/>
      <c r="QF5" s="279"/>
      <c r="QG5" s="279"/>
      <c r="QH5" s="279"/>
      <c r="QI5" s="279"/>
      <c r="QJ5" s="279"/>
      <c r="QK5" s="279"/>
      <c r="QL5" s="279"/>
      <c r="QM5" s="279"/>
      <c r="QN5" s="279"/>
      <c r="QO5" s="279"/>
      <c r="QP5" s="279"/>
      <c r="QQ5" s="279"/>
      <c r="QR5" s="279"/>
      <c r="QS5" s="279"/>
      <c r="QT5" s="279"/>
      <c r="QU5" s="279"/>
      <c r="QV5" s="279"/>
      <c r="QW5" s="279"/>
      <c r="QX5" s="279"/>
      <c r="QY5" s="279"/>
      <c r="QZ5" s="279"/>
      <c r="RA5" s="279"/>
      <c r="RB5" s="279"/>
      <c r="RC5" s="279"/>
      <c r="RD5" s="279"/>
      <c r="RE5" s="279"/>
      <c r="RF5" s="279"/>
      <c r="RG5" s="279"/>
      <c r="RH5" s="279"/>
      <c r="RI5" s="279"/>
      <c r="RJ5" s="279"/>
      <c r="RK5" s="279"/>
      <c r="RL5" s="279"/>
      <c r="RM5" s="279"/>
      <c r="RN5" s="279"/>
      <c r="RO5" s="279"/>
      <c r="RP5" s="279"/>
      <c r="RQ5" s="279"/>
      <c r="RR5" s="279"/>
      <c r="RS5" s="279"/>
      <c r="RT5" s="279"/>
      <c r="RU5" s="279"/>
      <c r="RV5" s="279"/>
      <c r="RW5" s="279"/>
      <c r="RX5" s="279"/>
      <c r="RY5" s="279"/>
      <c r="RZ5" s="279"/>
      <c r="SA5" s="279"/>
      <c r="SB5" s="279"/>
      <c r="SC5" s="279"/>
      <c r="SD5" s="279"/>
      <c r="SE5" s="279"/>
      <c r="SF5" s="279"/>
      <c r="SG5" s="279"/>
      <c r="SH5" s="279"/>
      <c r="SI5" s="279"/>
      <c r="SJ5" s="279"/>
      <c r="SK5" s="279"/>
      <c r="SL5" s="279"/>
      <c r="SM5" s="279"/>
      <c r="SN5" s="279"/>
      <c r="SO5" s="279"/>
      <c r="SP5" s="279"/>
      <c r="SQ5" s="279"/>
      <c r="SR5" s="279"/>
      <c r="SS5" s="279"/>
      <c r="ST5" s="279"/>
      <c r="SU5" s="279"/>
      <c r="SV5" s="279"/>
      <c r="SW5" s="279"/>
      <c r="SX5" s="279"/>
      <c r="SY5" s="279"/>
      <c r="SZ5" s="279"/>
      <c r="TA5" s="279"/>
      <c r="TB5" s="279"/>
      <c r="TC5" s="279"/>
      <c r="TD5" s="279"/>
      <c r="TE5" s="279"/>
      <c r="TF5" s="279"/>
      <c r="TG5" s="279"/>
      <c r="TH5" s="279"/>
      <c r="TI5" s="279"/>
      <c r="TJ5" s="279"/>
      <c r="TK5" s="279"/>
      <c r="TL5" s="279"/>
      <c r="TM5" s="279"/>
      <c r="TN5" s="279"/>
      <c r="TO5" s="279"/>
      <c r="TP5" s="279"/>
      <c r="TQ5" s="279"/>
      <c r="TR5" s="279"/>
      <c r="TS5" s="279"/>
      <c r="TT5" s="279"/>
      <c r="TU5" s="279"/>
      <c r="TV5" s="279"/>
      <c r="TW5" s="279"/>
      <c r="TX5" s="279"/>
      <c r="TY5" s="279"/>
      <c r="TZ5" s="279"/>
      <c r="UA5" s="279"/>
      <c r="UB5" s="279"/>
      <c r="UC5" s="279"/>
      <c r="UD5" s="279"/>
      <c r="UE5" s="279"/>
      <c r="UF5" s="279"/>
      <c r="UG5" s="279"/>
      <c r="UH5" s="279"/>
      <c r="UI5" s="279"/>
      <c r="UJ5" s="279"/>
      <c r="UK5" s="279"/>
      <c r="UL5" s="279"/>
      <c r="UM5" s="279"/>
      <c r="UN5" s="279"/>
      <c r="UO5" s="279"/>
      <c r="UP5" s="279"/>
      <c r="UQ5" s="279"/>
      <c r="UR5" s="279"/>
      <c r="US5" s="279"/>
      <c r="UT5" s="279"/>
      <c r="UU5" s="279"/>
      <c r="UV5" s="279"/>
      <c r="UW5" s="279"/>
      <c r="UX5" s="279"/>
      <c r="UY5" s="279"/>
      <c r="UZ5" s="279"/>
      <c r="VA5" s="279"/>
      <c r="VB5" s="279"/>
      <c r="VC5" s="279"/>
      <c r="VD5" s="279"/>
      <c r="VE5" s="279"/>
      <c r="VF5" s="279"/>
      <c r="VG5" s="279"/>
      <c r="VH5" s="279"/>
      <c r="VI5" s="279"/>
      <c r="VJ5" s="279"/>
      <c r="VK5" s="279"/>
      <c r="VL5" s="279"/>
      <c r="VM5" s="279"/>
      <c r="VN5" s="279"/>
      <c r="VO5" s="279"/>
      <c r="VP5" s="279"/>
      <c r="VQ5" s="279"/>
      <c r="VR5" s="279"/>
      <c r="VS5" s="279"/>
      <c r="VT5" s="279"/>
      <c r="VU5" s="279"/>
      <c r="VV5" s="279"/>
      <c r="VW5" s="279"/>
      <c r="VX5" s="279"/>
      <c r="VY5" s="279"/>
      <c r="VZ5" s="279"/>
      <c r="WA5" s="279"/>
      <c r="WB5" s="279"/>
      <c r="WC5" s="279"/>
      <c r="WD5" s="279"/>
      <c r="WE5" s="279"/>
      <c r="WF5" s="279"/>
      <c r="WG5" s="279"/>
      <c r="WH5" s="279"/>
      <c r="WI5" s="279"/>
      <c r="WJ5" s="279"/>
      <c r="WK5" s="279"/>
      <c r="WL5" s="279"/>
      <c r="WM5" s="279"/>
      <c r="WN5" s="279"/>
      <c r="WO5" s="279"/>
      <c r="WP5" s="279"/>
      <c r="WQ5" s="279"/>
      <c r="WR5" s="279"/>
      <c r="WS5" s="279"/>
      <c r="WT5" s="279"/>
      <c r="WU5" s="279"/>
      <c r="WV5" s="279"/>
      <c r="WW5" s="279"/>
      <c r="WX5" s="279"/>
      <c r="WY5" s="279"/>
      <c r="WZ5" s="279"/>
      <c r="XA5" s="279"/>
      <c r="XB5" s="279"/>
      <c r="XC5" s="279"/>
      <c r="XD5" s="279"/>
      <c r="XE5" s="279"/>
      <c r="XF5" s="279"/>
      <c r="XG5" s="279"/>
      <c r="XH5" s="279"/>
      <c r="XI5" s="279"/>
      <c r="XJ5" s="279"/>
      <c r="XK5" s="279"/>
      <c r="XL5" s="279"/>
      <c r="XM5" s="279"/>
      <c r="XN5" s="279"/>
      <c r="XO5" s="279"/>
      <c r="XP5" s="279"/>
      <c r="XQ5" s="279"/>
      <c r="XR5" s="279"/>
      <c r="XS5" s="279"/>
      <c r="XT5" s="279"/>
      <c r="XU5" s="279"/>
      <c r="XV5" s="279"/>
      <c r="XW5" s="279"/>
      <c r="XX5" s="279"/>
      <c r="XY5" s="279"/>
      <c r="XZ5" s="279"/>
      <c r="YA5" s="279"/>
      <c r="YB5" s="279"/>
      <c r="YC5" s="279"/>
      <c r="YD5" s="279"/>
      <c r="YE5" s="279"/>
      <c r="YF5" s="279"/>
      <c r="YG5" s="279"/>
      <c r="YH5" s="279"/>
      <c r="YI5" s="279"/>
      <c r="YJ5" s="279"/>
      <c r="YK5" s="279"/>
      <c r="YL5" s="279"/>
      <c r="YM5" s="279"/>
      <c r="YN5" s="279"/>
      <c r="YO5" s="279"/>
      <c r="YP5" s="279"/>
      <c r="YQ5" s="279"/>
      <c r="YR5" s="279"/>
      <c r="YS5" s="279"/>
      <c r="YT5" s="279"/>
      <c r="YU5" s="279"/>
      <c r="YV5" s="279"/>
      <c r="YW5" s="279"/>
      <c r="YX5" s="279"/>
      <c r="YY5" s="279"/>
      <c r="YZ5" s="279"/>
      <c r="ZA5" s="279"/>
      <c r="ZB5" s="279"/>
      <c r="ZC5" s="279"/>
      <c r="ZD5" s="279"/>
      <c r="ZE5" s="279"/>
      <c r="ZF5" s="279"/>
      <c r="ZG5" s="279"/>
      <c r="ZH5" s="279"/>
      <c r="ZI5" s="279"/>
      <c r="ZJ5" s="279"/>
      <c r="ZK5" s="279"/>
      <c r="ZL5" s="279"/>
      <c r="ZM5" s="279"/>
      <c r="ZN5" s="279"/>
      <c r="ZO5" s="279"/>
      <c r="ZP5" s="279"/>
      <c r="ZQ5" s="279"/>
      <c r="ZR5" s="279"/>
      <c r="ZS5" s="279"/>
      <c r="ZT5" s="279"/>
      <c r="ZU5" s="279"/>
      <c r="ZV5" s="279"/>
      <c r="ZW5" s="279"/>
      <c r="ZX5" s="279"/>
      <c r="ZY5" s="279"/>
      <c r="ZZ5" s="279"/>
      <c r="AAA5" s="279"/>
      <c r="AAB5" s="279"/>
      <c r="AAC5" s="279"/>
      <c r="AAD5" s="279"/>
      <c r="AAE5" s="279"/>
      <c r="AAF5" s="279"/>
      <c r="AAG5" s="279"/>
      <c r="AAH5" s="279"/>
      <c r="AAI5" s="279"/>
      <c r="AAJ5" s="279"/>
      <c r="AAK5" s="279"/>
      <c r="AAL5" s="279"/>
      <c r="AAM5" s="279"/>
      <c r="AAN5" s="279"/>
      <c r="AAO5" s="279"/>
      <c r="AAP5" s="279"/>
      <c r="AAQ5" s="279"/>
      <c r="AAR5" s="279"/>
      <c r="AAS5" s="279"/>
      <c r="AAT5" s="279"/>
      <c r="AAU5" s="279"/>
      <c r="AAV5" s="279"/>
      <c r="AAW5" s="279"/>
      <c r="AAX5" s="279"/>
      <c r="AAY5" s="279"/>
      <c r="AAZ5" s="279"/>
      <c r="ABA5" s="279"/>
      <c r="ABB5" s="279"/>
      <c r="ABC5" s="279"/>
      <c r="ABD5" s="279"/>
      <c r="ABE5" s="279"/>
      <c r="ABF5" s="279"/>
      <c r="ABG5" s="279"/>
      <c r="ABH5" s="279"/>
      <c r="ABI5" s="279"/>
      <c r="ABJ5" s="279"/>
      <c r="ABK5" s="279"/>
      <c r="ABL5" s="279"/>
      <c r="ABM5" s="279"/>
      <c r="ABN5" s="279"/>
      <c r="ABO5" s="279"/>
      <c r="ABP5" s="279"/>
      <c r="ABQ5" s="279"/>
      <c r="ABR5" s="279"/>
      <c r="ABS5" s="279"/>
      <c r="ABT5" s="279"/>
      <c r="ABU5" s="279"/>
      <c r="ABV5" s="279"/>
      <c r="ABW5" s="279"/>
      <c r="ABX5" s="279"/>
      <c r="ABY5" s="279"/>
      <c r="ABZ5" s="279"/>
      <c r="ACA5" s="279"/>
      <c r="ACB5" s="279"/>
      <c r="ACC5" s="279"/>
      <c r="ACD5" s="279"/>
      <c r="ACE5" s="279"/>
      <c r="ACF5" s="279"/>
      <c r="ACG5" s="279"/>
      <c r="ACH5" s="279"/>
      <c r="ACI5" s="279"/>
      <c r="ACJ5" s="279"/>
      <c r="ACK5" s="279"/>
      <c r="ACL5" s="279"/>
      <c r="ACM5" s="279"/>
      <c r="ACN5" s="279"/>
      <c r="ACO5" s="279"/>
      <c r="ACP5" s="279"/>
      <c r="ACQ5" s="279"/>
      <c r="ACR5" s="279"/>
      <c r="ACS5" s="279"/>
      <c r="ACT5" s="279"/>
      <c r="ACU5" s="279"/>
      <c r="ACV5" s="279"/>
      <c r="ACW5" s="279"/>
      <c r="ACX5" s="279"/>
      <c r="ACY5" s="279"/>
      <c r="ACZ5" s="279"/>
      <c r="ADA5" s="279"/>
      <c r="ADB5" s="279"/>
      <c r="ADC5" s="279"/>
      <c r="ADD5" s="279"/>
      <c r="ADE5" s="279"/>
      <c r="ADF5" s="279"/>
      <c r="ADG5" s="279"/>
      <c r="ADH5" s="279"/>
      <c r="ADI5" s="279"/>
      <c r="ADJ5" s="279"/>
      <c r="ADK5" s="279"/>
      <c r="ADL5" s="279"/>
      <c r="ADM5" s="279"/>
      <c r="ADN5" s="279"/>
      <c r="ADO5" s="279"/>
      <c r="ADP5" s="279"/>
      <c r="ADQ5" s="279"/>
      <c r="ADR5" s="279"/>
      <c r="ADS5" s="279"/>
      <c r="ADT5" s="279"/>
      <c r="ADU5" s="279"/>
      <c r="ADV5" s="279"/>
      <c r="ADW5" s="279"/>
      <c r="ADX5" s="279"/>
      <c r="ADY5" s="279"/>
      <c r="ADZ5" s="279"/>
      <c r="AEA5" s="279"/>
      <c r="AEB5" s="279"/>
      <c r="AEC5" s="279"/>
      <c r="AED5" s="279"/>
      <c r="AEE5" s="279"/>
      <c r="AEF5" s="279"/>
      <c r="AEG5" s="279"/>
      <c r="AEH5" s="279"/>
      <c r="AEI5" s="279"/>
      <c r="AEJ5" s="279"/>
      <c r="AEK5" s="279"/>
      <c r="AEL5" s="279"/>
      <c r="AEM5" s="279"/>
      <c r="AEN5" s="279"/>
      <c r="AEO5" s="279"/>
      <c r="AEP5" s="279"/>
      <c r="AEQ5" s="279"/>
      <c r="AER5" s="279"/>
      <c r="AES5" s="279"/>
      <c r="AET5" s="279"/>
      <c r="AEU5" s="279"/>
      <c r="AEV5" s="279"/>
      <c r="AEW5" s="279"/>
      <c r="AEX5" s="279"/>
      <c r="AEY5" s="279"/>
      <c r="AEZ5" s="279"/>
      <c r="AFA5" s="279"/>
      <c r="AFB5" s="279"/>
      <c r="AFC5" s="279"/>
      <c r="AFD5" s="279"/>
      <c r="AFE5" s="279"/>
      <c r="AFF5" s="279"/>
      <c r="AFG5" s="279"/>
      <c r="AFH5" s="279"/>
      <c r="AFI5" s="279"/>
      <c r="AFJ5" s="279"/>
      <c r="AFK5" s="279"/>
      <c r="AFL5" s="279"/>
      <c r="AFM5" s="279"/>
      <c r="AFN5" s="279"/>
      <c r="AFO5" s="279"/>
      <c r="AFP5" s="279"/>
      <c r="AFQ5" s="279"/>
      <c r="AFR5" s="279"/>
      <c r="AFS5" s="279"/>
      <c r="AFT5" s="279"/>
      <c r="AFU5" s="279"/>
      <c r="AFV5" s="279"/>
      <c r="AFW5" s="279"/>
      <c r="AFX5" s="279"/>
      <c r="AFY5" s="279"/>
      <c r="AFZ5" s="279"/>
      <c r="AGA5" s="279"/>
      <c r="AGB5" s="279"/>
      <c r="AGC5" s="279"/>
      <c r="AGD5" s="279"/>
      <c r="AGE5" s="279"/>
      <c r="AGF5" s="279"/>
      <c r="AGG5" s="279"/>
      <c r="AGH5" s="279"/>
      <c r="AGI5" s="279"/>
      <c r="AGJ5" s="279"/>
      <c r="AGK5" s="279"/>
      <c r="AGL5" s="279"/>
      <c r="AGM5" s="279"/>
      <c r="AGN5" s="279"/>
      <c r="AGO5" s="279"/>
      <c r="AGP5" s="279"/>
      <c r="AGQ5" s="279"/>
      <c r="AGR5" s="279"/>
      <c r="AGS5" s="279"/>
      <c r="AGT5" s="279"/>
      <c r="AGU5" s="279"/>
      <c r="AGV5" s="279"/>
      <c r="AGW5" s="279"/>
      <c r="AGX5" s="279"/>
      <c r="AGY5" s="279"/>
      <c r="AGZ5" s="279"/>
      <c r="AHA5" s="279"/>
      <c r="AHB5" s="279"/>
      <c r="AHC5" s="279"/>
      <c r="AHD5" s="279"/>
      <c r="AHE5" s="279"/>
      <c r="AHF5" s="279"/>
      <c r="AHG5" s="279"/>
      <c r="AHH5" s="279"/>
      <c r="AHI5" s="279"/>
      <c r="AHJ5" s="279"/>
      <c r="AHK5" s="279"/>
      <c r="AHL5" s="279"/>
      <c r="AHM5" s="279"/>
      <c r="AHN5" s="279"/>
      <c r="AHO5" s="279"/>
      <c r="AHP5" s="279"/>
      <c r="AHQ5" s="279"/>
      <c r="AHR5" s="279"/>
      <c r="AHS5" s="279"/>
      <c r="AHT5" s="279"/>
      <c r="AHU5" s="279"/>
      <c r="AHV5" s="279"/>
      <c r="AHW5" s="279"/>
      <c r="AHX5" s="279"/>
      <c r="AHY5" s="279"/>
      <c r="AHZ5" s="279"/>
      <c r="AIA5" s="279"/>
      <c r="AIB5" s="279"/>
      <c r="AIC5" s="279"/>
      <c r="AID5" s="279"/>
      <c r="AIE5" s="279"/>
      <c r="AIF5" s="279"/>
      <c r="AIG5" s="279"/>
      <c r="AIH5" s="279"/>
      <c r="AII5" s="279"/>
      <c r="AIJ5" s="279"/>
      <c r="AIK5" s="279"/>
      <c r="AIL5" s="279"/>
      <c r="AIM5" s="279"/>
      <c r="AIN5" s="279"/>
      <c r="AIO5" s="279"/>
      <c r="AIP5" s="279"/>
      <c r="AIQ5" s="279"/>
      <c r="AIR5" s="279"/>
      <c r="AIS5" s="279"/>
      <c r="AIT5" s="279"/>
      <c r="AIU5" s="279"/>
      <c r="AIV5" s="279"/>
      <c r="AIW5" s="279"/>
      <c r="AIX5" s="279"/>
      <c r="AIY5" s="279"/>
      <c r="AIZ5" s="279"/>
      <c r="AJA5" s="279"/>
      <c r="AJB5" s="279"/>
      <c r="AJC5" s="279"/>
      <c r="AJD5" s="279"/>
      <c r="AJE5" s="279"/>
      <c r="AJF5" s="279"/>
      <c r="AJG5" s="279"/>
      <c r="AJH5" s="279"/>
      <c r="AJI5" s="279"/>
      <c r="AJJ5" s="279"/>
      <c r="AJK5" s="279"/>
      <c r="AJL5" s="279"/>
      <c r="AJM5" s="279"/>
      <c r="AJN5" s="279"/>
      <c r="AJO5" s="279"/>
      <c r="AJP5" s="279"/>
      <c r="AJQ5" s="279"/>
      <c r="AJR5" s="279"/>
      <c r="AJS5" s="279"/>
      <c r="AJT5" s="279"/>
      <c r="AJU5" s="279"/>
      <c r="AJV5" s="279"/>
      <c r="AJW5" s="279"/>
      <c r="AJX5" s="279"/>
      <c r="AJY5" s="279"/>
      <c r="AJZ5" s="279"/>
      <c r="AKA5" s="279"/>
      <c r="AKB5" s="279"/>
      <c r="AKC5" s="279"/>
      <c r="AKD5" s="279"/>
      <c r="AKE5" s="279"/>
      <c r="AKF5" s="279"/>
      <c r="AKG5" s="279"/>
      <c r="AKH5" s="279"/>
      <c r="AKI5" s="279"/>
      <c r="AKJ5" s="279"/>
      <c r="AKK5" s="279"/>
      <c r="AKL5" s="279"/>
      <c r="AKM5" s="279"/>
      <c r="AKN5" s="279"/>
      <c r="AKO5" s="279"/>
      <c r="AKP5" s="279"/>
      <c r="AKQ5" s="279"/>
      <c r="AKR5" s="279"/>
      <c r="AKS5" s="279"/>
      <c r="AKT5" s="279"/>
      <c r="AKU5" s="279"/>
      <c r="AKV5" s="279"/>
      <c r="AKW5" s="279"/>
      <c r="AKX5" s="279"/>
      <c r="AKY5" s="279"/>
      <c r="AKZ5" s="279"/>
      <c r="ALA5" s="279"/>
      <c r="ALB5" s="279"/>
      <c r="ALC5" s="279"/>
      <c r="ALD5" s="279"/>
      <c r="ALE5" s="279"/>
      <c r="ALF5" s="279"/>
      <c r="ALG5" s="279"/>
      <c r="ALH5" s="279"/>
      <c r="ALI5" s="279"/>
      <c r="ALJ5" s="279"/>
      <c r="ALK5" s="279"/>
      <c r="ALL5" s="279"/>
      <c r="ALM5" s="279"/>
      <c r="ALN5" s="279"/>
      <c r="ALO5" s="279"/>
      <c r="ALP5" s="279"/>
      <c r="ALQ5" s="279"/>
      <c r="ALR5" s="279"/>
      <c r="ALS5" s="279"/>
      <c r="ALT5" s="279"/>
      <c r="ALU5" s="279"/>
      <c r="ALV5" s="279"/>
      <c r="ALW5" s="279"/>
      <c r="ALX5" s="279"/>
      <c r="ALY5" s="279"/>
      <c r="ALZ5" s="279"/>
      <c r="AMA5" s="279"/>
      <c r="AMB5" s="279"/>
      <c r="AMC5" s="279"/>
      <c r="AMD5" s="279"/>
      <c r="AME5" s="279"/>
      <c r="AMF5" s="279"/>
      <c r="AMG5" s="279"/>
      <c r="AMH5" s="279"/>
      <c r="AMI5" s="279"/>
      <c r="AMJ5" s="279"/>
      <c r="AMK5" s="279"/>
      <c r="AML5" s="279"/>
      <c r="AMM5" s="279"/>
      <c r="AMN5" s="279"/>
      <c r="AMO5" s="279"/>
      <c r="AMP5" s="279"/>
      <c r="AMQ5" s="279"/>
      <c r="AMR5" s="279"/>
      <c r="AMS5" s="279"/>
      <c r="AMT5" s="279"/>
      <c r="AMU5" s="279"/>
      <c r="AMV5" s="279"/>
      <c r="AMW5" s="279"/>
      <c r="AMX5" s="279"/>
      <c r="AMY5" s="279"/>
      <c r="AMZ5" s="279"/>
      <c r="ANA5" s="279"/>
      <c r="ANB5" s="279"/>
      <c r="ANC5" s="279"/>
      <c r="AND5" s="279"/>
      <c r="ANE5" s="279"/>
      <c r="ANF5" s="279"/>
      <c r="ANG5" s="279"/>
      <c r="ANH5" s="279"/>
      <c r="ANI5" s="279"/>
      <c r="ANJ5" s="279"/>
      <c r="ANK5" s="279"/>
      <c r="ANL5" s="279"/>
      <c r="ANM5" s="279"/>
      <c r="ANN5" s="279"/>
      <c r="ANO5" s="279"/>
      <c r="ANP5" s="279"/>
      <c r="ANQ5" s="279"/>
      <c r="ANR5" s="279"/>
      <c r="ANS5" s="279"/>
      <c r="ANT5" s="279"/>
      <c r="ANU5" s="279"/>
      <c r="ANV5" s="279"/>
      <c r="ANW5" s="279"/>
      <c r="ANX5" s="279"/>
      <c r="ANY5" s="279"/>
      <c r="ANZ5" s="279"/>
      <c r="AOA5" s="279"/>
      <c r="AOB5" s="279"/>
      <c r="AOC5" s="279"/>
      <c r="AOD5" s="279"/>
      <c r="AOE5" s="279"/>
      <c r="AOF5" s="279"/>
      <c r="AOG5" s="279"/>
      <c r="AOH5" s="279"/>
      <c r="AOI5" s="279"/>
      <c r="AOJ5" s="279"/>
      <c r="AOK5" s="279"/>
      <c r="AOL5" s="279"/>
      <c r="AOM5" s="279"/>
      <c r="AON5" s="279"/>
      <c r="AOO5" s="279"/>
      <c r="AOP5" s="279"/>
      <c r="AOQ5" s="279"/>
      <c r="AOR5" s="279"/>
      <c r="AOS5" s="279"/>
      <c r="AOT5" s="279"/>
      <c r="AOU5" s="279"/>
      <c r="AOV5" s="279"/>
      <c r="AOW5" s="279"/>
      <c r="AOX5" s="279"/>
      <c r="AOY5" s="279"/>
      <c r="AOZ5" s="279"/>
      <c r="APA5" s="279"/>
      <c r="APB5" s="279"/>
      <c r="APC5" s="279"/>
      <c r="APD5" s="279"/>
      <c r="APE5" s="279"/>
      <c r="APF5" s="279"/>
      <c r="APG5" s="279"/>
      <c r="APH5" s="279"/>
      <c r="API5" s="279"/>
      <c r="APJ5" s="279"/>
      <c r="APK5" s="279"/>
      <c r="APL5" s="279"/>
      <c r="APM5" s="279"/>
      <c r="APN5" s="279"/>
      <c r="APO5" s="279"/>
      <c r="APP5" s="279"/>
      <c r="APQ5" s="279"/>
      <c r="APR5" s="279"/>
      <c r="APS5" s="279"/>
      <c r="APT5" s="279"/>
      <c r="APU5" s="279"/>
      <c r="APV5" s="279"/>
      <c r="APW5" s="279"/>
      <c r="APX5" s="279"/>
      <c r="APY5" s="279"/>
      <c r="APZ5" s="279"/>
      <c r="AQA5" s="279"/>
      <c r="AQB5" s="279"/>
      <c r="AQC5" s="279"/>
      <c r="AQD5" s="279"/>
      <c r="AQE5" s="279"/>
      <c r="AQF5" s="279"/>
      <c r="AQG5" s="279"/>
      <c r="AQH5" s="279"/>
      <c r="AQI5" s="279"/>
      <c r="AQJ5" s="279"/>
      <c r="AQK5" s="279"/>
      <c r="AQL5" s="279"/>
      <c r="AQM5" s="279"/>
      <c r="AQN5" s="279"/>
      <c r="AQO5" s="279"/>
      <c r="AQP5" s="279"/>
      <c r="AQQ5" s="279"/>
      <c r="AQR5" s="279"/>
      <c r="AQS5" s="279"/>
      <c r="AQT5" s="279"/>
      <c r="AQU5" s="279"/>
      <c r="AQV5" s="279"/>
      <c r="AQW5" s="279"/>
      <c r="AQX5" s="279"/>
      <c r="AQY5" s="279"/>
      <c r="AQZ5" s="279"/>
      <c r="ARA5" s="279"/>
      <c r="ARB5" s="279"/>
      <c r="ARC5" s="279"/>
      <c r="ARD5" s="279"/>
      <c r="ARE5" s="279"/>
      <c r="ARF5" s="279"/>
      <c r="ARG5" s="279"/>
      <c r="ARH5" s="279"/>
      <c r="ARI5" s="279"/>
      <c r="ARJ5" s="279"/>
      <c r="ARK5" s="279"/>
      <c r="ARL5" s="279"/>
      <c r="ARM5" s="279"/>
      <c r="ARN5" s="279"/>
      <c r="ARO5" s="279"/>
      <c r="ARP5" s="279"/>
      <c r="ARQ5" s="279"/>
      <c r="ARR5" s="279"/>
      <c r="ARS5" s="279"/>
      <c r="ART5" s="279"/>
      <c r="ARU5" s="279"/>
      <c r="ARV5" s="279"/>
      <c r="ARW5" s="279"/>
      <c r="ARX5" s="279"/>
      <c r="ARY5" s="279"/>
      <c r="ARZ5" s="279"/>
      <c r="ASA5" s="279"/>
      <c r="ASB5" s="279"/>
      <c r="ASC5" s="279"/>
      <c r="ASD5" s="279"/>
      <c r="ASE5" s="279"/>
      <c r="ASF5" s="279"/>
      <c r="ASG5" s="279"/>
      <c r="ASH5" s="279"/>
      <c r="ASI5" s="279"/>
      <c r="ASJ5" s="279"/>
      <c r="ASK5" s="279"/>
      <c r="ASL5" s="279"/>
      <c r="ASM5" s="279"/>
      <c r="ASN5" s="279"/>
      <c r="ASO5" s="279"/>
      <c r="ASP5" s="279"/>
      <c r="ASQ5" s="279"/>
      <c r="ASR5" s="279"/>
      <c r="ASS5" s="279"/>
      <c r="AST5" s="279"/>
      <c r="ASU5" s="279"/>
      <c r="ASV5" s="279"/>
      <c r="ASW5" s="279"/>
      <c r="ASX5" s="279"/>
      <c r="ASY5" s="279"/>
      <c r="ASZ5" s="279"/>
      <c r="ATA5" s="279"/>
      <c r="ATB5" s="279"/>
      <c r="ATC5" s="279"/>
      <c r="ATD5" s="279"/>
      <c r="ATE5" s="279"/>
      <c r="ATF5" s="279"/>
      <c r="ATG5" s="279"/>
      <c r="ATH5" s="279"/>
      <c r="ATI5" s="279"/>
      <c r="ATJ5" s="279"/>
      <c r="ATK5" s="279"/>
      <c r="ATL5" s="279"/>
      <c r="ATM5" s="279"/>
      <c r="ATN5" s="279"/>
      <c r="ATO5" s="279"/>
      <c r="ATP5" s="279"/>
      <c r="ATQ5" s="279"/>
      <c r="ATR5" s="279"/>
      <c r="ATS5" s="279"/>
      <c r="ATT5" s="279"/>
      <c r="ATU5" s="279"/>
      <c r="ATV5" s="279"/>
      <c r="ATW5" s="279"/>
      <c r="ATX5" s="279"/>
      <c r="ATY5" s="279"/>
      <c r="ATZ5" s="279"/>
      <c r="AUA5" s="279"/>
      <c r="AUB5" s="279"/>
      <c r="AUC5" s="279"/>
      <c r="AUD5" s="279"/>
      <c r="AUE5" s="279"/>
      <c r="AUF5" s="279"/>
      <c r="AUG5" s="279"/>
      <c r="AUH5" s="279"/>
      <c r="AUI5" s="279"/>
      <c r="AUJ5" s="279"/>
      <c r="AUK5" s="279"/>
      <c r="AUL5" s="279"/>
      <c r="AUM5" s="279"/>
      <c r="AUN5" s="279"/>
      <c r="AUO5" s="279"/>
      <c r="AUP5" s="279"/>
      <c r="AUQ5" s="279"/>
      <c r="AUR5" s="279"/>
      <c r="AUS5" s="279"/>
      <c r="AUT5" s="279"/>
      <c r="AUU5" s="279"/>
      <c r="AUV5" s="279"/>
      <c r="AUW5" s="279"/>
      <c r="AUX5" s="279"/>
      <c r="AUY5" s="279"/>
      <c r="AUZ5" s="279"/>
      <c r="AVA5" s="279"/>
      <c r="AVB5" s="279"/>
      <c r="AVC5" s="279"/>
      <c r="AVD5" s="279"/>
      <c r="AVE5" s="279"/>
      <c r="AVF5" s="279"/>
      <c r="AVG5" s="279"/>
      <c r="AVH5" s="279"/>
      <c r="AVI5" s="279"/>
      <c r="AVJ5" s="279"/>
      <c r="AVK5" s="279"/>
      <c r="AVL5" s="279"/>
      <c r="AVM5" s="279"/>
      <c r="AVN5" s="279"/>
      <c r="AVO5" s="279"/>
      <c r="AVP5" s="279"/>
      <c r="AVQ5" s="279"/>
      <c r="AVR5" s="279"/>
      <c r="AVS5" s="279"/>
      <c r="AVT5" s="279"/>
      <c r="AVU5" s="279"/>
      <c r="AVV5" s="279"/>
      <c r="AVW5" s="279"/>
      <c r="AVX5" s="279"/>
      <c r="AVY5" s="279"/>
      <c r="AVZ5" s="279"/>
      <c r="AWA5" s="279"/>
      <c r="AWB5" s="279"/>
      <c r="AWC5" s="279"/>
      <c r="AWD5" s="279"/>
      <c r="AWE5" s="279"/>
      <c r="AWF5" s="279"/>
      <c r="AWG5" s="279"/>
      <c r="AWH5" s="279"/>
      <c r="AWI5" s="279"/>
      <c r="AWJ5" s="279"/>
      <c r="AWK5" s="279"/>
      <c r="AWL5" s="279"/>
      <c r="AWM5" s="279"/>
      <c r="AWN5" s="279"/>
      <c r="AWO5" s="279"/>
      <c r="AWP5" s="279"/>
      <c r="AWQ5" s="279"/>
      <c r="AWR5" s="279"/>
      <c r="AWS5" s="279"/>
      <c r="AWT5" s="279"/>
      <c r="AWU5" s="279"/>
      <c r="AWV5" s="279"/>
      <c r="AWW5" s="279"/>
      <c r="AWX5" s="279"/>
      <c r="AWY5" s="279"/>
      <c r="AWZ5" s="279"/>
      <c r="AXA5" s="279"/>
      <c r="AXB5" s="279"/>
      <c r="AXC5" s="279"/>
      <c r="AXD5" s="279"/>
      <c r="AXE5" s="279"/>
      <c r="AXF5" s="279"/>
      <c r="AXG5" s="279"/>
      <c r="AXH5" s="279"/>
      <c r="AXI5" s="279"/>
      <c r="AXJ5" s="279"/>
      <c r="AXK5" s="279"/>
      <c r="AXL5" s="279"/>
      <c r="AXM5" s="279"/>
      <c r="AXN5" s="279"/>
      <c r="AXO5" s="279"/>
      <c r="AXP5" s="279"/>
      <c r="AXQ5" s="279"/>
      <c r="AXR5" s="279"/>
      <c r="AXS5" s="279"/>
      <c r="AXT5" s="279"/>
      <c r="AXU5" s="279"/>
      <c r="AXV5" s="279"/>
      <c r="AXW5" s="279"/>
      <c r="AXX5" s="279"/>
      <c r="AXY5" s="279"/>
      <c r="AXZ5" s="279"/>
      <c r="AYA5" s="279"/>
      <c r="AYB5" s="279"/>
      <c r="AYC5" s="279"/>
      <c r="AYD5" s="279"/>
      <c r="AYE5" s="279"/>
      <c r="AYF5" s="279"/>
      <c r="AYG5" s="279"/>
      <c r="AYH5" s="279"/>
      <c r="AYI5" s="279"/>
      <c r="AYJ5" s="279"/>
      <c r="AYK5" s="279"/>
      <c r="AYL5" s="279"/>
      <c r="AYM5" s="279"/>
      <c r="AYN5" s="279"/>
      <c r="AYO5" s="279"/>
      <c r="AYP5" s="279"/>
      <c r="AYQ5" s="279"/>
      <c r="AYR5" s="279"/>
      <c r="AYS5" s="279"/>
      <c r="AYT5" s="279"/>
      <c r="AYU5" s="279"/>
      <c r="AYV5" s="279"/>
      <c r="AYW5" s="279"/>
      <c r="AYX5" s="279"/>
      <c r="AYY5" s="279"/>
      <c r="AYZ5" s="279"/>
      <c r="AZA5" s="279"/>
      <c r="AZB5" s="279"/>
      <c r="AZC5" s="279"/>
      <c r="AZD5" s="279"/>
      <c r="AZE5" s="279"/>
      <c r="AZF5" s="279"/>
      <c r="AZG5" s="279"/>
      <c r="AZH5" s="279"/>
      <c r="AZI5" s="279"/>
      <c r="AZJ5" s="279"/>
      <c r="AZK5" s="279"/>
      <c r="AZL5" s="279"/>
      <c r="AZM5" s="279"/>
      <c r="AZN5" s="279"/>
      <c r="AZO5" s="279"/>
      <c r="AZP5" s="279"/>
      <c r="AZQ5" s="279"/>
      <c r="AZR5" s="279"/>
      <c r="AZS5" s="279"/>
      <c r="AZT5" s="279"/>
      <c r="AZU5" s="279"/>
      <c r="AZV5" s="279"/>
      <c r="AZW5" s="279"/>
      <c r="AZX5" s="279"/>
      <c r="AZY5" s="279"/>
      <c r="AZZ5" s="279"/>
      <c r="BAA5" s="279"/>
      <c r="BAB5" s="279"/>
      <c r="BAC5" s="279"/>
      <c r="BAD5" s="279"/>
      <c r="BAE5" s="279"/>
      <c r="BAF5" s="279"/>
      <c r="BAG5" s="279"/>
      <c r="BAH5" s="279"/>
      <c r="BAI5" s="279"/>
      <c r="BAJ5" s="279"/>
      <c r="BAK5" s="279"/>
      <c r="BAL5" s="279"/>
      <c r="BAM5" s="279"/>
      <c r="BAN5" s="279"/>
      <c r="BAO5" s="279"/>
      <c r="BAP5" s="279"/>
      <c r="BAQ5" s="279"/>
      <c r="BAR5" s="279"/>
      <c r="BAS5" s="279"/>
      <c r="BAT5" s="279"/>
      <c r="BAU5" s="279"/>
      <c r="BAV5" s="279"/>
      <c r="BAW5" s="279"/>
      <c r="BAX5" s="279"/>
      <c r="BAY5" s="279"/>
      <c r="BAZ5" s="279"/>
      <c r="BBA5" s="279"/>
      <c r="BBB5" s="279"/>
      <c r="BBC5" s="279"/>
      <c r="BBD5" s="279"/>
      <c r="BBE5" s="279"/>
      <c r="BBF5" s="279"/>
      <c r="BBG5" s="279"/>
      <c r="BBH5" s="279"/>
      <c r="BBI5" s="279"/>
      <c r="BBJ5" s="279"/>
      <c r="BBK5" s="279"/>
      <c r="BBL5" s="279"/>
      <c r="BBM5" s="279"/>
      <c r="BBN5" s="279"/>
      <c r="BBO5" s="279"/>
      <c r="BBP5" s="279"/>
      <c r="BBQ5" s="279"/>
      <c r="BBR5" s="279"/>
      <c r="BBS5" s="279"/>
      <c r="BBT5" s="279"/>
      <c r="BBU5" s="279"/>
      <c r="BBV5" s="279"/>
      <c r="BBW5" s="279"/>
      <c r="BBX5" s="279"/>
      <c r="BBY5" s="279"/>
      <c r="BBZ5" s="279"/>
      <c r="BCA5" s="279"/>
      <c r="BCB5" s="279"/>
      <c r="BCC5" s="279"/>
      <c r="BCD5" s="279"/>
      <c r="BCE5" s="279"/>
      <c r="BCF5" s="279"/>
      <c r="BCG5" s="279"/>
      <c r="BCH5" s="279"/>
      <c r="BCI5" s="279"/>
      <c r="BCJ5" s="279"/>
      <c r="BCK5" s="279"/>
      <c r="BCL5" s="279"/>
      <c r="BCM5" s="279"/>
      <c r="BCN5" s="279"/>
      <c r="BCO5" s="279"/>
      <c r="BCP5" s="279"/>
      <c r="BCQ5" s="279"/>
      <c r="BCR5" s="279"/>
      <c r="BCS5" s="279"/>
      <c r="BCT5" s="279"/>
      <c r="BCU5" s="279"/>
      <c r="BCV5" s="279"/>
      <c r="BCW5" s="279"/>
      <c r="BCX5" s="279"/>
      <c r="BCY5" s="279"/>
      <c r="BCZ5" s="279"/>
      <c r="BDA5" s="279"/>
      <c r="BDB5" s="279"/>
      <c r="BDC5" s="279"/>
      <c r="BDD5" s="279"/>
      <c r="BDE5" s="279"/>
      <c r="BDF5" s="279"/>
      <c r="BDG5" s="279"/>
      <c r="BDH5" s="279"/>
      <c r="BDI5" s="279"/>
      <c r="BDJ5" s="279"/>
      <c r="BDK5" s="279"/>
      <c r="BDL5" s="279"/>
      <c r="BDM5" s="279"/>
      <c r="BDN5" s="279"/>
      <c r="BDO5" s="279"/>
      <c r="BDP5" s="279"/>
      <c r="BDQ5" s="279"/>
      <c r="BDR5" s="279"/>
      <c r="BDS5" s="279"/>
      <c r="BDT5" s="279"/>
      <c r="BDU5" s="279"/>
      <c r="BDV5" s="279"/>
      <c r="BDW5" s="279"/>
      <c r="BDX5" s="279"/>
      <c r="BDY5" s="279"/>
      <c r="BDZ5" s="279"/>
      <c r="BEA5" s="279"/>
      <c r="BEB5" s="279"/>
      <c r="BEC5" s="279"/>
      <c r="BED5" s="279"/>
      <c r="BEE5" s="279"/>
      <c r="BEF5" s="279"/>
      <c r="BEG5" s="279"/>
      <c r="BEH5" s="279"/>
      <c r="BEI5" s="279"/>
      <c r="BEJ5" s="279"/>
      <c r="BEK5" s="279"/>
      <c r="BEL5" s="279"/>
      <c r="BEM5" s="279"/>
      <c r="BEN5" s="279"/>
      <c r="BEO5" s="279"/>
      <c r="BEP5" s="279"/>
      <c r="BEQ5" s="279"/>
      <c r="BER5" s="279"/>
      <c r="BES5" s="279"/>
      <c r="BET5" s="279"/>
      <c r="BEU5" s="279"/>
      <c r="BEV5" s="279"/>
      <c r="BEW5" s="279"/>
      <c r="BEX5" s="279"/>
      <c r="BEY5" s="279"/>
      <c r="BEZ5" s="279"/>
      <c r="BFA5" s="279"/>
      <c r="BFB5" s="279"/>
      <c r="BFC5" s="279"/>
      <c r="BFD5" s="279"/>
      <c r="BFE5" s="279"/>
      <c r="BFF5" s="279"/>
      <c r="BFG5" s="279"/>
      <c r="BFH5" s="279"/>
      <c r="BFI5" s="279"/>
      <c r="BFJ5" s="279"/>
      <c r="BFK5" s="279"/>
      <c r="BFL5" s="279"/>
      <c r="BFM5" s="279"/>
      <c r="BFN5" s="279"/>
      <c r="BFO5" s="279"/>
      <c r="BFP5" s="279"/>
      <c r="BFQ5" s="279"/>
      <c r="BFR5" s="279"/>
      <c r="BFS5" s="279"/>
      <c r="BFT5" s="279"/>
      <c r="BFU5" s="279"/>
      <c r="BFV5" s="279"/>
      <c r="BFW5" s="279"/>
      <c r="BFX5" s="279"/>
      <c r="BFY5" s="279"/>
      <c r="BFZ5" s="279"/>
      <c r="BGA5" s="279"/>
      <c r="BGB5" s="279"/>
      <c r="BGC5" s="279"/>
      <c r="BGD5" s="279"/>
      <c r="BGE5" s="279"/>
      <c r="BGF5" s="279"/>
      <c r="BGG5" s="279"/>
      <c r="BGH5" s="279"/>
      <c r="BGI5" s="279"/>
      <c r="BGJ5" s="279"/>
      <c r="BGK5" s="279"/>
      <c r="BGL5" s="279"/>
      <c r="BGM5" s="279"/>
      <c r="BGN5" s="279"/>
      <c r="BGO5" s="279"/>
      <c r="BGP5" s="279"/>
      <c r="BGQ5" s="279"/>
      <c r="BGR5" s="279"/>
      <c r="BGS5" s="279"/>
      <c r="BGT5" s="279"/>
      <c r="BGU5" s="279"/>
      <c r="BGV5" s="279"/>
      <c r="BGW5" s="279"/>
      <c r="BGX5" s="279"/>
      <c r="BGY5" s="279"/>
      <c r="BGZ5" s="279"/>
      <c r="BHA5" s="279"/>
      <c r="BHB5" s="279"/>
      <c r="BHC5" s="279"/>
      <c r="BHD5" s="279"/>
      <c r="BHE5" s="279"/>
      <c r="BHF5" s="279"/>
      <c r="BHG5" s="279"/>
      <c r="BHH5" s="279"/>
      <c r="BHI5" s="279"/>
      <c r="BHJ5" s="279"/>
      <c r="BHK5" s="279"/>
      <c r="BHL5" s="279"/>
      <c r="BHM5" s="279"/>
      <c r="BHN5" s="279"/>
      <c r="BHO5" s="279"/>
      <c r="BHP5" s="279"/>
      <c r="BHQ5" s="279"/>
      <c r="BHR5" s="279"/>
      <c r="BHS5" s="279"/>
      <c r="BHT5" s="279"/>
      <c r="BHU5" s="279"/>
      <c r="BHV5" s="279"/>
      <c r="BHW5" s="279"/>
      <c r="BHX5" s="279"/>
      <c r="BHY5" s="279"/>
      <c r="BHZ5" s="279"/>
      <c r="BIA5" s="279"/>
      <c r="BIB5" s="279"/>
      <c r="BIC5" s="279"/>
      <c r="BID5" s="279"/>
      <c r="BIE5" s="279"/>
      <c r="BIF5" s="279"/>
      <c r="BIG5" s="279"/>
      <c r="BIH5" s="279"/>
      <c r="BII5" s="279"/>
      <c r="BIJ5" s="279"/>
      <c r="BIK5" s="279"/>
      <c r="BIL5" s="279"/>
      <c r="BIM5" s="279"/>
      <c r="BIN5" s="279"/>
      <c r="BIO5" s="279"/>
      <c r="BIP5" s="279"/>
      <c r="BIQ5" s="279"/>
      <c r="BIR5" s="279"/>
      <c r="BIS5" s="279"/>
      <c r="BIT5" s="279"/>
      <c r="BIU5" s="279"/>
      <c r="BIV5" s="279"/>
      <c r="BIW5" s="279"/>
      <c r="BIX5" s="279"/>
      <c r="BIY5" s="279"/>
      <c r="BIZ5" s="279"/>
      <c r="BJA5" s="279"/>
      <c r="BJB5" s="279"/>
      <c r="BJC5" s="279"/>
      <c r="BJD5" s="279"/>
      <c r="BJE5" s="279"/>
      <c r="BJF5" s="279"/>
      <c r="BJG5" s="279"/>
      <c r="BJH5" s="279"/>
      <c r="BJI5" s="279"/>
      <c r="BJJ5" s="279"/>
      <c r="BJK5" s="279"/>
      <c r="BJL5" s="279"/>
      <c r="BJM5" s="279"/>
      <c r="BJN5" s="279"/>
      <c r="BJO5" s="279"/>
      <c r="BJP5" s="279"/>
      <c r="BJQ5" s="279"/>
      <c r="BJR5" s="279"/>
      <c r="BJS5" s="279"/>
      <c r="BJT5" s="279"/>
      <c r="BJU5" s="279"/>
      <c r="BJV5" s="279"/>
      <c r="BJW5" s="279"/>
      <c r="BJX5" s="279"/>
      <c r="BJY5" s="279"/>
      <c r="BJZ5" s="279"/>
      <c r="BKA5" s="279"/>
      <c r="BKB5" s="279"/>
      <c r="BKC5" s="279"/>
      <c r="BKD5" s="279"/>
      <c r="BKE5" s="279"/>
      <c r="BKF5" s="279"/>
      <c r="BKG5" s="279"/>
      <c r="BKH5" s="279"/>
      <c r="BKI5" s="279"/>
      <c r="BKJ5" s="279"/>
      <c r="BKK5" s="279"/>
      <c r="BKL5" s="279"/>
      <c r="BKM5" s="279"/>
      <c r="BKN5" s="279"/>
      <c r="BKO5" s="279"/>
      <c r="BKP5" s="279"/>
      <c r="BKQ5" s="279"/>
      <c r="BKR5" s="279"/>
      <c r="BKS5" s="279"/>
      <c r="BKT5" s="279"/>
      <c r="BKU5" s="279"/>
      <c r="BKV5" s="279"/>
      <c r="BKW5" s="279"/>
      <c r="BKX5" s="279"/>
      <c r="BKY5" s="279"/>
      <c r="BKZ5" s="279"/>
      <c r="BLA5" s="279"/>
      <c r="BLB5" s="279"/>
      <c r="BLC5" s="279"/>
      <c r="BLD5" s="279"/>
      <c r="BLE5" s="279"/>
      <c r="BLF5" s="279"/>
      <c r="BLG5" s="279"/>
      <c r="BLH5" s="279"/>
      <c r="BLI5" s="279"/>
      <c r="BLJ5" s="279"/>
      <c r="BLK5" s="279"/>
      <c r="BLL5" s="279"/>
      <c r="BLM5" s="279"/>
      <c r="BLN5" s="279"/>
      <c r="BLO5" s="279"/>
      <c r="BLP5" s="279"/>
      <c r="BLQ5" s="279"/>
      <c r="BLR5" s="279"/>
      <c r="BLS5" s="279"/>
      <c r="BLT5" s="279"/>
      <c r="BLU5" s="279"/>
      <c r="BLV5" s="279"/>
      <c r="BLW5" s="279"/>
      <c r="BLX5" s="279"/>
      <c r="BLY5" s="279"/>
      <c r="BLZ5" s="279"/>
      <c r="BMA5" s="279"/>
      <c r="BMB5" s="279"/>
      <c r="BMC5" s="279"/>
      <c r="BMD5" s="279"/>
      <c r="BME5" s="279"/>
      <c r="BMF5" s="279"/>
      <c r="BMG5" s="279"/>
      <c r="BMH5" s="279"/>
      <c r="BMI5" s="279"/>
      <c r="BMJ5" s="279"/>
      <c r="BMK5" s="279"/>
      <c r="BML5" s="279"/>
      <c r="BMM5" s="279"/>
      <c r="BMN5" s="279"/>
      <c r="BMO5" s="279"/>
      <c r="BMP5" s="279"/>
      <c r="BMQ5" s="279"/>
      <c r="BMR5" s="279"/>
      <c r="BMS5" s="279"/>
      <c r="BMT5" s="279"/>
      <c r="BMU5" s="279"/>
      <c r="BMV5" s="279"/>
      <c r="BMW5" s="279"/>
      <c r="BMX5" s="279"/>
      <c r="BMY5" s="279"/>
      <c r="BMZ5" s="279"/>
      <c r="BNA5" s="279"/>
      <c r="BNB5" s="279"/>
      <c r="BNC5" s="279"/>
      <c r="BND5" s="279"/>
      <c r="BNE5" s="279"/>
      <c r="BNF5" s="279"/>
      <c r="BNG5" s="279"/>
      <c r="BNH5" s="279"/>
      <c r="BNI5" s="279"/>
      <c r="BNJ5" s="279"/>
      <c r="BNK5" s="279"/>
      <c r="BNL5" s="279"/>
      <c r="BNM5" s="279"/>
      <c r="BNN5" s="279"/>
      <c r="BNO5" s="279"/>
      <c r="BNP5" s="279"/>
      <c r="BNQ5" s="279"/>
      <c r="BNR5" s="279"/>
      <c r="BNS5" s="279"/>
      <c r="BNT5" s="279"/>
      <c r="BNU5" s="279"/>
      <c r="BNV5" s="279"/>
      <c r="BNW5" s="279"/>
      <c r="BNX5" s="279"/>
      <c r="BNY5" s="279"/>
      <c r="BNZ5" s="279"/>
      <c r="BOA5" s="279"/>
      <c r="BOB5" s="279"/>
      <c r="BOC5" s="279"/>
      <c r="BOD5" s="279"/>
      <c r="BOE5" s="279"/>
      <c r="BOF5" s="279"/>
      <c r="BOG5" s="279"/>
      <c r="BOH5" s="279"/>
      <c r="BOI5" s="279"/>
      <c r="BOJ5" s="279"/>
      <c r="BOK5" s="279"/>
      <c r="BOL5" s="279"/>
      <c r="BOM5" s="279"/>
      <c r="BON5" s="279"/>
      <c r="BOO5" s="279"/>
      <c r="BOP5" s="279"/>
      <c r="BOQ5" s="279"/>
      <c r="BOR5" s="279"/>
      <c r="BOS5" s="279"/>
      <c r="BOT5" s="279"/>
      <c r="BOU5" s="279"/>
      <c r="BOV5" s="279"/>
      <c r="BOW5" s="279"/>
      <c r="BOX5" s="279"/>
      <c r="BOY5" s="279"/>
      <c r="BOZ5" s="279"/>
      <c r="BPA5" s="279"/>
      <c r="BPB5" s="279"/>
      <c r="BPC5" s="279"/>
      <c r="BPD5" s="279"/>
      <c r="BPE5" s="279"/>
      <c r="BPF5" s="279"/>
      <c r="BPG5" s="279"/>
      <c r="BPH5" s="279"/>
      <c r="BPI5" s="279"/>
      <c r="BPJ5" s="279"/>
      <c r="BPK5" s="279"/>
      <c r="BPL5" s="279"/>
      <c r="BPM5" s="279"/>
      <c r="BPN5" s="279"/>
      <c r="BPO5" s="279"/>
      <c r="BPP5" s="279"/>
      <c r="BPQ5" s="279"/>
      <c r="BPR5" s="279"/>
      <c r="BPS5" s="279"/>
      <c r="BPT5" s="279"/>
      <c r="BPU5" s="279"/>
      <c r="BPV5" s="279"/>
      <c r="BPW5" s="279"/>
      <c r="BPX5" s="279"/>
      <c r="BPY5" s="279"/>
      <c r="BPZ5" s="279"/>
      <c r="BQA5" s="279"/>
      <c r="BQB5" s="279"/>
      <c r="BQC5" s="279"/>
      <c r="BQD5" s="279"/>
      <c r="BQE5" s="279"/>
      <c r="BQF5" s="279"/>
      <c r="BQG5" s="279"/>
      <c r="BQH5" s="279"/>
      <c r="BQI5" s="279"/>
      <c r="BQJ5" s="279"/>
      <c r="BQK5" s="279"/>
      <c r="BQL5" s="279"/>
      <c r="BQM5" s="279"/>
      <c r="BQN5" s="279"/>
      <c r="BQO5" s="279"/>
      <c r="BQP5" s="279"/>
      <c r="BQQ5" s="279"/>
      <c r="BQR5" s="279"/>
      <c r="BQS5" s="279"/>
      <c r="BQT5" s="279"/>
      <c r="BQU5" s="279"/>
      <c r="BQV5" s="279"/>
      <c r="BQW5" s="279"/>
      <c r="BQX5" s="279"/>
      <c r="BQY5" s="279"/>
      <c r="BQZ5" s="279"/>
      <c r="BRA5" s="279"/>
      <c r="BRB5" s="279"/>
      <c r="BRC5" s="279"/>
      <c r="BRD5" s="279"/>
      <c r="BRE5" s="279"/>
      <c r="BRF5" s="279"/>
      <c r="BRG5" s="279"/>
      <c r="BRH5" s="279"/>
      <c r="BRI5" s="279"/>
      <c r="BRJ5" s="279"/>
      <c r="BRK5" s="279"/>
      <c r="BRL5" s="279"/>
      <c r="BRM5" s="279"/>
      <c r="BRN5" s="279"/>
      <c r="BRO5" s="279"/>
      <c r="BRP5" s="279"/>
      <c r="BRQ5" s="279"/>
      <c r="BRR5" s="279"/>
      <c r="BRS5" s="279"/>
      <c r="BRT5" s="279"/>
      <c r="BRU5" s="279"/>
      <c r="BRV5" s="279"/>
      <c r="BRW5" s="279"/>
      <c r="BRX5" s="279"/>
      <c r="BRY5" s="279"/>
      <c r="BRZ5" s="279"/>
      <c r="BSA5" s="279"/>
      <c r="BSB5" s="279"/>
      <c r="BSC5" s="279"/>
      <c r="BSD5" s="279"/>
      <c r="BSE5" s="279"/>
      <c r="BSF5" s="279"/>
      <c r="BSG5" s="279"/>
      <c r="BSH5" s="279"/>
      <c r="BSI5" s="279"/>
      <c r="BSJ5" s="279"/>
      <c r="BSK5" s="279"/>
      <c r="BSL5" s="279"/>
      <c r="BSM5" s="279"/>
      <c r="BSN5" s="279"/>
      <c r="BSO5" s="279"/>
      <c r="BSP5" s="279"/>
      <c r="BSQ5" s="279"/>
      <c r="BSR5" s="279"/>
      <c r="BSS5" s="279"/>
      <c r="BST5" s="279"/>
      <c r="BSU5" s="279"/>
      <c r="BSV5" s="279"/>
      <c r="BSW5" s="279"/>
      <c r="BSX5" s="279"/>
      <c r="BSY5" s="279"/>
      <c r="BSZ5" s="279"/>
      <c r="BTA5" s="279"/>
      <c r="BTB5" s="279"/>
      <c r="BTC5" s="279"/>
      <c r="BTD5" s="279"/>
      <c r="BTE5" s="279"/>
      <c r="BTF5" s="279"/>
      <c r="BTG5" s="279"/>
      <c r="BTH5" s="279"/>
      <c r="BTI5" s="279"/>
      <c r="BTJ5" s="279"/>
      <c r="BTK5" s="279"/>
      <c r="BTL5" s="279"/>
      <c r="BTM5" s="279"/>
      <c r="BTN5" s="279"/>
      <c r="BTO5" s="279"/>
      <c r="BTP5" s="279"/>
      <c r="BTQ5" s="279"/>
      <c r="BTR5" s="279"/>
      <c r="BTS5" s="279"/>
      <c r="BTT5" s="279"/>
      <c r="BTU5" s="279"/>
      <c r="BTV5" s="279"/>
      <c r="BTW5" s="279"/>
      <c r="BTX5" s="279"/>
      <c r="BTY5" s="279"/>
      <c r="BTZ5" s="279"/>
      <c r="BUA5" s="279"/>
      <c r="BUB5" s="279"/>
      <c r="BUC5" s="279"/>
      <c r="BUD5" s="279"/>
      <c r="BUE5" s="279"/>
      <c r="BUF5" s="279"/>
      <c r="BUG5" s="279"/>
      <c r="BUH5" s="279"/>
      <c r="BUI5" s="279"/>
      <c r="BUJ5" s="279"/>
      <c r="BUK5" s="279"/>
      <c r="BUL5" s="279"/>
      <c r="BUM5" s="279"/>
      <c r="BUN5" s="279"/>
      <c r="BUO5" s="279"/>
      <c r="BUP5" s="279"/>
      <c r="BUQ5" s="279"/>
      <c r="BUR5" s="279"/>
      <c r="BUS5" s="279"/>
      <c r="BUT5" s="279"/>
      <c r="BUU5" s="279"/>
      <c r="BUV5" s="279"/>
      <c r="BUW5" s="279"/>
      <c r="BUX5" s="279"/>
      <c r="BUY5" s="279"/>
      <c r="BUZ5" s="279"/>
      <c r="BVA5" s="279"/>
      <c r="BVB5" s="279"/>
      <c r="BVC5" s="279"/>
      <c r="BVD5" s="279"/>
      <c r="BVE5" s="279"/>
      <c r="BVF5" s="279"/>
      <c r="BVG5" s="279"/>
      <c r="BVH5" s="279"/>
      <c r="BVI5" s="279"/>
      <c r="BVJ5" s="279"/>
      <c r="BVK5" s="279"/>
      <c r="BVL5" s="279"/>
      <c r="BVM5" s="279"/>
      <c r="BVN5" s="279"/>
      <c r="BVO5" s="279"/>
      <c r="BVP5" s="279"/>
      <c r="BVQ5" s="279"/>
      <c r="BVR5" s="279"/>
      <c r="BVS5" s="279"/>
      <c r="BVT5" s="279"/>
      <c r="BVU5" s="279"/>
      <c r="BVV5" s="279"/>
      <c r="BVW5" s="279"/>
      <c r="BVX5" s="279"/>
      <c r="BVY5" s="279"/>
      <c r="BVZ5" s="279"/>
      <c r="BWA5" s="279"/>
      <c r="BWB5" s="279"/>
      <c r="BWC5" s="279"/>
      <c r="BWD5" s="279"/>
      <c r="BWE5" s="279"/>
      <c r="BWF5" s="279"/>
      <c r="BWG5" s="279"/>
      <c r="BWH5" s="279"/>
      <c r="BWI5" s="279"/>
      <c r="BWJ5" s="279"/>
      <c r="BWK5" s="279"/>
      <c r="BWL5" s="279"/>
      <c r="BWM5" s="279"/>
      <c r="BWN5" s="279"/>
      <c r="BWO5" s="279"/>
      <c r="BWP5" s="279"/>
      <c r="BWQ5" s="279"/>
      <c r="BWR5" s="279"/>
      <c r="BWS5" s="279"/>
      <c r="BWT5" s="279"/>
      <c r="BWU5" s="279"/>
      <c r="BWV5" s="279"/>
      <c r="BWW5" s="279"/>
      <c r="BWX5" s="279"/>
      <c r="BWY5" s="279"/>
      <c r="BWZ5" s="279"/>
      <c r="BXA5" s="279"/>
      <c r="BXB5" s="279"/>
      <c r="BXC5" s="279"/>
      <c r="BXD5" s="279"/>
      <c r="BXE5" s="279"/>
      <c r="BXF5" s="279"/>
      <c r="BXG5" s="279"/>
      <c r="BXH5" s="279"/>
      <c r="BXI5" s="279"/>
      <c r="BXJ5" s="279"/>
      <c r="BXK5" s="279"/>
      <c r="BXL5" s="279"/>
      <c r="BXM5" s="279"/>
      <c r="BXN5" s="279"/>
      <c r="BXO5" s="279"/>
      <c r="BXP5" s="279"/>
      <c r="BXQ5" s="279"/>
      <c r="BXR5" s="279"/>
      <c r="BXS5" s="279"/>
      <c r="BXT5" s="279"/>
      <c r="BXU5" s="279"/>
      <c r="BXV5" s="279"/>
      <c r="BXW5" s="279"/>
      <c r="BXX5" s="279"/>
      <c r="BXY5" s="279"/>
      <c r="BXZ5" s="279"/>
      <c r="BYA5" s="279"/>
      <c r="BYB5" s="279"/>
      <c r="BYC5" s="279"/>
      <c r="BYD5" s="279"/>
      <c r="BYE5" s="279"/>
      <c r="BYF5" s="279"/>
      <c r="BYG5" s="279"/>
      <c r="BYH5" s="279"/>
      <c r="BYI5" s="279"/>
      <c r="BYJ5" s="279"/>
      <c r="BYK5" s="279"/>
      <c r="BYL5" s="279"/>
      <c r="BYM5" s="279"/>
      <c r="BYN5" s="279"/>
      <c r="BYO5" s="279"/>
      <c r="BYP5" s="279"/>
      <c r="BYQ5" s="279"/>
      <c r="BYR5" s="279"/>
      <c r="BYS5" s="279"/>
      <c r="BYT5" s="279"/>
      <c r="BYU5" s="279"/>
      <c r="BYV5" s="279"/>
      <c r="BYW5" s="279"/>
      <c r="BYX5" s="279"/>
      <c r="BYY5" s="279"/>
      <c r="BYZ5" s="279"/>
      <c r="BZA5" s="279"/>
      <c r="BZB5" s="279"/>
      <c r="BZC5" s="279"/>
      <c r="BZD5" s="279"/>
      <c r="BZE5" s="279"/>
      <c r="BZF5" s="279"/>
      <c r="BZG5" s="279"/>
      <c r="BZH5" s="279"/>
      <c r="BZI5" s="279"/>
      <c r="BZJ5" s="279"/>
      <c r="BZK5" s="279"/>
      <c r="BZL5" s="279"/>
      <c r="BZM5" s="279"/>
      <c r="BZN5" s="279"/>
      <c r="BZO5" s="279"/>
      <c r="BZP5" s="279"/>
      <c r="BZQ5" s="279"/>
      <c r="BZR5" s="279"/>
      <c r="BZS5" s="279"/>
      <c r="BZT5" s="279"/>
      <c r="BZU5" s="279"/>
      <c r="BZV5" s="279"/>
      <c r="BZW5" s="279"/>
      <c r="BZX5" s="279"/>
      <c r="BZY5" s="279"/>
      <c r="BZZ5" s="279"/>
      <c r="CAA5" s="279"/>
      <c r="CAB5" s="279"/>
      <c r="CAC5" s="279"/>
      <c r="CAD5" s="279"/>
      <c r="CAE5" s="279"/>
      <c r="CAF5" s="279"/>
      <c r="CAG5" s="279"/>
      <c r="CAH5" s="279"/>
      <c r="CAI5" s="279"/>
      <c r="CAJ5" s="279"/>
      <c r="CAK5" s="279"/>
      <c r="CAL5" s="279"/>
      <c r="CAM5" s="279"/>
      <c r="CAN5" s="279"/>
      <c r="CAO5" s="279"/>
      <c r="CAP5" s="279"/>
      <c r="CAQ5" s="279"/>
      <c r="CAR5" s="279"/>
      <c r="CAS5" s="279"/>
      <c r="CAT5" s="279"/>
      <c r="CAU5" s="279"/>
      <c r="CAV5" s="279"/>
      <c r="CAW5" s="279"/>
      <c r="CAX5" s="279"/>
      <c r="CAY5" s="279"/>
      <c r="CAZ5" s="279"/>
      <c r="CBA5" s="279"/>
      <c r="CBB5" s="279"/>
      <c r="CBC5" s="279"/>
      <c r="CBD5" s="279"/>
      <c r="CBE5" s="279"/>
      <c r="CBF5" s="279"/>
      <c r="CBG5" s="279"/>
      <c r="CBH5" s="279"/>
      <c r="CBI5" s="279"/>
      <c r="CBJ5" s="279"/>
      <c r="CBK5" s="279"/>
      <c r="CBL5" s="279"/>
      <c r="CBM5" s="279"/>
      <c r="CBN5" s="279"/>
      <c r="CBO5" s="279"/>
      <c r="CBP5" s="279"/>
      <c r="CBQ5" s="279"/>
      <c r="CBR5" s="279"/>
      <c r="CBS5" s="279"/>
      <c r="CBT5" s="279"/>
      <c r="CBU5" s="279"/>
      <c r="CBV5" s="279"/>
      <c r="CBW5" s="279"/>
      <c r="CBX5" s="279"/>
      <c r="CBY5" s="279"/>
      <c r="CBZ5" s="279"/>
      <c r="CCA5" s="279"/>
      <c r="CCB5" s="279"/>
      <c r="CCC5" s="279"/>
      <c r="CCD5" s="279"/>
      <c r="CCE5" s="279"/>
      <c r="CCF5" s="279"/>
      <c r="CCG5" s="279"/>
      <c r="CCH5" s="279"/>
      <c r="CCI5" s="279"/>
      <c r="CCJ5" s="279"/>
      <c r="CCK5" s="279"/>
      <c r="CCL5" s="279"/>
      <c r="CCM5" s="279"/>
      <c r="CCN5" s="279"/>
      <c r="CCO5" s="279"/>
      <c r="CCP5" s="279"/>
      <c r="CCQ5" s="279"/>
      <c r="CCR5" s="279"/>
      <c r="CCS5" s="279"/>
      <c r="CCT5" s="279"/>
      <c r="CCU5" s="279"/>
      <c r="CCV5" s="279"/>
      <c r="CCW5" s="279"/>
      <c r="CCX5" s="279"/>
      <c r="CCY5" s="279"/>
      <c r="CCZ5" s="279"/>
      <c r="CDA5" s="279"/>
      <c r="CDB5" s="279"/>
      <c r="CDC5" s="279"/>
      <c r="CDD5" s="279"/>
      <c r="CDE5" s="279"/>
      <c r="CDF5" s="279"/>
      <c r="CDG5" s="279"/>
      <c r="CDH5" s="279"/>
      <c r="CDI5" s="279"/>
      <c r="CDJ5" s="279"/>
      <c r="CDK5" s="279"/>
      <c r="CDL5" s="279"/>
      <c r="CDM5" s="279"/>
      <c r="CDN5" s="279"/>
      <c r="CDO5" s="279"/>
      <c r="CDP5" s="279"/>
      <c r="CDQ5" s="279"/>
      <c r="CDR5" s="279"/>
      <c r="CDS5" s="279"/>
      <c r="CDT5" s="279"/>
      <c r="CDU5" s="279"/>
      <c r="CDV5" s="279"/>
      <c r="CDW5" s="279"/>
      <c r="CDX5" s="279"/>
      <c r="CDY5" s="279"/>
      <c r="CDZ5" s="279"/>
      <c r="CEA5" s="279"/>
      <c r="CEB5" s="279"/>
      <c r="CEC5" s="279"/>
      <c r="CED5" s="279"/>
      <c r="CEE5" s="279"/>
      <c r="CEF5" s="279"/>
      <c r="CEG5" s="279"/>
      <c r="CEH5" s="279"/>
      <c r="CEI5" s="279"/>
      <c r="CEJ5" s="279"/>
      <c r="CEK5" s="279"/>
      <c r="CEL5" s="279"/>
      <c r="CEM5" s="279"/>
      <c r="CEN5" s="279"/>
      <c r="CEO5" s="279"/>
      <c r="CEP5" s="279"/>
      <c r="CEQ5" s="279"/>
      <c r="CER5" s="279"/>
      <c r="CES5" s="279"/>
      <c r="CET5" s="279"/>
      <c r="CEU5" s="279"/>
      <c r="CEV5" s="279"/>
      <c r="CEW5" s="279"/>
      <c r="CEX5" s="279"/>
      <c r="CEY5" s="279"/>
      <c r="CEZ5" s="279"/>
      <c r="CFA5" s="279"/>
      <c r="CFB5" s="279"/>
      <c r="CFC5" s="279"/>
      <c r="CFD5" s="279"/>
      <c r="CFE5" s="279"/>
      <c r="CFF5" s="279"/>
      <c r="CFG5" s="279"/>
      <c r="CFH5" s="279"/>
      <c r="CFI5" s="279"/>
      <c r="CFJ5" s="279"/>
      <c r="CFK5" s="279"/>
      <c r="CFL5" s="279"/>
      <c r="CFM5" s="279"/>
      <c r="CFN5" s="279"/>
      <c r="CFO5" s="279"/>
      <c r="CFP5" s="279"/>
      <c r="CFQ5" s="279"/>
      <c r="CFR5" s="279"/>
      <c r="CFS5" s="279"/>
      <c r="CFT5" s="279"/>
      <c r="CFU5" s="279"/>
      <c r="CFV5" s="279"/>
      <c r="CFW5" s="279"/>
      <c r="CFX5" s="279"/>
      <c r="CFY5" s="279"/>
      <c r="CFZ5" s="279"/>
      <c r="CGA5" s="279"/>
      <c r="CGB5" s="279"/>
      <c r="CGC5" s="279"/>
      <c r="CGD5" s="279"/>
      <c r="CGE5" s="279"/>
      <c r="CGF5" s="279"/>
      <c r="CGG5" s="279"/>
      <c r="CGH5" s="279"/>
      <c r="CGI5" s="279"/>
      <c r="CGJ5" s="279"/>
      <c r="CGK5" s="279"/>
      <c r="CGL5" s="279"/>
      <c r="CGM5" s="279"/>
      <c r="CGN5" s="279"/>
      <c r="CGO5" s="279"/>
      <c r="CGP5" s="279"/>
      <c r="CGQ5" s="279"/>
      <c r="CGR5" s="279"/>
      <c r="CGS5" s="279"/>
      <c r="CGT5" s="279"/>
      <c r="CGU5" s="279"/>
      <c r="CGV5" s="279"/>
      <c r="CGW5" s="279"/>
      <c r="CGX5" s="279"/>
      <c r="CGY5" s="279"/>
      <c r="CGZ5" s="279"/>
      <c r="CHA5" s="279"/>
      <c r="CHB5" s="279"/>
      <c r="CHC5" s="279"/>
      <c r="CHD5" s="279"/>
      <c r="CHE5" s="279"/>
      <c r="CHF5" s="279"/>
      <c r="CHG5" s="279"/>
      <c r="CHH5" s="279"/>
      <c r="CHI5" s="279"/>
      <c r="CHJ5" s="279"/>
      <c r="CHK5" s="279"/>
      <c r="CHL5" s="279"/>
      <c r="CHM5" s="279"/>
      <c r="CHN5" s="279"/>
      <c r="CHO5" s="279"/>
      <c r="CHP5" s="279"/>
      <c r="CHQ5" s="279"/>
      <c r="CHR5" s="279"/>
      <c r="CHS5" s="279"/>
      <c r="CHT5" s="279"/>
      <c r="CHU5" s="279"/>
      <c r="CHV5" s="279"/>
      <c r="CHW5" s="279"/>
      <c r="CHX5" s="279"/>
      <c r="CHY5" s="279"/>
      <c r="CHZ5" s="279"/>
      <c r="CIA5" s="279"/>
      <c r="CIB5" s="279"/>
      <c r="CIC5" s="279"/>
      <c r="CID5" s="279"/>
      <c r="CIE5" s="279"/>
      <c r="CIF5" s="279"/>
      <c r="CIG5" s="279"/>
      <c r="CIH5" s="279"/>
      <c r="CII5" s="279"/>
      <c r="CIJ5" s="279"/>
      <c r="CIK5" s="279"/>
      <c r="CIL5" s="279"/>
      <c r="CIM5" s="279"/>
      <c r="CIN5" s="279"/>
      <c r="CIO5" s="279"/>
      <c r="CIP5" s="279"/>
      <c r="CIQ5" s="279"/>
      <c r="CIR5" s="279"/>
      <c r="CIS5" s="279"/>
      <c r="CIT5" s="279"/>
      <c r="CIU5" s="279"/>
      <c r="CIV5" s="279"/>
      <c r="CIW5" s="279"/>
      <c r="CIX5" s="279"/>
      <c r="CIY5" s="279"/>
      <c r="CIZ5" s="279"/>
      <c r="CJA5" s="279"/>
      <c r="CJB5" s="279"/>
      <c r="CJC5" s="279"/>
      <c r="CJD5" s="279"/>
      <c r="CJE5" s="279"/>
      <c r="CJF5" s="279"/>
      <c r="CJG5" s="279"/>
      <c r="CJH5" s="279"/>
      <c r="CJI5" s="279"/>
      <c r="CJJ5" s="279"/>
      <c r="CJK5" s="279"/>
      <c r="CJL5" s="279"/>
      <c r="CJM5" s="279"/>
      <c r="CJN5" s="279"/>
      <c r="CJO5" s="279"/>
      <c r="CJP5" s="279"/>
      <c r="CJQ5" s="279"/>
      <c r="CJR5" s="279"/>
      <c r="CJS5" s="279"/>
      <c r="CJT5" s="279"/>
      <c r="CJU5" s="279"/>
      <c r="CJV5" s="279"/>
      <c r="CJW5" s="279"/>
      <c r="CJX5" s="279"/>
      <c r="CJY5" s="279"/>
      <c r="CJZ5" s="279"/>
      <c r="CKA5" s="279"/>
      <c r="CKB5" s="279"/>
      <c r="CKC5" s="279"/>
      <c r="CKD5" s="279"/>
      <c r="CKE5" s="279"/>
      <c r="CKF5" s="279"/>
      <c r="CKG5" s="279"/>
      <c r="CKH5" s="279"/>
      <c r="CKI5" s="279"/>
      <c r="CKJ5" s="279"/>
      <c r="CKK5" s="279"/>
      <c r="CKL5" s="279"/>
      <c r="CKM5" s="279"/>
      <c r="CKN5" s="279"/>
      <c r="CKO5" s="279"/>
      <c r="CKP5" s="279"/>
      <c r="CKQ5" s="279"/>
      <c r="CKR5" s="279"/>
      <c r="CKS5" s="279"/>
      <c r="CKT5" s="279"/>
      <c r="CKU5" s="279"/>
      <c r="CKV5" s="279"/>
      <c r="CKW5" s="279"/>
      <c r="CKX5" s="279"/>
      <c r="CKY5" s="279"/>
      <c r="CKZ5" s="279"/>
      <c r="CLA5" s="279"/>
      <c r="CLB5" s="279"/>
      <c r="CLC5" s="279"/>
      <c r="CLD5" s="279"/>
      <c r="CLE5" s="279"/>
      <c r="CLF5" s="279"/>
      <c r="CLG5" s="279"/>
      <c r="CLH5" s="279"/>
      <c r="CLI5" s="279"/>
      <c r="CLJ5" s="279"/>
      <c r="CLK5" s="279"/>
      <c r="CLL5" s="279"/>
      <c r="CLM5" s="279"/>
      <c r="CLN5" s="279"/>
      <c r="CLO5" s="279"/>
      <c r="CLP5" s="279"/>
      <c r="CLQ5" s="279"/>
      <c r="CLR5" s="279"/>
      <c r="CLS5" s="279"/>
      <c r="CLT5" s="279"/>
      <c r="CLU5" s="279"/>
      <c r="CLV5" s="279"/>
      <c r="CLW5" s="279"/>
      <c r="CLX5" s="279"/>
      <c r="CLY5" s="279"/>
      <c r="CLZ5" s="279"/>
      <c r="CMA5" s="279"/>
      <c r="CMB5" s="279"/>
      <c r="CMC5" s="279"/>
      <c r="CMD5" s="279"/>
      <c r="CME5" s="279"/>
      <c r="CMF5" s="279"/>
      <c r="CMG5" s="279"/>
      <c r="CMH5" s="279"/>
      <c r="CMI5" s="279"/>
      <c r="CMJ5" s="279"/>
      <c r="CMK5" s="279"/>
      <c r="CML5" s="279"/>
      <c r="CMM5" s="279"/>
      <c r="CMN5" s="279"/>
      <c r="CMO5" s="279"/>
      <c r="CMP5" s="279"/>
      <c r="CMQ5" s="279"/>
      <c r="CMR5" s="279"/>
      <c r="CMS5" s="279"/>
      <c r="CMT5" s="279"/>
      <c r="CMU5" s="279"/>
      <c r="CMV5" s="279"/>
      <c r="CMW5" s="279"/>
      <c r="CMX5" s="279"/>
      <c r="CMY5" s="279"/>
      <c r="CMZ5" s="279"/>
      <c r="CNA5" s="279"/>
      <c r="CNB5" s="279"/>
      <c r="CNC5" s="279"/>
      <c r="CND5" s="279"/>
      <c r="CNE5" s="279"/>
      <c r="CNF5" s="279"/>
      <c r="CNG5" s="279"/>
      <c r="CNH5" s="279"/>
      <c r="CNI5" s="279"/>
      <c r="CNJ5" s="279"/>
      <c r="CNK5" s="279"/>
      <c r="CNL5" s="279"/>
      <c r="CNM5" s="279"/>
      <c r="CNN5" s="279"/>
      <c r="CNO5" s="279"/>
      <c r="CNP5" s="279"/>
      <c r="CNQ5" s="279"/>
      <c r="CNR5" s="279"/>
      <c r="CNS5" s="279"/>
      <c r="CNT5" s="279"/>
      <c r="CNU5" s="279"/>
      <c r="CNV5" s="279"/>
      <c r="CNW5" s="279"/>
      <c r="CNX5" s="279"/>
      <c r="CNY5" s="279"/>
      <c r="CNZ5" s="279"/>
      <c r="COA5" s="279"/>
      <c r="COB5" s="279"/>
      <c r="COC5" s="279"/>
      <c r="COD5" s="279"/>
      <c r="COE5" s="279"/>
      <c r="COF5" s="279"/>
      <c r="COG5" s="279"/>
      <c r="COH5" s="279"/>
      <c r="COI5" s="279"/>
      <c r="COJ5" s="279"/>
      <c r="COK5" s="279"/>
      <c r="COL5" s="279"/>
      <c r="COM5" s="279"/>
      <c r="CON5" s="279"/>
      <c r="COO5" s="279"/>
      <c r="COP5" s="279"/>
      <c r="COQ5" s="279"/>
      <c r="COR5" s="279"/>
      <c r="COS5" s="279"/>
      <c r="COT5" s="279"/>
      <c r="COU5" s="279"/>
      <c r="COV5" s="279"/>
      <c r="COW5" s="279"/>
      <c r="COX5" s="279"/>
      <c r="COY5" s="279"/>
      <c r="COZ5" s="279"/>
      <c r="CPA5" s="279"/>
      <c r="CPB5" s="279"/>
      <c r="CPC5" s="279"/>
      <c r="CPD5" s="279"/>
      <c r="CPE5" s="279"/>
      <c r="CPF5" s="279"/>
      <c r="CPG5" s="279"/>
      <c r="CPH5" s="279"/>
      <c r="CPI5" s="279"/>
      <c r="CPJ5" s="279"/>
      <c r="CPK5" s="279"/>
      <c r="CPL5" s="279"/>
      <c r="CPM5" s="279"/>
      <c r="CPN5" s="279"/>
      <c r="CPO5" s="279"/>
      <c r="CPP5" s="279"/>
      <c r="CPQ5" s="279"/>
      <c r="CPR5" s="279"/>
      <c r="CPS5" s="279"/>
      <c r="CPT5" s="279"/>
      <c r="CPU5" s="279"/>
      <c r="CPV5" s="279"/>
      <c r="CPW5" s="279"/>
      <c r="CPX5" s="279"/>
      <c r="CPY5" s="279"/>
      <c r="CPZ5" s="279"/>
      <c r="CQA5" s="279"/>
      <c r="CQB5" s="279"/>
      <c r="CQC5" s="279"/>
      <c r="CQD5" s="279"/>
      <c r="CQE5" s="279"/>
      <c r="CQF5" s="279"/>
      <c r="CQG5" s="279"/>
      <c r="CQH5" s="279"/>
      <c r="CQI5" s="279"/>
      <c r="CQJ5" s="279"/>
      <c r="CQK5" s="279"/>
      <c r="CQL5" s="279"/>
      <c r="CQM5" s="279"/>
      <c r="CQN5" s="279"/>
      <c r="CQO5" s="279"/>
      <c r="CQP5" s="279"/>
      <c r="CQQ5" s="279"/>
      <c r="CQR5" s="279"/>
      <c r="CQS5" s="279"/>
      <c r="CQT5" s="279"/>
      <c r="CQU5" s="279"/>
      <c r="CQV5" s="279"/>
      <c r="CQW5" s="279"/>
      <c r="CQX5" s="279"/>
      <c r="CQY5" s="279"/>
      <c r="CQZ5" s="279"/>
      <c r="CRA5" s="279"/>
      <c r="CRB5" s="279"/>
      <c r="CRC5" s="279"/>
      <c r="CRD5" s="279"/>
      <c r="CRE5" s="279"/>
      <c r="CRF5" s="279"/>
      <c r="CRG5" s="279"/>
      <c r="CRH5" s="279"/>
      <c r="CRI5" s="279"/>
      <c r="CRJ5" s="279"/>
      <c r="CRK5" s="279"/>
      <c r="CRL5" s="279"/>
      <c r="CRM5" s="279"/>
      <c r="CRN5" s="279"/>
      <c r="CRO5" s="279"/>
      <c r="CRP5" s="279"/>
      <c r="CRQ5" s="279"/>
      <c r="CRR5" s="279"/>
      <c r="CRS5" s="279"/>
      <c r="CRT5" s="279"/>
      <c r="CRU5" s="279"/>
      <c r="CRV5" s="279"/>
      <c r="CRW5" s="279"/>
      <c r="CRX5" s="279"/>
      <c r="CRY5" s="279"/>
      <c r="CRZ5" s="279"/>
      <c r="CSA5" s="279"/>
      <c r="CSB5" s="279"/>
      <c r="CSC5" s="279"/>
      <c r="CSD5" s="279"/>
      <c r="CSE5" s="279"/>
      <c r="CSF5" s="279"/>
      <c r="CSG5" s="279"/>
      <c r="CSH5" s="279"/>
      <c r="CSI5" s="279"/>
      <c r="CSJ5" s="279"/>
      <c r="CSK5" s="279"/>
      <c r="CSL5" s="279"/>
      <c r="CSM5" s="279"/>
      <c r="CSN5" s="279"/>
      <c r="CSO5" s="279"/>
      <c r="CSP5" s="279"/>
      <c r="CSQ5" s="279"/>
      <c r="CSR5" s="279"/>
      <c r="CSS5" s="279"/>
      <c r="CST5" s="279"/>
      <c r="CSU5" s="279"/>
      <c r="CSV5" s="279"/>
      <c r="CSW5" s="279"/>
      <c r="CSX5" s="279"/>
      <c r="CSY5" s="279"/>
      <c r="CSZ5" s="279"/>
      <c r="CTA5" s="279"/>
      <c r="CTB5" s="279"/>
      <c r="CTC5" s="279"/>
      <c r="CTD5" s="279"/>
      <c r="CTE5" s="279"/>
      <c r="CTF5" s="279"/>
      <c r="CTG5" s="279"/>
      <c r="CTH5" s="279"/>
      <c r="CTI5" s="279"/>
      <c r="CTJ5" s="279"/>
      <c r="CTK5" s="279"/>
      <c r="CTL5" s="279"/>
      <c r="CTM5" s="279"/>
      <c r="CTN5" s="279"/>
      <c r="CTO5" s="279"/>
      <c r="CTP5" s="279"/>
      <c r="CTQ5" s="279"/>
      <c r="CTR5" s="279"/>
      <c r="CTS5" s="279"/>
      <c r="CTT5" s="279"/>
      <c r="CTU5" s="279"/>
      <c r="CTV5" s="279"/>
      <c r="CTW5" s="279"/>
      <c r="CTX5" s="279"/>
      <c r="CTY5" s="279"/>
      <c r="CTZ5" s="279"/>
      <c r="CUA5" s="279"/>
      <c r="CUB5" s="279"/>
      <c r="CUC5" s="279"/>
      <c r="CUD5" s="279"/>
      <c r="CUE5" s="279"/>
      <c r="CUF5" s="279"/>
      <c r="CUG5" s="279"/>
      <c r="CUH5" s="279"/>
      <c r="CUI5" s="279"/>
      <c r="CUJ5" s="279"/>
      <c r="CUK5" s="279"/>
      <c r="CUL5" s="279"/>
      <c r="CUM5" s="279"/>
      <c r="CUN5" s="279"/>
      <c r="CUO5" s="279"/>
      <c r="CUP5" s="279"/>
      <c r="CUQ5" s="279"/>
      <c r="CUR5" s="279"/>
      <c r="CUS5" s="279"/>
      <c r="CUT5" s="279"/>
      <c r="CUU5" s="279"/>
      <c r="CUV5" s="279"/>
      <c r="CUW5" s="279"/>
      <c r="CUX5" s="279"/>
      <c r="CUY5" s="279"/>
      <c r="CUZ5" s="279"/>
      <c r="CVA5" s="279"/>
      <c r="CVB5" s="279"/>
      <c r="CVC5" s="279"/>
      <c r="CVD5" s="279"/>
      <c r="CVE5" s="279"/>
      <c r="CVF5" s="279"/>
      <c r="CVG5" s="279"/>
      <c r="CVH5" s="279"/>
      <c r="CVI5" s="279"/>
      <c r="CVJ5" s="279"/>
      <c r="CVK5" s="279"/>
      <c r="CVL5" s="279"/>
      <c r="CVM5" s="279"/>
      <c r="CVN5" s="279"/>
      <c r="CVO5" s="279"/>
      <c r="CVP5" s="279"/>
      <c r="CVQ5" s="279"/>
      <c r="CVR5" s="279"/>
      <c r="CVS5" s="279"/>
      <c r="CVT5" s="279"/>
      <c r="CVU5" s="279"/>
      <c r="CVV5" s="279"/>
      <c r="CVW5" s="279"/>
      <c r="CVX5" s="279"/>
      <c r="CVY5" s="279"/>
      <c r="CVZ5" s="279"/>
      <c r="CWA5" s="279"/>
      <c r="CWB5" s="279"/>
      <c r="CWC5" s="279"/>
      <c r="CWD5" s="279"/>
      <c r="CWE5" s="279"/>
      <c r="CWF5" s="279"/>
      <c r="CWG5" s="279"/>
      <c r="CWH5" s="279"/>
      <c r="CWI5" s="279"/>
      <c r="CWJ5" s="279"/>
      <c r="CWK5" s="279"/>
      <c r="CWL5" s="279"/>
      <c r="CWM5" s="279"/>
      <c r="CWN5" s="279"/>
      <c r="CWO5" s="279"/>
      <c r="CWP5" s="279"/>
      <c r="CWQ5" s="279"/>
      <c r="CWR5" s="279"/>
      <c r="CWS5" s="279"/>
      <c r="CWT5" s="279"/>
      <c r="CWU5" s="279"/>
      <c r="CWV5" s="279"/>
      <c r="CWW5" s="279"/>
      <c r="CWX5" s="279"/>
      <c r="CWY5" s="279"/>
      <c r="CWZ5" s="279"/>
      <c r="CXA5" s="279"/>
      <c r="CXB5" s="279"/>
      <c r="CXC5" s="279"/>
      <c r="CXD5" s="279"/>
      <c r="CXE5" s="279"/>
      <c r="CXF5" s="279"/>
      <c r="CXG5" s="279"/>
      <c r="CXH5" s="279"/>
      <c r="CXI5" s="279"/>
      <c r="CXJ5" s="279"/>
      <c r="CXK5" s="279"/>
      <c r="CXL5" s="279"/>
      <c r="CXM5" s="279"/>
      <c r="CXN5" s="279"/>
      <c r="CXO5" s="279"/>
      <c r="CXP5" s="279"/>
      <c r="CXQ5" s="279"/>
      <c r="CXR5" s="279"/>
      <c r="CXS5" s="279"/>
      <c r="CXT5" s="279"/>
      <c r="CXU5" s="279"/>
      <c r="CXV5" s="279"/>
      <c r="CXW5" s="279"/>
      <c r="CXX5" s="279"/>
      <c r="CXY5" s="279"/>
      <c r="CXZ5" s="279"/>
      <c r="CYA5" s="279"/>
      <c r="CYB5" s="279"/>
      <c r="CYC5" s="279"/>
      <c r="CYD5" s="279"/>
      <c r="CYE5" s="279"/>
      <c r="CYF5" s="279"/>
      <c r="CYG5" s="279"/>
      <c r="CYH5" s="279"/>
      <c r="CYI5" s="279"/>
      <c r="CYJ5" s="279"/>
      <c r="CYK5" s="279"/>
      <c r="CYL5" s="279"/>
      <c r="CYM5" s="279"/>
      <c r="CYN5" s="279"/>
      <c r="CYO5" s="279"/>
      <c r="CYP5" s="279"/>
      <c r="CYQ5" s="279"/>
      <c r="CYR5" s="279"/>
      <c r="CYS5" s="279"/>
      <c r="CYT5" s="279"/>
      <c r="CYU5" s="279"/>
      <c r="CYV5" s="279"/>
      <c r="CYW5" s="279"/>
      <c r="CYX5" s="279"/>
      <c r="CYY5" s="279"/>
      <c r="CYZ5" s="279"/>
      <c r="CZA5" s="279"/>
      <c r="CZB5" s="279"/>
      <c r="CZC5" s="279"/>
      <c r="CZD5" s="279"/>
      <c r="CZE5" s="279"/>
      <c r="CZF5" s="279"/>
      <c r="CZG5" s="279"/>
      <c r="CZH5" s="279"/>
      <c r="CZI5" s="279"/>
      <c r="CZJ5" s="279"/>
      <c r="CZK5" s="279"/>
      <c r="CZL5" s="279"/>
      <c r="CZM5" s="279"/>
      <c r="CZN5" s="279"/>
      <c r="CZO5" s="279"/>
      <c r="CZP5" s="279"/>
      <c r="CZQ5" s="279"/>
      <c r="CZR5" s="279"/>
      <c r="CZS5" s="279"/>
      <c r="CZT5" s="279"/>
      <c r="CZU5" s="279"/>
      <c r="CZV5" s="279"/>
      <c r="CZW5" s="279"/>
      <c r="CZX5" s="279"/>
      <c r="CZY5" s="279"/>
      <c r="CZZ5" s="279"/>
      <c r="DAA5" s="279"/>
      <c r="DAB5" s="279"/>
      <c r="DAC5" s="279"/>
      <c r="DAD5" s="279"/>
      <c r="DAE5" s="279"/>
      <c r="DAF5" s="279"/>
      <c r="DAG5" s="279"/>
      <c r="DAH5" s="279"/>
      <c r="DAI5" s="279"/>
      <c r="DAJ5" s="279"/>
      <c r="DAK5" s="279"/>
      <c r="DAL5" s="279"/>
      <c r="DAM5" s="279"/>
      <c r="DAN5" s="279"/>
      <c r="DAO5" s="279"/>
      <c r="DAP5" s="279"/>
      <c r="DAQ5" s="279"/>
      <c r="DAR5" s="279"/>
      <c r="DAS5" s="279"/>
      <c r="DAT5" s="279"/>
      <c r="DAU5" s="279"/>
      <c r="DAV5" s="279"/>
      <c r="DAW5" s="279"/>
      <c r="DAX5" s="279"/>
      <c r="DAY5" s="279"/>
      <c r="DAZ5" s="279"/>
      <c r="DBA5" s="279"/>
      <c r="DBB5" s="279"/>
      <c r="DBC5" s="279"/>
      <c r="DBD5" s="279"/>
      <c r="DBE5" s="279"/>
      <c r="DBF5" s="279"/>
      <c r="DBG5" s="279"/>
      <c r="DBH5" s="279"/>
      <c r="DBI5" s="279"/>
      <c r="DBJ5" s="279"/>
      <c r="DBK5" s="279"/>
      <c r="DBL5" s="279"/>
      <c r="DBM5" s="279"/>
      <c r="DBN5" s="279"/>
      <c r="DBO5" s="279"/>
      <c r="DBP5" s="279"/>
      <c r="DBQ5" s="279"/>
      <c r="DBR5" s="279"/>
      <c r="DBS5" s="279"/>
      <c r="DBT5" s="279"/>
      <c r="DBU5" s="279"/>
      <c r="DBV5" s="279"/>
      <c r="DBW5" s="279"/>
      <c r="DBX5" s="279"/>
      <c r="DBY5" s="279"/>
      <c r="DBZ5" s="279"/>
      <c r="DCA5" s="279"/>
      <c r="DCB5" s="279"/>
      <c r="DCC5" s="279"/>
      <c r="DCD5" s="279"/>
      <c r="DCE5" s="279"/>
      <c r="DCF5" s="279"/>
      <c r="DCG5" s="279"/>
      <c r="DCH5" s="279"/>
      <c r="DCI5" s="279"/>
      <c r="DCJ5" s="279"/>
      <c r="DCK5" s="279"/>
      <c r="DCL5" s="279"/>
      <c r="DCM5" s="279"/>
      <c r="DCN5" s="279"/>
      <c r="DCO5" s="279"/>
      <c r="DCP5" s="279"/>
      <c r="DCQ5" s="279"/>
      <c r="DCR5" s="279"/>
      <c r="DCS5" s="279"/>
      <c r="DCT5" s="279"/>
      <c r="DCU5" s="279"/>
      <c r="DCV5" s="279"/>
      <c r="DCW5" s="279"/>
      <c r="DCX5" s="279"/>
      <c r="DCY5" s="279"/>
      <c r="DCZ5" s="279"/>
      <c r="DDA5" s="279"/>
      <c r="DDB5" s="279"/>
      <c r="DDC5" s="279"/>
      <c r="DDD5" s="279"/>
      <c r="DDE5" s="279"/>
      <c r="DDF5" s="279"/>
      <c r="DDG5" s="279"/>
      <c r="DDH5" s="279"/>
      <c r="DDI5" s="279"/>
      <c r="DDJ5" s="279"/>
      <c r="DDK5" s="279"/>
      <c r="DDL5" s="279"/>
      <c r="DDM5" s="279"/>
      <c r="DDN5" s="279"/>
      <c r="DDO5" s="279"/>
      <c r="DDP5" s="279"/>
      <c r="DDQ5" s="279"/>
      <c r="DDR5" s="279"/>
      <c r="DDS5" s="279"/>
      <c r="DDT5" s="279"/>
      <c r="DDU5" s="279"/>
      <c r="DDV5" s="279"/>
      <c r="DDW5" s="279"/>
      <c r="DDX5" s="279"/>
      <c r="DDY5" s="279"/>
      <c r="DDZ5" s="279"/>
      <c r="DEA5" s="279"/>
      <c r="DEB5" s="279"/>
      <c r="DEC5" s="279"/>
      <c r="DED5" s="279"/>
      <c r="DEE5" s="279"/>
      <c r="DEF5" s="279"/>
      <c r="DEG5" s="279"/>
      <c r="DEH5" s="279"/>
      <c r="DEI5" s="279"/>
      <c r="DEJ5" s="279"/>
      <c r="DEK5" s="279"/>
      <c r="DEL5" s="279"/>
      <c r="DEM5" s="279"/>
      <c r="DEN5" s="279"/>
      <c r="DEO5" s="279"/>
      <c r="DEP5" s="279"/>
      <c r="DEQ5" s="279"/>
      <c r="DER5" s="279"/>
      <c r="DES5" s="279"/>
      <c r="DET5" s="279"/>
      <c r="DEU5" s="279"/>
      <c r="DEV5" s="279"/>
      <c r="DEW5" s="279"/>
      <c r="DEX5" s="279"/>
      <c r="DEY5" s="279"/>
      <c r="DEZ5" s="279"/>
      <c r="DFA5" s="279"/>
      <c r="DFB5" s="279"/>
      <c r="DFC5" s="279"/>
      <c r="DFD5" s="279"/>
      <c r="DFE5" s="279"/>
      <c r="DFF5" s="279"/>
      <c r="DFG5" s="279"/>
      <c r="DFH5" s="279"/>
      <c r="DFI5" s="279"/>
      <c r="DFJ5" s="279"/>
      <c r="DFK5" s="279"/>
      <c r="DFL5" s="279"/>
      <c r="DFM5" s="279"/>
      <c r="DFN5" s="279"/>
      <c r="DFO5" s="279"/>
      <c r="DFP5" s="279"/>
      <c r="DFQ5" s="279"/>
      <c r="DFR5" s="279"/>
      <c r="DFS5" s="279"/>
      <c r="DFT5" s="279"/>
      <c r="DFU5" s="279"/>
      <c r="DFV5" s="279"/>
      <c r="DFW5" s="279"/>
      <c r="DFX5" s="279"/>
      <c r="DFY5" s="279"/>
      <c r="DFZ5" s="279"/>
      <c r="DGA5" s="279"/>
      <c r="DGB5" s="279"/>
      <c r="DGC5" s="279"/>
      <c r="DGD5" s="279"/>
      <c r="DGE5" s="279"/>
      <c r="DGF5" s="279"/>
      <c r="DGG5" s="279"/>
      <c r="DGH5" s="279"/>
      <c r="DGI5" s="279"/>
      <c r="DGJ5" s="279"/>
      <c r="DGK5" s="279"/>
      <c r="DGL5" s="279"/>
      <c r="DGM5" s="279"/>
      <c r="DGN5" s="279"/>
      <c r="DGO5" s="279"/>
      <c r="DGP5" s="279"/>
      <c r="DGQ5" s="279"/>
      <c r="DGR5" s="279"/>
      <c r="DGS5" s="279"/>
      <c r="DGT5" s="279"/>
      <c r="DGU5" s="279"/>
      <c r="DGV5" s="279"/>
      <c r="DGW5" s="279"/>
      <c r="DGX5" s="279"/>
      <c r="DGY5" s="279"/>
      <c r="DGZ5" s="279"/>
      <c r="DHA5" s="279"/>
      <c r="DHB5" s="279"/>
      <c r="DHC5" s="279"/>
      <c r="DHD5" s="279"/>
      <c r="DHE5" s="279"/>
      <c r="DHF5" s="279"/>
      <c r="DHG5" s="279"/>
      <c r="DHH5" s="279"/>
      <c r="DHI5" s="279"/>
      <c r="DHJ5" s="279"/>
      <c r="DHK5" s="279"/>
      <c r="DHL5" s="279"/>
      <c r="DHM5" s="279"/>
      <c r="DHN5" s="279"/>
      <c r="DHO5" s="279"/>
      <c r="DHP5" s="279"/>
      <c r="DHQ5" s="279"/>
      <c r="DHR5" s="279"/>
      <c r="DHS5" s="279"/>
      <c r="DHT5" s="279"/>
      <c r="DHU5" s="279"/>
      <c r="DHV5" s="279"/>
      <c r="DHW5" s="279"/>
      <c r="DHX5" s="279"/>
      <c r="DHY5" s="279"/>
      <c r="DHZ5" s="279"/>
      <c r="DIA5" s="279"/>
      <c r="DIB5" s="279"/>
      <c r="DIC5" s="279"/>
      <c r="DID5" s="279"/>
      <c r="DIE5" s="279"/>
      <c r="DIF5" s="279"/>
      <c r="DIG5" s="279"/>
      <c r="DIH5" s="279"/>
      <c r="DII5" s="279"/>
      <c r="DIJ5" s="279"/>
      <c r="DIK5" s="279"/>
      <c r="DIL5" s="279"/>
      <c r="DIM5" s="279"/>
      <c r="DIN5" s="279"/>
      <c r="DIO5" s="279"/>
      <c r="DIP5" s="279"/>
      <c r="DIQ5" s="279"/>
      <c r="DIR5" s="279"/>
      <c r="DIS5" s="279"/>
      <c r="DIT5" s="279"/>
      <c r="DIU5" s="279"/>
      <c r="DIV5" s="279"/>
      <c r="DIW5" s="279"/>
      <c r="DIX5" s="279"/>
      <c r="DIY5" s="279"/>
      <c r="DIZ5" s="279"/>
      <c r="DJA5" s="279"/>
      <c r="DJB5" s="279"/>
      <c r="DJC5" s="279"/>
      <c r="DJD5" s="279"/>
      <c r="DJE5" s="279"/>
      <c r="DJF5" s="279"/>
      <c r="DJG5" s="279"/>
      <c r="DJH5" s="279"/>
      <c r="DJI5" s="279"/>
      <c r="DJJ5" s="279"/>
      <c r="DJK5" s="279"/>
      <c r="DJL5" s="279"/>
      <c r="DJM5" s="279"/>
      <c r="DJN5" s="279"/>
      <c r="DJO5" s="279"/>
      <c r="DJP5" s="279"/>
      <c r="DJQ5" s="279"/>
      <c r="DJR5" s="279"/>
      <c r="DJS5" s="279"/>
      <c r="DJT5" s="279"/>
      <c r="DJU5" s="279"/>
      <c r="DJV5" s="279"/>
      <c r="DJW5" s="279"/>
      <c r="DJX5" s="279"/>
      <c r="DJY5" s="279"/>
      <c r="DJZ5" s="279"/>
      <c r="DKA5" s="279"/>
      <c r="DKB5" s="279"/>
      <c r="DKC5" s="279"/>
      <c r="DKD5" s="279"/>
      <c r="DKE5" s="279"/>
      <c r="DKF5" s="279"/>
      <c r="DKG5" s="279"/>
      <c r="DKH5" s="279"/>
      <c r="DKI5" s="279"/>
      <c r="DKJ5" s="279"/>
      <c r="DKK5" s="279"/>
      <c r="DKL5" s="279"/>
      <c r="DKM5" s="279"/>
      <c r="DKN5" s="279"/>
      <c r="DKO5" s="279"/>
      <c r="DKP5" s="279"/>
      <c r="DKQ5" s="279"/>
      <c r="DKR5" s="279"/>
      <c r="DKS5" s="279"/>
      <c r="DKT5" s="279"/>
      <c r="DKU5" s="279"/>
      <c r="DKV5" s="279"/>
      <c r="DKW5" s="279"/>
      <c r="DKX5" s="279"/>
      <c r="DKY5" s="279"/>
      <c r="DKZ5" s="279"/>
      <c r="DLA5" s="279"/>
      <c r="DLB5" s="279"/>
      <c r="DLC5" s="279"/>
      <c r="DLD5" s="279"/>
      <c r="DLE5" s="279"/>
      <c r="DLF5" s="279"/>
      <c r="DLG5" s="279"/>
      <c r="DLH5" s="279"/>
      <c r="DLI5" s="279"/>
      <c r="DLJ5" s="279"/>
      <c r="DLK5" s="279"/>
      <c r="DLL5" s="279"/>
      <c r="DLM5" s="279"/>
      <c r="DLN5" s="279"/>
      <c r="DLO5" s="279"/>
      <c r="DLP5" s="279"/>
      <c r="DLQ5" s="279"/>
      <c r="DLR5" s="279"/>
      <c r="DLS5" s="279"/>
      <c r="DLT5" s="279"/>
      <c r="DLU5" s="279"/>
      <c r="DLV5" s="279"/>
      <c r="DLW5" s="279"/>
      <c r="DLX5" s="279"/>
      <c r="DLY5" s="279"/>
      <c r="DLZ5" s="279"/>
      <c r="DMA5" s="279"/>
      <c r="DMB5" s="279"/>
      <c r="DMC5" s="279"/>
      <c r="DMD5" s="279"/>
      <c r="DME5" s="279"/>
      <c r="DMF5" s="279"/>
      <c r="DMG5" s="279"/>
      <c r="DMH5" s="279"/>
      <c r="DMI5" s="279"/>
      <c r="DMJ5" s="279"/>
      <c r="DMK5" s="279"/>
      <c r="DML5" s="279"/>
      <c r="DMM5" s="279"/>
      <c r="DMN5" s="279"/>
      <c r="DMO5" s="279"/>
      <c r="DMP5" s="279"/>
      <c r="DMQ5" s="279"/>
      <c r="DMR5" s="279"/>
      <c r="DMS5" s="279"/>
      <c r="DMT5" s="279"/>
      <c r="DMU5" s="279"/>
      <c r="DMV5" s="279"/>
      <c r="DMW5" s="279"/>
      <c r="DMX5" s="279"/>
      <c r="DMY5" s="279"/>
      <c r="DMZ5" s="279"/>
      <c r="DNA5" s="279"/>
      <c r="DNB5" s="279"/>
      <c r="DNC5" s="279"/>
      <c r="DND5" s="279"/>
      <c r="DNE5" s="279"/>
      <c r="DNF5" s="279"/>
      <c r="DNG5" s="279"/>
      <c r="DNH5" s="279"/>
      <c r="DNI5" s="279"/>
      <c r="DNJ5" s="279"/>
      <c r="DNK5" s="279"/>
      <c r="DNL5" s="279"/>
      <c r="DNM5" s="279"/>
      <c r="DNN5" s="279"/>
      <c r="DNO5" s="279"/>
      <c r="DNP5" s="279"/>
      <c r="DNQ5" s="279"/>
      <c r="DNR5" s="279"/>
      <c r="DNS5" s="279"/>
      <c r="DNT5" s="279"/>
      <c r="DNU5" s="279"/>
      <c r="DNV5" s="279"/>
      <c r="DNW5" s="279"/>
      <c r="DNX5" s="279"/>
      <c r="DNY5" s="279"/>
      <c r="DNZ5" s="279"/>
      <c r="DOA5" s="279"/>
      <c r="DOB5" s="279"/>
      <c r="DOC5" s="279"/>
      <c r="DOD5" s="279"/>
      <c r="DOE5" s="279"/>
      <c r="DOF5" s="279"/>
      <c r="DOG5" s="279"/>
      <c r="DOH5" s="279"/>
      <c r="DOI5" s="279"/>
      <c r="DOJ5" s="279"/>
      <c r="DOK5" s="279"/>
      <c r="DOL5" s="279"/>
      <c r="DOM5" s="279"/>
      <c r="DON5" s="279"/>
      <c r="DOO5" s="279"/>
      <c r="DOP5" s="279"/>
      <c r="DOQ5" s="279"/>
      <c r="DOR5" s="279"/>
      <c r="DOS5" s="279"/>
      <c r="DOT5" s="279"/>
      <c r="DOU5" s="279"/>
      <c r="DOV5" s="279"/>
      <c r="DOW5" s="279"/>
      <c r="DOX5" s="279"/>
      <c r="DOY5" s="279"/>
      <c r="DOZ5" s="279"/>
      <c r="DPA5" s="279"/>
      <c r="DPB5" s="279"/>
      <c r="DPC5" s="279"/>
      <c r="DPD5" s="279"/>
      <c r="DPE5" s="279"/>
      <c r="DPF5" s="279"/>
      <c r="DPG5" s="279"/>
      <c r="DPH5" s="279"/>
      <c r="DPI5" s="279"/>
      <c r="DPJ5" s="279"/>
      <c r="DPK5" s="279"/>
      <c r="DPL5" s="279"/>
      <c r="DPM5" s="279"/>
      <c r="DPN5" s="279"/>
      <c r="DPO5" s="279"/>
      <c r="DPP5" s="279"/>
      <c r="DPQ5" s="279"/>
      <c r="DPR5" s="279"/>
      <c r="DPS5" s="279"/>
      <c r="DPT5" s="279"/>
      <c r="DPU5" s="279"/>
      <c r="DPV5" s="279"/>
      <c r="DPW5" s="279"/>
      <c r="DPX5" s="279"/>
      <c r="DPY5" s="279"/>
      <c r="DPZ5" s="279"/>
      <c r="DQA5" s="279"/>
      <c r="DQB5" s="279"/>
      <c r="DQC5" s="279"/>
      <c r="DQD5" s="279"/>
      <c r="DQE5" s="279"/>
      <c r="DQF5" s="279"/>
      <c r="DQG5" s="279"/>
      <c r="DQH5" s="279"/>
      <c r="DQI5" s="279"/>
      <c r="DQJ5" s="279"/>
      <c r="DQK5" s="279"/>
      <c r="DQL5" s="279"/>
      <c r="DQM5" s="279"/>
      <c r="DQN5" s="279"/>
      <c r="DQO5" s="279"/>
      <c r="DQP5" s="279"/>
      <c r="DQQ5" s="279"/>
      <c r="DQR5" s="279"/>
      <c r="DQS5" s="279"/>
      <c r="DQT5" s="279"/>
      <c r="DQU5" s="279"/>
      <c r="DQV5" s="279"/>
      <c r="DQW5" s="279"/>
      <c r="DQX5" s="279"/>
      <c r="DQY5" s="279"/>
      <c r="DQZ5" s="279"/>
      <c r="DRA5" s="279"/>
      <c r="DRB5" s="279"/>
      <c r="DRC5" s="279"/>
      <c r="DRD5" s="279"/>
      <c r="DRE5" s="279"/>
      <c r="DRF5" s="279"/>
      <c r="DRG5" s="279"/>
      <c r="DRH5" s="279"/>
      <c r="DRI5" s="279"/>
      <c r="DRJ5" s="279"/>
      <c r="DRK5" s="279"/>
      <c r="DRL5" s="279"/>
      <c r="DRM5" s="279"/>
      <c r="DRN5" s="279"/>
      <c r="DRO5" s="279"/>
      <c r="DRP5" s="279"/>
      <c r="DRQ5" s="279"/>
      <c r="DRR5" s="279"/>
      <c r="DRS5" s="279"/>
      <c r="DRT5" s="279"/>
      <c r="DRU5" s="279"/>
      <c r="DRV5" s="279"/>
      <c r="DRW5" s="279"/>
      <c r="DRX5" s="279"/>
      <c r="DRY5" s="279"/>
      <c r="DRZ5" s="279"/>
      <c r="DSA5" s="279"/>
      <c r="DSB5" s="279"/>
      <c r="DSC5" s="279"/>
      <c r="DSD5" s="279"/>
      <c r="DSE5" s="279"/>
      <c r="DSF5" s="279"/>
      <c r="DSG5" s="279"/>
      <c r="DSH5" s="279"/>
      <c r="DSI5" s="279"/>
      <c r="DSJ5" s="279"/>
      <c r="DSK5" s="279"/>
      <c r="DSL5" s="279"/>
      <c r="DSM5" s="279"/>
      <c r="DSN5" s="279"/>
      <c r="DSO5" s="279"/>
      <c r="DSP5" s="279"/>
      <c r="DSQ5" s="279"/>
      <c r="DSR5" s="279"/>
      <c r="DSS5" s="279"/>
      <c r="DST5" s="279"/>
      <c r="DSU5" s="279"/>
      <c r="DSV5" s="279"/>
      <c r="DSW5" s="279"/>
      <c r="DSX5" s="279"/>
      <c r="DSY5" s="279"/>
      <c r="DSZ5" s="279"/>
      <c r="DTA5" s="279"/>
      <c r="DTB5" s="279"/>
      <c r="DTC5" s="279"/>
      <c r="DTD5" s="279"/>
      <c r="DTE5" s="279"/>
      <c r="DTF5" s="279"/>
      <c r="DTG5" s="279"/>
      <c r="DTH5" s="279"/>
      <c r="DTI5" s="279"/>
      <c r="DTJ5" s="279"/>
      <c r="DTK5" s="279"/>
      <c r="DTL5" s="279"/>
      <c r="DTM5" s="279"/>
      <c r="DTN5" s="279"/>
      <c r="DTO5" s="279"/>
      <c r="DTP5" s="279"/>
      <c r="DTQ5" s="279"/>
      <c r="DTR5" s="279"/>
      <c r="DTS5" s="279"/>
      <c r="DTT5" s="279"/>
      <c r="DTU5" s="279"/>
      <c r="DTV5" s="279"/>
      <c r="DTW5" s="279"/>
      <c r="DTX5" s="279"/>
      <c r="DTY5" s="279"/>
      <c r="DTZ5" s="279"/>
      <c r="DUA5" s="279"/>
      <c r="DUB5" s="279"/>
      <c r="DUC5" s="279"/>
      <c r="DUD5" s="279"/>
      <c r="DUE5" s="279"/>
      <c r="DUF5" s="279"/>
      <c r="DUG5" s="279"/>
      <c r="DUH5" s="279"/>
      <c r="DUI5" s="279"/>
      <c r="DUJ5" s="279"/>
      <c r="DUK5" s="279"/>
      <c r="DUL5" s="279"/>
      <c r="DUM5" s="279"/>
      <c r="DUN5" s="279"/>
      <c r="DUO5" s="279"/>
      <c r="DUP5" s="279"/>
      <c r="DUQ5" s="279"/>
      <c r="DUR5" s="279"/>
      <c r="DUS5" s="279"/>
      <c r="DUT5" s="279"/>
      <c r="DUU5" s="279"/>
      <c r="DUV5" s="279"/>
      <c r="DUW5" s="279"/>
      <c r="DUX5" s="279"/>
      <c r="DUY5" s="279"/>
      <c r="DUZ5" s="279"/>
      <c r="DVA5" s="279"/>
      <c r="DVB5" s="279"/>
      <c r="DVC5" s="279"/>
      <c r="DVD5" s="279"/>
      <c r="DVE5" s="279"/>
      <c r="DVF5" s="279"/>
      <c r="DVG5" s="279"/>
      <c r="DVH5" s="279"/>
      <c r="DVI5" s="279"/>
      <c r="DVJ5" s="279"/>
      <c r="DVK5" s="279"/>
      <c r="DVL5" s="279"/>
      <c r="DVM5" s="279"/>
      <c r="DVN5" s="279"/>
      <c r="DVO5" s="279"/>
      <c r="DVP5" s="279"/>
      <c r="DVQ5" s="279"/>
      <c r="DVR5" s="279"/>
      <c r="DVS5" s="279"/>
      <c r="DVT5" s="279"/>
      <c r="DVU5" s="279"/>
      <c r="DVV5" s="279"/>
      <c r="DVW5" s="279"/>
      <c r="DVX5" s="279"/>
      <c r="DVY5" s="279"/>
      <c r="DVZ5" s="279"/>
      <c r="DWA5" s="279"/>
      <c r="DWB5" s="279"/>
      <c r="DWC5" s="279"/>
      <c r="DWD5" s="279"/>
      <c r="DWE5" s="279"/>
      <c r="DWF5" s="279"/>
      <c r="DWG5" s="279"/>
      <c r="DWH5" s="279"/>
      <c r="DWI5" s="279"/>
      <c r="DWJ5" s="279"/>
      <c r="DWK5" s="279"/>
      <c r="DWL5" s="279"/>
      <c r="DWM5" s="279"/>
      <c r="DWN5" s="279"/>
      <c r="DWO5" s="279"/>
      <c r="DWP5" s="279"/>
      <c r="DWQ5" s="279"/>
      <c r="DWR5" s="279"/>
      <c r="DWS5" s="279"/>
      <c r="DWT5" s="279"/>
      <c r="DWU5" s="279"/>
      <c r="DWV5" s="279"/>
      <c r="DWW5" s="279"/>
      <c r="DWX5" s="279"/>
      <c r="DWY5" s="279"/>
      <c r="DWZ5" s="279"/>
      <c r="DXA5" s="279"/>
      <c r="DXB5" s="279"/>
      <c r="DXC5" s="279"/>
      <c r="DXD5" s="279"/>
      <c r="DXE5" s="279"/>
      <c r="DXF5" s="279"/>
      <c r="DXG5" s="279"/>
      <c r="DXH5" s="279"/>
      <c r="DXI5" s="279"/>
      <c r="DXJ5" s="279"/>
      <c r="DXK5" s="279"/>
      <c r="DXL5" s="279"/>
      <c r="DXM5" s="279"/>
      <c r="DXN5" s="279"/>
      <c r="DXO5" s="279"/>
      <c r="DXP5" s="279"/>
      <c r="DXQ5" s="279"/>
      <c r="DXR5" s="279"/>
      <c r="DXS5" s="279"/>
      <c r="DXT5" s="279"/>
      <c r="DXU5" s="279"/>
      <c r="DXV5" s="279"/>
      <c r="DXW5" s="279"/>
      <c r="DXX5" s="279"/>
      <c r="DXY5" s="279"/>
      <c r="DXZ5" s="279"/>
      <c r="DYA5" s="279"/>
      <c r="DYB5" s="279"/>
      <c r="DYC5" s="279"/>
      <c r="DYD5" s="279"/>
      <c r="DYE5" s="279"/>
      <c r="DYF5" s="279"/>
      <c r="DYG5" s="279"/>
      <c r="DYH5" s="279"/>
      <c r="DYI5" s="279"/>
      <c r="DYJ5" s="279"/>
      <c r="DYK5" s="279"/>
      <c r="DYL5" s="279"/>
      <c r="DYM5" s="279"/>
      <c r="DYN5" s="279"/>
      <c r="DYO5" s="279"/>
      <c r="DYP5" s="279"/>
      <c r="DYQ5" s="279"/>
      <c r="DYR5" s="279"/>
      <c r="DYS5" s="279"/>
      <c r="DYT5" s="279"/>
      <c r="DYU5" s="279"/>
      <c r="DYV5" s="279"/>
      <c r="DYW5" s="279"/>
      <c r="DYX5" s="279"/>
      <c r="DYY5" s="279"/>
      <c r="DYZ5" s="279"/>
      <c r="DZA5" s="279"/>
      <c r="DZB5" s="279"/>
      <c r="DZC5" s="279"/>
      <c r="DZD5" s="279"/>
      <c r="DZE5" s="279"/>
      <c r="DZF5" s="279"/>
      <c r="DZG5" s="279"/>
      <c r="DZH5" s="279"/>
      <c r="DZI5" s="279"/>
      <c r="DZJ5" s="279"/>
      <c r="DZK5" s="279"/>
      <c r="DZL5" s="279"/>
      <c r="DZM5" s="279"/>
      <c r="DZN5" s="279"/>
      <c r="DZO5" s="279"/>
      <c r="DZP5" s="279"/>
      <c r="DZQ5" s="279"/>
      <c r="DZR5" s="279"/>
      <c r="DZS5" s="279"/>
      <c r="DZT5" s="279"/>
      <c r="DZU5" s="279"/>
      <c r="DZV5" s="279"/>
      <c r="DZW5" s="279"/>
      <c r="DZX5" s="279"/>
      <c r="DZY5" s="279"/>
      <c r="DZZ5" s="279"/>
      <c r="EAA5" s="279"/>
      <c r="EAB5" s="279"/>
      <c r="EAC5" s="279"/>
      <c r="EAD5" s="279"/>
      <c r="EAE5" s="279"/>
      <c r="EAF5" s="279"/>
      <c r="EAG5" s="279"/>
      <c r="EAH5" s="279"/>
      <c r="EAI5" s="279"/>
      <c r="EAJ5" s="279"/>
      <c r="EAK5" s="279"/>
      <c r="EAL5" s="279"/>
      <c r="EAM5" s="279"/>
      <c r="EAN5" s="279"/>
      <c r="EAO5" s="279"/>
      <c r="EAP5" s="279"/>
      <c r="EAQ5" s="279"/>
      <c r="EAR5" s="279"/>
      <c r="EAS5" s="279"/>
      <c r="EAT5" s="279"/>
      <c r="EAU5" s="279"/>
      <c r="EAV5" s="279"/>
      <c r="EAW5" s="279"/>
      <c r="EAX5" s="279"/>
      <c r="EAY5" s="279"/>
      <c r="EAZ5" s="279"/>
      <c r="EBA5" s="279"/>
      <c r="EBB5" s="279"/>
      <c r="EBC5" s="279"/>
      <c r="EBD5" s="279"/>
      <c r="EBE5" s="279"/>
      <c r="EBF5" s="279"/>
      <c r="EBG5" s="279"/>
      <c r="EBH5" s="279"/>
      <c r="EBI5" s="279"/>
      <c r="EBJ5" s="279"/>
      <c r="EBK5" s="279"/>
      <c r="EBL5" s="279"/>
      <c r="EBM5" s="279"/>
      <c r="EBN5" s="279"/>
      <c r="EBO5" s="279"/>
      <c r="EBP5" s="279"/>
      <c r="EBQ5" s="279"/>
      <c r="EBR5" s="279"/>
      <c r="EBS5" s="279"/>
      <c r="EBT5" s="279"/>
      <c r="EBU5" s="279"/>
      <c r="EBV5" s="279"/>
      <c r="EBW5" s="279"/>
      <c r="EBX5" s="279"/>
      <c r="EBY5" s="279"/>
      <c r="EBZ5" s="279"/>
      <c r="ECA5" s="279"/>
      <c r="ECB5" s="279"/>
      <c r="ECC5" s="279"/>
      <c r="ECD5" s="279"/>
      <c r="ECE5" s="279"/>
      <c r="ECF5" s="279"/>
      <c r="ECG5" s="279"/>
      <c r="ECH5" s="279"/>
      <c r="ECI5" s="279"/>
      <c r="ECJ5" s="279"/>
      <c r="ECK5" s="279"/>
      <c r="ECL5" s="279"/>
      <c r="ECM5" s="279"/>
      <c r="ECN5" s="279"/>
      <c r="ECO5" s="279"/>
      <c r="ECP5" s="279"/>
      <c r="ECQ5" s="279"/>
      <c r="ECR5" s="279"/>
      <c r="ECS5" s="279"/>
      <c r="ECT5" s="279"/>
      <c r="ECU5" s="279"/>
      <c r="ECV5" s="279"/>
      <c r="ECW5" s="279"/>
      <c r="ECX5" s="279"/>
      <c r="ECY5" s="279"/>
      <c r="ECZ5" s="279"/>
      <c r="EDA5" s="279"/>
      <c r="EDB5" s="279"/>
      <c r="EDC5" s="279"/>
      <c r="EDD5" s="279"/>
      <c r="EDE5" s="279"/>
      <c r="EDF5" s="279"/>
      <c r="EDG5" s="279"/>
      <c r="EDH5" s="279"/>
      <c r="EDI5" s="279"/>
      <c r="EDJ5" s="279"/>
      <c r="EDK5" s="279"/>
      <c r="EDL5" s="279"/>
      <c r="EDM5" s="279"/>
      <c r="EDN5" s="279"/>
      <c r="EDO5" s="279"/>
      <c r="EDP5" s="279"/>
      <c r="EDQ5" s="279"/>
      <c r="EDR5" s="279"/>
      <c r="EDS5" s="279"/>
      <c r="EDT5" s="279"/>
      <c r="EDU5" s="279"/>
      <c r="EDV5" s="279"/>
      <c r="EDW5" s="279"/>
      <c r="EDX5" s="279"/>
      <c r="EDY5" s="279"/>
      <c r="EDZ5" s="279"/>
      <c r="EEA5" s="279"/>
      <c r="EEB5" s="279"/>
      <c r="EEC5" s="279"/>
      <c r="EED5" s="279"/>
      <c r="EEE5" s="279"/>
      <c r="EEF5" s="279"/>
      <c r="EEG5" s="279"/>
      <c r="EEH5" s="279"/>
      <c r="EEI5" s="279"/>
      <c r="EEJ5" s="279"/>
      <c r="EEK5" s="279"/>
      <c r="EEL5" s="279"/>
      <c r="EEM5" s="279"/>
      <c r="EEN5" s="279"/>
      <c r="EEO5" s="279"/>
      <c r="EEP5" s="279"/>
      <c r="EEQ5" s="279"/>
      <c r="EER5" s="279"/>
      <c r="EES5" s="279"/>
      <c r="EET5" s="279"/>
      <c r="EEU5" s="279"/>
      <c r="EEV5" s="279"/>
      <c r="EEW5" s="279"/>
      <c r="EEX5" s="279"/>
      <c r="EEY5" s="279"/>
      <c r="EEZ5" s="279"/>
      <c r="EFA5" s="279"/>
      <c r="EFB5" s="279"/>
      <c r="EFC5" s="279"/>
      <c r="EFD5" s="279"/>
      <c r="EFE5" s="279"/>
      <c r="EFF5" s="279"/>
      <c r="EFG5" s="279"/>
      <c r="EFH5" s="279"/>
      <c r="EFI5" s="279"/>
      <c r="EFJ5" s="279"/>
      <c r="EFK5" s="279"/>
      <c r="EFL5" s="279"/>
      <c r="EFM5" s="279"/>
      <c r="EFN5" s="279"/>
      <c r="EFO5" s="279"/>
      <c r="EFP5" s="279"/>
      <c r="EFQ5" s="279"/>
      <c r="EFR5" s="279"/>
      <c r="EFS5" s="279"/>
      <c r="EFT5" s="279"/>
      <c r="EFU5" s="279"/>
      <c r="EFV5" s="279"/>
      <c r="EFW5" s="279"/>
      <c r="EFX5" s="279"/>
      <c r="EFY5" s="279"/>
      <c r="EFZ5" s="279"/>
      <c r="EGA5" s="279"/>
      <c r="EGB5" s="279"/>
      <c r="EGC5" s="279"/>
      <c r="EGD5" s="279"/>
      <c r="EGE5" s="279"/>
      <c r="EGF5" s="279"/>
      <c r="EGG5" s="279"/>
      <c r="EGH5" s="279"/>
      <c r="EGI5" s="279"/>
      <c r="EGJ5" s="279"/>
      <c r="EGK5" s="279"/>
      <c r="EGL5" s="279"/>
      <c r="EGM5" s="279"/>
      <c r="EGN5" s="279"/>
      <c r="EGO5" s="279"/>
      <c r="EGP5" s="279"/>
      <c r="EGQ5" s="279"/>
      <c r="EGR5" s="279"/>
      <c r="EGS5" s="279"/>
      <c r="EGT5" s="279"/>
      <c r="EGU5" s="279"/>
      <c r="EGV5" s="279"/>
      <c r="EGW5" s="279"/>
      <c r="EGX5" s="279"/>
      <c r="EGY5" s="279"/>
      <c r="EGZ5" s="279"/>
      <c r="EHA5" s="279"/>
      <c r="EHB5" s="279"/>
      <c r="EHC5" s="279"/>
      <c r="EHD5" s="279"/>
      <c r="EHE5" s="279"/>
      <c r="EHF5" s="279"/>
      <c r="EHG5" s="279"/>
      <c r="EHH5" s="279"/>
      <c r="EHI5" s="279"/>
      <c r="EHJ5" s="279"/>
      <c r="EHK5" s="279"/>
      <c r="EHL5" s="279"/>
      <c r="EHM5" s="279"/>
      <c r="EHN5" s="279"/>
      <c r="EHO5" s="279"/>
      <c r="EHP5" s="279"/>
      <c r="EHQ5" s="279"/>
      <c r="EHR5" s="279"/>
      <c r="EHS5" s="279"/>
      <c r="EHT5" s="279"/>
      <c r="EHU5" s="279"/>
      <c r="EHV5" s="279"/>
      <c r="EHW5" s="279"/>
      <c r="EHX5" s="279"/>
      <c r="EHY5" s="279"/>
      <c r="EHZ5" s="279"/>
      <c r="EIA5" s="279"/>
      <c r="EIB5" s="279"/>
      <c r="EIC5" s="279"/>
      <c r="EID5" s="279"/>
      <c r="EIE5" s="279"/>
      <c r="EIF5" s="279"/>
      <c r="EIG5" s="279"/>
      <c r="EIH5" s="279"/>
      <c r="EII5" s="279"/>
      <c r="EIJ5" s="279"/>
      <c r="EIK5" s="279"/>
      <c r="EIL5" s="279"/>
      <c r="EIM5" s="279"/>
      <c r="EIN5" s="279"/>
      <c r="EIO5" s="279"/>
      <c r="EIP5" s="279"/>
      <c r="EIQ5" s="279"/>
      <c r="EIR5" s="279"/>
      <c r="EIS5" s="279"/>
      <c r="EIT5" s="279"/>
      <c r="EIU5" s="279"/>
      <c r="EIV5" s="279"/>
      <c r="EIW5" s="279"/>
      <c r="EIX5" s="279"/>
      <c r="EIY5" s="279"/>
      <c r="EIZ5" s="279"/>
      <c r="EJA5" s="279"/>
      <c r="EJB5" s="279"/>
      <c r="EJC5" s="279"/>
      <c r="EJD5" s="279"/>
      <c r="EJE5" s="279"/>
      <c r="EJF5" s="279"/>
      <c r="EJG5" s="279"/>
      <c r="EJH5" s="279"/>
      <c r="EJI5" s="279"/>
      <c r="EJJ5" s="279"/>
      <c r="EJK5" s="279"/>
      <c r="EJL5" s="279"/>
      <c r="EJM5" s="279"/>
      <c r="EJN5" s="279"/>
      <c r="EJO5" s="279"/>
      <c r="EJP5" s="279"/>
      <c r="EJQ5" s="279"/>
      <c r="EJR5" s="279"/>
      <c r="EJS5" s="279"/>
      <c r="EJT5" s="279"/>
      <c r="EJU5" s="279"/>
      <c r="EJV5" s="279"/>
      <c r="EJW5" s="279"/>
      <c r="EJX5" s="279"/>
      <c r="EJY5" s="279"/>
      <c r="EJZ5" s="279"/>
      <c r="EKA5" s="279"/>
      <c r="EKB5" s="279"/>
      <c r="EKC5" s="279"/>
      <c r="EKD5" s="279"/>
      <c r="EKE5" s="279"/>
      <c r="EKF5" s="279"/>
      <c r="EKG5" s="279"/>
      <c r="EKH5" s="279"/>
      <c r="EKI5" s="279"/>
      <c r="EKJ5" s="279"/>
      <c r="EKK5" s="279"/>
      <c r="EKL5" s="279"/>
      <c r="EKM5" s="279"/>
      <c r="EKN5" s="279"/>
      <c r="EKO5" s="279"/>
      <c r="EKP5" s="279"/>
      <c r="EKQ5" s="279"/>
      <c r="EKR5" s="279"/>
      <c r="EKS5" s="279"/>
      <c r="EKT5" s="279"/>
      <c r="EKU5" s="279"/>
      <c r="EKV5" s="279"/>
      <c r="EKW5" s="279"/>
      <c r="EKX5" s="279"/>
      <c r="EKY5" s="279"/>
      <c r="EKZ5" s="279"/>
      <c r="ELA5" s="279"/>
      <c r="ELB5" s="279"/>
      <c r="ELC5" s="279"/>
      <c r="ELD5" s="279"/>
      <c r="ELE5" s="279"/>
      <c r="ELF5" s="279"/>
      <c r="ELG5" s="279"/>
      <c r="ELH5" s="279"/>
      <c r="ELI5" s="279"/>
      <c r="ELJ5" s="279"/>
      <c r="ELK5" s="279"/>
      <c r="ELL5" s="279"/>
      <c r="ELM5" s="279"/>
      <c r="ELN5" s="279"/>
      <c r="ELO5" s="279"/>
      <c r="ELP5" s="279"/>
      <c r="ELQ5" s="279"/>
      <c r="ELR5" s="279"/>
      <c r="ELS5" s="279"/>
      <c r="ELT5" s="279"/>
      <c r="ELU5" s="279"/>
      <c r="ELV5" s="279"/>
      <c r="ELW5" s="279"/>
      <c r="ELX5" s="279"/>
      <c r="ELY5" s="279"/>
      <c r="ELZ5" s="279"/>
      <c r="EMA5" s="279"/>
      <c r="EMB5" s="279"/>
      <c r="EMC5" s="279"/>
      <c r="EMD5" s="279"/>
      <c r="EME5" s="279"/>
      <c r="EMF5" s="279"/>
      <c r="EMG5" s="279"/>
      <c r="EMH5" s="279"/>
      <c r="EMI5" s="279"/>
      <c r="EMJ5" s="279"/>
      <c r="EMK5" s="279"/>
      <c r="EML5" s="279"/>
      <c r="EMM5" s="279"/>
      <c r="EMN5" s="279"/>
      <c r="EMO5" s="279"/>
      <c r="EMP5" s="279"/>
      <c r="EMQ5" s="279"/>
      <c r="EMR5" s="279"/>
      <c r="EMS5" s="279"/>
      <c r="EMT5" s="279"/>
      <c r="EMU5" s="279"/>
      <c r="EMV5" s="279"/>
      <c r="EMW5" s="279"/>
      <c r="EMX5" s="279"/>
      <c r="EMY5" s="279"/>
      <c r="EMZ5" s="279"/>
      <c r="ENA5" s="279"/>
      <c r="ENB5" s="279"/>
      <c r="ENC5" s="279"/>
      <c r="END5" s="279"/>
      <c r="ENE5" s="279"/>
      <c r="ENF5" s="279"/>
      <c r="ENG5" s="279"/>
      <c r="ENH5" s="279"/>
      <c r="ENI5" s="279"/>
      <c r="ENJ5" s="279"/>
      <c r="ENK5" s="279"/>
      <c r="ENL5" s="279"/>
      <c r="ENM5" s="279"/>
      <c r="ENN5" s="279"/>
      <c r="ENO5" s="279"/>
      <c r="ENP5" s="279"/>
      <c r="ENQ5" s="279"/>
      <c r="ENR5" s="279"/>
      <c r="ENS5" s="279"/>
      <c r="ENT5" s="279"/>
      <c r="ENU5" s="279"/>
      <c r="ENV5" s="279"/>
      <c r="ENW5" s="279"/>
      <c r="ENX5" s="279"/>
      <c r="ENY5" s="279"/>
      <c r="ENZ5" s="279"/>
      <c r="EOA5" s="279"/>
      <c r="EOB5" s="279"/>
      <c r="EOC5" s="279"/>
      <c r="EOD5" s="279"/>
      <c r="EOE5" s="279"/>
      <c r="EOF5" s="279"/>
      <c r="EOG5" s="279"/>
      <c r="EOH5" s="279"/>
      <c r="EOI5" s="279"/>
      <c r="EOJ5" s="279"/>
      <c r="EOK5" s="279"/>
      <c r="EOL5" s="279"/>
      <c r="EOM5" s="279"/>
      <c r="EON5" s="279"/>
      <c r="EOO5" s="279"/>
      <c r="EOP5" s="279"/>
      <c r="EOQ5" s="279"/>
      <c r="EOR5" s="279"/>
      <c r="EOS5" s="279"/>
      <c r="EOT5" s="279"/>
      <c r="EOU5" s="279"/>
      <c r="EOV5" s="279"/>
      <c r="EOW5" s="279"/>
      <c r="EOX5" s="279"/>
      <c r="EOY5" s="279"/>
      <c r="EOZ5" s="279"/>
      <c r="EPA5" s="279"/>
      <c r="EPB5" s="279"/>
      <c r="EPC5" s="279"/>
      <c r="EPD5" s="279"/>
      <c r="EPE5" s="279"/>
      <c r="EPF5" s="279"/>
      <c r="EPG5" s="279"/>
      <c r="EPH5" s="279"/>
      <c r="EPI5" s="279"/>
      <c r="EPJ5" s="279"/>
      <c r="EPK5" s="279"/>
      <c r="EPL5" s="279"/>
      <c r="EPM5" s="279"/>
      <c r="EPN5" s="279"/>
      <c r="EPO5" s="279"/>
      <c r="EPP5" s="279"/>
      <c r="EPQ5" s="279"/>
      <c r="EPR5" s="279"/>
      <c r="EPS5" s="279"/>
      <c r="EPT5" s="279"/>
      <c r="EPU5" s="279"/>
      <c r="EPV5" s="279"/>
      <c r="EPW5" s="279"/>
      <c r="EPX5" s="279"/>
      <c r="EPY5" s="279"/>
      <c r="EPZ5" s="279"/>
      <c r="EQA5" s="279"/>
      <c r="EQB5" s="279"/>
      <c r="EQC5" s="279"/>
      <c r="EQD5" s="279"/>
      <c r="EQE5" s="279"/>
      <c r="EQF5" s="279"/>
      <c r="EQG5" s="279"/>
      <c r="EQH5" s="279"/>
      <c r="EQI5" s="279"/>
      <c r="EQJ5" s="279"/>
      <c r="EQK5" s="279"/>
      <c r="EQL5" s="279"/>
      <c r="EQM5" s="279"/>
      <c r="EQN5" s="279"/>
      <c r="EQO5" s="279"/>
      <c r="EQP5" s="279"/>
      <c r="EQQ5" s="279"/>
      <c r="EQR5" s="279"/>
      <c r="EQS5" s="279"/>
      <c r="EQT5" s="279"/>
      <c r="EQU5" s="279"/>
      <c r="EQV5" s="279"/>
      <c r="EQW5" s="279"/>
      <c r="EQX5" s="279"/>
      <c r="EQY5" s="279"/>
      <c r="EQZ5" s="279"/>
      <c r="ERA5" s="279"/>
      <c r="ERB5" s="279"/>
      <c r="ERC5" s="279"/>
      <c r="ERD5" s="279"/>
      <c r="ERE5" s="279"/>
      <c r="ERF5" s="279"/>
      <c r="ERG5" s="279"/>
      <c r="ERH5" s="279"/>
      <c r="ERI5" s="279"/>
      <c r="ERJ5" s="279"/>
      <c r="ERK5" s="279"/>
      <c r="ERL5" s="279"/>
      <c r="ERM5" s="279"/>
      <c r="ERN5" s="279"/>
      <c r="ERO5" s="279"/>
      <c r="ERP5" s="279"/>
      <c r="ERQ5" s="279"/>
      <c r="ERR5" s="279"/>
      <c r="ERS5" s="279"/>
      <c r="ERT5" s="279"/>
      <c r="ERU5" s="279"/>
      <c r="ERV5" s="279"/>
      <c r="ERW5" s="279"/>
      <c r="ERX5" s="279"/>
      <c r="ERY5" s="279"/>
      <c r="ERZ5" s="279"/>
      <c r="ESA5" s="279"/>
      <c r="ESB5" s="279"/>
      <c r="ESC5" s="279"/>
      <c r="ESD5" s="279"/>
      <c r="ESE5" s="279"/>
      <c r="ESF5" s="279"/>
      <c r="ESG5" s="279"/>
      <c r="ESH5" s="279"/>
      <c r="ESI5" s="279"/>
      <c r="ESJ5" s="279"/>
      <c r="ESK5" s="279"/>
      <c r="ESL5" s="279"/>
      <c r="ESM5" s="279"/>
      <c r="ESN5" s="279"/>
      <c r="ESO5" s="279"/>
      <c r="ESP5" s="279"/>
      <c r="ESQ5" s="279"/>
      <c r="ESR5" s="279"/>
      <c r="ESS5" s="279"/>
      <c r="EST5" s="279"/>
      <c r="ESU5" s="279"/>
      <c r="ESV5" s="279"/>
      <c r="ESW5" s="279"/>
      <c r="ESX5" s="279"/>
      <c r="ESY5" s="279"/>
      <c r="ESZ5" s="279"/>
      <c r="ETA5" s="279"/>
      <c r="ETB5" s="279"/>
      <c r="ETC5" s="279"/>
      <c r="ETD5" s="279"/>
      <c r="ETE5" s="279"/>
      <c r="ETF5" s="279"/>
      <c r="ETG5" s="279"/>
      <c r="ETH5" s="279"/>
      <c r="ETI5" s="279"/>
      <c r="ETJ5" s="279"/>
      <c r="ETK5" s="279"/>
      <c r="ETL5" s="279"/>
      <c r="ETM5" s="279"/>
      <c r="ETN5" s="279"/>
      <c r="ETO5" s="279"/>
      <c r="ETP5" s="279"/>
      <c r="ETQ5" s="279"/>
      <c r="ETR5" s="279"/>
      <c r="ETS5" s="279"/>
      <c r="ETT5" s="279"/>
      <c r="ETU5" s="279"/>
      <c r="ETV5" s="279"/>
      <c r="ETW5" s="279"/>
      <c r="ETX5" s="279"/>
      <c r="ETY5" s="279"/>
      <c r="ETZ5" s="279"/>
      <c r="EUA5" s="279"/>
      <c r="EUB5" s="279"/>
      <c r="EUC5" s="279"/>
      <c r="EUD5" s="279"/>
      <c r="EUE5" s="279"/>
      <c r="EUF5" s="279"/>
      <c r="EUG5" s="279"/>
      <c r="EUH5" s="279"/>
      <c r="EUI5" s="279"/>
      <c r="EUJ5" s="279"/>
      <c r="EUK5" s="279"/>
      <c r="EUL5" s="279"/>
      <c r="EUM5" s="279"/>
      <c r="EUN5" s="279"/>
      <c r="EUO5" s="279"/>
      <c r="EUP5" s="279"/>
      <c r="EUQ5" s="279"/>
      <c r="EUR5" s="279"/>
      <c r="EUS5" s="279"/>
      <c r="EUT5" s="279"/>
      <c r="EUU5" s="279"/>
      <c r="EUV5" s="279"/>
      <c r="EUW5" s="279"/>
      <c r="EUX5" s="279"/>
      <c r="EUY5" s="279"/>
      <c r="EUZ5" s="279"/>
      <c r="EVA5" s="279"/>
      <c r="EVB5" s="279"/>
      <c r="EVC5" s="279"/>
      <c r="EVD5" s="279"/>
      <c r="EVE5" s="279"/>
      <c r="EVF5" s="279"/>
      <c r="EVG5" s="279"/>
      <c r="EVH5" s="279"/>
      <c r="EVI5" s="279"/>
      <c r="EVJ5" s="279"/>
      <c r="EVK5" s="279"/>
      <c r="EVL5" s="279"/>
      <c r="EVM5" s="279"/>
      <c r="EVN5" s="279"/>
      <c r="EVO5" s="279"/>
      <c r="EVP5" s="279"/>
      <c r="EVQ5" s="279"/>
      <c r="EVR5" s="279"/>
      <c r="EVS5" s="279"/>
      <c r="EVT5" s="279"/>
      <c r="EVU5" s="279"/>
      <c r="EVV5" s="279"/>
      <c r="EVW5" s="279"/>
      <c r="EVX5" s="279"/>
      <c r="EVY5" s="279"/>
      <c r="EVZ5" s="279"/>
      <c r="EWA5" s="279"/>
      <c r="EWB5" s="279"/>
      <c r="EWC5" s="279"/>
      <c r="EWD5" s="279"/>
      <c r="EWE5" s="279"/>
      <c r="EWF5" s="279"/>
      <c r="EWG5" s="279"/>
      <c r="EWH5" s="279"/>
      <c r="EWI5" s="279"/>
      <c r="EWJ5" s="279"/>
      <c r="EWK5" s="279"/>
      <c r="EWL5" s="279"/>
      <c r="EWM5" s="279"/>
      <c r="EWN5" s="279"/>
      <c r="EWO5" s="279"/>
      <c r="EWP5" s="279"/>
      <c r="EWQ5" s="279"/>
      <c r="EWR5" s="279"/>
      <c r="EWS5" s="279"/>
      <c r="EWT5" s="279"/>
      <c r="EWU5" s="279"/>
      <c r="EWV5" s="279"/>
      <c r="EWW5" s="279"/>
      <c r="EWX5" s="279"/>
      <c r="EWY5" s="279"/>
      <c r="EWZ5" s="279"/>
      <c r="EXA5" s="279"/>
      <c r="EXB5" s="279"/>
      <c r="EXC5" s="279"/>
      <c r="EXD5" s="279"/>
      <c r="EXE5" s="279"/>
      <c r="EXF5" s="279"/>
      <c r="EXG5" s="279"/>
      <c r="EXH5" s="279"/>
      <c r="EXI5" s="279"/>
      <c r="EXJ5" s="279"/>
      <c r="EXK5" s="279"/>
      <c r="EXL5" s="279"/>
      <c r="EXM5" s="279"/>
      <c r="EXN5" s="279"/>
      <c r="EXO5" s="279"/>
      <c r="EXP5" s="279"/>
      <c r="EXQ5" s="279"/>
      <c r="EXR5" s="279"/>
      <c r="EXS5" s="279"/>
      <c r="EXT5" s="279"/>
      <c r="EXU5" s="279"/>
      <c r="EXV5" s="279"/>
      <c r="EXW5" s="279"/>
      <c r="EXX5" s="279"/>
      <c r="EXY5" s="279"/>
      <c r="EXZ5" s="279"/>
      <c r="EYA5" s="279"/>
      <c r="EYB5" s="279"/>
      <c r="EYC5" s="279"/>
      <c r="EYD5" s="279"/>
      <c r="EYE5" s="279"/>
      <c r="EYF5" s="279"/>
      <c r="EYG5" s="279"/>
      <c r="EYH5" s="279"/>
      <c r="EYI5" s="279"/>
      <c r="EYJ5" s="279"/>
      <c r="EYK5" s="279"/>
      <c r="EYL5" s="279"/>
      <c r="EYM5" s="279"/>
      <c r="EYN5" s="279"/>
      <c r="EYO5" s="279"/>
      <c r="EYP5" s="279"/>
      <c r="EYQ5" s="279"/>
      <c r="EYR5" s="279"/>
      <c r="EYS5" s="279"/>
      <c r="EYT5" s="279"/>
      <c r="EYU5" s="279"/>
      <c r="EYV5" s="279"/>
      <c r="EYW5" s="279"/>
      <c r="EYX5" s="279"/>
      <c r="EYY5" s="279"/>
      <c r="EYZ5" s="279"/>
      <c r="EZA5" s="279"/>
      <c r="EZB5" s="279"/>
      <c r="EZC5" s="279"/>
      <c r="EZD5" s="279"/>
      <c r="EZE5" s="279"/>
      <c r="EZF5" s="279"/>
      <c r="EZG5" s="279"/>
      <c r="EZH5" s="279"/>
      <c r="EZI5" s="279"/>
      <c r="EZJ5" s="279"/>
      <c r="EZK5" s="279"/>
      <c r="EZL5" s="279"/>
      <c r="EZM5" s="279"/>
      <c r="EZN5" s="279"/>
      <c r="EZO5" s="279"/>
      <c r="EZP5" s="279"/>
      <c r="EZQ5" s="279"/>
      <c r="EZR5" s="279"/>
      <c r="EZS5" s="279"/>
      <c r="EZT5" s="279"/>
      <c r="EZU5" s="279"/>
      <c r="EZV5" s="279"/>
      <c r="EZW5" s="279"/>
      <c r="EZX5" s="279"/>
      <c r="EZY5" s="279"/>
      <c r="EZZ5" s="279"/>
      <c r="FAA5" s="279"/>
      <c r="FAB5" s="279"/>
      <c r="FAC5" s="279"/>
      <c r="FAD5" s="279"/>
      <c r="FAE5" s="279"/>
      <c r="FAF5" s="279"/>
      <c r="FAG5" s="279"/>
      <c r="FAH5" s="279"/>
      <c r="FAI5" s="279"/>
      <c r="FAJ5" s="279"/>
      <c r="FAK5" s="279"/>
      <c r="FAL5" s="279"/>
      <c r="FAM5" s="279"/>
      <c r="FAN5" s="279"/>
      <c r="FAO5" s="279"/>
      <c r="FAP5" s="279"/>
      <c r="FAQ5" s="279"/>
      <c r="FAR5" s="279"/>
      <c r="FAS5" s="279"/>
      <c r="FAT5" s="279"/>
      <c r="FAU5" s="279"/>
      <c r="FAV5" s="279"/>
      <c r="FAW5" s="279"/>
      <c r="FAX5" s="279"/>
      <c r="FAY5" s="279"/>
      <c r="FAZ5" s="279"/>
      <c r="FBA5" s="279"/>
      <c r="FBB5" s="279"/>
      <c r="FBC5" s="279"/>
      <c r="FBD5" s="279"/>
      <c r="FBE5" s="279"/>
      <c r="FBF5" s="279"/>
      <c r="FBG5" s="279"/>
      <c r="FBH5" s="279"/>
      <c r="FBI5" s="279"/>
      <c r="FBJ5" s="279"/>
      <c r="FBK5" s="279"/>
      <c r="FBL5" s="279"/>
      <c r="FBM5" s="279"/>
      <c r="FBN5" s="279"/>
      <c r="FBO5" s="279"/>
      <c r="FBP5" s="279"/>
      <c r="FBQ5" s="279"/>
      <c r="FBR5" s="279"/>
      <c r="FBS5" s="279"/>
      <c r="FBT5" s="279"/>
      <c r="FBU5" s="279"/>
      <c r="FBV5" s="279"/>
      <c r="FBW5" s="279"/>
      <c r="FBX5" s="279"/>
      <c r="FBY5" s="279"/>
      <c r="FBZ5" s="279"/>
      <c r="FCA5" s="279"/>
      <c r="FCB5" s="279"/>
      <c r="FCC5" s="279"/>
      <c r="FCD5" s="279"/>
      <c r="FCE5" s="279"/>
      <c r="FCF5" s="279"/>
      <c r="FCG5" s="279"/>
      <c r="FCH5" s="279"/>
      <c r="FCI5" s="279"/>
      <c r="FCJ5" s="279"/>
      <c r="FCK5" s="279"/>
      <c r="FCL5" s="279"/>
      <c r="FCM5" s="279"/>
      <c r="FCN5" s="279"/>
      <c r="FCO5" s="279"/>
      <c r="FCP5" s="279"/>
      <c r="FCQ5" s="279"/>
      <c r="FCR5" s="279"/>
      <c r="FCS5" s="279"/>
      <c r="FCT5" s="279"/>
      <c r="FCU5" s="279"/>
      <c r="FCV5" s="279"/>
      <c r="FCW5" s="279"/>
      <c r="FCX5" s="279"/>
      <c r="FCY5" s="279"/>
      <c r="FCZ5" s="279"/>
      <c r="FDA5" s="279"/>
      <c r="FDB5" s="279"/>
      <c r="FDC5" s="279"/>
      <c r="FDD5" s="279"/>
      <c r="FDE5" s="279"/>
      <c r="FDF5" s="279"/>
      <c r="FDG5" s="279"/>
      <c r="FDH5" s="279"/>
      <c r="FDI5" s="279"/>
      <c r="FDJ5" s="279"/>
      <c r="FDK5" s="279"/>
      <c r="FDL5" s="279"/>
      <c r="FDM5" s="279"/>
      <c r="FDN5" s="279"/>
      <c r="FDO5" s="279"/>
      <c r="FDP5" s="279"/>
      <c r="FDQ5" s="279"/>
      <c r="FDR5" s="279"/>
      <c r="FDS5" s="279"/>
      <c r="FDT5" s="279"/>
      <c r="FDU5" s="279"/>
      <c r="FDV5" s="279"/>
      <c r="FDW5" s="279"/>
      <c r="FDX5" s="279"/>
      <c r="FDY5" s="279"/>
      <c r="FDZ5" s="279"/>
      <c r="FEA5" s="279"/>
      <c r="FEB5" s="279"/>
      <c r="FEC5" s="279"/>
      <c r="FED5" s="279"/>
      <c r="FEE5" s="279"/>
      <c r="FEF5" s="279"/>
      <c r="FEG5" s="279"/>
      <c r="FEH5" s="279"/>
      <c r="FEI5" s="279"/>
      <c r="FEJ5" s="279"/>
      <c r="FEK5" s="279"/>
      <c r="FEL5" s="279"/>
      <c r="FEM5" s="279"/>
      <c r="FEN5" s="279"/>
      <c r="FEO5" s="279"/>
      <c r="FEP5" s="279"/>
      <c r="FEQ5" s="279"/>
      <c r="FER5" s="279"/>
      <c r="FES5" s="279"/>
      <c r="FET5" s="279"/>
      <c r="FEU5" s="279"/>
      <c r="FEV5" s="279"/>
      <c r="FEW5" s="279"/>
      <c r="FEX5" s="279"/>
      <c r="FEY5" s="279"/>
      <c r="FEZ5" s="279"/>
      <c r="FFA5" s="279"/>
      <c r="FFB5" s="279"/>
      <c r="FFC5" s="279"/>
      <c r="FFD5" s="279"/>
      <c r="FFE5" s="279"/>
      <c r="FFF5" s="279"/>
      <c r="FFG5" s="279"/>
      <c r="FFH5" s="279"/>
      <c r="FFI5" s="279"/>
      <c r="FFJ5" s="279"/>
      <c r="FFK5" s="279"/>
      <c r="FFL5" s="279"/>
      <c r="FFM5" s="279"/>
      <c r="FFN5" s="279"/>
      <c r="FFO5" s="279"/>
      <c r="FFP5" s="279"/>
      <c r="FFQ5" s="279"/>
      <c r="FFR5" s="279"/>
      <c r="FFS5" s="279"/>
      <c r="FFT5" s="279"/>
      <c r="FFU5" s="279"/>
      <c r="FFV5" s="279"/>
      <c r="FFW5" s="279"/>
      <c r="FFX5" s="279"/>
      <c r="FFY5" s="279"/>
      <c r="FFZ5" s="279"/>
      <c r="FGA5" s="279"/>
      <c r="FGB5" s="279"/>
      <c r="FGC5" s="279"/>
      <c r="FGD5" s="279"/>
      <c r="FGE5" s="279"/>
      <c r="FGF5" s="279"/>
      <c r="FGG5" s="279"/>
      <c r="FGH5" s="279"/>
      <c r="FGI5" s="279"/>
      <c r="FGJ5" s="279"/>
      <c r="FGK5" s="279"/>
      <c r="FGL5" s="279"/>
      <c r="FGM5" s="279"/>
      <c r="FGN5" s="279"/>
      <c r="FGO5" s="279"/>
      <c r="FGP5" s="279"/>
      <c r="FGQ5" s="279"/>
      <c r="FGR5" s="279"/>
      <c r="FGS5" s="279"/>
      <c r="FGT5" s="279"/>
      <c r="FGU5" s="279"/>
      <c r="FGV5" s="279"/>
      <c r="FGW5" s="279"/>
      <c r="FGX5" s="279"/>
      <c r="FGY5" s="279"/>
      <c r="FGZ5" s="279"/>
      <c r="FHA5" s="279"/>
      <c r="FHB5" s="279"/>
      <c r="FHC5" s="279"/>
      <c r="FHD5" s="279"/>
      <c r="FHE5" s="279"/>
      <c r="FHF5" s="279"/>
      <c r="FHG5" s="279"/>
      <c r="FHH5" s="279"/>
      <c r="FHI5" s="279"/>
      <c r="FHJ5" s="279"/>
      <c r="FHK5" s="279"/>
      <c r="FHL5" s="279"/>
      <c r="FHM5" s="279"/>
      <c r="FHN5" s="279"/>
      <c r="FHO5" s="279"/>
      <c r="FHP5" s="279"/>
      <c r="FHQ5" s="279"/>
      <c r="FHR5" s="279"/>
      <c r="FHS5" s="279"/>
      <c r="FHT5" s="279"/>
      <c r="FHU5" s="279"/>
      <c r="FHV5" s="279"/>
      <c r="FHW5" s="279"/>
      <c r="FHX5" s="279"/>
      <c r="FHY5" s="279"/>
      <c r="FHZ5" s="279"/>
      <c r="FIA5" s="279"/>
      <c r="FIB5" s="279"/>
      <c r="FIC5" s="279"/>
      <c r="FID5" s="279"/>
      <c r="FIE5" s="279"/>
      <c r="FIF5" s="279"/>
      <c r="FIG5" s="279"/>
      <c r="FIH5" s="279"/>
      <c r="FII5" s="279"/>
      <c r="FIJ5" s="279"/>
      <c r="FIK5" s="279"/>
      <c r="FIL5" s="279"/>
      <c r="FIM5" s="279"/>
      <c r="FIN5" s="279"/>
      <c r="FIO5" s="279"/>
      <c r="FIP5" s="279"/>
      <c r="FIQ5" s="279"/>
      <c r="FIR5" s="279"/>
      <c r="FIS5" s="279"/>
      <c r="FIT5" s="279"/>
      <c r="FIU5" s="279"/>
      <c r="FIV5" s="279"/>
      <c r="FIW5" s="279"/>
      <c r="FIX5" s="279"/>
      <c r="FIY5" s="279"/>
      <c r="FIZ5" s="279"/>
      <c r="FJA5" s="279"/>
      <c r="FJB5" s="279"/>
      <c r="FJC5" s="279"/>
      <c r="FJD5" s="279"/>
      <c r="FJE5" s="279"/>
      <c r="FJF5" s="279"/>
      <c r="FJG5" s="279"/>
      <c r="FJH5" s="279"/>
      <c r="FJI5" s="279"/>
      <c r="FJJ5" s="279"/>
      <c r="FJK5" s="279"/>
      <c r="FJL5" s="279"/>
      <c r="FJM5" s="279"/>
      <c r="FJN5" s="279"/>
      <c r="FJO5" s="279"/>
      <c r="FJP5" s="279"/>
      <c r="FJQ5" s="279"/>
      <c r="FJR5" s="279"/>
      <c r="FJS5" s="279"/>
      <c r="FJT5" s="279"/>
      <c r="FJU5" s="279"/>
      <c r="FJV5" s="279"/>
      <c r="FJW5" s="279"/>
      <c r="FJX5" s="279"/>
      <c r="FJY5" s="279"/>
      <c r="FJZ5" s="279"/>
      <c r="FKA5" s="279"/>
      <c r="FKB5" s="279"/>
      <c r="FKC5" s="279"/>
      <c r="FKD5" s="279"/>
      <c r="FKE5" s="279"/>
      <c r="FKF5" s="279"/>
      <c r="FKG5" s="279"/>
      <c r="FKH5" s="279"/>
      <c r="FKI5" s="279"/>
      <c r="FKJ5" s="279"/>
      <c r="FKK5" s="279"/>
      <c r="FKL5" s="279"/>
      <c r="FKM5" s="279"/>
      <c r="FKN5" s="279"/>
      <c r="FKO5" s="279"/>
      <c r="FKP5" s="279"/>
      <c r="FKQ5" s="279"/>
      <c r="FKR5" s="279"/>
      <c r="FKS5" s="279"/>
      <c r="FKT5" s="279"/>
      <c r="FKU5" s="279"/>
      <c r="FKV5" s="279"/>
      <c r="FKW5" s="279"/>
      <c r="FKX5" s="279"/>
      <c r="FKY5" s="279"/>
      <c r="FKZ5" s="279"/>
      <c r="FLA5" s="279"/>
      <c r="FLB5" s="279"/>
      <c r="FLC5" s="279"/>
      <c r="FLD5" s="279"/>
      <c r="FLE5" s="279"/>
      <c r="FLF5" s="279"/>
      <c r="FLG5" s="279"/>
      <c r="FLH5" s="279"/>
      <c r="FLI5" s="279"/>
      <c r="FLJ5" s="279"/>
      <c r="FLK5" s="279"/>
      <c r="FLL5" s="279"/>
      <c r="FLM5" s="279"/>
      <c r="FLN5" s="279"/>
      <c r="FLO5" s="279"/>
      <c r="FLP5" s="279"/>
      <c r="FLQ5" s="279"/>
      <c r="FLR5" s="279"/>
      <c r="FLS5" s="279"/>
      <c r="FLT5" s="279"/>
      <c r="FLU5" s="279"/>
      <c r="FLV5" s="279"/>
      <c r="FLW5" s="279"/>
      <c r="FLX5" s="279"/>
      <c r="FLY5" s="279"/>
      <c r="FLZ5" s="279"/>
      <c r="FMA5" s="279"/>
      <c r="FMB5" s="279"/>
      <c r="FMC5" s="279"/>
      <c r="FMD5" s="279"/>
      <c r="FME5" s="279"/>
      <c r="FMF5" s="279"/>
      <c r="FMG5" s="279"/>
      <c r="FMH5" s="279"/>
      <c r="FMI5" s="279"/>
      <c r="FMJ5" s="279"/>
      <c r="FMK5" s="279"/>
      <c r="FML5" s="279"/>
      <c r="FMM5" s="279"/>
      <c r="FMN5" s="279"/>
      <c r="FMO5" s="279"/>
      <c r="FMP5" s="279"/>
      <c r="FMQ5" s="279"/>
      <c r="FMR5" s="279"/>
      <c r="FMS5" s="279"/>
      <c r="FMT5" s="279"/>
      <c r="FMU5" s="279"/>
      <c r="FMV5" s="279"/>
      <c r="FMW5" s="279"/>
      <c r="FMX5" s="279"/>
      <c r="FMY5" s="279"/>
      <c r="FMZ5" s="279"/>
      <c r="FNA5" s="279"/>
      <c r="FNB5" s="279"/>
      <c r="FNC5" s="279"/>
      <c r="FND5" s="279"/>
      <c r="FNE5" s="279"/>
      <c r="FNF5" s="279"/>
      <c r="FNG5" s="279"/>
      <c r="FNH5" s="279"/>
      <c r="FNI5" s="279"/>
      <c r="FNJ5" s="279"/>
      <c r="FNK5" s="279"/>
      <c r="FNL5" s="279"/>
      <c r="FNM5" s="279"/>
      <c r="FNN5" s="279"/>
      <c r="FNO5" s="279"/>
      <c r="FNP5" s="279"/>
      <c r="FNQ5" s="279"/>
      <c r="FNR5" s="279"/>
      <c r="FNS5" s="279"/>
      <c r="FNT5" s="279"/>
      <c r="FNU5" s="279"/>
      <c r="FNV5" s="279"/>
      <c r="FNW5" s="279"/>
      <c r="FNX5" s="279"/>
      <c r="FNY5" s="279"/>
      <c r="FNZ5" s="279"/>
      <c r="FOA5" s="279"/>
      <c r="FOB5" s="279"/>
      <c r="FOC5" s="279"/>
      <c r="FOD5" s="279"/>
      <c r="FOE5" s="279"/>
      <c r="FOF5" s="279"/>
      <c r="FOG5" s="279"/>
      <c r="FOH5" s="279"/>
      <c r="FOI5" s="279"/>
      <c r="FOJ5" s="279"/>
      <c r="FOK5" s="279"/>
      <c r="FOL5" s="279"/>
      <c r="FOM5" s="279"/>
      <c r="FON5" s="279"/>
      <c r="FOO5" s="279"/>
      <c r="FOP5" s="279"/>
      <c r="FOQ5" s="279"/>
      <c r="FOR5" s="279"/>
      <c r="FOS5" s="279"/>
      <c r="FOT5" s="279"/>
      <c r="FOU5" s="279"/>
      <c r="FOV5" s="279"/>
      <c r="FOW5" s="279"/>
      <c r="FOX5" s="279"/>
      <c r="FOY5" s="279"/>
      <c r="FOZ5" s="279"/>
      <c r="FPA5" s="279"/>
      <c r="FPB5" s="279"/>
      <c r="FPC5" s="279"/>
      <c r="FPD5" s="279"/>
      <c r="FPE5" s="279"/>
      <c r="FPF5" s="279"/>
      <c r="FPG5" s="279"/>
      <c r="FPH5" s="279"/>
      <c r="FPI5" s="279"/>
      <c r="FPJ5" s="279"/>
      <c r="FPK5" s="279"/>
      <c r="FPL5" s="279"/>
      <c r="FPM5" s="279"/>
      <c r="FPN5" s="279"/>
      <c r="FPO5" s="279"/>
      <c r="FPP5" s="279"/>
      <c r="FPQ5" s="279"/>
      <c r="FPR5" s="279"/>
      <c r="FPS5" s="279"/>
      <c r="FPT5" s="279"/>
      <c r="FPU5" s="279"/>
      <c r="FPV5" s="279"/>
      <c r="FPW5" s="279"/>
      <c r="FPX5" s="279"/>
      <c r="FPY5" s="279"/>
      <c r="FPZ5" s="279"/>
      <c r="FQA5" s="279"/>
      <c r="FQB5" s="279"/>
      <c r="FQC5" s="279"/>
      <c r="FQD5" s="279"/>
      <c r="FQE5" s="279"/>
      <c r="FQF5" s="279"/>
      <c r="FQG5" s="279"/>
      <c r="FQH5" s="279"/>
      <c r="FQI5" s="279"/>
      <c r="FQJ5" s="279"/>
      <c r="FQK5" s="279"/>
      <c r="FQL5" s="279"/>
      <c r="FQM5" s="279"/>
      <c r="FQN5" s="279"/>
      <c r="FQO5" s="279"/>
      <c r="FQP5" s="279"/>
      <c r="FQQ5" s="279"/>
      <c r="FQR5" s="279"/>
      <c r="FQS5" s="279"/>
      <c r="FQT5" s="279"/>
      <c r="FQU5" s="279"/>
      <c r="FQV5" s="279"/>
      <c r="FQW5" s="279"/>
      <c r="FQX5" s="279"/>
      <c r="FQY5" s="279"/>
      <c r="FQZ5" s="279"/>
      <c r="FRA5" s="279"/>
      <c r="FRB5" s="279"/>
      <c r="FRC5" s="279"/>
      <c r="FRD5" s="279"/>
      <c r="FRE5" s="279"/>
      <c r="FRF5" s="279"/>
      <c r="FRG5" s="279"/>
      <c r="FRH5" s="279"/>
      <c r="FRI5" s="279"/>
      <c r="FRJ5" s="279"/>
      <c r="FRK5" s="279"/>
      <c r="FRL5" s="279"/>
      <c r="FRM5" s="279"/>
      <c r="FRN5" s="279"/>
      <c r="FRO5" s="279"/>
      <c r="FRP5" s="279"/>
      <c r="FRQ5" s="279"/>
      <c r="FRR5" s="279"/>
      <c r="FRS5" s="279"/>
      <c r="FRT5" s="279"/>
      <c r="FRU5" s="279"/>
      <c r="FRV5" s="279"/>
      <c r="FRW5" s="279"/>
      <c r="FRX5" s="279"/>
      <c r="FRY5" s="279"/>
      <c r="FRZ5" s="279"/>
      <c r="FSA5" s="279"/>
      <c r="FSB5" s="279"/>
      <c r="FSC5" s="279"/>
      <c r="FSD5" s="279"/>
      <c r="FSE5" s="279"/>
      <c r="FSF5" s="279"/>
      <c r="FSG5" s="279"/>
      <c r="FSH5" s="279"/>
      <c r="FSI5" s="279"/>
      <c r="FSJ5" s="279"/>
      <c r="FSK5" s="279"/>
      <c r="FSL5" s="279"/>
      <c r="FSM5" s="279"/>
      <c r="FSN5" s="279"/>
      <c r="FSO5" s="279"/>
      <c r="FSP5" s="279"/>
      <c r="FSQ5" s="279"/>
      <c r="FSR5" s="279"/>
      <c r="FSS5" s="279"/>
      <c r="FST5" s="279"/>
      <c r="FSU5" s="279"/>
      <c r="FSV5" s="279"/>
      <c r="FSW5" s="279"/>
      <c r="FSX5" s="279"/>
      <c r="FSY5" s="279"/>
      <c r="FSZ5" s="279"/>
      <c r="FTA5" s="279"/>
      <c r="FTB5" s="279"/>
      <c r="FTC5" s="279"/>
      <c r="FTD5" s="279"/>
      <c r="FTE5" s="279"/>
      <c r="FTF5" s="279"/>
      <c r="FTG5" s="279"/>
      <c r="FTH5" s="279"/>
      <c r="FTI5" s="279"/>
      <c r="FTJ5" s="279"/>
      <c r="FTK5" s="279"/>
      <c r="FTL5" s="279"/>
      <c r="FTM5" s="279"/>
      <c r="FTN5" s="279"/>
      <c r="FTO5" s="279"/>
      <c r="FTP5" s="279"/>
      <c r="FTQ5" s="279"/>
      <c r="FTR5" s="279"/>
      <c r="FTS5" s="279"/>
      <c r="FTT5" s="279"/>
      <c r="FTU5" s="279"/>
      <c r="FTV5" s="279"/>
      <c r="FTW5" s="279"/>
      <c r="FTX5" s="279"/>
      <c r="FTY5" s="279"/>
      <c r="FTZ5" s="279"/>
      <c r="FUA5" s="279"/>
      <c r="FUB5" s="279"/>
      <c r="FUC5" s="279"/>
      <c r="FUD5" s="279"/>
      <c r="FUE5" s="279"/>
      <c r="FUF5" s="279"/>
      <c r="FUG5" s="279"/>
      <c r="FUH5" s="279"/>
      <c r="FUI5" s="279"/>
      <c r="FUJ5" s="279"/>
      <c r="FUK5" s="279"/>
      <c r="FUL5" s="279"/>
      <c r="FUM5" s="279"/>
      <c r="FUN5" s="279"/>
      <c r="FUO5" s="279"/>
      <c r="FUP5" s="279"/>
      <c r="FUQ5" s="279"/>
      <c r="FUR5" s="279"/>
      <c r="FUS5" s="279"/>
      <c r="FUT5" s="279"/>
      <c r="FUU5" s="279"/>
      <c r="FUV5" s="279"/>
      <c r="FUW5" s="279"/>
      <c r="FUX5" s="279"/>
      <c r="FUY5" s="279"/>
      <c r="FUZ5" s="279"/>
      <c r="FVA5" s="279"/>
      <c r="FVB5" s="279"/>
      <c r="FVC5" s="279"/>
      <c r="FVD5" s="279"/>
      <c r="FVE5" s="279"/>
      <c r="FVF5" s="279"/>
      <c r="FVG5" s="279"/>
      <c r="FVH5" s="279"/>
      <c r="FVI5" s="279"/>
      <c r="FVJ5" s="279"/>
      <c r="FVK5" s="279"/>
      <c r="FVL5" s="279"/>
      <c r="FVM5" s="279"/>
      <c r="FVN5" s="279"/>
      <c r="FVO5" s="279"/>
      <c r="FVP5" s="279"/>
      <c r="FVQ5" s="279"/>
      <c r="FVR5" s="279"/>
      <c r="FVS5" s="279"/>
      <c r="FVT5" s="279"/>
      <c r="FVU5" s="279"/>
      <c r="FVV5" s="279"/>
      <c r="FVW5" s="279"/>
      <c r="FVX5" s="279"/>
      <c r="FVY5" s="279"/>
      <c r="FVZ5" s="279"/>
      <c r="FWA5" s="279"/>
      <c r="FWB5" s="279"/>
      <c r="FWC5" s="279"/>
      <c r="FWD5" s="279"/>
      <c r="FWE5" s="279"/>
      <c r="FWF5" s="279"/>
      <c r="FWG5" s="279"/>
      <c r="FWH5" s="279"/>
      <c r="FWI5" s="279"/>
      <c r="FWJ5" s="279"/>
      <c r="FWK5" s="279"/>
      <c r="FWL5" s="279"/>
      <c r="FWM5" s="279"/>
      <c r="FWN5" s="279"/>
      <c r="FWO5" s="279"/>
      <c r="FWP5" s="279"/>
      <c r="FWQ5" s="279"/>
      <c r="FWR5" s="279"/>
      <c r="FWS5" s="279"/>
      <c r="FWT5" s="279"/>
      <c r="FWU5" s="279"/>
      <c r="FWV5" s="279"/>
      <c r="FWW5" s="279"/>
      <c r="FWX5" s="279"/>
      <c r="FWY5" s="279"/>
      <c r="FWZ5" s="279"/>
      <c r="FXA5" s="279"/>
      <c r="FXB5" s="279"/>
      <c r="FXC5" s="279"/>
      <c r="FXD5" s="279"/>
      <c r="FXE5" s="279"/>
      <c r="FXF5" s="279"/>
      <c r="FXG5" s="279"/>
      <c r="FXH5" s="279"/>
      <c r="FXI5" s="279"/>
      <c r="FXJ5" s="279"/>
      <c r="FXK5" s="279"/>
      <c r="FXL5" s="279"/>
      <c r="FXM5" s="279"/>
      <c r="FXN5" s="279"/>
      <c r="FXO5" s="279"/>
      <c r="FXP5" s="279"/>
      <c r="FXQ5" s="279"/>
      <c r="FXR5" s="279"/>
      <c r="FXS5" s="279"/>
      <c r="FXT5" s="279"/>
      <c r="FXU5" s="279"/>
      <c r="FXV5" s="279"/>
      <c r="FXW5" s="279"/>
      <c r="FXX5" s="279"/>
      <c r="FXY5" s="279"/>
      <c r="FXZ5" s="279"/>
      <c r="FYA5" s="279"/>
      <c r="FYB5" s="279"/>
      <c r="FYC5" s="279"/>
      <c r="FYD5" s="279"/>
      <c r="FYE5" s="279"/>
      <c r="FYF5" s="279"/>
      <c r="FYG5" s="279"/>
      <c r="FYH5" s="279"/>
      <c r="FYI5" s="279"/>
      <c r="FYJ5" s="279"/>
      <c r="FYK5" s="279"/>
      <c r="FYL5" s="279"/>
      <c r="FYM5" s="279"/>
      <c r="FYN5" s="279"/>
      <c r="FYO5" s="279"/>
      <c r="FYP5" s="279"/>
      <c r="FYQ5" s="279"/>
      <c r="FYR5" s="279"/>
      <c r="FYS5" s="279"/>
      <c r="FYT5" s="279"/>
      <c r="FYU5" s="279"/>
      <c r="FYV5" s="279"/>
      <c r="FYW5" s="279"/>
      <c r="FYX5" s="279"/>
      <c r="FYY5" s="279"/>
      <c r="FYZ5" s="279"/>
      <c r="FZA5" s="279"/>
      <c r="FZB5" s="279"/>
      <c r="FZC5" s="279"/>
      <c r="FZD5" s="279"/>
      <c r="FZE5" s="279"/>
      <c r="FZF5" s="279"/>
      <c r="FZG5" s="279"/>
      <c r="FZH5" s="279"/>
      <c r="FZI5" s="279"/>
      <c r="FZJ5" s="279"/>
      <c r="FZK5" s="279"/>
      <c r="FZL5" s="279"/>
      <c r="FZM5" s="279"/>
      <c r="FZN5" s="279"/>
      <c r="FZO5" s="279"/>
      <c r="FZP5" s="279"/>
      <c r="FZQ5" s="279"/>
      <c r="FZR5" s="279"/>
      <c r="FZS5" s="279"/>
      <c r="FZT5" s="279"/>
      <c r="FZU5" s="279"/>
      <c r="FZV5" s="279"/>
      <c r="FZW5" s="279"/>
      <c r="FZX5" s="279"/>
      <c r="FZY5" s="279"/>
      <c r="FZZ5" s="279"/>
      <c r="GAA5" s="279"/>
      <c r="GAB5" s="279"/>
      <c r="GAC5" s="279"/>
      <c r="GAD5" s="279"/>
      <c r="GAE5" s="279"/>
      <c r="GAF5" s="279"/>
      <c r="GAG5" s="279"/>
      <c r="GAH5" s="279"/>
      <c r="GAI5" s="279"/>
      <c r="GAJ5" s="279"/>
      <c r="GAK5" s="279"/>
      <c r="GAL5" s="279"/>
      <c r="GAM5" s="279"/>
      <c r="GAN5" s="279"/>
      <c r="GAO5" s="279"/>
      <c r="GAP5" s="279"/>
      <c r="GAQ5" s="279"/>
      <c r="GAR5" s="279"/>
      <c r="GAS5" s="279"/>
      <c r="GAT5" s="279"/>
      <c r="GAU5" s="279"/>
      <c r="GAV5" s="279"/>
      <c r="GAW5" s="279"/>
      <c r="GAX5" s="279"/>
      <c r="GAY5" s="279"/>
      <c r="GAZ5" s="279"/>
      <c r="GBA5" s="279"/>
      <c r="GBB5" s="279"/>
      <c r="GBC5" s="279"/>
      <c r="GBD5" s="279"/>
      <c r="GBE5" s="279"/>
      <c r="GBF5" s="279"/>
      <c r="GBG5" s="279"/>
      <c r="GBH5" s="279"/>
      <c r="GBI5" s="279"/>
      <c r="GBJ5" s="279"/>
      <c r="GBK5" s="279"/>
      <c r="GBL5" s="279"/>
      <c r="GBM5" s="279"/>
      <c r="GBN5" s="279"/>
      <c r="GBO5" s="279"/>
      <c r="GBP5" s="279"/>
      <c r="GBQ5" s="279"/>
      <c r="GBR5" s="279"/>
      <c r="GBS5" s="279"/>
      <c r="GBT5" s="279"/>
      <c r="GBU5" s="279"/>
      <c r="GBV5" s="279"/>
      <c r="GBW5" s="279"/>
      <c r="GBX5" s="279"/>
      <c r="GBY5" s="279"/>
      <c r="GBZ5" s="279"/>
      <c r="GCA5" s="279"/>
      <c r="GCB5" s="279"/>
      <c r="GCC5" s="279"/>
      <c r="GCD5" s="279"/>
      <c r="GCE5" s="279"/>
      <c r="GCF5" s="279"/>
      <c r="GCG5" s="279"/>
      <c r="GCH5" s="279"/>
      <c r="GCI5" s="279"/>
      <c r="GCJ5" s="279"/>
      <c r="GCK5" s="279"/>
      <c r="GCL5" s="279"/>
      <c r="GCM5" s="279"/>
      <c r="GCN5" s="279"/>
      <c r="GCO5" s="279"/>
      <c r="GCP5" s="279"/>
      <c r="GCQ5" s="279"/>
      <c r="GCR5" s="279"/>
      <c r="GCS5" s="279"/>
      <c r="GCT5" s="279"/>
      <c r="GCU5" s="279"/>
      <c r="GCV5" s="279"/>
      <c r="GCW5" s="279"/>
      <c r="GCX5" s="279"/>
      <c r="GCY5" s="279"/>
      <c r="GCZ5" s="279"/>
      <c r="GDA5" s="279"/>
      <c r="GDB5" s="279"/>
      <c r="GDC5" s="279"/>
      <c r="GDD5" s="279"/>
      <c r="GDE5" s="279"/>
      <c r="GDF5" s="279"/>
      <c r="GDG5" s="279"/>
      <c r="GDH5" s="279"/>
      <c r="GDI5" s="279"/>
      <c r="GDJ5" s="279"/>
      <c r="GDK5" s="279"/>
      <c r="GDL5" s="279"/>
      <c r="GDM5" s="279"/>
      <c r="GDN5" s="279"/>
      <c r="GDO5" s="279"/>
      <c r="GDP5" s="279"/>
      <c r="GDQ5" s="279"/>
      <c r="GDR5" s="279"/>
      <c r="GDS5" s="279"/>
      <c r="GDT5" s="279"/>
      <c r="GDU5" s="279"/>
      <c r="GDV5" s="279"/>
      <c r="GDW5" s="279"/>
      <c r="GDX5" s="279"/>
      <c r="GDY5" s="279"/>
      <c r="GDZ5" s="279"/>
      <c r="GEA5" s="279"/>
      <c r="GEB5" s="279"/>
      <c r="GEC5" s="279"/>
      <c r="GED5" s="279"/>
      <c r="GEE5" s="279"/>
      <c r="GEF5" s="279"/>
      <c r="GEG5" s="279"/>
      <c r="GEH5" s="279"/>
      <c r="GEI5" s="279"/>
      <c r="GEJ5" s="279"/>
      <c r="GEK5" s="279"/>
      <c r="GEL5" s="279"/>
      <c r="GEM5" s="279"/>
      <c r="GEN5" s="279"/>
      <c r="GEO5" s="279"/>
      <c r="GEP5" s="279"/>
      <c r="GEQ5" s="279"/>
      <c r="GER5" s="279"/>
      <c r="GES5" s="279"/>
      <c r="GET5" s="279"/>
      <c r="GEU5" s="279"/>
      <c r="GEV5" s="279"/>
      <c r="GEW5" s="279"/>
      <c r="GEX5" s="279"/>
      <c r="GEY5" s="279"/>
      <c r="GEZ5" s="279"/>
      <c r="GFA5" s="279"/>
      <c r="GFB5" s="279"/>
      <c r="GFC5" s="279"/>
      <c r="GFD5" s="279"/>
      <c r="GFE5" s="279"/>
      <c r="GFF5" s="279"/>
      <c r="GFG5" s="279"/>
      <c r="GFH5" s="279"/>
      <c r="GFI5" s="279"/>
      <c r="GFJ5" s="279"/>
      <c r="GFK5" s="279"/>
      <c r="GFL5" s="279"/>
      <c r="GFM5" s="279"/>
      <c r="GFN5" s="279"/>
      <c r="GFO5" s="279"/>
      <c r="GFP5" s="279"/>
      <c r="GFQ5" s="279"/>
      <c r="GFR5" s="279"/>
      <c r="GFS5" s="279"/>
      <c r="GFT5" s="279"/>
      <c r="GFU5" s="279"/>
      <c r="GFV5" s="279"/>
      <c r="GFW5" s="279"/>
      <c r="GFX5" s="279"/>
      <c r="GFY5" s="279"/>
      <c r="GFZ5" s="279"/>
      <c r="GGA5" s="279"/>
      <c r="GGB5" s="279"/>
      <c r="GGC5" s="279"/>
      <c r="GGD5" s="279"/>
      <c r="GGE5" s="279"/>
      <c r="GGF5" s="279"/>
      <c r="GGG5" s="279"/>
      <c r="GGH5" s="279"/>
      <c r="GGI5" s="279"/>
      <c r="GGJ5" s="279"/>
      <c r="GGK5" s="279"/>
      <c r="GGL5" s="279"/>
      <c r="GGM5" s="279"/>
      <c r="GGN5" s="279"/>
      <c r="GGO5" s="279"/>
      <c r="GGP5" s="279"/>
      <c r="GGQ5" s="279"/>
      <c r="GGR5" s="279"/>
      <c r="GGS5" s="279"/>
      <c r="GGT5" s="279"/>
      <c r="GGU5" s="279"/>
      <c r="GGV5" s="279"/>
      <c r="GGW5" s="279"/>
      <c r="GGX5" s="279"/>
      <c r="GGY5" s="279"/>
      <c r="GGZ5" s="279"/>
      <c r="GHA5" s="279"/>
      <c r="GHB5" s="279"/>
      <c r="GHC5" s="279"/>
      <c r="GHD5" s="279"/>
      <c r="GHE5" s="279"/>
      <c r="GHF5" s="279"/>
      <c r="GHG5" s="279"/>
      <c r="GHH5" s="279"/>
      <c r="GHI5" s="279"/>
      <c r="GHJ5" s="279"/>
      <c r="GHK5" s="279"/>
      <c r="GHL5" s="279"/>
      <c r="GHM5" s="279"/>
      <c r="GHN5" s="279"/>
      <c r="GHO5" s="279"/>
      <c r="GHP5" s="279"/>
      <c r="GHQ5" s="279"/>
      <c r="GHR5" s="279"/>
      <c r="GHS5" s="279"/>
      <c r="GHT5" s="279"/>
      <c r="GHU5" s="279"/>
      <c r="GHV5" s="279"/>
      <c r="GHW5" s="279"/>
      <c r="GHX5" s="279"/>
      <c r="GHY5" s="279"/>
      <c r="GHZ5" s="279"/>
      <c r="GIA5" s="279"/>
      <c r="GIB5" s="279"/>
      <c r="GIC5" s="279"/>
      <c r="GID5" s="279"/>
      <c r="GIE5" s="279"/>
      <c r="GIF5" s="279"/>
      <c r="GIG5" s="279"/>
      <c r="GIH5" s="279"/>
      <c r="GII5" s="279"/>
      <c r="GIJ5" s="279"/>
      <c r="GIK5" s="279"/>
      <c r="GIL5" s="279"/>
      <c r="GIM5" s="279"/>
      <c r="GIN5" s="279"/>
      <c r="GIO5" s="279"/>
      <c r="GIP5" s="279"/>
      <c r="GIQ5" s="279"/>
      <c r="GIR5" s="279"/>
      <c r="GIS5" s="279"/>
      <c r="GIT5" s="279"/>
      <c r="GIU5" s="279"/>
      <c r="GIV5" s="279"/>
      <c r="GIW5" s="279"/>
      <c r="GIX5" s="279"/>
      <c r="GIY5" s="279"/>
      <c r="GIZ5" s="279"/>
      <c r="GJA5" s="279"/>
      <c r="GJB5" s="279"/>
      <c r="GJC5" s="279"/>
      <c r="GJD5" s="279"/>
      <c r="GJE5" s="279"/>
      <c r="GJF5" s="279"/>
      <c r="GJG5" s="279"/>
      <c r="GJH5" s="279"/>
      <c r="GJI5" s="279"/>
      <c r="GJJ5" s="279"/>
      <c r="GJK5" s="279"/>
      <c r="GJL5" s="279"/>
      <c r="GJM5" s="279"/>
      <c r="GJN5" s="279"/>
      <c r="GJO5" s="279"/>
      <c r="GJP5" s="279"/>
      <c r="GJQ5" s="279"/>
      <c r="GJR5" s="279"/>
      <c r="GJS5" s="279"/>
      <c r="GJT5" s="279"/>
      <c r="GJU5" s="279"/>
      <c r="GJV5" s="279"/>
      <c r="GJW5" s="279"/>
      <c r="GJX5" s="279"/>
      <c r="GJY5" s="279"/>
      <c r="GJZ5" s="279"/>
      <c r="GKA5" s="279"/>
      <c r="GKB5" s="279"/>
      <c r="GKC5" s="279"/>
      <c r="GKD5" s="279"/>
      <c r="GKE5" s="279"/>
      <c r="GKF5" s="279"/>
      <c r="GKG5" s="279"/>
      <c r="GKH5" s="279"/>
      <c r="GKI5" s="279"/>
      <c r="GKJ5" s="279"/>
      <c r="GKK5" s="279"/>
      <c r="GKL5" s="279"/>
      <c r="GKM5" s="279"/>
      <c r="GKN5" s="279"/>
      <c r="GKO5" s="279"/>
      <c r="GKP5" s="279"/>
      <c r="GKQ5" s="279"/>
      <c r="GKR5" s="279"/>
      <c r="GKS5" s="279"/>
      <c r="GKT5" s="279"/>
      <c r="GKU5" s="279"/>
      <c r="GKV5" s="279"/>
      <c r="GKW5" s="279"/>
      <c r="GKX5" s="279"/>
      <c r="GKY5" s="279"/>
      <c r="GKZ5" s="279"/>
      <c r="GLA5" s="279"/>
      <c r="GLB5" s="279"/>
      <c r="GLC5" s="279"/>
      <c r="GLD5" s="279"/>
      <c r="GLE5" s="279"/>
      <c r="GLF5" s="279"/>
      <c r="GLG5" s="279"/>
      <c r="GLH5" s="279"/>
      <c r="GLI5" s="279"/>
      <c r="GLJ5" s="279"/>
      <c r="GLK5" s="279"/>
      <c r="GLL5" s="279"/>
      <c r="GLM5" s="279"/>
      <c r="GLN5" s="279"/>
      <c r="GLO5" s="279"/>
      <c r="GLP5" s="279"/>
      <c r="GLQ5" s="279"/>
      <c r="GLR5" s="279"/>
      <c r="GLS5" s="279"/>
      <c r="GLT5" s="279"/>
      <c r="GLU5" s="279"/>
      <c r="GLV5" s="279"/>
      <c r="GLW5" s="279"/>
      <c r="GLX5" s="279"/>
      <c r="GLY5" s="279"/>
      <c r="GLZ5" s="279"/>
      <c r="GMA5" s="279"/>
      <c r="GMB5" s="279"/>
      <c r="GMC5" s="279"/>
      <c r="GMD5" s="279"/>
      <c r="GME5" s="279"/>
      <c r="GMF5" s="279"/>
      <c r="GMG5" s="279"/>
      <c r="GMH5" s="279"/>
      <c r="GMI5" s="279"/>
      <c r="GMJ5" s="279"/>
      <c r="GMK5" s="279"/>
      <c r="GML5" s="279"/>
      <c r="GMM5" s="279"/>
      <c r="GMN5" s="279"/>
      <c r="GMO5" s="279"/>
      <c r="GMP5" s="279"/>
      <c r="GMQ5" s="279"/>
      <c r="GMR5" s="279"/>
      <c r="GMS5" s="279"/>
      <c r="GMT5" s="279"/>
      <c r="GMU5" s="279"/>
      <c r="GMV5" s="279"/>
      <c r="GMW5" s="279"/>
      <c r="GMX5" s="279"/>
      <c r="GMY5" s="279"/>
      <c r="GMZ5" s="279"/>
      <c r="GNA5" s="279"/>
      <c r="GNB5" s="279"/>
      <c r="GNC5" s="279"/>
      <c r="GND5" s="279"/>
      <c r="GNE5" s="279"/>
      <c r="GNF5" s="279"/>
      <c r="GNG5" s="279"/>
      <c r="GNH5" s="279"/>
      <c r="GNI5" s="279"/>
      <c r="GNJ5" s="279"/>
      <c r="GNK5" s="279"/>
      <c r="GNL5" s="279"/>
      <c r="GNM5" s="279"/>
      <c r="GNN5" s="279"/>
      <c r="GNO5" s="279"/>
      <c r="GNP5" s="279"/>
      <c r="GNQ5" s="279"/>
      <c r="GNR5" s="279"/>
      <c r="GNS5" s="279"/>
      <c r="GNT5" s="279"/>
      <c r="GNU5" s="279"/>
      <c r="GNV5" s="279"/>
      <c r="GNW5" s="279"/>
      <c r="GNX5" s="279"/>
      <c r="GNY5" s="279"/>
      <c r="GNZ5" s="279"/>
      <c r="GOA5" s="279"/>
      <c r="GOB5" s="279"/>
      <c r="GOC5" s="279"/>
      <c r="GOD5" s="279"/>
      <c r="GOE5" s="279"/>
      <c r="GOF5" s="279"/>
      <c r="GOG5" s="279"/>
      <c r="GOH5" s="279"/>
      <c r="GOI5" s="279"/>
      <c r="GOJ5" s="279"/>
      <c r="GOK5" s="279"/>
      <c r="GOL5" s="279"/>
      <c r="GOM5" s="279"/>
      <c r="GON5" s="279"/>
      <c r="GOO5" s="279"/>
      <c r="GOP5" s="279"/>
      <c r="GOQ5" s="279"/>
      <c r="GOR5" s="279"/>
      <c r="GOS5" s="279"/>
      <c r="GOT5" s="279"/>
      <c r="GOU5" s="279"/>
      <c r="GOV5" s="279"/>
      <c r="GOW5" s="279"/>
      <c r="GOX5" s="279"/>
      <c r="GOY5" s="279"/>
      <c r="GOZ5" s="279"/>
      <c r="GPA5" s="279"/>
      <c r="GPB5" s="279"/>
      <c r="GPC5" s="279"/>
      <c r="GPD5" s="279"/>
      <c r="GPE5" s="279"/>
      <c r="GPF5" s="279"/>
      <c r="GPG5" s="279"/>
      <c r="GPH5" s="279"/>
      <c r="GPI5" s="279"/>
      <c r="GPJ5" s="279"/>
      <c r="GPK5" s="279"/>
      <c r="GPL5" s="279"/>
      <c r="GPM5" s="279"/>
      <c r="GPN5" s="279"/>
      <c r="GPO5" s="279"/>
      <c r="GPP5" s="279"/>
      <c r="GPQ5" s="279"/>
      <c r="GPR5" s="279"/>
      <c r="GPS5" s="279"/>
      <c r="GPT5" s="279"/>
      <c r="GPU5" s="279"/>
      <c r="GPV5" s="279"/>
      <c r="GPW5" s="279"/>
      <c r="GPX5" s="279"/>
      <c r="GPY5" s="279"/>
      <c r="GPZ5" s="279"/>
      <c r="GQA5" s="279"/>
      <c r="GQB5" s="279"/>
      <c r="GQC5" s="279"/>
      <c r="GQD5" s="279"/>
      <c r="GQE5" s="279"/>
      <c r="GQF5" s="279"/>
      <c r="GQG5" s="279"/>
      <c r="GQH5" s="279"/>
      <c r="GQI5" s="279"/>
      <c r="GQJ5" s="279"/>
      <c r="GQK5" s="279"/>
      <c r="GQL5" s="279"/>
      <c r="GQM5" s="279"/>
      <c r="GQN5" s="279"/>
      <c r="GQO5" s="279"/>
      <c r="GQP5" s="279"/>
      <c r="GQQ5" s="279"/>
      <c r="GQR5" s="279"/>
      <c r="GQS5" s="279"/>
      <c r="GQT5" s="279"/>
      <c r="GQU5" s="279"/>
      <c r="GQV5" s="279"/>
      <c r="GQW5" s="279"/>
      <c r="GQX5" s="279"/>
      <c r="GQY5" s="279"/>
      <c r="GQZ5" s="279"/>
      <c r="GRA5" s="279"/>
      <c r="GRB5" s="279"/>
      <c r="GRC5" s="279"/>
      <c r="GRD5" s="279"/>
      <c r="GRE5" s="279"/>
      <c r="GRF5" s="279"/>
      <c r="GRG5" s="279"/>
      <c r="GRH5" s="279"/>
      <c r="GRI5" s="279"/>
      <c r="GRJ5" s="279"/>
      <c r="GRK5" s="279"/>
      <c r="GRL5" s="279"/>
      <c r="GRM5" s="279"/>
      <c r="GRN5" s="279"/>
      <c r="GRO5" s="279"/>
      <c r="GRP5" s="279"/>
      <c r="GRQ5" s="279"/>
      <c r="GRR5" s="279"/>
      <c r="GRS5" s="279"/>
      <c r="GRT5" s="279"/>
      <c r="GRU5" s="279"/>
      <c r="GRV5" s="279"/>
      <c r="GRW5" s="279"/>
      <c r="GRX5" s="279"/>
      <c r="GRY5" s="279"/>
      <c r="GRZ5" s="279"/>
      <c r="GSA5" s="279"/>
      <c r="GSB5" s="279"/>
      <c r="GSC5" s="279"/>
      <c r="GSD5" s="279"/>
      <c r="GSE5" s="279"/>
      <c r="GSF5" s="279"/>
      <c r="GSG5" s="279"/>
      <c r="GSH5" s="279"/>
      <c r="GSI5" s="279"/>
      <c r="GSJ5" s="279"/>
      <c r="GSK5" s="279"/>
      <c r="GSL5" s="279"/>
      <c r="GSM5" s="279"/>
      <c r="GSN5" s="279"/>
      <c r="GSO5" s="279"/>
      <c r="GSP5" s="279"/>
      <c r="GSQ5" s="279"/>
      <c r="GSR5" s="279"/>
      <c r="GSS5" s="279"/>
      <c r="GST5" s="279"/>
      <c r="GSU5" s="279"/>
      <c r="GSV5" s="279"/>
      <c r="GSW5" s="279"/>
      <c r="GSX5" s="279"/>
      <c r="GSY5" s="279"/>
      <c r="GSZ5" s="279"/>
      <c r="GTA5" s="279"/>
      <c r="GTB5" s="279"/>
      <c r="GTC5" s="279"/>
      <c r="GTD5" s="279"/>
      <c r="GTE5" s="279"/>
      <c r="GTF5" s="279"/>
      <c r="GTG5" s="279"/>
      <c r="GTH5" s="279"/>
      <c r="GTI5" s="279"/>
      <c r="GTJ5" s="279"/>
      <c r="GTK5" s="279"/>
      <c r="GTL5" s="279"/>
      <c r="GTM5" s="279"/>
      <c r="GTN5" s="279"/>
      <c r="GTO5" s="279"/>
      <c r="GTP5" s="279"/>
      <c r="GTQ5" s="279"/>
      <c r="GTR5" s="279"/>
      <c r="GTS5" s="279"/>
      <c r="GTT5" s="279"/>
      <c r="GTU5" s="279"/>
      <c r="GTV5" s="279"/>
      <c r="GTW5" s="279"/>
      <c r="GTX5" s="279"/>
      <c r="GTY5" s="279"/>
      <c r="GTZ5" s="279"/>
      <c r="GUA5" s="279"/>
      <c r="GUB5" s="279"/>
      <c r="GUC5" s="279"/>
      <c r="GUD5" s="279"/>
      <c r="GUE5" s="279"/>
      <c r="GUF5" s="279"/>
      <c r="GUG5" s="279"/>
      <c r="GUH5" s="279"/>
      <c r="GUI5" s="279"/>
      <c r="GUJ5" s="279"/>
      <c r="GUK5" s="279"/>
      <c r="GUL5" s="279"/>
      <c r="GUM5" s="279"/>
      <c r="GUN5" s="279"/>
      <c r="GUO5" s="279"/>
      <c r="GUP5" s="279"/>
      <c r="GUQ5" s="279"/>
      <c r="GUR5" s="279"/>
      <c r="GUS5" s="279"/>
      <c r="GUT5" s="279"/>
      <c r="GUU5" s="279"/>
      <c r="GUV5" s="279"/>
      <c r="GUW5" s="279"/>
      <c r="GUX5" s="279"/>
      <c r="GUY5" s="279"/>
      <c r="GUZ5" s="279"/>
      <c r="GVA5" s="279"/>
      <c r="GVB5" s="279"/>
      <c r="GVC5" s="279"/>
      <c r="GVD5" s="279"/>
      <c r="GVE5" s="279"/>
      <c r="GVF5" s="279"/>
      <c r="GVG5" s="279"/>
      <c r="GVH5" s="279"/>
      <c r="GVI5" s="279"/>
      <c r="GVJ5" s="279"/>
      <c r="GVK5" s="279"/>
      <c r="GVL5" s="279"/>
      <c r="GVM5" s="279"/>
      <c r="GVN5" s="279"/>
      <c r="GVO5" s="279"/>
      <c r="GVP5" s="279"/>
      <c r="GVQ5" s="279"/>
      <c r="GVR5" s="279"/>
      <c r="GVS5" s="279"/>
      <c r="GVT5" s="279"/>
      <c r="GVU5" s="279"/>
      <c r="GVV5" s="279"/>
      <c r="GVW5" s="279"/>
      <c r="GVX5" s="279"/>
      <c r="GVY5" s="279"/>
      <c r="GVZ5" s="279"/>
      <c r="GWA5" s="279"/>
      <c r="GWB5" s="279"/>
      <c r="GWC5" s="279"/>
      <c r="GWD5" s="279"/>
      <c r="GWE5" s="279"/>
      <c r="GWF5" s="279"/>
      <c r="GWG5" s="279"/>
      <c r="GWH5" s="279"/>
      <c r="GWI5" s="279"/>
      <c r="GWJ5" s="279"/>
      <c r="GWK5" s="279"/>
      <c r="GWL5" s="279"/>
      <c r="GWM5" s="279"/>
      <c r="GWN5" s="279"/>
      <c r="GWO5" s="279"/>
      <c r="GWP5" s="279"/>
      <c r="GWQ5" s="279"/>
      <c r="GWR5" s="279"/>
      <c r="GWS5" s="279"/>
      <c r="GWT5" s="279"/>
      <c r="GWU5" s="279"/>
      <c r="GWV5" s="279"/>
      <c r="GWW5" s="279"/>
      <c r="GWX5" s="279"/>
      <c r="GWY5" s="279"/>
      <c r="GWZ5" s="279"/>
      <c r="GXA5" s="279"/>
      <c r="GXB5" s="279"/>
      <c r="GXC5" s="279"/>
      <c r="GXD5" s="279"/>
      <c r="GXE5" s="279"/>
      <c r="GXF5" s="279"/>
      <c r="GXG5" s="279"/>
      <c r="GXH5" s="279"/>
      <c r="GXI5" s="279"/>
      <c r="GXJ5" s="279"/>
      <c r="GXK5" s="279"/>
      <c r="GXL5" s="279"/>
      <c r="GXM5" s="279"/>
      <c r="GXN5" s="279"/>
      <c r="GXO5" s="279"/>
      <c r="GXP5" s="279"/>
      <c r="GXQ5" s="279"/>
      <c r="GXR5" s="279"/>
      <c r="GXS5" s="279"/>
      <c r="GXT5" s="279"/>
      <c r="GXU5" s="279"/>
      <c r="GXV5" s="279"/>
      <c r="GXW5" s="279"/>
      <c r="GXX5" s="279"/>
      <c r="GXY5" s="279"/>
      <c r="GXZ5" s="279"/>
      <c r="GYA5" s="279"/>
      <c r="GYB5" s="279"/>
      <c r="GYC5" s="279"/>
      <c r="GYD5" s="279"/>
      <c r="GYE5" s="279"/>
      <c r="GYF5" s="279"/>
      <c r="GYG5" s="279"/>
      <c r="GYH5" s="279"/>
      <c r="GYI5" s="279"/>
      <c r="GYJ5" s="279"/>
      <c r="GYK5" s="279"/>
      <c r="GYL5" s="279"/>
      <c r="GYM5" s="279"/>
      <c r="GYN5" s="279"/>
      <c r="GYO5" s="279"/>
      <c r="GYP5" s="279"/>
      <c r="GYQ5" s="279"/>
      <c r="GYR5" s="279"/>
      <c r="GYS5" s="279"/>
      <c r="GYT5" s="279"/>
      <c r="GYU5" s="279"/>
      <c r="GYV5" s="279"/>
      <c r="GYW5" s="279"/>
      <c r="GYX5" s="279"/>
      <c r="GYY5" s="279"/>
      <c r="GYZ5" s="279"/>
      <c r="GZA5" s="279"/>
      <c r="GZB5" s="279"/>
      <c r="GZC5" s="279"/>
      <c r="GZD5" s="279"/>
      <c r="GZE5" s="279"/>
      <c r="GZF5" s="279"/>
      <c r="GZG5" s="279"/>
      <c r="GZH5" s="279"/>
      <c r="GZI5" s="279"/>
      <c r="GZJ5" s="279"/>
      <c r="GZK5" s="279"/>
      <c r="GZL5" s="279"/>
      <c r="GZM5" s="279"/>
      <c r="GZN5" s="279"/>
      <c r="GZO5" s="279"/>
      <c r="GZP5" s="279"/>
      <c r="GZQ5" s="279"/>
      <c r="GZR5" s="279"/>
      <c r="GZS5" s="279"/>
      <c r="GZT5" s="279"/>
      <c r="GZU5" s="279"/>
      <c r="GZV5" s="279"/>
      <c r="GZW5" s="279"/>
      <c r="GZX5" s="279"/>
      <c r="GZY5" s="279"/>
      <c r="GZZ5" s="279"/>
      <c r="HAA5" s="279"/>
      <c r="HAB5" s="279"/>
      <c r="HAC5" s="279"/>
      <c r="HAD5" s="279"/>
      <c r="HAE5" s="279"/>
      <c r="HAF5" s="279"/>
      <c r="HAG5" s="279"/>
      <c r="HAH5" s="279"/>
      <c r="HAI5" s="279"/>
      <c r="HAJ5" s="279"/>
      <c r="HAK5" s="279"/>
      <c r="HAL5" s="279"/>
      <c r="HAM5" s="279"/>
      <c r="HAN5" s="279"/>
      <c r="HAO5" s="279"/>
      <c r="HAP5" s="279"/>
      <c r="HAQ5" s="279"/>
      <c r="HAR5" s="279"/>
      <c r="HAS5" s="279"/>
      <c r="HAT5" s="279"/>
      <c r="HAU5" s="279"/>
      <c r="HAV5" s="279"/>
      <c r="HAW5" s="279"/>
      <c r="HAX5" s="279"/>
      <c r="HAY5" s="279"/>
      <c r="HAZ5" s="279"/>
      <c r="HBA5" s="279"/>
      <c r="HBB5" s="279"/>
      <c r="HBC5" s="279"/>
      <c r="HBD5" s="279"/>
      <c r="HBE5" s="279"/>
      <c r="HBF5" s="279"/>
      <c r="HBG5" s="279"/>
      <c r="HBH5" s="279"/>
      <c r="HBI5" s="279"/>
      <c r="HBJ5" s="279"/>
      <c r="HBK5" s="279"/>
      <c r="HBL5" s="279"/>
      <c r="HBM5" s="279"/>
      <c r="HBN5" s="279"/>
      <c r="HBO5" s="279"/>
      <c r="HBP5" s="279"/>
      <c r="HBQ5" s="279"/>
      <c r="HBR5" s="279"/>
      <c r="HBS5" s="279"/>
      <c r="HBT5" s="279"/>
      <c r="HBU5" s="279"/>
      <c r="HBV5" s="279"/>
      <c r="HBW5" s="279"/>
      <c r="HBX5" s="279"/>
      <c r="HBY5" s="279"/>
      <c r="HBZ5" s="279"/>
      <c r="HCA5" s="279"/>
      <c r="HCB5" s="279"/>
      <c r="HCC5" s="279"/>
      <c r="HCD5" s="279"/>
      <c r="HCE5" s="279"/>
      <c r="HCF5" s="279"/>
      <c r="HCG5" s="279"/>
      <c r="HCH5" s="279"/>
      <c r="HCI5" s="279"/>
      <c r="HCJ5" s="279"/>
      <c r="HCK5" s="279"/>
      <c r="HCL5" s="279"/>
      <c r="HCM5" s="279"/>
      <c r="HCN5" s="279"/>
      <c r="HCO5" s="279"/>
      <c r="HCP5" s="279"/>
      <c r="HCQ5" s="279"/>
      <c r="HCR5" s="279"/>
      <c r="HCS5" s="279"/>
      <c r="HCT5" s="279"/>
      <c r="HCU5" s="279"/>
      <c r="HCV5" s="279"/>
      <c r="HCW5" s="279"/>
      <c r="HCX5" s="279"/>
      <c r="HCY5" s="279"/>
      <c r="HCZ5" s="279"/>
      <c r="HDA5" s="279"/>
      <c r="HDB5" s="279"/>
      <c r="HDC5" s="279"/>
      <c r="HDD5" s="279"/>
      <c r="HDE5" s="279"/>
      <c r="HDF5" s="279"/>
      <c r="HDG5" s="279"/>
      <c r="HDH5" s="279"/>
      <c r="HDI5" s="279"/>
      <c r="HDJ5" s="279"/>
      <c r="HDK5" s="279"/>
      <c r="HDL5" s="279"/>
      <c r="HDM5" s="279"/>
      <c r="HDN5" s="279"/>
      <c r="HDO5" s="279"/>
      <c r="HDP5" s="279"/>
      <c r="HDQ5" s="279"/>
      <c r="HDR5" s="279"/>
      <c r="HDS5" s="279"/>
      <c r="HDT5" s="279"/>
      <c r="HDU5" s="279"/>
      <c r="HDV5" s="279"/>
      <c r="HDW5" s="279"/>
      <c r="HDX5" s="279"/>
      <c r="HDY5" s="279"/>
      <c r="HDZ5" s="279"/>
      <c r="HEA5" s="279"/>
      <c r="HEB5" s="279"/>
      <c r="HEC5" s="279"/>
      <c r="HED5" s="279"/>
      <c r="HEE5" s="279"/>
      <c r="HEF5" s="279"/>
      <c r="HEG5" s="279"/>
      <c r="HEH5" s="279"/>
      <c r="HEI5" s="279"/>
      <c r="HEJ5" s="279"/>
      <c r="HEK5" s="279"/>
      <c r="HEL5" s="279"/>
      <c r="HEM5" s="279"/>
      <c r="HEN5" s="279"/>
      <c r="HEO5" s="279"/>
      <c r="HEP5" s="279"/>
      <c r="HEQ5" s="279"/>
      <c r="HER5" s="279"/>
      <c r="HES5" s="279"/>
      <c r="HET5" s="279"/>
      <c r="HEU5" s="279"/>
      <c r="HEV5" s="279"/>
      <c r="HEW5" s="279"/>
      <c r="HEX5" s="279"/>
      <c r="HEY5" s="279"/>
      <c r="HEZ5" s="279"/>
      <c r="HFA5" s="279"/>
      <c r="HFB5" s="279"/>
      <c r="HFC5" s="279"/>
      <c r="HFD5" s="279"/>
      <c r="HFE5" s="279"/>
      <c r="HFF5" s="279"/>
      <c r="HFG5" s="279"/>
      <c r="HFH5" s="279"/>
      <c r="HFI5" s="279"/>
      <c r="HFJ5" s="279"/>
      <c r="HFK5" s="279"/>
      <c r="HFL5" s="279"/>
      <c r="HFM5" s="279"/>
      <c r="HFN5" s="279"/>
      <c r="HFO5" s="279"/>
      <c r="HFP5" s="279"/>
      <c r="HFQ5" s="279"/>
      <c r="HFR5" s="279"/>
      <c r="HFS5" s="279"/>
      <c r="HFT5" s="279"/>
      <c r="HFU5" s="279"/>
      <c r="HFV5" s="279"/>
      <c r="HFW5" s="279"/>
      <c r="HFX5" s="279"/>
      <c r="HFY5" s="279"/>
      <c r="HFZ5" s="279"/>
      <c r="HGA5" s="279"/>
      <c r="HGB5" s="279"/>
      <c r="HGC5" s="279"/>
      <c r="HGD5" s="279"/>
      <c r="HGE5" s="279"/>
      <c r="HGF5" s="279"/>
      <c r="HGG5" s="279"/>
      <c r="HGH5" s="279"/>
      <c r="HGI5" s="279"/>
      <c r="HGJ5" s="279"/>
      <c r="HGK5" s="279"/>
      <c r="HGL5" s="279"/>
      <c r="HGM5" s="279"/>
      <c r="HGN5" s="279"/>
      <c r="HGO5" s="279"/>
      <c r="HGP5" s="279"/>
      <c r="HGQ5" s="279"/>
      <c r="HGR5" s="279"/>
      <c r="HGS5" s="279"/>
      <c r="HGT5" s="279"/>
      <c r="HGU5" s="279"/>
      <c r="HGV5" s="279"/>
      <c r="HGW5" s="279"/>
      <c r="HGX5" s="279"/>
      <c r="HGY5" s="279"/>
      <c r="HGZ5" s="279"/>
      <c r="HHA5" s="279"/>
      <c r="HHB5" s="279"/>
      <c r="HHC5" s="279"/>
      <c r="HHD5" s="279"/>
      <c r="HHE5" s="279"/>
      <c r="HHF5" s="279"/>
      <c r="HHG5" s="279"/>
      <c r="HHH5" s="279"/>
      <c r="HHI5" s="279"/>
      <c r="HHJ5" s="279"/>
      <c r="HHK5" s="279"/>
      <c r="HHL5" s="279"/>
      <c r="HHM5" s="279"/>
      <c r="HHN5" s="279"/>
      <c r="HHO5" s="279"/>
      <c r="HHP5" s="279"/>
      <c r="HHQ5" s="279"/>
      <c r="HHR5" s="279"/>
      <c r="HHS5" s="279"/>
      <c r="HHT5" s="279"/>
      <c r="HHU5" s="279"/>
      <c r="HHV5" s="279"/>
      <c r="HHW5" s="279"/>
      <c r="HHX5" s="279"/>
      <c r="HHY5" s="279"/>
      <c r="HHZ5" s="279"/>
      <c r="HIA5" s="279"/>
      <c r="HIB5" s="279"/>
      <c r="HIC5" s="279"/>
      <c r="HID5" s="279"/>
      <c r="HIE5" s="279"/>
      <c r="HIF5" s="279"/>
      <c r="HIG5" s="279"/>
      <c r="HIH5" s="279"/>
      <c r="HII5" s="279"/>
      <c r="HIJ5" s="279"/>
      <c r="HIK5" s="279"/>
      <c r="HIL5" s="279"/>
      <c r="HIM5" s="279"/>
      <c r="HIN5" s="279"/>
      <c r="HIO5" s="279"/>
      <c r="HIP5" s="279"/>
      <c r="HIQ5" s="279"/>
      <c r="HIR5" s="279"/>
      <c r="HIS5" s="279"/>
      <c r="HIT5" s="279"/>
      <c r="HIU5" s="279"/>
      <c r="HIV5" s="279"/>
      <c r="HIW5" s="279"/>
      <c r="HIX5" s="279"/>
      <c r="HIY5" s="279"/>
      <c r="HIZ5" s="279"/>
      <c r="HJA5" s="279"/>
      <c r="HJB5" s="279"/>
      <c r="HJC5" s="279"/>
      <c r="HJD5" s="279"/>
      <c r="HJE5" s="279"/>
      <c r="HJF5" s="279"/>
      <c r="HJG5" s="279"/>
      <c r="HJH5" s="279"/>
      <c r="HJI5" s="279"/>
      <c r="HJJ5" s="279"/>
      <c r="HJK5" s="279"/>
      <c r="HJL5" s="279"/>
      <c r="HJM5" s="279"/>
      <c r="HJN5" s="279"/>
      <c r="HJO5" s="279"/>
      <c r="HJP5" s="279"/>
      <c r="HJQ5" s="279"/>
      <c r="HJR5" s="279"/>
      <c r="HJS5" s="279"/>
      <c r="HJT5" s="279"/>
      <c r="HJU5" s="279"/>
      <c r="HJV5" s="279"/>
      <c r="HJW5" s="279"/>
      <c r="HJX5" s="279"/>
      <c r="HJY5" s="279"/>
      <c r="HJZ5" s="279"/>
      <c r="HKA5" s="279"/>
      <c r="HKB5" s="279"/>
      <c r="HKC5" s="279"/>
      <c r="HKD5" s="279"/>
      <c r="HKE5" s="279"/>
      <c r="HKF5" s="279"/>
      <c r="HKG5" s="279"/>
      <c r="HKH5" s="279"/>
      <c r="HKI5" s="279"/>
      <c r="HKJ5" s="279"/>
      <c r="HKK5" s="279"/>
      <c r="HKL5" s="279"/>
      <c r="HKM5" s="279"/>
      <c r="HKN5" s="279"/>
      <c r="HKO5" s="279"/>
      <c r="HKP5" s="279"/>
      <c r="HKQ5" s="279"/>
      <c r="HKR5" s="279"/>
      <c r="HKS5" s="279"/>
      <c r="HKT5" s="279"/>
      <c r="HKU5" s="279"/>
      <c r="HKV5" s="279"/>
      <c r="HKW5" s="279"/>
      <c r="HKX5" s="279"/>
      <c r="HKY5" s="279"/>
      <c r="HKZ5" s="279"/>
      <c r="HLA5" s="279"/>
      <c r="HLB5" s="279"/>
      <c r="HLC5" s="279"/>
      <c r="HLD5" s="279"/>
      <c r="HLE5" s="279"/>
      <c r="HLF5" s="279"/>
      <c r="HLG5" s="279"/>
      <c r="HLH5" s="279"/>
      <c r="HLI5" s="279"/>
      <c r="HLJ5" s="279"/>
      <c r="HLK5" s="279"/>
      <c r="HLL5" s="279"/>
      <c r="HLM5" s="279"/>
      <c r="HLN5" s="279"/>
      <c r="HLO5" s="279"/>
      <c r="HLP5" s="279"/>
      <c r="HLQ5" s="279"/>
      <c r="HLR5" s="279"/>
      <c r="HLS5" s="279"/>
      <c r="HLT5" s="279"/>
      <c r="HLU5" s="279"/>
      <c r="HLV5" s="279"/>
      <c r="HLW5" s="279"/>
      <c r="HLX5" s="279"/>
      <c r="HLY5" s="279"/>
      <c r="HLZ5" s="279"/>
      <c r="HMA5" s="279"/>
      <c r="HMB5" s="279"/>
      <c r="HMC5" s="279"/>
      <c r="HMD5" s="279"/>
      <c r="HME5" s="279"/>
      <c r="HMF5" s="279"/>
      <c r="HMG5" s="279"/>
      <c r="HMH5" s="279"/>
      <c r="HMI5" s="279"/>
      <c r="HMJ5" s="279"/>
      <c r="HMK5" s="279"/>
      <c r="HML5" s="279"/>
      <c r="HMM5" s="279"/>
      <c r="HMN5" s="279"/>
      <c r="HMO5" s="279"/>
      <c r="HMP5" s="279"/>
      <c r="HMQ5" s="279"/>
      <c r="HMR5" s="279"/>
      <c r="HMS5" s="279"/>
      <c r="HMT5" s="279"/>
      <c r="HMU5" s="279"/>
      <c r="HMV5" s="279"/>
      <c r="HMW5" s="279"/>
      <c r="HMX5" s="279"/>
      <c r="HMY5" s="279"/>
      <c r="HMZ5" s="279"/>
      <c r="HNA5" s="279"/>
      <c r="HNB5" s="279"/>
      <c r="HNC5" s="279"/>
      <c r="HND5" s="279"/>
      <c r="HNE5" s="279"/>
      <c r="HNF5" s="279"/>
      <c r="HNG5" s="279"/>
      <c r="HNH5" s="279"/>
      <c r="HNI5" s="279"/>
      <c r="HNJ5" s="279"/>
      <c r="HNK5" s="279"/>
      <c r="HNL5" s="279"/>
      <c r="HNM5" s="279"/>
      <c r="HNN5" s="279"/>
      <c r="HNO5" s="279"/>
      <c r="HNP5" s="279"/>
      <c r="HNQ5" s="279"/>
      <c r="HNR5" s="279"/>
      <c r="HNS5" s="279"/>
      <c r="HNT5" s="279"/>
      <c r="HNU5" s="279"/>
      <c r="HNV5" s="279"/>
      <c r="HNW5" s="279"/>
      <c r="HNX5" s="279"/>
      <c r="HNY5" s="279"/>
      <c r="HNZ5" s="279"/>
      <c r="HOA5" s="279"/>
      <c r="HOB5" s="279"/>
      <c r="HOC5" s="279"/>
      <c r="HOD5" s="279"/>
      <c r="HOE5" s="279"/>
      <c r="HOF5" s="279"/>
      <c r="HOG5" s="279"/>
      <c r="HOH5" s="279"/>
      <c r="HOI5" s="279"/>
      <c r="HOJ5" s="279"/>
      <c r="HOK5" s="279"/>
      <c r="HOL5" s="279"/>
      <c r="HOM5" s="279"/>
      <c r="HON5" s="279"/>
      <c r="HOO5" s="279"/>
      <c r="HOP5" s="279"/>
      <c r="HOQ5" s="279"/>
      <c r="HOR5" s="279"/>
      <c r="HOS5" s="279"/>
      <c r="HOT5" s="279"/>
      <c r="HOU5" s="279"/>
      <c r="HOV5" s="279"/>
      <c r="HOW5" s="279"/>
      <c r="HOX5" s="279"/>
      <c r="HOY5" s="279"/>
      <c r="HOZ5" s="279"/>
      <c r="HPA5" s="279"/>
      <c r="HPB5" s="279"/>
      <c r="HPC5" s="279"/>
      <c r="HPD5" s="279"/>
      <c r="HPE5" s="279"/>
      <c r="HPF5" s="279"/>
      <c r="HPG5" s="279"/>
      <c r="HPH5" s="279"/>
      <c r="HPI5" s="279"/>
      <c r="HPJ5" s="279"/>
      <c r="HPK5" s="279"/>
      <c r="HPL5" s="279"/>
      <c r="HPM5" s="279"/>
      <c r="HPN5" s="279"/>
      <c r="HPO5" s="279"/>
      <c r="HPP5" s="279"/>
      <c r="HPQ5" s="279"/>
      <c r="HPR5" s="279"/>
      <c r="HPS5" s="279"/>
      <c r="HPT5" s="279"/>
      <c r="HPU5" s="279"/>
      <c r="HPV5" s="279"/>
      <c r="HPW5" s="279"/>
      <c r="HPX5" s="279"/>
      <c r="HPY5" s="279"/>
      <c r="HPZ5" s="279"/>
      <c r="HQA5" s="279"/>
      <c r="HQB5" s="279"/>
      <c r="HQC5" s="279"/>
      <c r="HQD5" s="279"/>
      <c r="HQE5" s="279"/>
      <c r="HQF5" s="279"/>
      <c r="HQG5" s="279"/>
      <c r="HQH5" s="279"/>
      <c r="HQI5" s="279"/>
      <c r="HQJ5" s="279"/>
      <c r="HQK5" s="279"/>
      <c r="HQL5" s="279"/>
      <c r="HQM5" s="279"/>
      <c r="HQN5" s="279"/>
      <c r="HQO5" s="279"/>
      <c r="HQP5" s="279"/>
      <c r="HQQ5" s="279"/>
      <c r="HQR5" s="279"/>
      <c r="HQS5" s="279"/>
      <c r="HQT5" s="279"/>
      <c r="HQU5" s="279"/>
      <c r="HQV5" s="279"/>
      <c r="HQW5" s="279"/>
      <c r="HQX5" s="279"/>
      <c r="HQY5" s="279"/>
      <c r="HQZ5" s="279"/>
      <c r="HRA5" s="279"/>
      <c r="HRB5" s="279"/>
      <c r="HRC5" s="279"/>
      <c r="HRD5" s="279"/>
      <c r="HRE5" s="279"/>
      <c r="HRF5" s="279"/>
      <c r="HRG5" s="279"/>
      <c r="HRH5" s="279"/>
      <c r="HRI5" s="279"/>
      <c r="HRJ5" s="279"/>
      <c r="HRK5" s="279"/>
      <c r="HRL5" s="279"/>
      <c r="HRM5" s="279"/>
      <c r="HRN5" s="279"/>
      <c r="HRO5" s="279"/>
      <c r="HRP5" s="279"/>
      <c r="HRQ5" s="279"/>
      <c r="HRR5" s="279"/>
      <c r="HRS5" s="279"/>
      <c r="HRT5" s="279"/>
      <c r="HRU5" s="279"/>
      <c r="HRV5" s="279"/>
      <c r="HRW5" s="279"/>
      <c r="HRX5" s="279"/>
      <c r="HRY5" s="279"/>
      <c r="HRZ5" s="279"/>
      <c r="HSA5" s="279"/>
      <c r="HSB5" s="279"/>
      <c r="HSC5" s="279"/>
      <c r="HSD5" s="279"/>
      <c r="HSE5" s="279"/>
      <c r="HSF5" s="279"/>
      <c r="HSG5" s="279"/>
      <c r="HSH5" s="279"/>
      <c r="HSI5" s="279"/>
      <c r="HSJ5" s="279"/>
      <c r="HSK5" s="279"/>
      <c r="HSL5" s="279"/>
      <c r="HSM5" s="279"/>
      <c r="HSN5" s="279"/>
      <c r="HSO5" s="279"/>
      <c r="HSP5" s="279"/>
      <c r="HSQ5" s="279"/>
      <c r="HSR5" s="279"/>
      <c r="HSS5" s="279"/>
      <c r="HST5" s="279"/>
      <c r="HSU5" s="279"/>
      <c r="HSV5" s="279"/>
      <c r="HSW5" s="279"/>
      <c r="HSX5" s="279"/>
      <c r="HSY5" s="279"/>
      <c r="HSZ5" s="279"/>
      <c r="HTA5" s="279"/>
      <c r="HTB5" s="279"/>
      <c r="HTC5" s="279"/>
      <c r="HTD5" s="279"/>
      <c r="HTE5" s="279"/>
      <c r="HTF5" s="279"/>
      <c r="HTG5" s="279"/>
      <c r="HTH5" s="279"/>
      <c r="HTI5" s="279"/>
      <c r="HTJ5" s="279"/>
      <c r="HTK5" s="279"/>
      <c r="HTL5" s="279"/>
      <c r="HTM5" s="279"/>
      <c r="HTN5" s="279"/>
      <c r="HTO5" s="279"/>
      <c r="HTP5" s="279"/>
      <c r="HTQ5" s="279"/>
      <c r="HTR5" s="279"/>
      <c r="HTS5" s="279"/>
      <c r="HTT5" s="279"/>
      <c r="HTU5" s="279"/>
      <c r="HTV5" s="279"/>
      <c r="HTW5" s="279"/>
      <c r="HTX5" s="279"/>
      <c r="HTY5" s="279"/>
      <c r="HTZ5" s="279"/>
      <c r="HUA5" s="279"/>
      <c r="HUB5" s="279"/>
      <c r="HUC5" s="279"/>
      <c r="HUD5" s="279"/>
      <c r="HUE5" s="279"/>
      <c r="HUF5" s="279"/>
      <c r="HUG5" s="279"/>
      <c r="HUH5" s="279"/>
      <c r="HUI5" s="279"/>
      <c r="HUJ5" s="279"/>
      <c r="HUK5" s="279"/>
      <c r="HUL5" s="279"/>
      <c r="HUM5" s="279"/>
      <c r="HUN5" s="279"/>
      <c r="HUO5" s="279"/>
      <c r="HUP5" s="279"/>
      <c r="HUQ5" s="279"/>
      <c r="HUR5" s="279"/>
      <c r="HUS5" s="279"/>
      <c r="HUT5" s="279"/>
      <c r="HUU5" s="279"/>
      <c r="HUV5" s="279"/>
      <c r="HUW5" s="279"/>
      <c r="HUX5" s="279"/>
      <c r="HUY5" s="279"/>
      <c r="HUZ5" s="279"/>
      <c r="HVA5" s="279"/>
      <c r="HVB5" s="279"/>
      <c r="HVC5" s="279"/>
      <c r="HVD5" s="279"/>
      <c r="HVE5" s="279"/>
      <c r="HVF5" s="279"/>
      <c r="HVG5" s="279"/>
      <c r="HVH5" s="279"/>
      <c r="HVI5" s="279"/>
      <c r="HVJ5" s="279"/>
      <c r="HVK5" s="279"/>
      <c r="HVL5" s="279"/>
      <c r="HVM5" s="279"/>
      <c r="HVN5" s="279"/>
      <c r="HVO5" s="279"/>
      <c r="HVP5" s="279"/>
      <c r="HVQ5" s="279"/>
      <c r="HVR5" s="279"/>
      <c r="HVS5" s="279"/>
      <c r="HVT5" s="279"/>
      <c r="HVU5" s="279"/>
      <c r="HVV5" s="279"/>
      <c r="HVW5" s="279"/>
      <c r="HVX5" s="279"/>
      <c r="HVY5" s="279"/>
      <c r="HVZ5" s="279"/>
      <c r="HWA5" s="279"/>
      <c r="HWB5" s="279"/>
      <c r="HWC5" s="279"/>
      <c r="HWD5" s="279"/>
      <c r="HWE5" s="279"/>
      <c r="HWF5" s="279"/>
      <c r="HWG5" s="279"/>
      <c r="HWH5" s="279"/>
      <c r="HWI5" s="279"/>
      <c r="HWJ5" s="279"/>
      <c r="HWK5" s="279"/>
      <c r="HWL5" s="279"/>
      <c r="HWM5" s="279"/>
      <c r="HWN5" s="279"/>
      <c r="HWO5" s="279"/>
      <c r="HWP5" s="279"/>
      <c r="HWQ5" s="279"/>
      <c r="HWR5" s="279"/>
      <c r="HWS5" s="279"/>
      <c r="HWT5" s="279"/>
      <c r="HWU5" s="279"/>
      <c r="HWV5" s="279"/>
      <c r="HWW5" s="279"/>
      <c r="HWX5" s="279"/>
      <c r="HWY5" s="279"/>
      <c r="HWZ5" s="279"/>
      <c r="HXA5" s="279"/>
      <c r="HXB5" s="279"/>
      <c r="HXC5" s="279"/>
      <c r="HXD5" s="279"/>
      <c r="HXE5" s="279"/>
      <c r="HXF5" s="279"/>
      <c r="HXG5" s="279"/>
      <c r="HXH5" s="279"/>
      <c r="HXI5" s="279"/>
      <c r="HXJ5" s="279"/>
      <c r="HXK5" s="279"/>
      <c r="HXL5" s="279"/>
      <c r="HXM5" s="279"/>
      <c r="HXN5" s="279"/>
      <c r="HXO5" s="279"/>
      <c r="HXP5" s="279"/>
      <c r="HXQ5" s="279"/>
      <c r="HXR5" s="279"/>
      <c r="HXS5" s="279"/>
      <c r="HXT5" s="279"/>
      <c r="HXU5" s="279"/>
      <c r="HXV5" s="279"/>
      <c r="HXW5" s="279"/>
      <c r="HXX5" s="279"/>
      <c r="HXY5" s="279"/>
      <c r="HXZ5" s="279"/>
      <c r="HYA5" s="279"/>
      <c r="HYB5" s="279"/>
      <c r="HYC5" s="279"/>
      <c r="HYD5" s="279"/>
      <c r="HYE5" s="279"/>
      <c r="HYF5" s="279"/>
      <c r="HYG5" s="279"/>
      <c r="HYH5" s="279"/>
      <c r="HYI5" s="279"/>
      <c r="HYJ5" s="279"/>
      <c r="HYK5" s="279"/>
      <c r="HYL5" s="279"/>
      <c r="HYM5" s="279"/>
      <c r="HYN5" s="279"/>
      <c r="HYO5" s="279"/>
      <c r="HYP5" s="279"/>
      <c r="HYQ5" s="279"/>
      <c r="HYR5" s="279"/>
      <c r="HYS5" s="279"/>
      <c r="HYT5" s="279"/>
      <c r="HYU5" s="279"/>
      <c r="HYV5" s="279"/>
      <c r="HYW5" s="279"/>
      <c r="HYX5" s="279"/>
      <c r="HYY5" s="279"/>
      <c r="HYZ5" s="279"/>
      <c r="HZA5" s="279"/>
      <c r="HZB5" s="279"/>
      <c r="HZC5" s="279"/>
      <c r="HZD5" s="279"/>
      <c r="HZE5" s="279"/>
      <c r="HZF5" s="279"/>
      <c r="HZG5" s="279"/>
      <c r="HZH5" s="279"/>
      <c r="HZI5" s="279"/>
      <c r="HZJ5" s="279"/>
      <c r="HZK5" s="279"/>
      <c r="HZL5" s="279"/>
      <c r="HZM5" s="279"/>
      <c r="HZN5" s="279"/>
      <c r="HZO5" s="279"/>
      <c r="HZP5" s="279"/>
      <c r="HZQ5" s="279"/>
      <c r="HZR5" s="279"/>
      <c r="HZS5" s="279"/>
      <c r="HZT5" s="279"/>
      <c r="HZU5" s="279"/>
      <c r="HZV5" s="279"/>
      <c r="HZW5" s="279"/>
      <c r="HZX5" s="279"/>
      <c r="HZY5" s="279"/>
      <c r="HZZ5" s="279"/>
      <c r="IAA5" s="279"/>
      <c r="IAB5" s="279"/>
      <c r="IAC5" s="279"/>
      <c r="IAD5" s="279"/>
      <c r="IAE5" s="279"/>
      <c r="IAF5" s="279"/>
      <c r="IAG5" s="279"/>
      <c r="IAH5" s="279"/>
      <c r="IAI5" s="279"/>
      <c r="IAJ5" s="279"/>
      <c r="IAK5" s="279"/>
      <c r="IAL5" s="279"/>
      <c r="IAM5" s="279"/>
      <c r="IAN5" s="279"/>
      <c r="IAO5" s="279"/>
      <c r="IAP5" s="279"/>
      <c r="IAQ5" s="279"/>
      <c r="IAR5" s="279"/>
      <c r="IAS5" s="279"/>
      <c r="IAT5" s="279"/>
      <c r="IAU5" s="279"/>
      <c r="IAV5" s="279"/>
      <c r="IAW5" s="279"/>
      <c r="IAX5" s="279"/>
      <c r="IAY5" s="279"/>
      <c r="IAZ5" s="279"/>
      <c r="IBA5" s="279"/>
      <c r="IBB5" s="279"/>
      <c r="IBC5" s="279"/>
      <c r="IBD5" s="279"/>
      <c r="IBE5" s="279"/>
      <c r="IBF5" s="279"/>
      <c r="IBG5" s="279"/>
      <c r="IBH5" s="279"/>
      <c r="IBI5" s="279"/>
      <c r="IBJ5" s="279"/>
      <c r="IBK5" s="279"/>
      <c r="IBL5" s="279"/>
      <c r="IBM5" s="279"/>
      <c r="IBN5" s="279"/>
      <c r="IBO5" s="279"/>
      <c r="IBP5" s="279"/>
      <c r="IBQ5" s="279"/>
      <c r="IBR5" s="279"/>
      <c r="IBS5" s="279"/>
      <c r="IBT5" s="279"/>
      <c r="IBU5" s="279"/>
      <c r="IBV5" s="279"/>
      <c r="IBW5" s="279"/>
      <c r="IBX5" s="279"/>
      <c r="IBY5" s="279"/>
      <c r="IBZ5" s="279"/>
      <c r="ICA5" s="279"/>
      <c r="ICB5" s="279"/>
      <c r="ICC5" s="279"/>
      <c r="ICD5" s="279"/>
      <c r="ICE5" s="279"/>
      <c r="ICF5" s="279"/>
      <c r="ICG5" s="279"/>
      <c r="ICH5" s="279"/>
      <c r="ICI5" s="279"/>
      <c r="ICJ5" s="279"/>
      <c r="ICK5" s="279"/>
      <c r="ICL5" s="279"/>
      <c r="ICM5" s="279"/>
      <c r="ICN5" s="279"/>
      <c r="ICO5" s="279"/>
      <c r="ICP5" s="279"/>
      <c r="ICQ5" s="279"/>
      <c r="ICR5" s="279"/>
      <c r="ICS5" s="279"/>
      <c r="ICT5" s="279"/>
      <c r="ICU5" s="279"/>
      <c r="ICV5" s="279"/>
      <c r="ICW5" s="279"/>
      <c r="ICX5" s="279"/>
      <c r="ICY5" s="279"/>
      <c r="ICZ5" s="279"/>
      <c r="IDA5" s="279"/>
      <c r="IDB5" s="279"/>
      <c r="IDC5" s="279"/>
      <c r="IDD5" s="279"/>
      <c r="IDE5" s="279"/>
      <c r="IDF5" s="279"/>
      <c r="IDG5" s="279"/>
      <c r="IDH5" s="279"/>
      <c r="IDI5" s="279"/>
      <c r="IDJ5" s="279"/>
      <c r="IDK5" s="279"/>
      <c r="IDL5" s="279"/>
      <c r="IDM5" s="279"/>
      <c r="IDN5" s="279"/>
      <c r="IDO5" s="279"/>
      <c r="IDP5" s="279"/>
      <c r="IDQ5" s="279"/>
      <c r="IDR5" s="279"/>
      <c r="IDS5" s="279"/>
      <c r="IDT5" s="279"/>
      <c r="IDU5" s="279"/>
      <c r="IDV5" s="279"/>
      <c r="IDW5" s="279"/>
      <c r="IDX5" s="279"/>
      <c r="IDY5" s="279"/>
      <c r="IDZ5" s="279"/>
      <c r="IEA5" s="279"/>
      <c r="IEB5" s="279"/>
      <c r="IEC5" s="279"/>
      <c r="IED5" s="279"/>
      <c r="IEE5" s="279"/>
      <c r="IEF5" s="279"/>
      <c r="IEG5" s="279"/>
      <c r="IEH5" s="279"/>
      <c r="IEI5" s="279"/>
      <c r="IEJ5" s="279"/>
      <c r="IEK5" s="279"/>
      <c r="IEL5" s="279"/>
      <c r="IEM5" s="279"/>
      <c r="IEN5" s="279"/>
      <c r="IEO5" s="279"/>
      <c r="IEP5" s="279"/>
      <c r="IEQ5" s="279"/>
      <c r="IER5" s="279"/>
      <c r="IES5" s="279"/>
      <c r="IET5" s="279"/>
      <c r="IEU5" s="279"/>
      <c r="IEV5" s="279"/>
      <c r="IEW5" s="279"/>
      <c r="IEX5" s="279"/>
      <c r="IEY5" s="279"/>
      <c r="IEZ5" s="279"/>
      <c r="IFA5" s="279"/>
      <c r="IFB5" s="279"/>
      <c r="IFC5" s="279"/>
      <c r="IFD5" s="279"/>
      <c r="IFE5" s="279"/>
      <c r="IFF5" s="279"/>
      <c r="IFG5" s="279"/>
      <c r="IFH5" s="279"/>
      <c r="IFI5" s="279"/>
      <c r="IFJ5" s="279"/>
      <c r="IFK5" s="279"/>
      <c r="IFL5" s="279"/>
      <c r="IFM5" s="279"/>
      <c r="IFN5" s="279"/>
      <c r="IFO5" s="279"/>
      <c r="IFP5" s="279"/>
      <c r="IFQ5" s="279"/>
      <c r="IFR5" s="279"/>
      <c r="IFS5" s="279"/>
      <c r="IFT5" s="279"/>
      <c r="IFU5" s="279"/>
      <c r="IFV5" s="279"/>
      <c r="IFW5" s="279"/>
      <c r="IFX5" s="279"/>
      <c r="IFY5" s="279"/>
      <c r="IFZ5" s="279"/>
      <c r="IGA5" s="279"/>
      <c r="IGB5" s="279"/>
      <c r="IGC5" s="279"/>
      <c r="IGD5" s="279"/>
      <c r="IGE5" s="279"/>
      <c r="IGF5" s="279"/>
      <c r="IGG5" s="279"/>
      <c r="IGH5" s="279"/>
      <c r="IGI5" s="279"/>
      <c r="IGJ5" s="279"/>
      <c r="IGK5" s="279"/>
      <c r="IGL5" s="279"/>
      <c r="IGM5" s="279"/>
      <c r="IGN5" s="279"/>
      <c r="IGO5" s="279"/>
      <c r="IGP5" s="279"/>
      <c r="IGQ5" s="279"/>
      <c r="IGR5" s="279"/>
      <c r="IGS5" s="279"/>
      <c r="IGT5" s="279"/>
      <c r="IGU5" s="279"/>
      <c r="IGV5" s="279"/>
      <c r="IGW5" s="279"/>
      <c r="IGX5" s="279"/>
      <c r="IGY5" s="279"/>
      <c r="IGZ5" s="279"/>
      <c r="IHA5" s="279"/>
      <c r="IHB5" s="279"/>
      <c r="IHC5" s="279"/>
      <c r="IHD5" s="279"/>
      <c r="IHE5" s="279"/>
      <c r="IHF5" s="279"/>
      <c r="IHG5" s="279"/>
      <c r="IHH5" s="279"/>
      <c r="IHI5" s="279"/>
      <c r="IHJ5" s="279"/>
      <c r="IHK5" s="279"/>
      <c r="IHL5" s="279"/>
      <c r="IHM5" s="279"/>
      <c r="IHN5" s="279"/>
      <c r="IHO5" s="279"/>
      <c r="IHP5" s="279"/>
      <c r="IHQ5" s="279"/>
      <c r="IHR5" s="279"/>
      <c r="IHS5" s="279"/>
      <c r="IHT5" s="279"/>
      <c r="IHU5" s="279"/>
      <c r="IHV5" s="279"/>
      <c r="IHW5" s="279"/>
      <c r="IHX5" s="279"/>
      <c r="IHY5" s="279"/>
      <c r="IHZ5" s="279"/>
      <c r="IIA5" s="279"/>
      <c r="IIB5" s="279"/>
      <c r="IIC5" s="279"/>
      <c r="IID5" s="279"/>
      <c r="IIE5" s="279"/>
      <c r="IIF5" s="279"/>
      <c r="IIG5" s="279"/>
      <c r="IIH5" s="279"/>
      <c r="III5" s="279"/>
      <c r="IIJ5" s="279"/>
      <c r="IIK5" s="279"/>
      <c r="IIL5" s="279"/>
      <c r="IIM5" s="279"/>
      <c r="IIN5" s="279"/>
      <c r="IIO5" s="279"/>
      <c r="IIP5" s="279"/>
      <c r="IIQ5" s="279"/>
      <c r="IIR5" s="279"/>
      <c r="IIS5" s="279"/>
      <c r="IIT5" s="279"/>
      <c r="IIU5" s="279"/>
      <c r="IIV5" s="279"/>
      <c r="IIW5" s="279"/>
      <c r="IIX5" s="279"/>
      <c r="IIY5" s="279"/>
      <c r="IIZ5" s="279"/>
      <c r="IJA5" s="279"/>
      <c r="IJB5" s="279"/>
      <c r="IJC5" s="279"/>
      <c r="IJD5" s="279"/>
      <c r="IJE5" s="279"/>
      <c r="IJF5" s="279"/>
      <c r="IJG5" s="279"/>
      <c r="IJH5" s="279"/>
      <c r="IJI5" s="279"/>
      <c r="IJJ5" s="279"/>
      <c r="IJK5" s="279"/>
      <c r="IJL5" s="279"/>
      <c r="IJM5" s="279"/>
      <c r="IJN5" s="279"/>
      <c r="IJO5" s="279"/>
      <c r="IJP5" s="279"/>
      <c r="IJQ5" s="279"/>
      <c r="IJR5" s="279"/>
      <c r="IJS5" s="279"/>
      <c r="IJT5" s="279"/>
      <c r="IJU5" s="279"/>
      <c r="IJV5" s="279"/>
      <c r="IJW5" s="279"/>
      <c r="IJX5" s="279"/>
      <c r="IJY5" s="279"/>
      <c r="IJZ5" s="279"/>
      <c r="IKA5" s="279"/>
      <c r="IKB5" s="279"/>
      <c r="IKC5" s="279"/>
      <c r="IKD5" s="279"/>
      <c r="IKE5" s="279"/>
      <c r="IKF5" s="279"/>
      <c r="IKG5" s="279"/>
      <c r="IKH5" s="279"/>
      <c r="IKI5" s="279"/>
      <c r="IKJ5" s="279"/>
      <c r="IKK5" s="279"/>
      <c r="IKL5" s="279"/>
      <c r="IKM5" s="279"/>
      <c r="IKN5" s="279"/>
      <c r="IKO5" s="279"/>
      <c r="IKP5" s="279"/>
      <c r="IKQ5" s="279"/>
      <c r="IKR5" s="279"/>
      <c r="IKS5" s="279"/>
      <c r="IKT5" s="279"/>
      <c r="IKU5" s="279"/>
      <c r="IKV5" s="279"/>
      <c r="IKW5" s="279"/>
      <c r="IKX5" s="279"/>
      <c r="IKY5" s="279"/>
      <c r="IKZ5" s="279"/>
      <c r="ILA5" s="279"/>
      <c r="ILB5" s="279"/>
      <c r="ILC5" s="279"/>
      <c r="ILD5" s="279"/>
      <c r="ILE5" s="279"/>
      <c r="ILF5" s="279"/>
      <c r="ILG5" s="279"/>
      <c r="ILH5" s="279"/>
      <c r="ILI5" s="279"/>
      <c r="ILJ5" s="279"/>
      <c r="ILK5" s="279"/>
      <c r="ILL5" s="279"/>
      <c r="ILM5" s="279"/>
      <c r="ILN5" s="279"/>
      <c r="ILO5" s="279"/>
      <c r="ILP5" s="279"/>
      <c r="ILQ5" s="279"/>
      <c r="ILR5" s="279"/>
      <c r="ILS5" s="279"/>
      <c r="ILT5" s="279"/>
      <c r="ILU5" s="279"/>
      <c r="ILV5" s="279"/>
      <c r="ILW5" s="279"/>
      <c r="ILX5" s="279"/>
      <c r="ILY5" s="279"/>
      <c r="ILZ5" s="279"/>
      <c r="IMA5" s="279"/>
      <c r="IMB5" s="279"/>
      <c r="IMC5" s="279"/>
      <c r="IMD5" s="279"/>
      <c r="IME5" s="279"/>
      <c r="IMF5" s="279"/>
      <c r="IMG5" s="279"/>
      <c r="IMH5" s="279"/>
      <c r="IMI5" s="279"/>
      <c r="IMJ5" s="279"/>
      <c r="IMK5" s="279"/>
      <c r="IML5" s="279"/>
      <c r="IMM5" s="279"/>
      <c r="IMN5" s="279"/>
      <c r="IMO5" s="279"/>
      <c r="IMP5" s="279"/>
      <c r="IMQ5" s="279"/>
      <c r="IMR5" s="279"/>
      <c r="IMS5" s="279"/>
      <c r="IMT5" s="279"/>
      <c r="IMU5" s="279"/>
      <c r="IMV5" s="279"/>
      <c r="IMW5" s="279"/>
      <c r="IMX5" s="279"/>
      <c r="IMY5" s="279"/>
      <c r="IMZ5" s="279"/>
      <c r="INA5" s="279"/>
      <c r="INB5" s="279"/>
      <c r="INC5" s="279"/>
      <c r="IND5" s="279"/>
      <c r="INE5" s="279"/>
      <c r="INF5" s="279"/>
      <c r="ING5" s="279"/>
      <c r="INH5" s="279"/>
      <c r="INI5" s="279"/>
      <c r="INJ5" s="279"/>
      <c r="INK5" s="279"/>
      <c r="INL5" s="279"/>
      <c r="INM5" s="279"/>
      <c r="INN5" s="279"/>
      <c r="INO5" s="279"/>
      <c r="INP5" s="279"/>
      <c r="INQ5" s="279"/>
      <c r="INR5" s="279"/>
      <c r="INS5" s="279"/>
      <c r="INT5" s="279"/>
      <c r="INU5" s="279"/>
      <c r="INV5" s="279"/>
      <c r="INW5" s="279"/>
      <c r="INX5" s="279"/>
      <c r="INY5" s="279"/>
      <c r="INZ5" s="279"/>
      <c r="IOA5" s="279"/>
      <c r="IOB5" s="279"/>
      <c r="IOC5" s="279"/>
      <c r="IOD5" s="279"/>
      <c r="IOE5" s="279"/>
      <c r="IOF5" s="279"/>
      <c r="IOG5" s="279"/>
      <c r="IOH5" s="279"/>
      <c r="IOI5" s="279"/>
      <c r="IOJ5" s="279"/>
      <c r="IOK5" s="279"/>
      <c r="IOL5" s="279"/>
      <c r="IOM5" s="279"/>
      <c r="ION5" s="279"/>
      <c r="IOO5" s="279"/>
      <c r="IOP5" s="279"/>
      <c r="IOQ5" s="279"/>
      <c r="IOR5" s="279"/>
      <c r="IOS5" s="279"/>
      <c r="IOT5" s="279"/>
      <c r="IOU5" s="279"/>
      <c r="IOV5" s="279"/>
      <c r="IOW5" s="279"/>
      <c r="IOX5" s="279"/>
      <c r="IOY5" s="279"/>
      <c r="IOZ5" s="279"/>
      <c r="IPA5" s="279"/>
      <c r="IPB5" s="279"/>
      <c r="IPC5" s="279"/>
      <c r="IPD5" s="279"/>
      <c r="IPE5" s="279"/>
      <c r="IPF5" s="279"/>
      <c r="IPG5" s="279"/>
      <c r="IPH5" s="279"/>
      <c r="IPI5" s="279"/>
      <c r="IPJ5" s="279"/>
      <c r="IPK5" s="279"/>
      <c r="IPL5" s="279"/>
      <c r="IPM5" s="279"/>
      <c r="IPN5" s="279"/>
      <c r="IPO5" s="279"/>
      <c r="IPP5" s="279"/>
      <c r="IPQ5" s="279"/>
      <c r="IPR5" s="279"/>
      <c r="IPS5" s="279"/>
      <c r="IPT5" s="279"/>
      <c r="IPU5" s="279"/>
      <c r="IPV5" s="279"/>
      <c r="IPW5" s="279"/>
      <c r="IPX5" s="279"/>
      <c r="IPY5" s="279"/>
      <c r="IPZ5" s="279"/>
      <c r="IQA5" s="279"/>
      <c r="IQB5" s="279"/>
      <c r="IQC5" s="279"/>
      <c r="IQD5" s="279"/>
      <c r="IQE5" s="279"/>
      <c r="IQF5" s="279"/>
      <c r="IQG5" s="279"/>
      <c r="IQH5" s="279"/>
      <c r="IQI5" s="279"/>
      <c r="IQJ5" s="279"/>
      <c r="IQK5" s="279"/>
      <c r="IQL5" s="279"/>
      <c r="IQM5" s="279"/>
      <c r="IQN5" s="279"/>
      <c r="IQO5" s="279"/>
      <c r="IQP5" s="279"/>
      <c r="IQQ5" s="279"/>
      <c r="IQR5" s="279"/>
      <c r="IQS5" s="279"/>
      <c r="IQT5" s="279"/>
      <c r="IQU5" s="279"/>
      <c r="IQV5" s="279"/>
      <c r="IQW5" s="279"/>
      <c r="IQX5" s="279"/>
      <c r="IQY5" s="279"/>
      <c r="IQZ5" s="279"/>
      <c r="IRA5" s="279"/>
      <c r="IRB5" s="279"/>
      <c r="IRC5" s="279"/>
      <c r="IRD5" s="279"/>
      <c r="IRE5" s="279"/>
      <c r="IRF5" s="279"/>
      <c r="IRG5" s="279"/>
      <c r="IRH5" s="279"/>
      <c r="IRI5" s="279"/>
      <c r="IRJ5" s="279"/>
      <c r="IRK5" s="279"/>
      <c r="IRL5" s="279"/>
      <c r="IRM5" s="279"/>
      <c r="IRN5" s="279"/>
      <c r="IRO5" s="279"/>
      <c r="IRP5" s="279"/>
      <c r="IRQ5" s="279"/>
      <c r="IRR5" s="279"/>
      <c r="IRS5" s="279"/>
      <c r="IRT5" s="279"/>
      <c r="IRU5" s="279"/>
      <c r="IRV5" s="279"/>
      <c r="IRW5" s="279"/>
      <c r="IRX5" s="279"/>
      <c r="IRY5" s="279"/>
      <c r="IRZ5" s="279"/>
      <c r="ISA5" s="279"/>
      <c r="ISB5" s="279"/>
      <c r="ISC5" s="279"/>
      <c r="ISD5" s="279"/>
      <c r="ISE5" s="279"/>
      <c r="ISF5" s="279"/>
      <c r="ISG5" s="279"/>
      <c r="ISH5" s="279"/>
      <c r="ISI5" s="279"/>
      <c r="ISJ5" s="279"/>
      <c r="ISK5" s="279"/>
      <c r="ISL5" s="279"/>
      <c r="ISM5" s="279"/>
      <c r="ISN5" s="279"/>
      <c r="ISO5" s="279"/>
      <c r="ISP5" s="279"/>
      <c r="ISQ5" s="279"/>
      <c r="ISR5" s="279"/>
      <c r="ISS5" s="279"/>
      <c r="IST5" s="279"/>
      <c r="ISU5" s="279"/>
      <c r="ISV5" s="279"/>
      <c r="ISW5" s="279"/>
      <c r="ISX5" s="279"/>
      <c r="ISY5" s="279"/>
      <c r="ISZ5" s="279"/>
      <c r="ITA5" s="279"/>
      <c r="ITB5" s="279"/>
      <c r="ITC5" s="279"/>
      <c r="ITD5" s="279"/>
      <c r="ITE5" s="279"/>
      <c r="ITF5" s="279"/>
      <c r="ITG5" s="279"/>
      <c r="ITH5" s="279"/>
      <c r="ITI5" s="279"/>
      <c r="ITJ5" s="279"/>
      <c r="ITK5" s="279"/>
      <c r="ITL5" s="279"/>
      <c r="ITM5" s="279"/>
      <c r="ITN5" s="279"/>
      <c r="ITO5" s="279"/>
      <c r="ITP5" s="279"/>
      <c r="ITQ5" s="279"/>
      <c r="ITR5" s="279"/>
      <c r="ITS5" s="279"/>
      <c r="ITT5" s="279"/>
      <c r="ITU5" s="279"/>
      <c r="ITV5" s="279"/>
      <c r="ITW5" s="279"/>
      <c r="ITX5" s="279"/>
      <c r="ITY5" s="279"/>
      <c r="ITZ5" s="279"/>
      <c r="IUA5" s="279"/>
      <c r="IUB5" s="279"/>
      <c r="IUC5" s="279"/>
      <c r="IUD5" s="279"/>
      <c r="IUE5" s="279"/>
      <c r="IUF5" s="279"/>
      <c r="IUG5" s="279"/>
      <c r="IUH5" s="279"/>
      <c r="IUI5" s="279"/>
      <c r="IUJ5" s="279"/>
      <c r="IUK5" s="279"/>
      <c r="IUL5" s="279"/>
      <c r="IUM5" s="279"/>
      <c r="IUN5" s="279"/>
      <c r="IUO5" s="279"/>
      <c r="IUP5" s="279"/>
      <c r="IUQ5" s="279"/>
      <c r="IUR5" s="279"/>
      <c r="IUS5" s="279"/>
      <c r="IUT5" s="279"/>
      <c r="IUU5" s="279"/>
      <c r="IUV5" s="279"/>
      <c r="IUW5" s="279"/>
      <c r="IUX5" s="279"/>
      <c r="IUY5" s="279"/>
      <c r="IUZ5" s="279"/>
      <c r="IVA5" s="279"/>
      <c r="IVB5" s="279"/>
      <c r="IVC5" s="279"/>
      <c r="IVD5" s="279"/>
      <c r="IVE5" s="279"/>
      <c r="IVF5" s="279"/>
      <c r="IVG5" s="279"/>
      <c r="IVH5" s="279"/>
      <c r="IVI5" s="279"/>
      <c r="IVJ5" s="279"/>
      <c r="IVK5" s="279"/>
      <c r="IVL5" s="279"/>
      <c r="IVM5" s="279"/>
      <c r="IVN5" s="279"/>
      <c r="IVO5" s="279"/>
      <c r="IVP5" s="279"/>
      <c r="IVQ5" s="279"/>
      <c r="IVR5" s="279"/>
      <c r="IVS5" s="279"/>
      <c r="IVT5" s="279"/>
      <c r="IVU5" s="279"/>
      <c r="IVV5" s="279"/>
      <c r="IVW5" s="279"/>
      <c r="IVX5" s="279"/>
      <c r="IVY5" s="279"/>
      <c r="IVZ5" s="279"/>
      <c r="IWA5" s="279"/>
      <c r="IWB5" s="279"/>
      <c r="IWC5" s="279"/>
      <c r="IWD5" s="279"/>
      <c r="IWE5" s="279"/>
      <c r="IWF5" s="279"/>
      <c r="IWG5" s="279"/>
      <c r="IWH5" s="279"/>
      <c r="IWI5" s="279"/>
      <c r="IWJ5" s="279"/>
      <c r="IWK5" s="279"/>
      <c r="IWL5" s="279"/>
      <c r="IWM5" s="279"/>
      <c r="IWN5" s="279"/>
      <c r="IWO5" s="279"/>
      <c r="IWP5" s="279"/>
      <c r="IWQ5" s="279"/>
      <c r="IWR5" s="279"/>
      <c r="IWS5" s="279"/>
      <c r="IWT5" s="279"/>
      <c r="IWU5" s="279"/>
      <c r="IWV5" s="279"/>
      <c r="IWW5" s="279"/>
      <c r="IWX5" s="279"/>
      <c r="IWY5" s="279"/>
      <c r="IWZ5" s="279"/>
      <c r="IXA5" s="279"/>
      <c r="IXB5" s="279"/>
      <c r="IXC5" s="279"/>
      <c r="IXD5" s="279"/>
      <c r="IXE5" s="279"/>
      <c r="IXF5" s="279"/>
      <c r="IXG5" s="279"/>
      <c r="IXH5" s="279"/>
      <c r="IXI5" s="279"/>
      <c r="IXJ5" s="279"/>
      <c r="IXK5" s="279"/>
      <c r="IXL5" s="279"/>
      <c r="IXM5" s="279"/>
      <c r="IXN5" s="279"/>
      <c r="IXO5" s="279"/>
      <c r="IXP5" s="279"/>
      <c r="IXQ5" s="279"/>
      <c r="IXR5" s="279"/>
      <c r="IXS5" s="279"/>
      <c r="IXT5" s="279"/>
      <c r="IXU5" s="279"/>
      <c r="IXV5" s="279"/>
      <c r="IXW5" s="279"/>
      <c r="IXX5" s="279"/>
      <c r="IXY5" s="279"/>
      <c r="IXZ5" s="279"/>
      <c r="IYA5" s="279"/>
      <c r="IYB5" s="279"/>
      <c r="IYC5" s="279"/>
      <c r="IYD5" s="279"/>
      <c r="IYE5" s="279"/>
      <c r="IYF5" s="279"/>
      <c r="IYG5" s="279"/>
      <c r="IYH5" s="279"/>
      <c r="IYI5" s="279"/>
      <c r="IYJ5" s="279"/>
      <c r="IYK5" s="279"/>
      <c r="IYL5" s="279"/>
      <c r="IYM5" s="279"/>
      <c r="IYN5" s="279"/>
      <c r="IYO5" s="279"/>
      <c r="IYP5" s="279"/>
      <c r="IYQ5" s="279"/>
      <c r="IYR5" s="279"/>
      <c r="IYS5" s="279"/>
      <c r="IYT5" s="279"/>
      <c r="IYU5" s="279"/>
      <c r="IYV5" s="279"/>
      <c r="IYW5" s="279"/>
      <c r="IYX5" s="279"/>
      <c r="IYY5" s="279"/>
      <c r="IYZ5" s="279"/>
      <c r="IZA5" s="279"/>
      <c r="IZB5" s="279"/>
      <c r="IZC5" s="279"/>
      <c r="IZD5" s="279"/>
      <c r="IZE5" s="279"/>
      <c r="IZF5" s="279"/>
      <c r="IZG5" s="279"/>
      <c r="IZH5" s="279"/>
      <c r="IZI5" s="279"/>
      <c r="IZJ5" s="279"/>
      <c r="IZK5" s="279"/>
      <c r="IZL5" s="279"/>
      <c r="IZM5" s="279"/>
      <c r="IZN5" s="279"/>
      <c r="IZO5" s="279"/>
      <c r="IZP5" s="279"/>
      <c r="IZQ5" s="279"/>
      <c r="IZR5" s="279"/>
      <c r="IZS5" s="279"/>
      <c r="IZT5" s="279"/>
      <c r="IZU5" s="279"/>
      <c r="IZV5" s="279"/>
      <c r="IZW5" s="279"/>
      <c r="IZX5" s="279"/>
      <c r="IZY5" s="279"/>
      <c r="IZZ5" s="279"/>
      <c r="JAA5" s="279"/>
      <c r="JAB5" s="279"/>
      <c r="JAC5" s="279"/>
      <c r="JAD5" s="279"/>
      <c r="JAE5" s="279"/>
      <c r="JAF5" s="279"/>
      <c r="JAG5" s="279"/>
      <c r="JAH5" s="279"/>
      <c r="JAI5" s="279"/>
      <c r="JAJ5" s="279"/>
      <c r="JAK5" s="279"/>
      <c r="JAL5" s="279"/>
      <c r="JAM5" s="279"/>
      <c r="JAN5" s="279"/>
      <c r="JAO5" s="279"/>
      <c r="JAP5" s="279"/>
      <c r="JAQ5" s="279"/>
      <c r="JAR5" s="279"/>
      <c r="JAS5" s="279"/>
      <c r="JAT5" s="279"/>
      <c r="JAU5" s="279"/>
      <c r="JAV5" s="279"/>
      <c r="JAW5" s="279"/>
      <c r="JAX5" s="279"/>
      <c r="JAY5" s="279"/>
      <c r="JAZ5" s="279"/>
      <c r="JBA5" s="279"/>
      <c r="JBB5" s="279"/>
      <c r="JBC5" s="279"/>
      <c r="JBD5" s="279"/>
      <c r="JBE5" s="279"/>
      <c r="JBF5" s="279"/>
      <c r="JBG5" s="279"/>
      <c r="JBH5" s="279"/>
      <c r="JBI5" s="279"/>
      <c r="JBJ5" s="279"/>
      <c r="JBK5" s="279"/>
      <c r="JBL5" s="279"/>
      <c r="JBM5" s="279"/>
      <c r="JBN5" s="279"/>
      <c r="JBO5" s="279"/>
      <c r="JBP5" s="279"/>
      <c r="JBQ5" s="279"/>
      <c r="JBR5" s="279"/>
      <c r="JBS5" s="279"/>
      <c r="JBT5" s="279"/>
      <c r="JBU5" s="279"/>
      <c r="JBV5" s="279"/>
      <c r="JBW5" s="279"/>
      <c r="JBX5" s="279"/>
      <c r="JBY5" s="279"/>
      <c r="JBZ5" s="279"/>
      <c r="JCA5" s="279"/>
      <c r="JCB5" s="279"/>
      <c r="JCC5" s="279"/>
      <c r="JCD5" s="279"/>
      <c r="JCE5" s="279"/>
      <c r="JCF5" s="279"/>
      <c r="JCG5" s="279"/>
      <c r="JCH5" s="279"/>
      <c r="JCI5" s="279"/>
      <c r="JCJ5" s="279"/>
      <c r="JCK5" s="279"/>
      <c r="JCL5" s="279"/>
      <c r="JCM5" s="279"/>
      <c r="JCN5" s="279"/>
      <c r="JCO5" s="279"/>
      <c r="JCP5" s="279"/>
      <c r="JCQ5" s="279"/>
      <c r="JCR5" s="279"/>
      <c r="JCS5" s="279"/>
      <c r="JCT5" s="279"/>
      <c r="JCU5" s="279"/>
      <c r="JCV5" s="279"/>
      <c r="JCW5" s="279"/>
      <c r="JCX5" s="279"/>
      <c r="JCY5" s="279"/>
      <c r="JCZ5" s="279"/>
      <c r="JDA5" s="279"/>
      <c r="JDB5" s="279"/>
      <c r="JDC5" s="279"/>
      <c r="JDD5" s="279"/>
      <c r="JDE5" s="279"/>
      <c r="JDF5" s="279"/>
      <c r="JDG5" s="279"/>
      <c r="JDH5" s="279"/>
      <c r="JDI5" s="279"/>
      <c r="JDJ5" s="279"/>
      <c r="JDK5" s="279"/>
      <c r="JDL5" s="279"/>
      <c r="JDM5" s="279"/>
      <c r="JDN5" s="279"/>
      <c r="JDO5" s="279"/>
      <c r="JDP5" s="279"/>
      <c r="JDQ5" s="279"/>
      <c r="JDR5" s="279"/>
      <c r="JDS5" s="279"/>
      <c r="JDT5" s="279"/>
      <c r="JDU5" s="279"/>
      <c r="JDV5" s="279"/>
      <c r="JDW5" s="279"/>
      <c r="JDX5" s="279"/>
      <c r="JDY5" s="279"/>
      <c r="JDZ5" s="279"/>
      <c r="JEA5" s="279"/>
      <c r="JEB5" s="279"/>
      <c r="JEC5" s="279"/>
      <c r="JED5" s="279"/>
      <c r="JEE5" s="279"/>
      <c r="JEF5" s="279"/>
      <c r="JEG5" s="279"/>
      <c r="JEH5" s="279"/>
      <c r="JEI5" s="279"/>
      <c r="JEJ5" s="279"/>
      <c r="JEK5" s="279"/>
      <c r="JEL5" s="279"/>
      <c r="JEM5" s="279"/>
      <c r="JEN5" s="279"/>
      <c r="JEO5" s="279"/>
      <c r="JEP5" s="279"/>
      <c r="JEQ5" s="279"/>
      <c r="JER5" s="279"/>
      <c r="JES5" s="279"/>
      <c r="JET5" s="279"/>
      <c r="JEU5" s="279"/>
      <c r="JEV5" s="279"/>
      <c r="JEW5" s="279"/>
      <c r="JEX5" s="279"/>
      <c r="JEY5" s="279"/>
      <c r="JEZ5" s="279"/>
      <c r="JFA5" s="279"/>
      <c r="JFB5" s="279"/>
      <c r="JFC5" s="279"/>
      <c r="JFD5" s="279"/>
      <c r="JFE5" s="279"/>
      <c r="JFF5" s="279"/>
      <c r="JFG5" s="279"/>
      <c r="JFH5" s="279"/>
      <c r="JFI5" s="279"/>
      <c r="JFJ5" s="279"/>
      <c r="JFK5" s="279"/>
      <c r="JFL5" s="279"/>
      <c r="JFM5" s="279"/>
      <c r="JFN5" s="279"/>
      <c r="JFO5" s="279"/>
      <c r="JFP5" s="279"/>
      <c r="JFQ5" s="279"/>
      <c r="JFR5" s="279"/>
      <c r="JFS5" s="279"/>
      <c r="JFT5" s="279"/>
      <c r="JFU5" s="279"/>
      <c r="JFV5" s="279"/>
      <c r="JFW5" s="279"/>
      <c r="JFX5" s="279"/>
      <c r="JFY5" s="279"/>
      <c r="JFZ5" s="279"/>
      <c r="JGA5" s="279"/>
      <c r="JGB5" s="279"/>
      <c r="JGC5" s="279"/>
      <c r="JGD5" s="279"/>
      <c r="JGE5" s="279"/>
      <c r="JGF5" s="279"/>
      <c r="JGG5" s="279"/>
      <c r="JGH5" s="279"/>
      <c r="JGI5" s="279"/>
      <c r="JGJ5" s="279"/>
      <c r="JGK5" s="279"/>
      <c r="JGL5" s="279"/>
      <c r="JGM5" s="279"/>
      <c r="JGN5" s="279"/>
      <c r="JGO5" s="279"/>
      <c r="JGP5" s="279"/>
      <c r="JGQ5" s="279"/>
      <c r="JGR5" s="279"/>
      <c r="JGS5" s="279"/>
      <c r="JGT5" s="279"/>
      <c r="JGU5" s="279"/>
      <c r="JGV5" s="279"/>
      <c r="JGW5" s="279"/>
      <c r="JGX5" s="279"/>
      <c r="JGY5" s="279"/>
      <c r="JGZ5" s="279"/>
      <c r="JHA5" s="279"/>
      <c r="JHB5" s="279"/>
      <c r="JHC5" s="279"/>
      <c r="JHD5" s="279"/>
      <c r="JHE5" s="279"/>
      <c r="JHF5" s="279"/>
      <c r="JHG5" s="279"/>
      <c r="JHH5" s="279"/>
      <c r="JHI5" s="279"/>
      <c r="JHJ5" s="279"/>
      <c r="JHK5" s="279"/>
      <c r="JHL5" s="279"/>
      <c r="JHM5" s="279"/>
      <c r="JHN5" s="279"/>
      <c r="JHO5" s="279"/>
      <c r="JHP5" s="279"/>
      <c r="JHQ5" s="279"/>
      <c r="JHR5" s="279"/>
      <c r="JHS5" s="279"/>
      <c r="JHT5" s="279"/>
      <c r="JHU5" s="279"/>
      <c r="JHV5" s="279"/>
      <c r="JHW5" s="279"/>
      <c r="JHX5" s="279"/>
      <c r="JHY5" s="279"/>
      <c r="JHZ5" s="279"/>
      <c r="JIA5" s="279"/>
      <c r="JIB5" s="279"/>
      <c r="JIC5" s="279"/>
      <c r="JID5" s="279"/>
      <c r="JIE5" s="279"/>
      <c r="JIF5" s="279"/>
      <c r="JIG5" s="279"/>
      <c r="JIH5" s="279"/>
      <c r="JII5" s="279"/>
      <c r="JIJ5" s="279"/>
      <c r="JIK5" s="279"/>
      <c r="JIL5" s="279"/>
      <c r="JIM5" s="279"/>
      <c r="JIN5" s="279"/>
      <c r="JIO5" s="279"/>
      <c r="JIP5" s="279"/>
      <c r="JIQ5" s="279"/>
      <c r="JIR5" s="279"/>
      <c r="JIS5" s="279"/>
      <c r="JIT5" s="279"/>
      <c r="JIU5" s="279"/>
      <c r="JIV5" s="279"/>
      <c r="JIW5" s="279"/>
      <c r="JIX5" s="279"/>
      <c r="JIY5" s="279"/>
      <c r="JIZ5" s="279"/>
      <c r="JJA5" s="279"/>
      <c r="JJB5" s="279"/>
      <c r="JJC5" s="279"/>
      <c r="JJD5" s="279"/>
      <c r="JJE5" s="279"/>
      <c r="JJF5" s="279"/>
      <c r="JJG5" s="279"/>
      <c r="JJH5" s="279"/>
      <c r="JJI5" s="279"/>
      <c r="JJJ5" s="279"/>
      <c r="JJK5" s="279"/>
      <c r="JJL5" s="279"/>
      <c r="JJM5" s="279"/>
      <c r="JJN5" s="279"/>
      <c r="JJO5" s="279"/>
      <c r="JJP5" s="279"/>
      <c r="JJQ5" s="279"/>
      <c r="JJR5" s="279"/>
      <c r="JJS5" s="279"/>
      <c r="JJT5" s="279"/>
      <c r="JJU5" s="279"/>
      <c r="JJV5" s="279"/>
      <c r="JJW5" s="279"/>
      <c r="JJX5" s="279"/>
      <c r="JJY5" s="279"/>
      <c r="JJZ5" s="279"/>
      <c r="JKA5" s="279"/>
      <c r="JKB5" s="279"/>
      <c r="JKC5" s="279"/>
      <c r="JKD5" s="279"/>
      <c r="JKE5" s="279"/>
      <c r="JKF5" s="279"/>
      <c r="JKG5" s="279"/>
      <c r="JKH5" s="279"/>
      <c r="JKI5" s="279"/>
      <c r="JKJ5" s="279"/>
      <c r="JKK5" s="279"/>
      <c r="JKL5" s="279"/>
      <c r="JKM5" s="279"/>
      <c r="JKN5" s="279"/>
      <c r="JKO5" s="279"/>
      <c r="JKP5" s="279"/>
      <c r="JKQ5" s="279"/>
      <c r="JKR5" s="279"/>
      <c r="JKS5" s="279"/>
      <c r="JKT5" s="279"/>
      <c r="JKU5" s="279"/>
      <c r="JKV5" s="279"/>
      <c r="JKW5" s="279"/>
      <c r="JKX5" s="279"/>
      <c r="JKY5" s="279"/>
      <c r="JKZ5" s="279"/>
      <c r="JLA5" s="279"/>
      <c r="JLB5" s="279"/>
      <c r="JLC5" s="279"/>
      <c r="JLD5" s="279"/>
      <c r="JLE5" s="279"/>
      <c r="JLF5" s="279"/>
      <c r="JLG5" s="279"/>
      <c r="JLH5" s="279"/>
      <c r="JLI5" s="279"/>
      <c r="JLJ5" s="279"/>
      <c r="JLK5" s="279"/>
      <c r="JLL5" s="279"/>
      <c r="JLM5" s="279"/>
      <c r="JLN5" s="279"/>
      <c r="JLO5" s="279"/>
      <c r="JLP5" s="279"/>
      <c r="JLQ5" s="279"/>
      <c r="JLR5" s="279"/>
      <c r="JLS5" s="279"/>
      <c r="JLT5" s="279"/>
      <c r="JLU5" s="279"/>
      <c r="JLV5" s="279"/>
      <c r="JLW5" s="279"/>
      <c r="JLX5" s="279"/>
      <c r="JLY5" s="279"/>
      <c r="JLZ5" s="279"/>
      <c r="JMA5" s="279"/>
      <c r="JMB5" s="279"/>
      <c r="JMC5" s="279"/>
      <c r="JMD5" s="279"/>
      <c r="JME5" s="279"/>
      <c r="JMF5" s="279"/>
      <c r="JMG5" s="279"/>
      <c r="JMH5" s="279"/>
      <c r="JMI5" s="279"/>
      <c r="JMJ5" s="279"/>
      <c r="JMK5" s="279"/>
      <c r="JML5" s="279"/>
      <c r="JMM5" s="279"/>
      <c r="JMN5" s="279"/>
      <c r="JMO5" s="279"/>
      <c r="JMP5" s="279"/>
      <c r="JMQ5" s="279"/>
      <c r="JMR5" s="279"/>
      <c r="JMS5" s="279"/>
      <c r="JMT5" s="279"/>
      <c r="JMU5" s="279"/>
      <c r="JMV5" s="279"/>
      <c r="JMW5" s="279"/>
      <c r="JMX5" s="279"/>
      <c r="JMY5" s="279"/>
      <c r="JMZ5" s="279"/>
      <c r="JNA5" s="279"/>
      <c r="JNB5" s="279"/>
      <c r="JNC5" s="279"/>
      <c r="JND5" s="279"/>
      <c r="JNE5" s="279"/>
      <c r="JNF5" s="279"/>
      <c r="JNG5" s="279"/>
      <c r="JNH5" s="279"/>
      <c r="JNI5" s="279"/>
      <c r="JNJ5" s="279"/>
      <c r="JNK5" s="279"/>
      <c r="JNL5" s="279"/>
      <c r="JNM5" s="279"/>
      <c r="JNN5" s="279"/>
      <c r="JNO5" s="279"/>
      <c r="JNP5" s="279"/>
      <c r="JNQ5" s="279"/>
      <c r="JNR5" s="279"/>
      <c r="JNS5" s="279"/>
      <c r="JNT5" s="279"/>
      <c r="JNU5" s="279"/>
      <c r="JNV5" s="279"/>
      <c r="JNW5" s="279"/>
      <c r="JNX5" s="279"/>
      <c r="JNY5" s="279"/>
      <c r="JNZ5" s="279"/>
      <c r="JOA5" s="279"/>
      <c r="JOB5" s="279"/>
      <c r="JOC5" s="279"/>
      <c r="JOD5" s="279"/>
      <c r="JOE5" s="279"/>
      <c r="JOF5" s="279"/>
      <c r="JOG5" s="279"/>
      <c r="JOH5" s="279"/>
      <c r="JOI5" s="279"/>
      <c r="JOJ5" s="279"/>
      <c r="JOK5" s="279"/>
      <c r="JOL5" s="279"/>
      <c r="JOM5" s="279"/>
      <c r="JON5" s="279"/>
      <c r="JOO5" s="279"/>
      <c r="JOP5" s="279"/>
      <c r="JOQ5" s="279"/>
      <c r="JOR5" s="279"/>
      <c r="JOS5" s="279"/>
      <c r="JOT5" s="279"/>
      <c r="JOU5" s="279"/>
      <c r="JOV5" s="279"/>
      <c r="JOW5" s="279"/>
      <c r="JOX5" s="279"/>
      <c r="JOY5" s="279"/>
      <c r="JOZ5" s="279"/>
      <c r="JPA5" s="279"/>
      <c r="JPB5" s="279"/>
      <c r="JPC5" s="279"/>
      <c r="JPD5" s="279"/>
      <c r="JPE5" s="279"/>
      <c r="JPF5" s="279"/>
      <c r="JPG5" s="279"/>
      <c r="JPH5" s="279"/>
      <c r="JPI5" s="279"/>
      <c r="JPJ5" s="279"/>
      <c r="JPK5" s="279"/>
      <c r="JPL5" s="279"/>
      <c r="JPM5" s="279"/>
      <c r="JPN5" s="279"/>
      <c r="JPO5" s="279"/>
      <c r="JPP5" s="279"/>
      <c r="JPQ5" s="279"/>
      <c r="JPR5" s="279"/>
      <c r="JPS5" s="279"/>
      <c r="JPT5" s="279"/>
      <c r="JPU5" s="279"/>
      <c r="JPV5" s="279"/>
      <c r="JPW5" s="279"/>
      <c r="JPX5" s="279"/>
      <c r="JPY5" s="279"/>
      <c r="JPZ5" s="279"/>
      <c r="JQA5" s="279"/>
      <c r="JQB5" s="279"/>
      <c r="JQC5" s="279"/>
      <c r="JQD5" s="279"/>
      <c r="JQE5" s="279"/>
      <c r="JQF5" s="279"/>
      <c r="JQG5" s="279"/>
      <c r="JQH5" s="279"/>
      <c r="JQI5" s="279"/>
      <c r="JQJ5" s="279"/>
      <c r="JQK5" s="279"/>
      <c r="JQL5" s="279"/>
      <c r="JQM5" s="279"/>
      <c r="JQN5" s="279"/>
      <c r="JQO5" s="279"/>
      <c r="JQP5" s="279"/>
      <c r="JQQ5" s="279"/>
      <c r="JQR5" s="279"/>
      <c r="JQS5" s="279"/>
      <c r="JQT5" s="279"/>
      <c r="JQU5" s="279"/>
      <c r="JQV5" s="279"/>
      <c r="JQW5" s="279"/>
      <c r="JQX5" s="279"/>
      <c r="JQY5" s="279"/>
      <c r="JQZ5" s="279"/>
      <c r="JRA5" s="279"/>
      <c r="JRB5" s="279"/>
      <c r="JRC5" s="279"/>
      <c r="JRD5" s="279"/>
      <c r="JRE5" s="279"/>
      <c r="JRF5" s="279"/>
      <c r="JRG5" s="279"/>
      <c r="JRH5" s="279"/>
      <c r="JRI5" s="279"/>
      <c r="JRJ5" s="279"/>
      <c r="JRK5" s="279"/>
      <c r="JRL5" s="279"/>
      <c r="JRM5" s="279"/>
      <c r="JRN5" s="279"/>
      <c r="JRO5" s="279"/>
      <c r="JRP5" s="279"/>
      <c r="JRQ5" s="279"/>
      <c r="JRR5" s="279"/>
      <c r="JRS5" s="279"/>
      <c r="JRT5" s="279"/>
      <c r="JRU5" s="279"/>
      <c r="JRV5" s="279"/>
      <c r="JRW5" s="279"/>
      <c r="JRX5" s="279"/>
      <c r="JRY5" s="279"/>
      <c r="JRZ5" s="279"/>
      <c r="JSA5" s="279"/>
      <c r="JSB5" s="279"/>
      <c r="JSC5" s="279"/>
      <c r="JSD5" s="279"/>
      <c r="JSE5" s="279"/>
      <c r="JSF5" s="279"/>
      <c r="JSG5" s="279"/>
      <c r="JSH5" s="279"/>
      <c r="JSI5" s="279"/>
      <c r="JSJ5" s="279"/>
      <c r="JSK5" s="279"/>
      <c r="JSL5" s="279"/>
      <c r="JSM5" s="279"/>
      <c r="JSN5" s="279"/>
      <c r="JSO5" s="279"/>
      <c r="JSP5" s="279"/>
      <c r="JSQ5" s="279"/>
      <c r="JSR5" s="279"/>
      <c r="JSS5" s="279"/>
      <c r="JST5" s="279"/>
      <c r="JSU5" s="279"/>
      <c r="JSV5" s="279"/>
      <c r="JSW5" s="279"/>
      <c r="JSX5" s="279"/>
      <c r="JSY5" s="279"/>
      <c r="JSZ5" s="279"/>
      <c r="JTA5" s="279"/>
      <c r="JTB5" s="279"/>
      <c r="JTC5" s="279"/>
      <c r="JTD5" s="279"/>
      <c r="JTE5" s="279"/>
      <c r="JTF5" s="279"/>
      <c r="JTG5" s="279"/>
      <c r="JTH5" s="279"/>
      <c r="JTI5" s="279"/>
      <c r="JTJ5" s="279"/>
      <c r="JTK5" s="279"/>
      <c r="JTL5" s="279"/>
      <c r="JTM5" s="279"/>
      <c r="JTN5" s="279"/>
      <c r="JTO5" s="279"/>
      <c r="JTP5" s="279"/>
      <c r="JTQ5" s="279"/>
      <c r="JTR5" s="279"/>
      <c r="JTS5" s="279"/>
      <c r="JTT5" s="279"/>
      <c r="JTU5" s="279"/>
      <c r="JTV5" s="279"/>
      <c r="JTW5" s="279"/>
      <c r="JTX5" s="279"/>
      <c r="JTY5" s="279"/>
      <c r="JTZ5" s="279"/>
      <c r="JUA5" s="279"/>
      <c r="JUB5" s="279"/>
      <c r="JUC5" s="279"/>
      <c r="JUD5" s="279"/>
      <c r="JUE5" s="279"/>
      <c r="JUF5" s="279"/>
      <c r="JUG5" s="279"/>
      <c r="JUH5" s="279"/>
      <c r="JUI5" s="279"/>
      <c r="JUJ5" s="279"/>
      <c r="JUK5" s="279"/>
      <c r="JUL5" s="279"/>
      <c r="JUM5" s="279"/>
      <c r="JUN5" s="279"/>
      <c r="JUO5" s="279"/>
      <c r="JUP5" s="279"/>
      <c r="JUQ5" s="279"/>
      <c r="JUR5" s="279"/>
      <c r="JUS5" s="279"/>
      <c r="JUT5" s="279"/>
      <c r="JUU5" s="279"/>
      <c r="JUV5" s="279"/>
      <c r="JUW5" s="279"/>
      <c r="JUX5" s="279"/>
      <c r="JUY5" s="279"/>
      <c r="JUZ5" s="279"/>
      <c r="JVA5" s="279"/>
      <c r="JVB5" s="279"/>
      <c r="JVC5" s="279"/>
      <c r="JVD5" s="279"/>
      <c r="JVE5" s="279"/>
      <c r="JVF5" s="279"/>
      <c r="JVG5" s="279"/>
      <c r="JVH5" s="279"/>
      <c r="JVI5" s="279"/>
      <c r="JVJ5" s="279"/>
      <c r="JVK5" s="279"/>
      <c r="JVL5" s="279"/>
      <c r="JVM5" s="279"/>
      <c r="JVN5" s="279"/>
      <c r="JVO5" s="279"/>
      <c r="JVP5" s="279"/>
      <c r="JVQ5" s="279"/>
      <c r="JVR5" s="279"/>
      <c r="JVS5" s="279"/>
      <c r="JVT5" s="279"/>
      <c r="JVU5" s="279"/>
      <c r="JVV5" s="279"/>
      <c r="JVW5" s="279"/>
      <c r="JVX5" s="279"/>
      <c r="JVY5" s="279"/>
      <c r="JVZ5" s="279"/>
      <c r="JWA5" s="279"/>
      <c r="JWB5" s="279"/>
      <c r="JWC5" s="279"/>
      <c r="JWD5" s="279"/>
      <c r="JWE5" s="279"/>
      <c r="JWF5" s="279"/>
      <c r="JWG5" s="279"/>
      <c r="JWH5" s="279"/>
      <c r="JWI5" s="279"/>
      <c r="JWJ5" s="279"/>
      <c r="JWK5" s="279"/>
      <c r="JWL5" s="279"/>
      <c r="JWM5" s="279"/>
      <c r="JWN5" s="279"/>
      <c r="JWO5" s="279"/>
      <c r="JWP5" s="279"/>
      <c r="JWQ5" s="279"/>
      <c r="JWR5" s="279"/>
      <c r="JWS5" s="279"/>
      <c r="JWT5" s="279"/>
      <c r="JWU5" s="279"/>
      <c r="JWV5" s="279"/>
      <c r="JWW5" s="279"/>
      <c r="JWX5" s="279"/>
      <c r="JWY5" s="279"/>
      <c r="JWZ5" s="279"/>
      <c r="JXA5" s="279"/>
      <c r="JXB5" s="279"/>
      <c r="JXC5" s="279"/>
      <c r="JXD5" s="279"/>
      <c r="JXE5" s="279"/>
      <c r="JXF5" s="279"/>
      <c r="JXG5" s="279"/>
      <c r="JXH5" s="279"/>
      <c r="JXI5" s="279"/>
      <c r="JXJ5" s="279"/>
      <c r="JXK5" s="279"/>
      <c r="JXL5" s="279"/>
      <c r="JXM5" s="279"/>
      <c r="JXN5" s="279"/>
      <c r="JXO5" s="279"/>
      <c r="JXP5" s="279"/>
      <c r="JXQ5" s="279"/>
      <c r="JXR5" s="279"/>
      <c r="JXS5" s="279"/>
      <c r="JXT5" s="279"/>
      <c r="JXU5" s="279"/>
      <c r="JXV5" s="279"/>
      <c r="JXW5" s="279"/>
      <c r="JXX5" s="279"/>
      <c r="JXY5" s="279"/>
      <c r="JXZ5" s="279"/>
      <c r="JYA5" s="279"/>
      <c r="JYB5" s="279"/>
      <c r="JYC5" s="279"/>
      <c r="JYD5" s="279"/>
      <c r="JYE5" s="279"/>
      <c r="JYF5" s="279"/>
      <c r="JYG5" s="279"/>
      <c r="JYH5" s="279"/>
      <c r="JYI5" s="279"/>
      <c r="JYJ5" s="279"/>
      <c r="JYK5" s="279"/>
      <c r="JYL5" s="279"/>
      <c r="JYM5" s="279"/>
      <c r="JYN5" s="279"/>
      <c r="JYO5" s="279"/>
      <c r="JYP5" s="279"/>
      <c r="JYQ5" s="279"/>
      <c r="JYR5" s="279"/>
      <c r="JYS5" s="279"/>
      <c r="JYT5" s="279"/>
      <c r="JYU5" s="279"/>
      <c r="JYV5" s="279"/>
      <c r="JYW5" s="279"/>
      <c r="JYX5" s="279"/>
      <c r="JYY5" s="279"/>
      <c r="JYZ5" s="279"/>
      <c r="JZA5" s="279"/>
      <c r="JZB5" s="279"/>
      <c r="JZC5" s="279"/>
      <c r="JZD5" s="279"/>
      <c r="JZE5" s="279"/>
      <c r="JZF5" s="279"/>
      <c r="JZG5" s="279"/>
      <c r="JZH5" s="279"/>
      <c r="JZI5" s="279"/>
      <c r="JZJ5" s="279"/>
      <c r="JZK5" s="279"/>
      <c r="JZL5" s="279"/>
      <c r="JZM5" s="279"/>
      <c r="JZN5" s="279"/>
      <c r="JZO5" s="279"/>
      <c r="JZP5" s="279"/>
      <c r="JZQ5" s="279"/>
      <c r="JZR5" s="279"/>
      <c r="JZS5" s="279"/>
      <c r="JZT5" s="279"/>
      <c r="JZU5" s="279"/>
      <c r="JZV5" s="279"/>
      <c r="JZW5" s="279"/>
      <c r="JZX5" s="279"/>
      <c r="JZY5" s="279"/>
      <c r="JZZ5" s="279"/>
      <c r="KAA5" s="279"/>
      <c r="KAB5" s="279"/>
      <c r="KAC5" s="279"/>
      <c r="KAD5" s="279"/>
      <c r="KAE5" s="279"/>
      <c r="KAF5" s="279"/>
      <c r="KAG5" s="279"/>
      <c r="KAH5" s="279"/>
      <c r="KAI5" s="279"/>
      <c r="KAJ5" s="279"/>
      <c r="KAK5" s="279"/>
      <c r="KAL5" s="279"/>
      <c r="KAM5" s="279"/>
      <c r="KAN5" s="279"/>
      <c r="KAO5" s="279"/>
      <c r="KAP5" s="279"/>
      <c r="KAQ5" s="279"/>
      <c r="KAR5" s="279"/>
      <c r="KAS5" s="279"/>
      <c r="KAT5" s="279"/>
      <c r="KAU5" s="279"/>
      <c r="KAV5" s="279"/>
      <c r="KAW5" s="279"/>
      <c r="KAX5" s="279"/>
      <c r="KAY5" s="279"/>
      <c r="KAZ5" s="279"/>
      <c r="KBA5" s="279"/>
      <c r="KBB5" s="279"/>
      <c r="KBC5" s="279"/>
      <c r="KBD5" s="279"/>
      <c r="KBE5" s="279"/>
      <c r="KBF5" s="279"/>
      <c r="KBG5" s="279"/>
      <c r="KBH5" s="279"/>
      <c r="KBI5" s="279"/>
      <c r="KBJ5" s="279"/>
      <c r="KBK5" s="279"/>
      <c r="KBL5" s="279"/>
      <c r="KBM5" s="279"/>
      <c r="KBN5" s="279"/>
      <c r="KBO5" s="279"/>
      <c r="KBP5" s="279"/>
      <c r="KBQ5" s="279"/>
      <c r="KBR5" s="279"/>
      <c r="KBS5" s="279"/>
      <c r="KBT5" s="279"/>
      <c r="KBU5" s="279"/>
      <c r="KBV5" s="279"/>
      <c r="KBW5" s="279"/>
      <c r="KBX5" s="279"/>
      <c r="KBY5" s="279"/>
      <c r="KBZ5" s="279"/>
      <c r="KCA5" s="279"/>
      <c r="KCB5" s="279"/>
      <c r="KCC5" s="279"/>
      <c r="KCD5" s="279"/>
      <c r="KCE5" s="279"/>
      <c r="KCF5" s="279"/>
      <c r="KCG5" s="279"/>
      <c r="KCH5" s="279"/>
      <c r="KCI5" s="279"/>
      <c r="KCJ5" s="279"/>
      <c r="KCK5" s="279"/>
      <c r="KCL5" s="279"/>
      <c r="KCM5" s="279"/>
      <c r="KCN5" s="279"/>
      <c r="KCO5" s="279"/>
      <c r="KCP5" s="279"/>
      <c r="KCQ5" s="279"/>
      <c r="KCR5" s="279"/>
      <c r="KCS5" s="279"/>
      <c r="KCT5" s="279"/>
      <c r="KCU5" s="279"/>
      <c r="KCV5" s="279"/>
      <c r="KCW5" s="279"/>
      <c r="KCX5" s="279"/>
      <c r="KCY5" s="279"/>
      <c r="KCZ5" s="279"/>
      <c r="KDA5" s="279"/>
      <c r="KDB5" s="279"/>
      <c r="KDC5" s="279"/>
      <c r="KDD5" s="279"/>
      <c r="KDE5" s="279"/>
      <c r="KDF5" s="279"/>
      <c r="KDG5" s="279"/>
      <c r="KDH5" s="279"/>
      <c r="KDI5" s="279"/>
      <c r="KDJ5" s="279"/>
      <c r="KDK5" s="279"/>
      <c r="KDL5" s="279"/>
      <c r="KDM5" s="279"/>
      <c r="KDN5" s="279"/>
      <c r="KDO5" s="279"/>
      <c r="KDP5" s="279"/>
      <c r="KDQ5" s="279"/>
      <c r="KDR5" s="279"/>
      <c r="KDS5" s="279"/>
      <c r="KDT5" s="279"/>
      <c r="KDU5" s="279"/>
      <c r="KDV5" s="279"/>
      <c r="KDW5" s="279"/>
      <c r="KDX5" s="279"/>
      <c r="KDY5" s="279"/>
      <c r="KDZ5" s="279"/>
      <c r="KEA5" s="279"/>
      <c r="KEB5" s="279"/>
      <c r="KEC5" s="279"/>
      <c r="KED5" s="279"/>
      <c r="KEE5" s="279"/>
      <c r="KEF5" s="279"/>
      <c r="KEG5" s="279"/>
      <c r="KEH5" s="279"/>
      <c r="KEI5" s="279"/>
      <c r="KEJ5" s="279"/>
      <c r="KEK5" s="279"/>
      <c r="KEL5" s="279"/>
      <c r="KEM5" s="279"/>
      <c r="KEN5" s="279"/>
      <c r="KEO5" s="279"/>
      <c r="KEP5" s="279"/>
      <c r="KEQ5" s="279"/>
      <c r="KER5" s="279"/>
      <c r="KES5" s="279"/>
      <c r="KET5" s="279"/>
      <c r="KEU5" s="279"/>
      <c r="KEV5" s="279"/>
      <c r="KEW5" s="279"/>
      <c r="KEX5" s="279"/>
      <c r="KEY5" s="279"/>
      <c r="KEZ5" s="279"/>
      <c r="KFA5" s="279"/>
      <c r="KFB5" s="279"/>
      <c r="KFC5" s="279"/>
      <c r="KFD5" s="279"/>
      <c r="KFE5" s="279"/>
      <c r="KFF5" s="279"/>
      <c r="KFG5" s="279"/>
      <c r="KFH5" s="279"/>
      <c r="KFI5" s="279"/>
      <c r="KFJ5" s="279"/>
      <c r="KFK5" s="279"/>
      <c r="KFL5" s="279"/>
      <c r="KFM5" s="279"/>
      <c r="KFN5" s="279"/>
      <c r="KFO5" s="279"/>
      <c r="KFP5" s="279"/>
      <c r="KFQ5" s="279"/>
      <c r="KFR5" s="279"/>
      <c r="KFS5" s="279"/>
      <c r="KFT5" s="279"/>
      <c r="KFU5" s="279"/>
      <c r="KFV5" s="279"/>
      <c r="KFW5" s="279"/>
      <c r="KFX5" s="279"/>
      <c r="KFY5" s="279"/>
      <c r="KFZ5" s="279"/>
      <c r="KGA5" s="279"/>
      <c r="KGB5" s="279"/>
      <c r="KGC5" s="279"/>
      <c r="KGD5" s="279"/>
      <c r="KGE5" s="279"/>
      <c r="KGF5" s="279"/>
      <c r="KGG5" s="279"/>
      <c r="KGH5" s="279"/>
      <c r="KGI5" s="279"/>
      <c r="KGJ5" s="279"/>
      <c r="KGK5" s="279"/>
      <c r="KGL5" s="279"/>
      <c r="KGM5" s="279"/>
      <c r="KGN5" s="279"/>
      <c r="KGO5" s="279"/>
      <c r="KGP5" s="279"/>
      <c r="KGQ5" s="279"/>
      <c r="KGR5" s="279"/>
      <c r="KGS5" s="279"/>
      <c r="KGT5" s="279"/>
      <c r="KGU5" s="279"/>
      <c r="KGV5" s="279"/>
      <c r="KGW5" s="279"/>
      <c r="KGX5" s="279"/>
      <c r="KGY5" s="279"/>
      <c r="KGZ5" s="279"/>
      <c r="KHA5" s="279"/>
      <c r="KHB5" s="279"/>
      <c r="KHC5" s="279"/>
      <c r="KHD5" s="279"/>
      <c r="KHE5" s="279"/>
      <c r="KHF5" s="279"/>
      <c r="KHG5" s="279"/>
      <c r="KHH5" s="279"/>
      <c r="KHI5" s="279"/>
      <c r="KHJ5" s="279"/>
      <c r="KHK5" s="279"/>
      <c r="KHL5" s="279"/>
      <c r="KHM5" s="279"/>
      <c r="KHN5" s="279"/>
      <c r="KHO5" s="279"/>
      <c r="KHP5" s="279"/>
      <c r="KHQ5" s="279"/>
      <c r="KHR5" s="279"/>
      <c r="KHS5" s="279"/>
      <c r="KHT5" s="279"/>
      <c r="KHU5" s="279"/>
      <c r="KHV5" s="279"/>
      <c r="KHW5" s="279"/>
      <c r="KHX5" s="279"/>
      <c r="KHY5" s="279"/>
      <c r="KHZ5" s="279"/>
      <c r="KIA5" s="279"/>
      <c r="KIB5" s="279"/>
      <c r="KIC5" s="279"/>
      <c r="KID5" s="279"/>
      <c r="KIE5" s="279"/>
      <c r="KIF5" s="279"/>
      <c r="KIG5" s="279"/>
      <c r="KIH5" s="279"/>
      <c r="KII5" s="279"/>
      <c r="KIJ5" s="279"/>
      <c r="KIK5" s="279"/>
      <c r="KIL5" s="279"/>
      <c r="KIM5" s="279"/>
      <c r="KIN5" s="279"/>
      <c r="KIO5" s="279"/>
      <c r="KIP5" s="279"/>
      <c r="KIQ5" s="279"/>
      <c r="KIR5" s="279"/>
      <c r="KIS5" s="279"/>
      <c r="KIT5" s="279"/>
      <c r="KIU5" s="279"/>
      <c r="KIV5" s="279"/>
      <c r="KIW5" s="279"/>
      <c r="KIX5" s="279"/>
      <c r="KIY5" s="279"/>
      <c r="KIZ5" s="279"/>
      <c r="KJA5" s="279"/>
      <c r="KJB5" s="279"/>
      <c r="KJC5" s="279"/>
      <c r="KJD5" s="279"/>
      <c r="KJE5" s="279"/>
      <c r="KJF5" s="279"/>
      <c r="KJG5" s="279"/>
      <c r="KJH5" s="279"/>
      <c r="KJI5" s="279"/>
      <c r="KJJ5" s="279"/>
      <c r="KJK5" s="279"/>
      <c r="KJL5" s="279"/>
      <c r="KJM5" s="279"/>
      <c r="KJN5" s="279"/>
      <c r="KJO5" s="279"/>
      <c r="KJP5" s="279"/>
      <c r="KJQ5" s="279"/>
      <c r="KJR5" s="279"/>
      <c r="KJS5" s="279"/>
      <c r="KJT5" s="279"/>
      <c r="KJU5" s="279"/>
      <c r="KJV5" s="279"/>
      <c r="KJW5" s="279"/>
      <c r="KJX5" s="279"/>
      <c r="KJY5" s="279"/>
      <c r="KJZ5" s="279"/>
      <c r="KKA5" s="279"/>
      <c r="KKB5" s="279"/>
      <c r="KKC5" s="279"/>
      <c r="KKD5" s="279"/>
      <c r="KKE5" s="279"/>
      <c r="KKF5" s="279"/>
      <c r="KKG5" s="279"/>
      <c r="KKH5" s="279"/>
      <c r="KKI5" s="279"/>
      <c r="KKJ5" s="279"/>
      <c r="KKK5" s="279"/>
      <c r="KKL5" s="279"/>
      <c r="KKM5" s="279"/>
      <c r="KKN5" s="279"/>
      <c r="KKO5" s="279"/>
      <c r="KKP5" s="279"/>
      <c r="KKQ5" s="279"/>
      <c r="KKR5" s="279"/>
      <c r="KKS5" s="279"/>
      <c r="KKT5" s="279"/>
      <c r="KKU5" s="279"/>
      <c r="KKV5" s="279"/>
      <c r="KKW5" s="279"/>
      <c r="KKX5" s="279"/>
      <c r="KKY5" s="279"/>
      <c r="KKZ5" s="279"/>
      <c r="KLA5" s="279"/>
      <c r="KLB5" s="279"/>
      <c r="KLC5" s="279"/>
      <c r="KLD5" s="279"/>
      <c r="KLE5" s="279"/>
      <c r="KLF5" s="279"/>
      <c r="KLG5" s="279"/>
      <c r="KLH5" s="279"/>
      <c r="KLI5" s="279"/>
      <c r="KLJ5" s="279"/>
      <c r="KLK5" s="279"/>
      <c r="KLL5" s="279"/>
      <c r="KLM5" s="279"/>
      <c r="KLN5" s="279"/>
      <c r="KLO5" s="279"/>
      <c r="KLP5" s="279"/>
      <c r="KLQ5" s="279"/>
      <c r="KLR5" s="279"/>
      <c r="KLS5" s="279"/>
      <c r="KLT5" s="279"/>
      <c r="KLU5" s="279"/>
      <c r="KLV5" s="279"/>
      <c r="KLW5" s="279"/>
      <c r="KLX5" s="279"/>
      <c r="KLY5" s="279"/>
      <c r="KLZ5" s="279"/>
      <c r="KMA5" s="279"/>
      <c r="KMB5" s="279"/>
      <c r="KMC5" s="279"/>
      <c r="KMD5" s="279"/>
      <c r="KME5" s="279"/>
      <c r="KMF5" s="279"/>
      <c r="KMG5" s="279"/>
      <c r="KMH5" s="279"/>
      <c r="KMI5" s="279"/>
      <c r="KMJ5" s="279"/>
      <c r="KMK5" s="279"/>
      <c r="KML5" s="279"/>
      <c r="KMM5" s="279"/>
      <c r="KMN5" s="279"/>
      <c r="KMO5" s="279"/>
      <c r="KMP5" s="279"/>
      <c r="KMQ5" s="279"/>
      <c r="KMR5" s="279"/>
      <c r="KMS5" s="279"/>
      <c r="KMT5" s="279"/>
      <c r="KMU5" s="279"/>
      <c r="KMV5" s="279"/>
      <c r="KMW5" s="279"/>
      <c r="KMX5" s="279"/>
      <c r="KMY5" s="279"/>
      <c r="KMZ5" s="279"/>
      <c r="KNA5" s="279"/>
      <c r="KNB5" s="279"/>
      <c r="KNC5" s="279"/>
      <c r="KND5" s="279"/>
      <c r="KNE5" s="279"/>
      <c r="KNF5" s="279"/>
      <c r="KNG5" s="279"/>
      <c r="KNH5" s="279"/>
      <c r="KNI5" s="279"/>
      <c r="KNJ5" s="279"/>
      <c r="KNK5" s="279"/>
      <c r="KNL5" s="279"/>
      <c r="KNM5" s="279"/>
      <c r="KNN5" s="279"/>
      <c r="KNO5" s="279"/>
      <c r="KNP5" s="279"/>
      <c r="KNQ5" s="279"/>
      <c r="KNR5" s="279"/>
      <c r="KNS5" s="279"/>
      <c r="KNT5" s="279"/>
      <c r="KNU5" s="279"/>
      <c r="KNV5" s="279"/>
      <c r="KNW5" s="279"/>
      <c r="KNX5" s="279"/>
      <c r="KNY5" s="279"/>
      <c r="KNZ5" s="279"/>
      <c r="KOA5" s="279"/>
      <c r="KOB5" s="279"/>
      <c r="KOC5" s="279"/>
      <c r="KOD5" s="279"/>
      <c r="KOE5" s="279"/>
      <c r="KOF5" s="279"/>
      <c r="KOG5" s="279"/>
      <c r="KOH5" s="279"/>
      <c r="KOI5" s="279"/>
      <c r="KOJ5" s="279"/>
      <c r="KOK5" s="279"/>
      <c r="KOL5" s="279"/>
      <c r="KOM5" s="279"/>
      <c r="KON5" s="279"/>
      <c r="KOO5" s="279"/>
      <c r="KOP5" s="279"/>
      <c r="KOQ5" s="279"/>
      <c r="KOR5" s="279"/>
      <c r="KOS5" s="279"/>
      <c r="KOT5" s="279"/>
      <c r="KOU5" s="279"/>
      <c r="KOV5" s="279"/>
      <c r="KOW5" s="279"/>
      <c r="KOX5" s="279"/>
      <c r="KOY5" s="279"/>
      <c r="KOZ5" s="279"/>
      <c r="KPA5" s="279"/>
      <c r="KPB5" s="279"/>
      <c r="KPC5" s="279"/>
      <c r="KPD5" s="279"/>
      <c r="KPE5" s="279"/>
      <c r="KPF5" s="279"/>
      <c r="KPG5" s="279"/>
      <c r="KPH5" s="279"/>
      <c r="KPI5" s="279"/>
      <c r="KPJ5" s="279"/>
      <c r="KPK5" s="279"/>
      <c r="KPL5" s="279"/>
      <c r="KPM5" s="279"/>
      <c r="KPN5" s="279"/>
      <c r="KPO5" s="279"/>
      <c r="KPP5" s="279"/>
      <c r="KPQ5" s="279"/>
      <c r="KPR5" s="279"/>
      <c r="KPS5" s="279"/>
      <c r="KPT5" s="279"/>
      <c r="KPU5" s="279"/>
      <c r="KPV5" s="279"/>
      <c r="KPW5" s="279"/>
      <c r="KPX5" s="279"/>
      <c r="KPY5" s="279"/>
      <c r="KPZ5" s="279"/>
      <c r="KQA5" s="279"/>
      <c r="KQB5" s="279"/>
      <c r="KQC5" s="279"/>
      <c r="KQD5" s="279"/>
      <c r="KQE5" s="279"/>
      <c r="KQF5" s="279"/>
      <c r="KQG5" s="279"/>
      <c r="KQH5" s="279"/>
      <c r="KQI5" s="279"/>
      <c r="KQJ5" s="279"/>
      <c r="KQK5" s="279"/>
      <c r="KQL5" s="279"/>
      <c r="KQM5" s="279"/>
      <c r="KQN5" s="279"/>
      <c r="KQO5" s="279"/>
      <c r="KQP5" s="279"/>
      <c r="KQQ5" s="279"/>
      <c r="KQR5" s="279"/>
      <c r="KQS5" s="279"/>
      <c r="KQT5" s="279"/>
      <c r="KQU5" s="279"/>
      <c r="KQV5" s="279"/>
      <c r="KQW5" s="279"/>
      <c r="KQX5" s="279"/>
      <c r="KQY5" s="279"/>
      <c r="KQZ5" s="279"/>
      <c r="KRA5" s="279"/>
      <c r="KRB5" s="279"/>
      <c r="KRC5" s="279"/>
      <c r="KRD5" s="279"/>
      <c r="KRE5" s="279"/>
      <c r="KRF5" s="279"/>
      <c r="KRG5" s="279"/>
      <c r="KRH5" s="279"/>
      <c r="KRI5" s="279"/>
      <c r="KRJ5" s="279"/>
      <c r="KRK5" s="279"/>
      <c r="KRL5" s="279"/>
      <c r="KRM5" s="279"/>
      <c r="KRN5" s="279"/>
      <c r="KRO5" s="279"/>
      <c r="KRP5" s="279"/>
      <c r="KRQ5" s="279"/>
      <c r="KRR5" s="279"/>
      <c r="KRS5" s="279"/>
      <c r="KRT5" s="279"/>
      <c r="KRU5" s="279"/>
      <c r="KRV5" s="279"/>
      <c r="KRW5" s="279"/>
      <c r="KRX5" s="279"/>
      <c r="KRY5" s="279"/>
      <c r="KRZ5" s="279"/>
      <c r="KSA5" s="279"/>
      <c r="KSB5" s="279"/>
      <c r="KSC5" s="279"/>
      <c r="KSD5" s="279"/>
      <c r="KSE5" s="279"/>
      <c r="KSF5" s="279"/>
      <c r="KSG5" s="279"/>
      <c r="KSH5" s="279"/>
      <c r="KSI5" s="279"/>
      <c r="KSJ5" s="279"/>
      <c r="KSK5" s="279"/>
      <c r="KSL5" s="279"/>
      <c r="KSM5" s="279"/>
      <c r="KSN5" s="279"/>
      <c r="KSO5" s="279"/>
      <c r="KSP5" s="279"/>
      <c r="KSQ5" s="279"/>
      <c r="KSR5" s="279"/>
      <c r="KSS5" s="279"/>
      <c r="KST5" s="279"/>
      <c r="KSU5" s="279"/>
      <c r="KSV5" s="279"/>
      <c r="KSW5" s="279"/>
      <c r="KSX5" s="279"/>
      <c r="KSY5" s="279"/>
      <c r="KSZ5" s="279"/>
      <c r="KTA5" s="279"/>
      <c r="KTB5" s="279"/>
      <c r="KTC5" s="279"/>
      <c r="KTD5" s="279"/>
      <c r="KTE5" s="279"/>
      <c r="KTF5" s="279"/>
      <c r="KTG5" s="279"/>
      <c r="KTH5" s="279"/>
      <c r="KTI5" s="279"/>
      <c r="KTJ5" s="279"/>
      <c r="KTK5" s="279"/>
      <c r="KTL5" s="279"/>
      <c r="KTM5" s="279"/>
      <c r="KTN5" s="279"/>
      <c r="KTO5" s="279"/>
      <c r="KTP5" s="279"/>
      <c r="KTQ5" s="279"/>
      <c r="KTR5" s="279"/>
      <c r="KTS5" s="279"/>
      <c r="KTT5" s="279"/>
      <c r="KTU5" s="279"/>
      <c r="KTV5" s="279"/>
      <c r="KTW5" s="279"/>
      <c r="KTX5" s="279"/>
      <c r="KTY5" s="279"/>
      <c r="KTZ5" s="279"/>
      <c r="KUA5" s="279"/>
      <c r="KUB5" s="279"/>
      <c r="KUC5" s="279"/>
      <c r="KUD5" s="279"/>
      <c r="KUE5" s="279"/>
      <c r="KUF5" s="279"/>
      <c r="KUG5" s="279"/>
      <c r="KUH5" s="279"/>
      <c r="KUI5" s="279"/>
      <c r="KUJ5" s="279"/>
      <c r="KUK5" s="279"/>
      <c r="KUL5" s="279"/>
      <c r="KUM5" s="279"/>
      <c r="KUN5" s="279"/>
      <c r="KUO5" s="279"/>
      <c r="KUP5" s="279"/>
      <c r="KUQ5" s="279"/>
      <c r="KUR5" s="279"/>
      <c r="KUS5" s="279"/>
      <c r="KUT5" s="279"/>
      <c r="KUU5" s="279"/>
      <c r="KUV5" s="279"/>
      <c r="KUW5" s="279"/>
      <c r="KUX5" s="279"/>
      <c r="KUY5" s="279"/>
      <c r="KUZ5" s="279"/>
      <c r="KVA5" s="279"/>
      <c r="KVB5" s="279"/>
      <c r="KVC5" s="279"/>
      <c r="KVD5" s="279"/>
      <c r="KVE5" s="279"/>
      <c r="KVF5" s="279"/>
      <c r="KVG5" s="279"/>
      <c r="KVH5" s="279"/>
      <c r="KVI5" s="279"/>
      <c r="KVJ5" s="279"/>
      <c r="KVK5" s="279"/>
      <c r="KVL5" s="279"/>
      <c r="KVM5" s="279"/>
      <c r="KVN5" s="279"/>
      <c r="KVO5" s="279"/>
      <c r="KVP5" s="279"/>
      <c r="KVQ5" s="279"/>
      <c r="KVR5" s="279"/>
      <c r="KVS5" s="279"/>
      <c r="KVT5" s="279"/>
      <c r="KVU5" s="279"/>
      <c r="KVV5" s="279"/>
      <c r="KVW5" s="279"/>
      <c r="KVX5" s="279"/>
      <c r="KVY5" s="279"/>
      <c r="KVZ5" s="279"/>
      <c r="KWA5" s="279"/>
      <c r="KWB5" s="279"/>
      <c r="KWC5" s="279"/>
      <c r="KWD5" s="279"/>
      <c r="KWE5" s="279"/>
      <c r="KWF5" s="279"/>
      <c r="KWG5" s="279"/>
      <c r="KWH5" s="279"/>
      <c r="KWI5" s="279"/>
      <c r="KWJ5" s="279"/>
      <c r="KWK5" s="279"/>
      <c r="KWL5" s="279"/>
      <c r="KWM5" s="279"/>
      <c r="KWN5" s="279"/>
      <c r="KWO5" s="279"/>
      <c r="KWP5" s="279"/>
      <c r="KWQ5" s="279"/>
      <c r="KWR5" s="279"/>
      <c r="KWS5" s="279"/>
      <c r="KWT5" s="279"/>
      <c r="KWU5" s="279"/>
      <c r="KWV5" s="279"/>
      <c r="KWW5" s="279"/>
      <c r="KWX5" s="279"/>
      <c r="KWY5" s="279"/>
      <c r="KWZ5" s="279"/>
      <c r="KXA5" s="279"/>
      <c r="KXB5" s="279"/>
      <c r="KXC5" s="279"/>
      <c r="KXD5" s="279"/>
      <c r="KXE5" s="279"/>
      <c r="KXF5" s="279"/>
      <c r="KXG5" s="279"/>
      <c r="KXH5" s="279"/>
      <c r="KXI5" s="279"/>
      <c r="KXJ5" s="279"/>
      <c r="KXK5" s="279"/>
      <c r="KXL5" s="279"/>
      <c r="KXM5" s="279"/>
      <c r="KXN5" s="279"/>
      <c r="KXO5" s="279"/>
      <c r="KXP5" s="279"/>
      <c r="KXQ5" s="279"/>
      <c r="KXR5" s="279"/>
      <c r="KXS5" s="279"/>
      <c r="KXT5" s="279"/>
      <c r="KXU5" s="279"/>
      <c r="KXV5" s="279"/>
      <c r="KXW5" s="279"/>
      <c r="KXX5" s="279"/>
      <c r="KXY5" s="279"/>
      <c r="KXZ5" s="279"/>
      <c r="KYA5" s="279"/>
      <c r="KYB5" s="279"/>
      <c r="KYC5" s="279"/>
      <c r="KYD5" s="279"/>
      <c r="KYE5" s="279"/>
      <c r="KYF5" s="279"/>
      <c r="KYG5" s="279"/>
      <c r="KYH5" s="279"/>
      <c r="KYI5" s="279"/>
      <c r="KYJ5" s="279"/>
      <c r="KYK5" s="279"/>
      <c r="KYL5" s="279"/>
      <c r="KYM5" s="279"/>
      <c r="KYN5" s="279"/>
      <c r="KYO5" s="279"/>
      <c r="KYP5" s="279"/>
      <c r="KYQ5" s="279"/>
      <c r="KYR5" s="279"/>
      <c r="KYS5" s="279"/>
      <c r="KYT5" s="279"/>
      <c r="KYU5" s="279"/>
      <c r="KYV5" s="279"/>
      <c r="KYW5" s="279"/>
      <c r="KYX5" s="279"/>
      <c r="KYY5" s="279"/>
      <c r="KYZ5" s="279"/>
      <c r="KZA5" s="279"/>
      <c r="KZB5" s="279"/>
      <c r="KZC5" s="279"/>
      <c r="KZD5" s="279"/>
      <c r="KZE5" s="279"/>
      <c r="KZF5" s="279"/>
      <c r="KZG5" s="279"/>
      <c r="KZH5" s="279"/>
      <c r="KZI5" s="279"/>
      <c r="KZJ5" s="279"/>
      <c r="KZK5" s="279"/>
      <c r="KZL5" s="279"/>
      <c r="KZM5" s="279"/>
      <c r="KZN5" s="279"/>
      <c r="KZO5" s="279"/>
      <c r="KZP5" s="279"/>
      <c r="KZQ5" s="279"/>
      <c r="KZR5" s="279"/>
      <c r="KZS5" s="279"/>
      <c r="KZT5" s="279"/>
      <c r="KZU5" s="279"/>
      <c r="KZV5" s="279"/>
      <c r="KZW5" s="279"/>
      <c r="KZX5" s="279"/>
      <c r="KZY5" s="279"/>
      <c r="KZZ5" s="279"/>
      <c r="LAA5" s="279"/>
      <c r="LAB5" s="279"/>
      <c r="LAC5" s="279"/>
      <c r="LAD5" s="279"/>
      <c r="LAE5" s="279"/>
      <c r="LAF5" s="279"/>
      <c r="LAG5" s="279"/>
      <c r="LAH5" s="279"/>
      <c r="LAI5" s="279"/>
      <c r="LAJ5" s="279"/>
      <c r="LAK5" s="279"/>
      <c r="LAL5" s="279"/>
      <c r="LAM5" s="279"/>
      <c r="LAN5" s="279"/>
      <c r="LAO5" s="279"/>
      <c r="LAP5" s="279"/>
      <c r="LAQ5" s="279"/>
      <c r="LAR5" s="279"/>
      <c r="LAS5" s="279"/>
      <c r="LAT5" s="279"/>
      <c r="LAU5" s="279"/>
      <c r="LAV5" s="279"/>
      <c r="LAW5" s="279"/>
      <c r="LAX5" s="279"/>
      <c r="LAY5" s="279"/>
      <c r="LAZ5" s="279"/>
      <c r="LBA5" s="279"/>
      <c r="LBB5" s="279"/>
      <c r="LBC5" s="279"/>
      <c r="LBD5" s="279"/>
      <c r="LBE5" s="279"/>
      <c r="LBF5" s="279"/>
      <c r="LBG5" s="279"/>
      <c r="LBH5" s="279"/>
      <c r="LBI5" s="279"/>
      <c r="LBJ5" s="279"/>
      <c r="LBK5" s="279"/>
      <c r="LBL5" s="279"/>
      <c r="LBM5" s="279"/>
      <c r="LBN5" s="279"/>
      <c r="LBO5" s="279"/>
      <c r="LBP5" s="279"/>
      <c r="LBQ5" s="279"/>
      <c r="LBR5" s="279"/>
      <c r="LBS5" s="279"/>
      <c r="LBT5" s="279"/>
      <c r="LBU5" s="279"/>
      <c r="LBV5" s="279"/>
      <c r="LBW5" s="279"/>
      <c r="LBX5" s="279"/>
      <c r="LBY5" s="279"/>
      <c r="LBZ5" s="279"/>
      <c r="LCA5" s="279"/>
      <c r="LCB5" s="279"/>
      <c r="LCC5" s="279"/>
      <c r="LCD5" s="279"/>
      <c r="LCE5" s="279"/>
      <c r="LCF5" s="279"/>
      <c r="LCG5" s="279"/>
      <c r="LCH5" s="279"/>
      <c r="LCI5" s="279"/>
      <c r="LCJ5" s="279"/>
      <c r="LCK5" s="279"/>
      <c r="LCL5" s="279"/>
      <c r="LCM5" s="279"/>
      <c r="LCN5" s="279"/>
      <c r="LCO5" s="279"/>
      <c r="LCP5" s="279"/>
      <c r="LCQ5" s="279"/>
      <c r="LCR5" s="279"/>
      <c r="LCS5" s="279"/>
      <c r="LCT5" s="279"/>
      <c r="LCU5" s="279"/>
      <c r="LCV5" s="279"/>
      <c r="LCW5" s="279"/>
      <c r="LCX5" s="279"/>
      <c r="LCY5" s="279"/>
      <c r="LCZ5" s="279"/>
      <c r="LDA5" s="279"/>
      <c r="LDB5" s="279"/>
      <c r="LDC5" s="279"/>
      <c r="LDD5" s="279"/>
      <c r="LDE5" s="279"/>
      <c r="LDF5" s="279"/>
      <c r="LDG5" s="279"/>
      <c r="LDH5" s="279"/>
      <c r="LDI5" s="279"/>
      <c r="LDJ5" s="279"/>
      <c r="LDK5" s="279"/>
      <c r="LDL5" s="279"/>
      <c r="LDM5" s="279"/>
      <c r="LDN5" s="279"/>
      <c r="LDO5" s="279"/>
      <c r="LDP5" s="279"/>
      <c r="LDQ5" s="279"/>
      <c r="LDR5" s="279"/>
      <c r="LDS5" s="279"/>
      <c r="LDT5" s="279"/>
      <c r="LDU5" s="279"/>
      <c r="LDV5" s="279"/>
      <c r="LDW5" s="279"/>
      <c r="LDX5" s="279"/>
      <c r="LDY5" s="279"/>
      <c r="LDZ5" s="279"/>
      <c r="LEA5" s="279"/>
      <c r="LEB5" s="279"/>
      <c r="LEC5" s="279"/>
      <c r="LED5" s="279"/>
      <c r="LEE5" s="279"/>
      <c r="LEF5" s="279"/>
      <c r="LEG5" s="279"/>
      <c r="LEH5" s="279"/>
      <c r="LEI5" s="279"/>
      <c r="LEJ5" s="279"/>
      <c r="LEK5" s="279"/>
      <c r="LEL5" s="279"/>
      <c r="LEM5" s="279"/>
      <c r="LEN5" s="279"/>
      <c r="LEO5" s="279"/>
      <c r="LEP5" s="279"/>
      <c r="LEQ5" s="279"/>
      <c r="LER5" s="279"/>
      <c r="LES5" s="279"/>
      <c r="LET5" s="279"/>
      <c r="LEU5" s="279"/>
      <c r="LEV5" s="279"/>
      <c r="LEW5" s="279"/>
      <c r="LEX5" s="279"/>
      <c r="LEY5" s="279"/>
      <c r="LEZ5" s="279"/>
      <c r="LFA5" s="279"/>
      <c r="LFB5" s="279"/>
      <c r="LFC5" s="279"/>
      <c r="LFD5" s="279"/>
      <c r="LFE5" s="279"/>
      <c r="LFF5" s="279"/>
      <c r="LFG5" s="279"/>
      <c r="LFH5" s="279"/>
      <c r="LFI5" s="279"/>
      <c r="LFJ5" s="279"/>
      <c r="LFK5" s="279"/>
      <c r="LFL5" s="279"/>
      <c r="LFM5" s="279"/>
      <c r="LFN5" s="279"/>
      <c r="LFO5" s="279"/>
      <c r="LFP5" s="279"/>
      <c r="LFQ5" s="279"/>
      <c r="LFR5" s="279"/>
      <c r="LFS5" s="279"/>
      <c r="LFT5" s="279"/>
      <c r="LFU5" s="279"/>
      <c r="LFV5" s="279"/>
      <c r="LFW5" s="279"/>
      <c r="LFX5" s="279"/>
      <c r="LFY5" s="279"/>
      <c r="LFZ5" s="279"/>
      <c r="LGA5" s="279"/>
      <c r="LGB5" s="279"/>
      <c r="LGC5" s="279"/>
      <c r="LGD5" s="279"/>
      <c r="LGE5" s="279"/>
      <c r="LGF5" s="279"/>
      <c r="LGG5" s="279"/>
      <c r="LGH5" s="279"/>
      <c r="LGI5" s="279"/>
      <c r="LGJ5" s="279"/>
      <c r="LGK5" s="279"/>
      <c r="LGL5" s="279"/>
      <c r="LGM5" s="279"/>
      <c r="LGN5" s="279"/>
      <c r="LGO5" s="279"/>
      <c r="LGP5" s="279"/>
      <c r="LGQ5" s="279"/>
      <c r="LGR5" s="279"/>
      <c r="LGS5" s="279"/>
      <c r="LGT5" s="279"/>
      <c r="LGU5" s="279"/>
      <c r="LGV5" s="279"/>
      <c r="LGW5" s="279"/>
      <c r="LGX5" s="279"/>
      <c r="LGY5" s="279"/>
      <c r="LGZ5" s="279"/>
      <c r="LHA5" s="279"/>
      <c r="LHB5" s="279"/>
      <c r="LHC5" s="279"/>
      <c r="LHD5" s="279"/>
      <c r="LHE5" s="279"/>
      <c r="LHF5" s="279"/>
      <c r="LHG5" s="279"/>
      <c r="LHH5" s="279"/>
      <c r="LHI5" s="279"/>
      <c r="LHJ5" s="279"/>
      <c r="LHK5" s="279"/>
      <c r="LHL5" s="279"/>
      <c r="LHM5" s="279"/>
      <c r="LHN5" s="279"/>
      <c r="LHO5" s="279"/>
      <c r="LHP5" s="279"/>
      <c r="LHQ5" s="279"/>
      <c r="LHR5" s="279"/>
      <c r="LHS5" s="279"/>
      <c r="LHT5" s="279"/>
      <c r="LHU5" s="279"/>
      <c r="LHV5" s="279"/>
      <c r="LHW5" s="279"/>
      <c r="LHX5" s="279"/>
      <c r="LHY5" s="279"/>
      <c r="LHZ5" s="279"/>
      <c r="LIA5" s="279"/>
      <c r="LIB5" s="279"/>
      <c r="LIC5" s="279"/>
      <c r="LID5" s="279"/>
      <c r="LIE5" s="279"/>
      <c r="LIF5" s="279"/>
      <c r="LIG5" s="279"/>
      <c r="LIH5" s="279"/>
      <c r="LII5" s="279"/>
      <c r="LIJ5" s="279"/>
      <c r="LIK5" s="279"/>
      <c r="LIL5" s="279"/>
      <c r="LIM5" s="279"/>
      <c r="LIN5" s="279"/>
      <c r="LIO5" s="279"/>
      <c r="LIP5" s="279"/>
      <c r="LIQ5" s="279"/>
      <c r="LIR5" s="279"/>
      <c r="LIS5" s="279"/>
      <c r="LIT5" s="279"/>
      <c r="LIU5" s="279"/>
      <c r="LIV5" s="279"/>
      <c r="LIW5" s="279"/>
      <c r="LIX5" s="279"/>
      <c r="LIY5" s="279"/>
      <c r="LIZ5" s="279"/>
      <c r="LJA5" s="279"/>
      <c r="LJB5" s="279"/>
      <c r="LJC5" s="279"/>
      <c r="LJD5" s="279"/>
      <c r="LJE5" s="279"/>
      <c r="LJF5" s="279"/>
      <c r="LJG5" s="279"/>
      <c r="LJH5" s="279"/>
      <c r="LJI5" s="279"/>
      <c r="LJJ5" s="279"/>
      <c r="LJK5" s="279"/>
      <c r="LJL5" s="279"/>
      <c r="LJM5" s="279"/>
      <c r="LJN5" s="279"/>
      <c r="LJO5" s="279"/>
      <c r="LJP5" s="279"/>
      <c r="LJQ5" s="279"/>
      <c r="LJR5" s="279"/>
      <c r="LJS5" s="279"/>
      <c r="LJT5" s="279"/>
      <c r="LJU5" s="279"/>
      <c r="LJV5" s="279"/>
      <c r="LJW5" s="279"/>
      <c r="LJX5" s="279"/>
      <c r="LJY5" s="279"/>
      <c r="LJZ5" s="279"/>
      <c r="LKA5" s="279"/>
      <c r="LKB5" s="279"/>
      <c r="LKC5" s="279"/>
      <c r="LKD5" s="279"/>
      <c r="LKE5" s="279"/>
      <c r="LKF5" s="279"/>
      <c r="LKG5" s="279"/>
      <c r="LKH5" s="279"/>
      <c r="LKI5" s="279"/>
      <c r="LKJ5" s="279"/>
      <c r="LKK5" s="279"/>
      <c r="LKL5" s="279"/>
      <c r="LKM5" s="279"/>
      <c r="LKN5" s="279"/>
      <c r="LKO5" s="279"/>
      <c r="LKP5" s="279"/>
      <c r="LKQ5" s="279"/>
      <c r="LKR5" s="279"/>
      <c r="LKS5" s="279"/>
      <c r="LKT5" s="279"/>
      <c r="LKU5" s="279"/>
      <c r="LKV5" s="279"/>
      <c r="LKW5" s="279"/>
      <c r="LKX5" s="279"/>
      <c r="LKY5" s="279"/>
      <c r="LKZ5" s="279"/>
      <c r="LLA5" s="279"/>
      <c r="LLB5" s="279"/>
      <c r="LLC5" s="279"/>
      <c r="LLD5" s="279"/>
      <c r="LLE5" s="279"/>
      <c r="LLF5" s="279"/>
      <c r="LLG5" s="279"/>
      <c r="LLH5" s="279"/>
      <c r="LLI5" s="279"/>
      <c r="LLJ5" s="279"/>
      <c r="LLK5" s="279"/>
      <c r="LLL5" s="279"/>
      <c r="LLM5" s="279"/>
      <c r="LLN5" s="279"/>
      <c r="LLO5" s="279"/>
      <c r="LLP5" s="279"/>
      <c r="LLQ5" s="279"/>
      <c r="LLR5" s="279"/>
      <c r="LLS5" s="279"/>
      <c r="LLT5" s="279"/>
      <c r="LLU5" s="279"/>
      <c r="LLV5" s="279"/>
      <c r="LLW5" s="279"/>
      <c r="LLX5" s="279"/>
      <c r="LLY5" s="279"/>
      <c r="LLZ5" s="279"/>
      <c r="LMA5" s="279"/>
      <c r="LMB5" s="279"/>
      <c r="LMC5" s="279"/>
      <c r="LMD5" s="279"/>
      <c r="LME5" s="279"/>
      <c r="LMF5" s="279"/>
      <c r="LMG5" s="279"/>
      <c r="LMH5" s="279"/>
      <c r="LMI5" s="279"/>
      <c r="LMJ5" s="279"/>
      <c r="LMK5" s="279"/>
      <c r="LML5" s="279"/>
      <c r="LMM5" s="279"/>
      <c r="LMN5" s="279"/>
      <c r="LMO5" s="279"/>
      <c r="LMP5" s="279"/>
      <c r="LMQ5" s="279"/>
      <c r="LMR5" s="279"/>
      <c r="LMS5" s="279"/>
      <c r="LMT5" s="279"/>
      <c r="LMU5" s="279"/>
      <c r="LMV5" s="279"/>
      <c r="LMW5" s="279"/>
      <c r="LMX5" s="279"/>
      <c r="LMY5" s="279"/>
      <c r="LMZ5" s="279"/>
      <c r="LNA5" s="279"/>
      <c r="LNB5" s="279"/>
      <c r="LNC5" s="279"/>
      <c r="LND5" s="279"/>
      <c r="LNE5" s="279"/>
      <c r="LNF5" s="279"/>
      <c r="LNG5" s="279"/>
      <c r="LNH5" s="279"/>
      <c r="LNI5" s="279"/>
      <c r="LNJ5" s="279"/>
      <c r="LNK5" s="279"/>
      <c r="LNL5" s="279"/>
      <c r="LNM5" s="279"/>
      <c r="LNN5" s="279"/>
      <c r="LNO5" s="279"/>
      <c r="LNP5" s="279"/>
      <c r="LNQ5" s="279"/>
      <c r="LNR5" s="279"/>
      <c r="LNS5" s="279"/>
      <c r="LNT5" s="279"/>
      <c r="LNU5" s="279"/>
      <c r="LNV5" s="279"/>
      <c r="LNW5" s="279"/>
      <c r="LNX5" s="279"/>
      <c r="LNY5" s="279"/>
      <c r="LNZ5" s="279"/>
      <c r="LOA5" s="279"/>
      <c r="LOB5" s="279"/>
      <c r="LOC5" s="279"/>
      <c r="LOD5" s="279"/>
      <c r="LOE5" s="279"/>
      <c r="LOF5" s="279"/>
      <c r="LOG5" s="279"/>
      <c r="LOH5" s="279"/>
      <c r="LOI5" s="279"/>
      <c r="LOJ5" s="279"/>
      <c r="LOK5" s="279"/>
      <c r="LOL5" s="279"/>
      <c r="LOM5" s="279"/>
      <c r="LON5" s="279"/>
      <c r="LOO5" s="279"/>
      <c r="LOP5" s="279"/>
      <c r="LOQ5" s="279"/>
      <c r="LOR5" s="279"/>
      <c r="LOS5" s="279"/>
      <c r="LOT5" s="279"/>
      <c r="LOU5" s="279"/>
      <c r="LOV5" s="279"/>
      <c r="LOW5" s="279"/>
      <c r="LOX5" s="279"/>
      <c r="LOY5" s="279"/>
      <c r="LOZ5" s="279"/>
      <c r="LPA5" s="279"/>
      <c r="LPB5" s="279"/>
      <c r="LPC5" s="279"/>
      <c r="LPD5" s="279"/>
      <c r="LPE5" s="279"/>
      <c r="LPF5" s="279"/>
      <c r="LPG5" s="279"/>
      <c r="LPH5" s="279"/>
      <c r="LPI5" s="279"/>
      <c r="LPJ5" s="279"/>
      <c r="LPK5" s="279"/>
      <c r="LPL5" s="279"/>
      <c r="LPM5" s="279"/>
      <c r="LPN5" s="279"/>
      <c r="LPO5" s="279"/>
      <c r="LPP5" s="279"/>
      <c r="LPQ5" s="279"/>
      <c r="LPR5" s="279"/>
      <c r="LPS5" s="279"/>
      <c r="LPT5" s="279"/>
      <c r="LPU5" s="279"/>
      <c r="LPV5" s="279"/>
      <c r="LPW5" s="279"/>
      <c r="LPX5" s="279"/>
      <c r="LPY5" s="279"/>
      <c r="LPZ5" s="279"/>
      <c r="LQA5" s="279"/>
      <c r="LQB5" s="279"/>
      <c r="LQC5" s="279"/>
      <c r="LQD5" s="279"/>
      <c r="LQE5" s="279"/>
      <c r="LQF5" s="279"/>
      <c r="LQG5" s="279"/>
      <c r="LQH5" s="279"/>
      <c r="LQI5" s="279"/>
      <c r="LQJ5" s="279"/>
      <c r="LQK5" s="279"/>
      <c r="LQL5" s="279"/>
      <c r="LQM5" s="279"/>
      <c r="LQN5" s="279"/>
      <c r="LQO5" s="279"/>
      <c r="LQP5" s="279"/>
      <c r="LQQ5" s="279"/>
      <c r="LQR5" s="279"/>
      <c r="LQS5" s="279"/>
      <c r="LQT5" s="279"/>
      <c r="LQU5" s="279"/>
      <c r="LQV5" s="279"/>
      <c r="LQW5" s="279"/>
      <c r="LQX5" s="279"/>
      <c r="LQY5" s="279"/>
      <c r="LQZ5" s="279"/>
      <c r="LRA5" s="279"/>
      <c r="LRB5" s="279"/>
      <c r="LRC5" s="279"/>
      <c r="LRD5" s="279"/>
      <c r="LRE5" s="279"/>
      <c r="LRF5" s="279"/>
      <c r="LRG5" s="279"/>
      <c r="LRH5" s="279"/>
      <c r="LRI5" s="279"/>
      <c r="LRJ5" s="279"/>
      <c r="LRK5" s="279"/>
      <c r="LRL5" s="279"/>
      <c r="LRM5" s="279"/>
      <c r="LRN5" s="279"/>
      <c r="LRO5" s="279"/>
      <c r="LRP5" s="279"/>
      <c r="LRQ5" s="279"/>
      <c r="LRR5" s="279"/>
      <c r="LRS5" s="279"/>
      <c r="LRT5" s="279"/>
      <c r="LRU5" s="279"/>
      <c r="LRV5" s="279"/>
      <c r="LRW5" s="279"/>
      <c r="LRX5" s="279"/>
      <c r="LRY5" s="279"/>
      <c r="LRZ5" s="279"/>
      <c r="LSA5" s="279"/>
      <c r="LSB5" s="279"/>
      <c r="LSC5" s="279"/>
      <c r="LSD5" s="279"/>
      <c r="LSE5" s="279"/>
      <c r="LSF5" s="279"/>
      <c r="LSG5" s="279"/>
      <c r="LSH5" s="279"/>
      <c r="LSI5" s="279"/>
      <c r="LSJ5" s="279"/>
      <c r="LSK5" s="279"/>
      <c r="LSL5" s="279"/>
      <c r="LSM5" s="279"/>
      <c r="LSN5" s="279"/>
      <c r="LSO5" s="279"/>
      <c r="LSP5" s="279"/>
      <c r="LSQ5" s="279"/>
      <c r="LSR5" s="279"/>
      <c r="LSS5" s="279"/>
      <c r="LST5" s="279"/>
      <c r="LSU5" s="279"/>
      <c r="LSV5" s="279"/>
      <c r="LSW5" s="279"/>
      <c r="LSX5" s="279"/>
      <c r="LSY5" s="279"/>
      <c r="LSZ5" s="279"/>
      <c r="LTA5" s="279"/>
      <c r="LTB5" s="279"/>
      <c r="LTC5" s="279"/>
      <c r="LTD5" s="279"/>
      <c r="LTE5" s="279"/>
      <c r="LTF5" s="279"/>
      <c r="LTG5" s="279"/>
      <c r="LTH5" s="279"/>
      <c r="LTI5" s="279"/>
      <c r="LTJ5" s="279"/>
      <c r="LTK5" s="279"/>
      <c r="LTL5" s="279"/>
      <c r="LTM5" s="279"/>
      <c r="LTN5" s="279"/>
      <c r="LTO5" s="279"/>
      <c r="LTP5" s="279"/>
      <c r="LTQ5" s="279"/>
      <c r="LTR5" s="279"/>
      <c r="LTS5" s="279"/>
      <c r="LTT5" s="279"/>
      <c r="LTU5" s="279"/>
      <c r="LTV5" s="279"/>
      <c r="LTW5" s="279"/>
      <c r="LTX5" s="279"/>
      <c r="LTY5" s="279"/>
      <c r="LTZ5" s="279"/>
      <c r="LUA5" s="279"/>
      <c r="LUB5" s="279"/>
      <c r="LUC5" s="279"/>
      <c r="LUD5" s="279"/>
      <c r="LUE5" s="279"/>
      <c r="LUF5" s="279"/>
      <c r="LUG5" s="279"/>
      <c r="LUH5" s="279"/>
      <c r="LUI5" s="279"/>
      <c r="LUJ5" s="279"/>
      <c r="LUK5" s="279"/>
      <c r="LUL5" s="279"/>
      <c r="LUM5" s="279"/>
      <c r="LUN5" s="279"/>
      <c r="LUO5" s="279"/>
      <c r="LUP5" s="279"/>
      <c r="LUQ5" s="279"/>
      <c r="LUR5" s="279"/>
      <c r="LUS5" s="279"/>
      <c r="LUT5" s="279"/>
      <c r="LUU5" s="279"/>
      <c r="LUV5" s="279"/>
      <c r="LUW5" s="279"/>
      <c r="LUX5" s="279"/>
      <c r="LUY5" s="279"/>
      <c r="LUZ5" s="279"/>
      <c r="LVA5" s="279"/>
      <c r="LVB5" s="279"/>
      <c r="LVC5" s="279"/>
      <c r="LVD5" s="279"/>
      <c r="LVE5" s="279"/>
      <c r="LVF5" s="279"/>
      <c r="LVG5" s="279"/>
      <c r="LVH5" s="279"/>
      <c r="LVI5" s="279"/>
      <c r="LVJ5" s="279"/>
      <c r="LVK5" s="279"/>
      <c r="LVL5" s="279"/>
      <c r="LVM5" s="279"/>
      <c r="LVN5" s="279"/>
      <c r="LVO5" s="279"/>
      <c r="LVP5" s="279"/>
      <c r="LVQ5" s="279"/>
      <c r="LVR5" s="279"/>
      <c r="LVS5" s="279"/>
      <c r="LVT5" s="279"/>
      <c r="LVU5" s="279"/>
      <c r="LVV5" s="279"/>
      <c r="LVW5" s="279"/>
      <c r="LVX5" s="279"/>
      <c r="LVY5" s="279"/>
      <c r="LVZ5" s="279"/>
      <c r="LWA5" s="279"/>
      <c r="LWB5" s="279"/>
      <c r="LWC5" s="279"/>
      <c r="LWD5" s="279"/>
      <c r="LWE5" s="279"/>
      <c r="LWF5" s="279"/>
      <c r="LWG5" s="279"/>
      <c r="LWH5" s="279"/>
      <c r="LWI5" s="279"/>
      <c r="LWJ5" s="279"/>
      <c r="LWK5" s="279"/>
      <c r="LWL5" s="279"/>
      <c r="LWM5" s="279"/>
      <c r="LWN5" s="279"/>
      <c r="LWO5" s="279"/>
      <c r="LWP5" s="279"/>
      <c r="LWQ5" s="279"/>
      <c r="LWR5" s="279"/>
      <c r="LWS5" s="279"/>
      <c r="LWT5" s="279"/>
      <c r="LWU5" s="279"/>
      <c r="LWV5" s="279"/>
      <c r="LWW5" s="279"/>
      <c r="LWX5" s="279"/>
      <c r="LWY5" s="279"/>
      <c r="LWZ5" s="279"/>
      <c r="LXA5" s="279"/>
      <c r="LXB5" s="279"/>
      <c r="LXC5" s="279"/>
      <c r="LXD5" s="279"/>
      <c r="LXE5" s="279"/>
      <c r="LXF5" s="279"/>
      <c r="LXG5" s="279"/>
      <c r="LXH5" s="279"/>
      <c r="LXI5" s="279"/>
      <c r="LXJ5" s="279"/>
      <c r="LXK5" s="279"/>
      <c r="LXL5" s="279"/>
      <c r="LXM5" s="279"/>
      <c r="LXN5" s="279"/>
      <c r="LXO5" s="279"/>
      <c r="LXP5" s="279"/>
      <c r="LXQ5" s="279"/>
      <c r="LXR5" s="279"/>
      <c r="LXS5" s="279"/>
      <c r="LXT5" s="279"/>
      <c r="LXU5" s="279"/>
      <c r="LXV5" s="279"/>
      <c r="LXW5" s="279"/>
      <c r="LXX5" s="279"/>
      <c r="LXY5" s="279"/>
      <c r="LXZ5" s="279"/>
      <c r="LYA5" s="279"/>
      <c r="LYB5" s="279"/>
      <c r="LYC5" s="279"/>
      <c r="LYD5" s="279"/>
      <c r="LYE5" s="279"/>
      <c r="LYF5" s="279"/>
      <c r="LYG5" s="279"/>
      <c r="LYH5" s="279"/>
      <c r="LYI5" s="279"/>
      <c r="LYJ5" s="279"/>
      <c r="LYK5" s="279"/>
      <c r="LYL5" s="279"/>
      <c r="LYM5" s="279"/>
      <c r="LYN5" s="279"/>
      <c r="LYO5" s="279"/>
      <c r="LYP5" s="279"/>
      <c r="LYQ5" s="279"/>
      <c r="LYR5" s="279"/>
      <c r="LYS5" s="279"/>
      <c r="LYT5" s="279"/>
      <c r="LYU5" s="279"/>
      <c r="LYV5" s="279"/>
      <c r="LYW5" s="279"/>
      <c r="LYX5" s="279"/>
      <c r="LYY5" s="279"/>
      <c r="LYZ5" s="279"/>
      <c r="LZA5" s="279"/>
      <c r="LZB5" s="279"/>
      <c r="LZC5" s="279"/>
      <c r="LZD5" s="279"/>
      <c r="LZE5" s="279"/>
      <c r="LZF5" s="279"/>
      <c r="LZG5" s="279"/>
      <c r="LZH5" s="279"/>
      <c r="LZI5" s="279"/>
      <c r="LZJ5" s="279"/>
      <c r="LZK5" s="279"/>
      <c r="LZL5" s="279"/>
      <c r="LZM5" s="279"/>
      <c r="LZN5" s="279"/>
      <c r="LZO5" s="279"/>
      <c r="LZP5" s="279"/>
      <c r="LZQ5" s="279"/>
      <c r="LZR5" s="279"/>
      <c r="LZS5" s="279"/>
      <c r="LZT5" s="279"/>
      <c r="LZU5" s="279"/>
      <c r="LZV5" s="279"/>
      <c r="LZW5" s="279"/>
      <c r="LZX5" s="279"/>
      <c r="LZY5" s="279"/>
      <c r="LZZ5" s="279"/>
      <c r="MAA5" s="279"/>
      <c r="MAB5" s="279"/>
      <c r="MAC5" s="279"/>
      <c r="MAD5" s="279"/>
      <c r="MAE5" s="279"/>
      <c r="MAF5" s="279"/>
      <c r="MAG5" s="279"/>
      <c r="MAH5" s="279"/>
      <c r="MAI5" s="279"/>
      <c r="MAJ5" s="279"/>
      <c r="MAK5" s="279"/>
      <c r="MAL5" s="279"/>
      <c r="MAM5" s="279"/>
      <c r="MAN5" s="279"/>
      <c r="MAO5" s="279"/>
      <c r="MAP5" s="279"/>
      <c r="MAQ5" s="279"/>
      <c r="MAR5" s="279"/>
      <c r="MAS5" s="279"/>
      <c r="MAT5" s="279"/>
      <c r="MAU5" s="279"/>
      <c r="MAV5" s="279"/>
      <c r="MAW5" s="279"/>
      <c r="MAX5" s="279"/>
      <c r="MAY5" s="279"/>
      <c r="MAZ5" s="279"/>
      <c r="MBA5" s="279"/>
      <c r="MBB5" s="279"/>
      <c r="MBC5" s="279"/>
      <c r="MBD5" s="279"/>
      <c r="MBE5" s="279"/>
      <c r="MBF5" s="279"/>
      <c r="MBG5" s="279"/>
      <c r="MBH5" s="279"/>
      <c r="MBI5" s="279"/>
      <c r="MBJ5" s="279"/>
      <c r="MBK5" s="279"/>
      <c r="MBL5" s="279"/>
      <c r="MBM5" s="279"/>
      <c r="MBN5" s="279"/>
      <c r="MBO5" s="279"/>
      <c r="MBP5" s="279"/>
      <c r="MBQ5" s="279"/>
      <c r="MBR5" s="279"/>
      <c r="MBS5" s="279"/>
      <c r="MBT5" s="279"/>
      <c r="MBU5" s="279"/>
      <c r="MBV5" s="279"/>
      <c r="MBW5" s="279"/>
      <c r="MBX5" s="279"/>
      <c r="MBY5" s="279"/>
      <c r="MBZ5" s="279"/>
      <c r="MCA5" s="279"/>
      <c r="MCB5" s="279"/>
      <c r="MCC5" s="279"/>
      <c r="MCD5" s="279"/>
      <c r="MCE5" s="279"/>
      <c r="MCF5" s="279"/>
      <c r="MCG5" s="279"/>
      <c r="MCH5" s="279"/>
      <c r="MCI5" s="279"/>
      <c r="MCJ5" s="279"/>
      <c r="MCK5" s="279"/>
      <c r="MCL5" s="279"/>
      <c r="MCM5" s="279"/>
      <c r="MCN5" s="279"/>
      <c r="MCO5" s="279"/>
      <c r="MCP5" s="279"/>
      <c r="MCQ5" s="279"/>
      <c r="MCR5" s="279"/>
      <c r="MCS5" s="279"/>
      <c r="MCT5" s="279"/>
      <c r="MCU5" s="279"/>
      <c r="MCV5" s="279"/>
      <c r="MCW5" s="279"/>
      <c r="MCX5" s="279"/>
      <c r="MCY5" s="279"/>
      <c r="MCZ5" s="279"/>
      <c r="MDA5" s="279"/>
      <c r="MDB5" s="279"/>
      <c r="MDC5" s="279"/>
      <c r="MDD5" s="279"/>
      <c r="MDE5" s="279"/>
      <c r="MDF5" s="279"/>
      <c r="MDG5" s="279"/>
      <c r="MDH5" s="279"/>
      <c r="MDI5" s="279"/>
      <c r="MDJ5" s="279"/>
      <c r="MDK5" s="279"/>
      <c r="MDL5" s="279"/>
      <c r="MDM5" s="279"/>
      <c r="MDN5" s="279"/>
      <c r="MDO5" s="279"/>
      <c r="MDP5" s="279"/>
      <c r="MDQ5" s="279"/>
      <c r="MDR5" s="279"/>
      <c r="MDS5" s="279"/>
      <c r="MDT5" s="279"/>
      <c r="MDU5" s="279"/>
      <c r="MDV5" s="279"/>
      <c r="MDW5" s="279"/>
      <c r="MDX5" s="279"/>
      <c r="MDY5" s="279"/>
      <c r="MDZ5" s="279"/>
      <c r="MEA5" s="279"/>
      <c r="MEB5" s="279"/>
      <c r="MEC5" s="279"/>
      <c r="MED5" s="279"/>
      <c r="MEE5" s="279"/>
      <c r="MEF5" s="279"/>
      <c r="MEG5" s="279"/>
      <c r="MEH5" s="279"/>
      <c r="MEI5" s="279"/>
      <c r="MEJ5" s="279"/>
      <c r="MEK5" s="279"/>
      <c r="MEL5" s="279"/>
      <c r="MEM5" s="279"/>
      <c r="MEN5" s="279"/>
      <c r="MEO5" s="279"/>
      <c r="MEP5" s="279"/>
      <c r="MEQ5" s="279"/>
      <c r="MER5" s="279"/>
      <c r="MES5" s="279"/>
      <c r="MET5" s="279"/>
      <c r="MEU5" s="279"/>
      <c r="MEV5" s="279"/>
      <c r="MEW5" s="279"/>
      <c r="MEX5" s="279"/>
      <c r="MEY5" s="279"/>
      <c r="MEZ5" s="279"/>
      <c r="MFA5" s="279"/>
      <c r="MFB5" s="279"/>
      <c r="MFC5" s="279"/>
      <c r="MFD5" s="279"/>
      <c r="MFE5" s="279"/>
      <c r="MFF5" s="279"/>
      <c r="MFG5" s="279"/>
      <c r="MFH5" s="279"/>
      <c r="MFI5" s="279"/>
      <c r="MFJ5" s="279"/>
      <c r="MFK5" s="279"/>
      <c r="MFL5" s="279"/>
      <c r="MFM5" s="279"/>
      <c r="MFN5" s="279"/>
      <c r="MFO5" s="279"/>
      <c r="MFP5" s="279"/>
      <c r="MFQ5" s="279"/>
      <c r="MFR5" s="279"/>
      <c r="MFS5" s="279"/>
      <c r="MFT5" s="279"/>
      <c r="MFU5" s="279"/>
      <c r="MFV5" s="279"/>
      <c r="MFW5" s="279"/>
      <c r="MFX5" s="279"/>
      <c r="MFY5" s="279"/>
      <c r="MFZ5" s="279"/>
      <c r="MGA5" s="279"/>
      <c r="MGB5" s="279"/>
      <c r="MGC5" s="279"/>
      <c r="MGD5" s="279"/>
      <c r="MGE5" s="279"/>
      <c r="MGF5" s="279"/>
      <c r="MGG5" s="279"/>
      <c r="MGH5" s="279"/>
      <c r="MGI5" s="279"/>
      <c r="MGJ5" s="279"/>
      <c r="MGK5" s="279"/>
      <c r="MGL5" s="279"/>
      <c r="MGM5" s="279"/>
      <c r="MGN5" s="279"/>
      <c r="MGO5" s="279"/>
      <c r="MGP5" s="279"/>
      <c r="MGQ5" s="279"/>
      <c r="MGR5" s="279"/>
      <c r="MGS5" s="279"/>
      <c r="MGT5" s="279"/>
      <c r="MGU5" s="279"/>
      <c r="MGV5" s="279"/>
      <c r="MGW5" s="279"/>
      <c r="MGX5" s="279"/>
      <c r="MGY5" s="279"/>
      <c r="MGZ5" s="279"/>
      <c r="MHA5" s="279"/>
      <c r="MHB5" s="279"/>
      <c r="MHC5" s="279"/>
      <c r="MHD5" s="279"/>
      <c r="MHE5" s="279"/>
      <c r="MHF5" s="279"/>
      <c r="MHG5" s="279"/>
      <c r="MHH5" s="279"/>
      <c r="MHI5" s="279"/>
      <c r="MHJ5" s="279"/>
      <c r="MHK5" s="279"/>
      <c r="MHL5" s="279"/>
      <c r="MHM5" s="279"/>
      <c r="MHN5" s="279"/>
      <c r="MHO5" s="279"/>
      <c r="MHP5" s="279"/>
      <c r="MHQ5" s="279"/>
      <c r="MHR5" s="279"/>
      <c r="MHS5" s="279"/>
      <c r="MHT5" s="279"/>
      <c r="MHU5" s="279"/>
      <c r="MHV5" s="279"/>
      <c r="MHW5" s="279"/>
      <c r="MHX5" s="279"/>
      <c r="MHY5" s="279"/>
      <c r="MHZ5" s="279"/>
      <c r="MIA5" s="279"/>
      <c r="MIB5" s="279"/>
      <c r="MIC5" s="279"/>
      <c r="MID5" s="279"/>
      <c r="MIE5" s="279"/>
      <c r="MIF5" s="279"/>
      <c r="MIG5" s="279"/>
      <c r="MIH5" s="279"/>
      <c r="MII5" s="279"/>
      <c r="MIJ5" s="279"/>
      <c r="MIK5" s="279"/>
      <c r="MIL5" s="279"/>
      <c r="MIM5" s="279"/>
      <c r="MIN5" s="279"/>
      <c r="MIO5" s="279"/>
      <c r="MIP5" s="279"/>
      <c r="MIQ5" s="279"/>
      <c r="MIR5" s="279"/>
      <c r="MIS5" s="279"/>
      <c r="MIT5" s="279"/>
      <c r="MIU5" s="279"/>
      <c r="MIV5" s="279"/>
      <c r="MIW5" s="279"/>
      <c r="MIX5" s="279"/>
      <c r="MIY5" s="279"/>
      <c r="MIZ5" s="279"/>
      <c r="MJA5" s="279"/>
      <c r="MJB5" s="279"/>
      <c r="MJC5" s="279"/>
      <c r="MJD5" s="279"/>
      <c r="MJE5" s="279"/>
      <c r="MJF5" s="279"/>
      <c r="MJG5" s="279"/>
      <c r="MJH5" s="279"/>
      <c r="MJI5" s="279"/>
      <c r="MJJ5" s="279"/>
      <c r="MJK5" s="279"/>
      <c r="MJL5" s="279"/>
      <c r="MJM5" s="279"/>
      <c r="MJN5" s="279"/>
      <c r="MJO5" s="279"/>
      <c r="MJP5" s="279"/>
      <c r="MJQ5" s="279"/>
      <c r="MJR5" s="279"/>
      <c r="MJS5" s="279"/>
      <c r="MJT5" s="279"/>
      <c r="MJU5" s="279"/>
      <c r="MJV5" s="279"/>
      <c r="MJW5" s="279"/>
      <c r="MJX5" s="279"/>
      <c r="MJY5" s="279"/>
      <c r="MJZ5" s="279"/>
      <c r="MKA5" s="279"/>
      <c r="MKB5" s="279"/>
      <c r="MKC5" s="279"/>
      <c r="MKD5" s="279"/>
      <c r="MKE5" s="279"/>
      <c r="MKF5" s="279"/>
      <c r="MKG5" s="279"/>
      <c r="MKH5" s="279"/>
      <c r="MKI5" s="279"/>
      <c r="MKJ5" s="279"/>
      <c r="MKK5" s="279"/>
      <c r="MKL5" s="279"/>
      <c r="MKM5" s="279"/>
      <c r="MKN5" s="279"/>
      <c r="MKO5" s="279"/>
      <c r="MKP5" s="279"/>
      <c r="MKQ5" s="279"/>
      <c r="MKR5" s="279"/>
      <c r="MKS5" s="279"/>
      <c r="MKT5" s="279"/>
      <c r="MKU5" s="279"/>
      <c r="MKV5" s="279"/>
      <c r="MKW5" s="279"/>
      <c r="MKX5" s="279"/>
      <c r="MKY5" s="279"/>
      <c r="MKZ5" s="279"/>
      <c r="MLA5" s="279"/>
      <c r="MLB5" s="279"/>
      <c r="MLC5" s="279"/>
      <c r="MLD5" s="279"/>
      <c r="MLE5" s="279"/>
      <c r="MLF5" s="279"/>
      <c r="MLG5" s="279"/>
      <c r="MLH5" s="279"/>
      <c r="MLI5" s="279"/>
      <c r="MLJ5" s="279"/>
      <c r="MLK5" s="279"/>
      <c r="MLL5" s="279"/>
      <c r="MLM5" s="279"/>
      <c r="MLN5" s="279"/>
      <c r="MLO5" s="279"/>
      <c r="MLP5" s="279"/>
      <c r="MLQ5" s="279"/>
      <c r="MLR5" s="279"/>
      <c r="MLS5" s="279"/>
      <c r="MLT5" s="279"/>
      <c r="MLU5" s="279"/>
      <c r="MLV5" s="279"/>
      <c r="MLW5" s="279"/>
      <c r="MLX5" s="279"/>
      <c r="MLY5" s="279"/>
      <c r="MLZ5" s="279"/>
      <c r="MMA5" s="279"/>
      <c r="MMB5" s="279"/>
      <c r="MMC5" s="279"/>
      <c r="MMD5" s="279"/>
      <c r="MME5" s="279"/>
      <c r="MMF5" s="279"/>
      <c r="MMG5" s="279"/>
      <c r="MMH5" s="279"/>
      <c r="MMI5" s="279"/>
      <c r="MMJ5" s="279"/>
      <c r="MMK5" s="279"/>
      <c r="MML5" s="279"/>
      <c r="MMM5" s="279"/>
      <c r="MMN5" s="279"/>
      <c r="MMO5" s="279"/>
      <c r="MMP5" s="279"/>
      <c r="MMQ5" s="279"/>
      <c r="MMR5" s="279"/>
      <c r="MMS5" s="279"/>
      <c r="MMT5" s="279"/>
      <c r="MMU5" s="279"/>
      <c r="MMV5" s="279"/>
      <c r="MMW5" s="279"/>
      <c r="MMX5" s="279"/>
      <c r="MMY5" s="279"/>
      <c r="MMZ5" s="279"/>
      <c r="MNA5" s="279"/>
      <c r="MNB5" s="279"/>
      <c r="MNC5" s="279"/>
      <c r="MND5" s="279"/>
      <c r="MNE5" s="279"/>
      <c r="MNF5" s="279"/>
      <c r="MNG5" s="279"/>
      <c r="MNH5" s="279"/>
      <c r="MNI5" s="279"/>
      <c r="MNJ5" s="279"/>
      <c r="MNK5" s="279"/>
      <c r="MNL5" s="279"/>
      <c r="MNM5" s="279"/>
      <c r="MNN5" s="279"/>
      <c r="MNO5" s="279"/>
      <c r="MNP5" s="279"/>
      <c r="MNQ5" s="279"/>
      <c r="MNR5" s="279"/>
      <c r="MNS5" s="279"/>
      <c r="MNT5" s="279"/>
      <c r="MNU5" s="279"/>
      <c r="MNV5" s="279"/>
      <c r="MNW5" s="279"/>
      <c r="MNX5" s="279"/>
      <c r="MNY5" s="279"/>
      <c r="MNZ5" s="279"/>
      <c r="MOA5" s="279"/>
      <c r="MOB5" s="279"/>
      <c r="MOC5" s="279"/>
      <c r="MOD5" s="279"/>
      <c r="MOE5" s="279"/>
      <c r="MOF5" s="279"/>
      <c r="MOG5" s="279"/>
      <c r="MOH5" s="279"/>
      <c r="MOI5" s="279"/>
      <c r="MOJ5" s="279"/>
      <c r="MOK5" s="279"/>
      <c r="MOL5" s="279"/>
      <c r="MOM5" s="279"/>
      <c r="MON5" s="279"/>
      <c r="MOO5" s="279"/>
      <c r="MOP5" s="279"/>
      <c r="MOQ5" s="279"/>
      <c r="MOR5" s="279"/>
      <c r="MOS5" s="279"/>
      <c r="MOT5" s="279"/>
      <c r="MOU5" s="279"/>
      <c r="MOV5" s="279"/>
      <c r="MOW5" s="279"/>
      <c r="MOX5" s="279"/>
      <c r="MOY5" s="279"/>
      <c r="MOZ5" s="279"/>
      <c r="MPA5" s="279"/>
      <c r="MPB5" s="279"/>
      <c r="MPC5" s="279"/>
      <c r="MPD5" s="279"/>
      <c r="MPE5" s="279"/>
      <c r="MPF5" s="279"/>
      <c r="MPG5" s="279"/>
      <c r="MPH5" s="279"/>
      <c r="MPI5" s="279"/>
      <c r="MPJ5" s="279"/>
      <c r="MPK5" s="279"/>
      <c r="MPL5" s="279"/>
      <c r="MPM5" s="279"/>
      <c r="MPN5" s="279"/>
      <c r="MPO5" s="279"/>
      <c r="MPP5" s="279"/>
      <c r="MPQ5" s="279"/>
      <c r="MPR5" s="279"/>
      <c r="MPS5" s="279"/>
      <c r="MPT5" s="279"/>
      <c r="MPU5" s="279"/>
      <c r="MPV5" s="279"/>
      <c r="MPW5" s="279"/>
      <c r="MPX5" s="279"/>
      <c r="MPY5" s="279"/>
      <c r="MPZ5" s="279"/>
      <c r="MQA5" s="279"/>
      <c r="MQB5" s="279"/>
      <c r="MQC5" s="279"/>
      <c r="MQD5" s="279"/>
      <c r="MQE5" s="279"/>
      <c r="MQF5" s="279"/>
      <c r="MQG5" s="279"/>
      <c r="MQH5" s="279"/>
      <c r="MQI5" s="279"/>
      <c r="MQJ5" s="279"/>
      <c r="MQK5" s="279"/>
      <c r="MQL5" s="279"/>
      <c r="MQM5" s="279"/>
      <c r="MQN5" s="279"/>
      <c r="MQO5" s="279"/>
      <c r="MQP5" s="279"/>
      <c r="MQQ5" s="279"/>
      <c r="MQR5" s="279"/>
      <c r="MQS5" s="279"/>
      <c r="MQT5" s="279"/>
      <c r="MQU5" s="279"/>
      <c r="MQV5" s="279"/>
      <c r="MQW5" s="279"/>
      <c r="MQX5" s="279"/>
      <c r="MQY5" s="279"/>
      <c r="MQZ5" s="279"/>
      <c r="MRA5" s="279"/>
      <c r="MRB5" s="279"/>
      <c r="MRC5" s="279"/>
      <c r="MRD5" s="279"/>
      <c r="MRE5" s="279"/>
      <c r="MRF5" s="279"/>
      <c r="MRG5" s="279"/>
      <c r="MRH5" s="279"/>
      <c r="MRI5" s="279"/>
      <c r="MRJ5" s="279"/>
      <c r="MRK5" s="279"/>
      <c r="MRL5" s="279"/>
      <c r="MRM5" s="279"/>
      <c r="MRN5" s="279"/>
      <c r="MRO5" s="279"/>
      <c r="MRP5" s="279"/>
      <c r="MRQ5" s="279"/>
      <c r="MRR5" s="279"/>
      <c r="MRS5" s="279"/>
      <c r="MRT5" s="279"/>
      <c r="MRU5" s="279"/>
      <c r="MRV5" s="279"/>
      <c r="MRW5" s="279"/>
      <c r="MRX5" s="279"/>
      <c r="MRY5" s="279"/>
      <c r="MRZ5" s="279"/>
      <c r="MSA5" s="279"/>
      <c r="MSB5" s="279"/>
      <c r="MSC5" s="279"/>
      <c r="MSD5" s="279"/>
      <c r="MSE5" s="279"/>
      <c r="MSF5" s="279"/>
      <c r="MSG5" s="279"/>
      <c r="MSH5" s="279"/>
      <c r="MSI5" s="279"/>
      <c r="MSJ5" s="279"/>
      <c r="MSK5" s="279"/>
      <c r="MSL5" s="279"/>
      <c r="MSM5" s="279"/>
      <c r="MSN5" s="279"/>
      <c r="MSO5" s="279"/>
      <c r="MSP5" s="279"/>
      <c r="MSQ5" s="279"/>
      <c r="MSR5" s="279"/>
      <c r="MSS5" s="279"/>
      <c r="MST5" s="279"/>
      <c r="MSU5" s="279"/>
      <c r="MSV5" s="279"/>
      <c r="MSW5" s="279"/>
      <c r="MSX5" s="279"/>
      <c r="MSY5" s="279"/>
      <c r="MSZ5" s="279"/>
      <c r="MTA5" s="279"/>
      <c r="MTB5" s="279"/>
      <c r="MTC5" s="279"/>
      <c r="MTD5" s="279"/>
      <c r="MTE5" s="279"/>
      <c r="MTF5" s="279"/>
      <c r="MTG5" s="279"/>
      <c r="MTH5" s="279"/>
      <c r="MTI5" s="279"/>
      <c r="MTJ5" s="279"/>
      <c r="MTK5" s="279"/>
      <c r="MTL5" s="279"/>
      <c r="MTM5" s="279"/>
      <c r="MTN5" s="279"/>
      <c r="MTO5" s="279"/>
      <c r="MTP5" s="279"/>
      <c r="MTQ5" s="279"/>
      <c r="MTR5" s="279"/>
      <c r="MTS5" s="279"/>
      <c r="MTT5" s="279"/>
      <c r="MTU5" s="279"/>
      <c r="MTV5" s="279"/>
      <c r="MTW5" s="279"/>
      <c r="MTX5" s="279"/>
      <c r="MTY5" s="279"/>
      <c r="MTZ5" s="279"/>
      <c r="MUA5" s="279"/>
      <c r="MUB5" s="279"/>
      <c r="MUC5" s="279"/>
      <c r="MUD5" s="279"/>
      <c r="MUE5" s="279"/>
      <c r="MUF5" s="279"/>
      <c r="MUG5" s="279"/>
      <c r="MUH5" s="279"/>
      <c r="MUI5" s="279"/>
      <c r="MUJ5" s="279"/>
      <c r="MUK5" s="279"/>
      <c r="MUL5" s="279"/>
      <c r="MUM5" s="279"/>
      <c r="MUN5" s="279"/>
      <c r="MUO5" s="279"/>
      <c r="MUP5" s="279"/>
      <c r="MUQ5" s="279"/>
      <c r="MUR5" s="279"/>
      <c r="MUS5" s="279"/>
      <c r="MUT5" s="279"/>
      <c r="MUU5" s="279"/>
      <c r="MUV5" s="279"/>
      <c r="MUW5" s="279"/>
      <c r="MUX5" s="279"/>
      <c r="MUY5" s="279"/>
      <c r="MUZ5" s="279"/>
      <c r="MVA5" s="279"/>
      <c r="MVB5" s="279"/>
      <c r="MVC5" s="279"/>
      <c r="MVD5" s="279"/>
      <c r="MVE5" s="279"/>
      <c r="MVF5" s="279"/>
      <c r="MVG5" s="279"/>
      <c r="MVH5" s="279"/>
      <c r="MVI5" s="279"/>
      <c r="MVJ5" s="279"/>
      <c r="MVK5" s="279"/>
      <c r="MVL5" s="279"/>
      <c r="MVM5" s="279"/>
      <c r="MVN5" s="279"/>
      <c r="MVO5" s="279"/>
      <c r="MVP5" s="279"/>
      <c r="MVQ5" s="279"/>
      <c r="MVR5" s="279"/>
      <c r="MVS5" s="279"/>
      <c r="MVT5" s="279"/>
      <c r="MVU5" s="279"/>
      <c r="MVV5" s="279"/>
      <c r="MVW5" s="279"/>
      <c r="MVX5" s="279"/>
      <c r="MVY5" s="279"/>
      <c r="MVZ5" s="279"/>
      <c r="MWA5" s="279"/>
      <c r="MWB5" s="279"/>
      <c r="MWC5" s="279"/>
      <c r="MWD5" s="279"/>
      <c r="MWE5" s="279"/>
      <c r="MWF5" s="279"/>
      <c r="MWG5" s="279"/>
      <c r="MWH5" s="279"/>
      <c r="MWI5" s="279"/>
      <c r="MWJ5" s="279"/>
      <c r="MWK5" s="279"/>
      <c r="MWL5" s="279"/>
      <c r="MWM5" s="279"/>
      <c r="MWN5" s="279"/>
      <c r="MWO5" s="279"/>
      <c r="MWP5" s="279"/>
      <c r="MWQ5" s="279"/>
      <c r="MWR5" s="279"/>
      <c r="MWS5" s="279"/>
      <c r="MWT5" s="279"/>
      <c r="MWU5" s="279"/>
      <c r="MWV5" s="279"/>
      <c r="MWW5" s="279"/>
      <c r="MWX5" s="279"/>
      <c r="MWY5" s="279"/>
      <c r="MWZ5" s="279"/>
      <c r="MXA5" s="279"/>
      <c r="MXB5" s="279"/>
      <c r="MXC5" s="279"/>
      <c r="MXD5" s="279"/>
      <c r="MXE5" s="279"/>
      <c r="MXF5" s="279"/>
      <c r="MXG5" s="279"/>
      <c r="MXH5" s="279"/>
      <c r="MXI5" s="279"/>
      <c r="MXJ5" s="279"/>
      <c r="MXK5" s="279"/>
      <c r="MXL5" s="279"/>
      <c r="MXM5" s="279"/>
      <c r="MXN5" s="279"/>
      <c r="MXO5" s="279"/>
      <c r="MXP5" s="279"/>
      <c r="MXQ5" s="279"/>
      <c r="MXR5" s="279"/>
      <c r="MXS5" s="279"/>
      <c r="MXT5" s="279"/>
      <c r="MXU5" s="279"/>
      <c r="MXV5" s="279"/>
      <c r="MXW5" s="279"/>
      <c r="MXX5" s="279"/>
      <c r="MXY5" s="279"/>
      <c r="MXZ5" s="279"/>
      <c r="MYA5" s="279"/>
      <c r="MYB5" s="279"/>
      <c r="MYC5" s="279"/>
      <c r="MYD5" s="279"/>
      <c r="MYE5" s="279"/>
      <c r="MYF5" s="279"/>
      <c r="MYG5" s="279"/>
      <c r="MYH5" s="279"/>
      <c r="MYI5" s="279"/>
      <c r="MYJ5" s="279"/>
      <c r="MYK5" s="279"/>
      <c r="MYL5" s="279"/>
      <c r="MYM5" s="279"/>
      <c r="MYN5" s="279"/>
      <c r="MYO5" s="279"/>
      <c r="MYP5" s="279"/>
      <c r="MYQ5" s="279"/>
      <c r="MYR5" s="279"/>
      <c r="MYS5" s="279"/>
      <c r="MYT5" s="279"/>
      <c r="MYU5" s="279"/>
      <c r="MYV5" s="279"/>
      <c r="MYW5" s="279"/>
      <c r="MYX5" s="279"/>
      <c r="MYY5" s="279"/>
      <c r="MYZ5" s="279"/>
      <c r="MZA5" s="279"/>
      <c r="MZB5" s="279"/>
      <c r="MZC5" s="279"/>
      <c r="MZD5" s="279"/>
      <c r="MZE5" s="279"/>
      <c r="MZF5" s="279"/>
      <c r="MZG5" s="279"/>
      <c r="MZH5" s="279"/>
      <c r="MZI5" s="279"/>
      <c r="MZJ5" s="279"/>
      <c r="MZK5" s="279"/>
      <c r="MZL5" s="279"/>
      <c r="MZM5" s="279"/>
      <c r="MZN5" s="279"/>
      <c r="MZO5" s="279"/>
      <c r="MZP5" s="279"/>
      <c r="MZQ5" s="279"/>
      <c r="MZR5" s="279"/>
      <c r="MZS5" s="279"/>
      <c r="MZT5" s="279"/>
      <c r="MZU5" s="279"/>
      <c r="MZV5" s="279"/>
      <c r="MZW5" s="279"/>
      <c r="MZX5" s="279"/>
      <c r="MZY5" s="279"/>
      <c r="MZZ5" s="279"/>
      <c r="NAA5" s="279"/>
      <c r="NAB5" s="279"/>
      <c r="NAC5" s="279"/>
      <c r="NAD5" s="279"/>
      <c r="NAE5" s="279"/>
      <c r="NAF5" s="279"/>
      <c r="NAG5" s="279"/>
      <c r="NAH5" s="279"/>
      <c r="NAI5" s="279"/>
      <c r="NAJ5" s="279"/>
      <c r="NAK5" s="279"/>
      <c r="NAL5" s="279"/>
      <c r="NAM5" s="279"/>
      <c r="NAN5" s="279"/>
      <c r="NAO5" s="279"/>
      <c r="NAP5" s="279"/>
      <c r="NAQ5" s="279"/>
      <c r="NAR5" s="279"/>
      <c r="NAS5" s="279"/>
      <c r="NAT5" s="279"/>
      <c r="NAU5" s="279"/>
      <c r="NAV5" s="279"/>
      <c r="NAW5" s="279"/>
      <c r="NAX5" s="279"/>
      <c r="NAY5" s="279"/>
      <c r="NAZ5" s="279"/>
      <c r="NBA5" s="279"/>
      <c r="NBB5" s="279"/>
      <c r="NBC5" s="279"/>
      <c r="NBD5" s="279"/>
      <c r="NBE5" s="279"/>
      <c r="NBF5" s="279"/>
      <c r="NBG5" s="279"/>
      <c r="NBH5" s="279"/>
      <c r="NBI5" s="279"/>
      <c r="NBJ5" s="279"/>
      <c r="NBK5" s="279"/>
      <c r="NBL5" s="279"/>
      <c r="NBM5" s="279"/>
      <c r="NBN5" s="279"/>
      <c r="NBO5" s="279"/>
      <c r="NBP5" s="279"/>
      <c r="NBQ5" s="279"/>
      <c r="NBR5" s="279"/>
      <c r="NBS5" s="279"/>
      <c r="NBT5" s="279"/>
      <c r="NBU5" s="279"/>
      <c r="NBV5" s="279"/>
      <c r="NBW5" s="279"/>
      <c r="NBX5" s="279"/>
      <c r="NBY5" s="279"/>
      <c r="NBZ5" s="279"/>
      <c r="NCA5" s="279"/>
      <c r="NCB5" s="279"/>
      <c r="NCC5" s="279"/>
      <c r="NCD5" s="279"/>
      <c r="NCE5" s="279"/>
      <c r="NCF5" s="279"/>
      <c r="NCG5" s="279"/>
      <c r="NCH5" s="279"/>
      <c r="NCI5" s="279"/>
      <c r="NCJ5" s="279"/>
      <c r="NCK5" s="279"/>
      <c r="NCL5" s="279"/>
      <c r="NCM5" s="279"/>
      <c r="NCN5" s="279"/>
      <c r="NCO5" s="279"/>
      <c r="NCP5" s="279"/>
      <c r="NCQ5" s="279"/>
      <c r="NCR5" s="279"/>
      <c r="NCS5" s="279"/>
      <c r="NCT5" s="279"/>
      <c r="NCU5" s="279"/>
      <c r="NCV5" s="279"/>
      <c r="NCW5" s="279"/>
      <c r="NCX5" s="279"/>
      <c r="NCY5" s="279"/>
      <c r="NCZ5" s="279"/>
      <c r="NDA5" s="279"/>
      <c r="NDB5" s="279"/>
      <c r="NDC5" s="279"/>
      <c r="NDD5" s="279"/>
      <c r="NDE5" s="279"/>
      <c r="NDF5" s="279"/>
      <c r="NDG5" s="279"/>
      <c r="NDH5" s="279"/>
      <c r="NDI5" s="279"/>
      <c r="NDJ5" s="279"/>
      <c r="NDK5" s="279"/>
      <c r="NDL5" s="279"/>
      <c r="NDM5" s="279"/>
      <c r="NDN5" s="279"/>
      <c r="NDO5" s="279"/>
      <c r="NDP5" s="279"/>
      <c r="NDQ5" s="279"/>
      <c r="NDR5" s="279"/>
      <c r="NDS5" s="279"/>
      <c r="NDT5" s="279"/>
      <c r="NDU5" s="279"/>
      <c r="NDV5" s="279"/>
      <c r="NDW5" s="279"/>
      <c r="NDX5" s="279"/>
      <c r="NDY5" s="279"/>
      <c r="NDZ5" s="279"/>
      <c r="NEA5" s="279"/>
      <c r="NEB5" s="279"/>
      <c r="NEC5" s="279"/>
      <c r="NED5" s="279"/>
      <c r="NEE5" s="279"/>
      <c r="NEF5" s="279"/>
      <c r="NEG5" s="279"/>
      <c r="NEH5" s="279"/>
      <c r="NEI5" s="279"/>
      <c r="NEJ5" s="279"/>
      <c r="NEK5" s="279"/>
      <c r="NEL5" s="279"/>
      <c r="NEM5" s="279"/>
      <c r="NEN5" s="279"/>
      <c r="NEO5" s="279"/>
      <c r="NEP5" s="279"/>
      <c r="NEQ5" s="279"/>
      <c r="NER5" s="279"/>
      <c r="NES5" s="279"/>
      <c r="NET5" s="279"/>
      <c r="NEU5" s="279"/>
      <c r="NEV5" s="279"/>
      <c r="NEW5" s="279"/>
      <c r="NEX5" s="279"/>
      <c r="NEY5" s="279"/>
      <c r="NEZ5" s="279"/>
      <c r="NFA5" s="279"/>
      <c r="NFB5" s="279"/>
      <c r="NFC5" s="279"/>
      <c r="NFD5" s="279"/>
      <c r="NFE5" s="279"/>
      <c r="NFF5" s="279"/>
      <c r="NFG5" s="279"/>
      <c r="NFH5" s="279"/>
      <c r="NFI5" s="279"/>
      <c r="NFJ5" s="279"/>
      <c r="NFK5" s="279"/>
      <c r="NFL5" s="279"/>
      <c r="NFM5" s="279"/>
      <c r="NFN5" s="279"/>
      <c r="NFO5" s="279"/>
      <c r="NFP5" s="279"/>
      <c r="NFQ5" s="279"/>
      <c r="NFR5" s="279"/>
      <c r="NFS5" s="279"/>
      <c r="NFT5" s="279"/>
      <c r="NFU5" s="279"/>
      <c r="NFV5" s="279"/>
      <c r="NFW5" s="279"/>
      <c r="NFX5" s="279"/>
      <c r="NFY5" s="279"/>
      <c r="NFZ5" s="279"/>
      <c r="NGA5" s="279"/>
      <c r="NGB5" s="279"/>
      <c r="NGC5" s="279"/>
      <c r="NGD5" s="279"/>
      <c r="NGE5" s="279"/>
      <c r="NGF5" s="279"/>
      <c r="NGG5" s="279"/>
      <c r="NGH5" s="279"/>
      <c r="NGI5" s="279"/>
      <c r="NGJ5" s="279"/>
      <c r="NGK5" s="279"/>
      <c r="NGL5" s="279"/>
      <c r="NGM5" s="279"/>
      <c r="NGN5" s="279"/>
      <c r="NGO5" s="279"/>
      <c r="NGP5" s="279"/>
      <c r="NGQ5" s="279"/>
      <c r="NGR5" s="279"/>
      <c r="NGS5" s="279"/>
      <c r="NGT5" s="279"/>
      <c r="NGU5" s="279"/>
      <c r="NGV5" s="279"/>
      <c r="NGW5" s="279"/>
      <c r="NGX5" s="279"/>
      <c r="NGY5" s="279"/>
      <c r="NGZ5" s="279"/>
      <c r="NHA5" s="279"/>
      <c r="NHB5" s="279"/>
      <c r="NHC5" s="279"/>
      <c r="NHD5" s="279"/>
      <c r="NHE5" s="279"/>
      <c r="NHF5" s="279"/>
      <c r="NHG5" s="279"/>
      <c r="NHH5" s="279"/>
      <c r="NHI5" s="279"/>
      <c r="NHJ5" s="279"/>
      <c r="NHK5" s="279"/>
      <c r="NHL5" s="279"/>
      <c r="NHM5" s="279"/>
      <c r="NHN5" s="279"/>
      <c r="NHO5" s="279"/>
      <c r="NHP5" s="279"/>
      <c r="NHQ5" s="279"/>
      <c r="NHR5" s="279"/>
      <c r="NHS5" s="279"/>
      <c r="NHT5" s="279"/>
      <c r="NHU5" s="279"/>
      <c r="NHV5" s="279"/>
      <c r="NHW5" s="279"/>
      <c r="NHX5" s="279"/>
      <c r="NHY5" s="279"/>
      <c r="NHZ5" s="279"/>
      <c r="NIA5" s="279"/>
      <c r="NIB5" s="279"/>
      <c r="NIC5" s="279"/>
      <c r="NID5" s="279"/>
      <c r="NIE5" s="279"/>
      <c r="NIF5" s="279"/>
      <c r="NIG5" s="279"/>
      <c r="NIH5" s="279"/>
      <c r="NII5" s="279"/>
      <c r="NIJ5" s="279"/>
      <c r="NIK5" s="279"/>
      <c r="NIL5" s="279"/>
      <c r="NIM5" s="279"/>
      <c r="NIN5" s="279"/>
      <c r="NIO5" s="279"/>
      <c r="NIP5" s="279"/>
      <c r="NIQ5" s="279"/>
      <c r="NIR5" s="279"/>
      <c r="NIS5" s="279"/>
      <c r="NIT5" s="279"/>
      <c r="NIU5" s="279"/>
      <c r="NIV5" s="279"/>
      <c r="NIW5" s="279"/>
      <c r="NIX5" s="279"/>
      <c r="NIY5" s="279"/>
      <c r="NIZ5" s="279"/>
      <c r="NJA5" s="279"/>
      <c r="NJB5" s="279"/>
      <c r="NJC5" s="279"/>
      <c r="NJD5" s="279"/>
      <c r="NJE5" s="279"/>
      <c r="NJF5" s="279"/>
      <c r="NJG5" s="279"/>
      <c r="NJH5" s="279"/>
      <c r="NJI5" s="279"/>
      <c r="NJJ5" s="279"/>
      <c r="NJK5" s="279"/>
      <c r="NJL5" s="279"/>
      <c r="NJM5" s="279"/>
      <c r="NJN5" s="279"/>
      <c r="NJO5" s="279"/>
      <c r="NJP5" s="279"/>
      <c r="NJQ5" s="279"/>
      <c r="NJR5" s="279"/>
      <c r="NJS5" s="279"/>
      <c r="NJT5" s="279"/>
      <c r="NJU5" s="279"/>
      <c r="NJV5" s="279"/>
      <c r="NJW5" s="279"/>
      <c r="NJX5" s="279"/>
      <c r="NJY5" s="279"/>
      <c r="NJZ5" s="279"/>
      <c r="NKA5" s="279"/>
      <c r="NKB5" s="279"/>
      <c r="NKC5" s="279"/>
      <c r="NKD5" s="279"/>
      <c r="NKE5" s="279"/>
      <c r="NKF5" s="279"/>
      <c r="NKG5" s="279"/>
      <c r="NKH5" s="279"/>
      <c r="NKI5" s="279"/>
      <c r="NKJ5" s="279"/>
      <c r="NKK5" s="279"/>
      <c r="NKL5" s="279"/>
      <c r="NKM5" s="279"/>
      <c r="NKN5" s="279"/>
      <c r="NKO5" s="279"/>
      <c r="NKP5" s="279"/>
      <c r="NKQ5" s="279"/>
      <c r="NKR5" s="279"/>
      <c r="NKS5" s="279"/>
      <c r="NKT5" s="279"/>
      <c r="NKU5" s="279"/>
      <c r="NKV5" s="279"/>
      <c r="NKW5" s="279"/>
      <c r="NKX5" s="279"/>
      <c r="NKY5" s="279"/>
      <c r="NKZ5" s="279"/>
      <c r="NLA5" s="279"/>
      <c r="NLB5" s="279"/>
      <c r="NLC5" s="279"/>
      <c r="NLD5" s="279"/>
      <c r="NLE5" s="279"/>
      <c r="NLF5" s="279"/>
      <c r="NLG5" s="279"/>
      <c r="NLH5" s="279"/>
      <c r="NLI5" s="279"/>
      <c r="NLJ5" s="279"/>
      <c r="NLK5" s="279"/>
      <c r="NLL5" s="279"/>
      <c r="NLM5" s="279"/>
      <c r="NLN5" s="279"/>
      <c r="NLO5" s="279"/>
      <c r="NLP5" s="279"/>
      <c r="NLQ5" s="279"/>
      <c r="NLR5" s="279"/>
      <c r="NLS5" s="279"/>
      <c r="NLT5" s="279"/>
      <c r="NLU5" s="279"/>
      <c r="NLV5" s="279"/>
      <c r="NLW5" s="279"/>
      <c r="NLX5" s="279"/>
      <c r="NLY5" s="279"/>
      <c r="NLZ5" s="279"/>
      <c r="NMA5" s="279"/>
      <c r="NMB5" s="279"/>
      <c r="NMC5" s="279"/>
      <c r="NMD5" s="279"/>
      <c r="NME5" s="279"/>
      <c r="NMF5" s="279"/>
      <c r="NMG5" s="279"/>
      <c r="NMH5" s="279"/>
      <c r="NMI5" s="279"/>
      <c r="NMJ5" s="279"/>
      <c r="NMK5" s="279"/>
      <c r="NML5" s="279"/>
      <c r="NMM5" s="279"/>
      <c r="NMN5" s="279"/>
      <c r="NMO5" s="279"/>
      <c r="NMP5" s="279"/>
      <c r="NMQ5" s="279"/>
      <c r="NMR5" s="279"/>
      <c r="NMS5" s="279"/>
      <c r="NMT5" s="279"/>
      <c r="NMU5" s="279"/>
      <c r="NMV5" s="279"/>
      <c r="NMW5" s="279"/>
      <c r="NMX5" s="279"/>
      <c r="NMY5" s="279"/>
      <c r="NMZ5" s="279"/>
      <c r="NNA5" s="279"/>
      <c r="NNB5" s="279"/>
      <c r="NNC5" s="279"/>
      <c r="NND5" s="279"/>
      <c r="NNE5" s="279"/>
      <c r="NNF5" s="279"/>
      <c r="NNG5" s="279"/>
      <c r="NNH5" s="279"/>
      <c r="NNI5" s="279"/>
      <c r="NNJ5" s="279"/>
      <c r="NNK5" s="279"/>
      <c r="NNL5" s="279"/>
      <c r="NNM5" s="279"/>
      <c r="NNN5" s="279"/>
      <c r="NNO5" s="279"/>
      <c r="NNP5" s="279"/>
      <c r="NNQ5" s="279"/>
      <c r="NNR5" s="279"/>
      <c r="NNS5" s="279"/>
      <c r="NNT5" s="279"/>
      <c r="NNU5" s="279"/>
      <c r="NNV5" s="279"/>
      <c r="NNW5" s="279"/>
      <c r="NNX5" s="279"/>
      <c r="NNY5" s="279"/>
      <c r="NNZ5" s="279"/>
      <c r="NOA5" s="279"/>
      <c r="NOB5" s="279"/>
      <c r="NOC5" s="279"/>
      <c r="NOD5" s="279"/>
      <c r="NOE5" s="279"/>
      <c r="NOF5" s="279"/>
      <c r="NOG5" s="279"/>
      <c r="NOH5" s="279"/>
      <c r="NOI5" s="279"/>
      <c r="NOJ5" s="279"/>
      <c r="NOK5" s="279"/>
      <c r="NOL5" s="279"/>
      <c r="NOM5" s="279"/>
      <c r="NON5" s="279"/>
      <c r="NOO5" s="279"/>
      <c r="NOP5" s="279"/>
      <c r="NOQ5" s="279"/>
      <c r="NOR5" s="279"/>
      <c r="NOS5" s="279"/>
      <c r="NOT5" s="279"/>
      <c r="NOU5" s="279"/>
      <c r="NOV5" s="279"/>
      <c r="NOW5" s="279"/>
      <c r="NOX5" s="279"/>
      <c r="NOY5" s="279"/>
      <c r="NOZ5" s="279"/>
      <c r="NPA5" s="279"/>
      <c r="NPB5" s="279"/>
      <c r="NPC5" s="279"/>
      <c r="NPD5" s="279"/>
      <c r="NPE5" s="279"/>
      <c r="NPF5" s="279"/>
      <c r="NPG5" s="279"/>
      <c r="NPH5" s="279"/>
      <c r="NPI5" s="279"/>
      <c r="NPJ5" s="279"/>
      <c r="NPK5" s="279"/>
      <c r="NPL5" s="279"/>
      <c r="NPM5" s="279"/>
      <c r="NPN5" s="279"/>
      <c r="NPO5" s="279"/>
      <c r="NPP5" s="279"/>
      <c r="NPQ5" s="279"/>
      <c r="NPR5" s="279"/>
      <c r="NPS5" s="279"/>
      <c r="NPT5" s="279"/>
      <c r="NPU5" s="279"/>
      <c r="NPV5" s="279"/>
      <c r="NPW5" s="279"/>
      <c r="NPX5" s="279"/>
      <c r="NPY5" s="279"/>
      <c r="NPZ5" s="279"/>
      <c r="NQA5" s="279"/>
      <c r="NQB5" s="279"/>
      <c r="NQC5" s="279"/>
      <c r="NQD5" s="279"/>
      <c r="NQE5" s="279"/>
      <c r="NQF5" s="279"/>
      <c r="NQG5" s="279"/>
      <c r="NQH5" s="279"/>
      <c r="NQI5" s="279"/>
      <c r="NQJ5" s="279"/>
      <c r="NQK5" s="279"/>
      <c r="NQL5" s="279"/>
      <c r="NQM5" s="279"/>
      <c r="NQN5" s="279"/>
      <c r="NQO5" s="279"/>
      <c r="NQP5" s="279"/>
      <c r="NQQ5" s="279"/>
      <c r="NQR5" s="279"/>
      <c r="NQS5" s="279"/>
      <c r="NQT5" s="279"/>
      <c r="NQU5" s="279"/>
      <c r="NQV5" s="279"/>
      <c r="NQW5" s="279"/>
      <c r="NQX5" s="279"/>
      <c r="NQY5" s="279"/>
      <c r="NQZ5" s="279"/>
      <c r="NRA5" s="279"/>
      <c r="NRB5" s="279"/>
      <c r="NRC5" s="279"/>
      <c r="NRD5" s="279"/>
      <c r="NRE5" s="279"/>
      <c r="NRF5" s="279"/>
      <c r="NRG5" s="279"/>
      <c r="NRH5" s="279"/>
      <c r="NRI5" s="279"/>
      <c r="NRJ5" s="279"/>
      <c r="NRK5" s="279"/>
      <c r="NRL5" s="279"/>
      <c r="NRM5" s="279"/>
      <c r="NRN5" s="279"/>
      <c r="NRO5" s="279"/>
      <c r="NRP5" s="279"/>
      <c r="NRQ5" s="279"/>
      <c r="NRR5" s="279"/>
      <c r="NRS5" s="279"/>
      <c r="NRT5" s="279"/>
      <c r="NRU5" s="279"/>
      <c r="NRV5" s="279"/>
      <c r="NRW5" s="279"/>
      <c r="NRX5" s="279"/>
      <c r="NRY5" s="279"/>
      <c r="NRZ5" s="279"/>
      <c r="NSA5" s="279"/>
      <c r="NSB5" s="279"/>
      <c r="NSC5" s="279"/>
      <c r="NSD5" s="279"/>
      <c r="NSE5" s="279"/>
      <c r="NSF5" s="279"/>
      <c r="NSG5" s="279"/>
      <c r="NSH5" s="279"/>
      <c r="NSI5" s="279"/>
      <c r="NSJ5" s="279"/>
      <c r="NSK5" s="279"/>
      <c r="NSL5" s="279"/>
      <c r="NSM5" s="279"/>
      <c r="NSN5" s="279"/>
      <c r="NSO5" s="279"/>
      <c r="NSP5" s="279"/>
      <c r="NSQ5" s="279"/>
      <c r="NSR5" s="279"/>
      <c r="NSS5" s="279"/>
      <c r="NST5" s="279"/>
      <c r="NSU5" s="279"/>
      <c r="NSV5" s="279"/>
      <c r="NSW5" s="279"/>
      <c r="NSX5" s="279"/>
      <c r="NSY5" s="279"/>
      <c r="NSZ5" s="279"/>
      <c r="NTA5" s="279"/>
      <c r="NTB5" s="279"/>
      <c r="NTC5" s="279"/>
      <c r="NTD5" s="279"/>
      <c r="NTE5" s="279"/>
      <c r="NTF5" s="279"/>
      <c r="NTG5" s="279"/>
      <c r="NTH5" s="279"/>
      <c r="NTI5" s="279"/>
      <c r="NTJ5" s="279"/>
      <c r="NTK5" s="279"/>
      <c r="NTL5" s="279"/>
      <c r="NTM5" s="279"/>
      <c r="NTN5" s="279"/>
      <c r="NTO5" s="279"/>
      <c r="NTP5" s="279"/>
      <c r="NTQ5" s="279"/>
      <c r="NTR5" s="279"/>
      <c r="NTS5" s="279"/>
      <c r="NTT5" s="279"/>
      <c r="NTU5" s="279"/>
      <c r="NTV5" s="279"/>
      <c r="NTW5" s="279"/>
      <c r="NTX5" s="279"/>
      <c r="NTY5" s="279"/>
      <c r="NTZ5" s="279"/>
      <c r="NUA5" s="279"/>
      <c r="NUB5" s="279"/>
      <c r="NUC5" s="279"/>
      <c r="NUD5" s="279"/>
      <c r="NUE5" s="279"/>
      <c r="NUF5" s="279"/>
      <c r="NUG5" s="279"/>
      <c r="NUH5" s="279"/>
      <c r="NUI5" s="279"/>
      <c r="NUJ5" s="279"/>
      <c r="NUK5" s="279"/>
      <c r="NUL5" s="279"/>
      <c r="NUM5" s="279"/>
      <c r="NUN5" s="279"/>
      <c r="NUO5" s="279"/>
      <c r="NUP5" s="279"/>
      <c r="NUQ5" s="279"/>
      <c r="NUR5" s="279"/>
      <c r="NUS5" s="279"/>
      <c r="NUT5" s="279"/>
      <c r="NUU5" s="279"/>
      <c r="NUV5" s="279"/>
      <c r="NUW5" s="279"/>
      <c r="NUX5" s="279"/>
      <c r="NUY5" s="279"/>
      <c r="NUZ5" s="279"/>
      <c r="NVA5" s="279"/>
      <c r="NVB5" s="279"/>
      <c r="NVC5" s="279"/>
      <c r="NVD5" s="279"/>
      <c r="NVE5" s="279"/>
      <c r="NVF5" s="279"/>
      <c r="NVG5" s="279"/>
      <c r="NVH5" s="279"/>
      <c r="NVI5" s="279"/>
      <c r="NVJ5" s="279"/>
      <c r="NVK5" s="279"/>
      <c r="NVL5" s="279"/>
      <c r="NVM5" s="279"/>
      <c r="NVN5" s="279"/>
      <c r="NVO5" s="279"/>
      <c r="NVP5" s="279"/>
      <c r="NVQ5" s="279"/>
      <c r="NVR5" s="279"/>
      <c r="NVS5" s="279"/>
      <c r="NVT5" s="279"/>
      <c r="NVU5" s="279"/>
      <c r="NVV5" s="279"/>
      <c r="NVW5" s="279"/>
      <c r="NVX5" s="279"/>
      <c r="NVY5" s="279"/>
      <c r="NVZ5" s="279"/>
      <c r="NWA5" s="279"/>
      <c r="NWB5" s="279"/>
      <c r="NWC5" s="279"/>
      <c r="NWD5" s="279"/>
      <c r="NWE5" s="279"/>
      <c r="NWF5" s="279"/>
      <c r="NWG5" s="279"/>
      <c r="NWH5" s="279"/>
      <c r="NWI5" s="279"/>
      <c r="NWJ5" s="279"/>
      <c r="NWK5" s="279"/>
      <c r="NWL5" s="279"/>
      <c r="NWM5" s="279"/>
      <c r="NWN5" s="279"/>
      <c r="NWO5" s="279"/>
      <c r="NWP5" s="279"/>
      <c r="NWQ5" s="279"/>
      <c r="NWR5" s="279"/>
      <c r="NWS5" s="279"/>
      <c r="NWT5" s="279"/>
      <c r="NWU5" s="279"/>
      <c r="NWV5" s="279"/>
      <c r="NWW5" s="279"/>
      <c r="NWX5" s="279"/>
      <c r="NWY5" s="279"/>
      <c r="NWZ5" s="279"/>
      <c r="NXA5" s="279"/>
      <c r="NXB5" s="279"/>
      <c r="NXC5" s="279"/>
      <c r="NXD5" s="279"/>
      <c r="NXE5" s="279"/>
      <c r="NXF5" s="279"/>
      <c r="NXG5" s="279"/>
      <c r="NXH5" s="279"/>
      <c r="NXI5" s="279"/>
      <c r="NXJ5" s="279"/>
      <c r="NXK5" s="279"/>
      <c r="NXL5" s="279"/>
      <c r="NXM5" s="279"/>
      <c r="NXN5" s="279"/>
      <c r="NXO5" s="279"/>
      <c r="NXP5" s="279"/>
      <c r="NXQ5" s="279"/>
      <c r="NXR5" s="279"/>
      <c r="NXS5" s="279"/>
      <c r="NXT5" s="279"/>
      <c r="NXU5" s="279"/>
      <c r="NXV5" s="279"/>
      <c r="NXW5" s="279"/>
      <c r="NXX5" s="279"/>
      <c r="NXY5" s="279"/>
      <c r="NXZ5" s="279"/>
      <c r="NYA5" s="279"/>
      <c r="NYB5" s="279"/>
      <c r="NYC5" s="279"/>
      <c r="NYD5" s="279"/>
      <c r="NYE5" s="279"/>
      <c r="NYF5" s="279"/>
      <c r="NYG5" s="279"/>
      <c r="NYH5" s="279"/>
      <c r="NYI5" s="279"/>
      <c r="NYJ5" s="279"/>
      <c r="NYK5" s="279"/>
      <c r="NYL5" s="279"/>
      <c r="NYM5" s="279"/>
      <c r="NYN5" s="279"/>
      <c r="NYO5" s="279"/>
      <c r="NYP5" s="279"/>
      <c r="NYQ5" s="279"/>
      <c r="NYR5" s="279"/>
      <c r="NYS5" s="279"/>
      <c r="NYT5" s="279"/>
      <c r="NYU5" s="279"/>
      <c r="NYV5" s="279"/>
      <c r="NYW5" s="279"/>
      <c r="NYX5" s="279"/>
      <c r="NYY5" s="279"/>
      <c r="NYZ5" s="279"/>
      <c r="NZA5" s="279"/>
      <c r="NZB5" s="279"/>
      <c r="NZC5" s="279"/>
      <c r="NZD5" s="279"/>
      <c r="NZE5" s="279"/>
      <c r="NZF5" s="279"/>
      <c r="NZG5" s="279"/>
      <c r="NZH5" s="279"/>
      <c r="NZI5" s="279"/>
      <c r="NZJ5" s="279"/>
      <c r="NZK5" s="279"/>
      <c r="NZL5" s="279"/>
      <c r="NZM5" s="279"/>
      <c r="NZN5" s="279"/>
      <c r="NZO5" s="279"/>
      <c r="NZP5" s="279"/>
      <c r="NZQ5" s="279"/>
      <c r="NZR5" s="279"/>
      <c r="NZS5" s="279"/>
      <c r="NZT5" s="279"/>
      <c r="NZU5" s="279"/>
      <c r="NZV5" s="279"/>
      <c r="NZW5" s="279"/>
      <c r="NZX5" s="279"/>
      <c r="NZY5" s="279"/>
      <c r="NZZ5" s="279"/>
      <c r="OAA5" s="279"/>
      <c r="OAB5" s="279"/>
      <c r="OAC5" s="279"/>
      <c r="OAD5" s="279"/>
      <c r="OAE5" s="279"/>
      <c r="OAF5" s="279"/>
      <c r="OAG5" s="279"/>
      <c r="OAH5" s="279"/>
      <c r="OAI5" s="279"/>
      <c r="OAJ5" s="279"/>
      <c r="OAK5" s="279"/>
      <c r="OAL5" s="279"/>
      <c r="OAM5" s="279"/>
      <c r="OAN5" s="279"/>
      <c r="OAO5" s="279"/>
      <c r="OAP5" s="279"/>
      <c r="OAQ5" s="279"/>
      <c r="OAR5" s="279"/>
      <c r="OAS5" s="279"/>
      <c r="OAT5" s="279"/>
      <c r="OAU5" s="279"/>
      <c r="OAV5" s="279"/>
      <c r="OAW5" s="279"/>
      <c r="OAX5" s="279"/>
      <c r="OAY5" s="279"/>
      <c r="OAZ5" s="279"/>
      <c r="OBA5" s="279"/>
      <c r="OBB5" s="279"/>
      <c r="OBC5" s="279"/>
      <c r="OBD5" s="279"/>
      <c r="OBE5" s="279"/>
      <c r="OBF5" s="279"/>
      <c r="OBG5" s="279"/>
      <c r="OBH5" s="279"/>
      <c r="OBI5" s="279"/>
      <c r="OBJ5" s="279"/>
      <c r="OBK5" s="279"/>
      <c r="OBL5" s="279"/>
      <c r="OBM5" s="279"/>
      <c r="OBN5" s="279"/>
      <c r="OBO5" s="279"/>
      <c r="OBP5" s="279"/>
      <c r="OBQ5" s="279"/>
      <c r="OBR5" s="279"/>
      <c r="OBS5" s="279"/>
      <c r="OBT5" s="279"/>
      <c r="OBU5" s="279"/>
      <c r="OBV5" s="279"/>
      <c r="OBW5" s="279"/>
      <c r="OBX5" s="279"/>
      <c r="OBY5" s="279"/>
      <c r="OBZ5" s="279"/>
      <c r="OCA5" s="279"/>
      <c r="OCB5" s="279"/>
      <c r="OCC5" s="279"/>
      <c r="OCD5" s="279"/>
      <c r="OCE5" s="279"/>
      <c r="OCF5" s="279"/>
      <c r="OCG5" s="279"/>
      <c r="OCH5" s="279"/>
      <c r="OCI5" s="279"/>
      <c r="OCJ5" s="279"/>
      <c r="OCK5" s="279"/>
      <c r="OCL5" s="279"/>
      <c r="OCM5" s="279"/>
      <c r="OCN5" s="279"/>
      <c r="OCO5" s="279"/>
      <c r="OCP5" s="279"/>
      <c r="OCQ5" s="279"/>
      <c r="OCR5" s="279"/>
      <c r="OCS5" s="279"/>
      <c r="OCT5" s="279"/>
      <c r="OCU5" s="279"/>
      <c r="OCV5" s="279"/>
      <c r="OCW5" s="279"/>
      <c r="OCX5" s="279"/>
      <c r="OCY5" s="279"/>
      <c r="OCZ5" s="279"/>
      <c r="ODA5" s="279"/>
      <c r="ODB5" s="279"/>
      <c r="ODC5" s="279"/>
      <c r="ODD5" s="279"/>
      <c r="ODE5" s="279"/>
      <c r="ODF5" s="279"/>
      <c r="ODG5" s="279"/>
      <c r="ODH5" s="279"/>
      <c r="ODI5" s="279"/>
      <c r="ODJ5" s="279"/>
      <c r="ODK5" s="279"/>
      <c r="ODL5" s="279"/>
      <c r="ODM5" s="279"/>
      <c r="ODN5" s="279"/>
      <c r="ODO5" s="279"/>
      <c r="ODP5" s="279"/>
      <c r="ODQ5" s="279"/>
      <c r="ODR5" s="279"/>
      <c r="ODS5" s="279"/>
      <c r="ODT5" s="279"/>
      <c r="ODU5" s="279"/>
      <c r="ODV5" s="279"/>
      <c r="ODW5" s="279"/>
      <c r="ODX5" s="279"/>
      <c r="ODY5" s="279"/>
      <c r="ODZ5" s="279"/>
      <c r="OEA5" s="279"/>
      <c r="OEB5" s="279"/>
      <c r="OEC5" s="279"/>
      <c r="OED5" s="279"/>
      <c r="OEE5" s="279"/>
      <c r="OEF5" s="279"/>
      <c r="OEG5" s="279"/>
      <c r="OEH5" s="279"/>
      <c r="OEI5" s="279"/>
      <c r="OEJ5" s="279"/>
      <c r="OEK5" s="279"/>
      <c r="OEL5" s="279"/>
      <c r="OEM5" s="279"/>
      <c r="OEN5" s="279"/>
      <c r="OEO5" s="279"/>
      <c r="OEP5" s="279"/>
      <c r="OEQ5" s="279"/>
      <c r="OER5" s="279"/>
      <c r="OES5" s="279"/>
      <c r="OET5" s="279"/>
      <c r="OEU5" s="279"/>
      <c r="OEV5" s="279"/>
      <c r="OEW5" s="279"/>
      <c r="OEX5" s="279"/>
      <c r="OEY5" s="279"/>
      <c r="OEZ5" s="279"/>
      <c r="OFA5" s="279"/>
      <c r="OFB5" s="279"/>
      <c r="OFC5" s="279"/>
      <c r="OFD5" s="279"/>
      <c r="OFE5" s="279"/>
      <c r="OFF5" s="279"/>
      <c r="OFG5" s="279"/>
      <c r="OFH5" s="279"/>
      <c r="OFI5" s="279"/>
      <c r="OFJ5" s="279"/>
      <c r="OFK5" s="279"/>
      <c r="OFL5" s="279"/>
      <c r="OFM5" s="279"/>
      <c r="OFN5" s="279"/>
      <c r="OFO5" s="279"/>
      <c r="OFP5" s="279"/>
      <c r="OFQ5" s="279"/>
      <c r="OFR5" s="279"/>
      <c r="OFS5" s="279"/>
      <c r="OFT5" s="279"/>
      <c r="OFU5" s="279"/>
      <c r="OFV5" s="279"/>
      <c r="OFW5" s="279"/>
      <c r="OFX5" s="279"/>
      <c r="OFY5" s="279"/>
      <c r="OFZ5" s="279"/>
      <c r="OGA5" s="279"/>
      <c r="OGB5" s="279"/>
      <c r="OGC5" s="279"/>
      <c r="OGD5" s="279"/>
      <c r="OGE5" s="279"/>
      <c r="OGF5" s="279"/>
      <c r="OGG5" s="279"/>
      <c r="OGH5" s="279"/>
      <c r="OGI5" s="279"/>
      <c r="OGJ5" s="279"/>
      <c r="OGK5" s="279"/>
      <c r="OGL5" s="279"/>
      <c r="OGM5" s="279"/>
      <c r="OGN5" s="279"/>
      <c r="OGO5" s="279"/>
      <c r="OGP5" s="279"/>
      <c r="OGQ5" s="279"/>
      <c r="OGR5" s="279"/>
      <c r="OGS5" s="279"/>
      <c r="OGT5" s="279"/>
      <c r="OGU5" s="279"/>
      <c r="OGV5" s="279"/>
      <c r="OGW5" s="279"/>
      <c r="OGX5" s="279"/>
      <c r="OGY5" s="279"/>
      <c r="OGZ5" s="279"/>
      <c r="OHA5" s="279"/>
      <c r="OHB5" s="279"/>
      <c r="OHC5" s="279"/>
      <c r="OHD5" s="279"/>
      <c r="OHE5" s="279"/>
      <c r="OHF5" s="279"/>
      <c r="OHG5" s="279"/>
      <c r="OHH5" s="279"/>
      <c r="OHI5" s="279"/>
      <c r="OHJ5" s="279"/>
      <c r="OHK5" s="279"/>
      <c r="OHL5" s="279"/>
      <c r="OHM5" s="279"/>
      <c r="OHN5" s="279"/>
      <c r="OHO5" s="279"/>
      <c r="OHP5" s="279"/>
      <c r="OHQ5" s="279"/>
      <c r="OHR5" s="279"/>
      <c r="OHS5" s="279"/>
      <c r="OHT5" s="279"/>
      <c r="OHU5" s="279"/>
      <c r="OHV5" s="279"/>
      <c r="OHW5" s="279"/>
      <c r="OHX5" s="279"/>
      <c r="OHY5" s="279"/>
      <c r="OHZ5" s="279"/>
      <c r="OIA5" s="279"/>
      <c r="OIB5" s="279"/>
      <c r="OIC5" s="279"/>
      <c r="OID5" s="279"/>
      <c r="OIE5" s="279"/>
      <c r="OIF5" s="279"/>
      <c r="OIG5" s="279"/>
      <c r="OIH5" s="279"/>
      <c r="OII5" s="279"/>
      <c r="OIJ5" s="279"/>
      <c r="OIK5" s="279"/>
      <c r="OIL5" s="279"/>
      <c r="OIM5" s="279"/>
      <c r="OIN5" s="279"/>
      <c r="OIO5" s="279"/>
      <c r="OIP5" s="279"/>
      <c r="OIQ5" s="279"/>
      <c r="OIR5" s="279"/>
      <c r="OIS5" s="279"/>
      <c r="OIT5" s="279"/>
      <c r="OIU5" s="279"/>
      <c r="OIV5" s="279"/>
      <c r="OIW5" s="279"/>
      <c r="OIX5" s="279"/>
      <c r="OIY5" s="279"/>
      <c r="OIZ5" s="279"/>
      <c r="OJA5" s="279"/>
      <c r="OJB5" s="279"/>
      <c r="OJC5" s="279"/>
      <c r="OJD5" s="279"/>
      <c r="OJE5" s="279"/>
      <c r="OJF5" s="279"/>
      <c r="OJG5" s="279"/>
      <c r="OJH5" s="279"/>
      <c r="OJI5" s="279"/>
      <c r="OJJ5" s="279"/>
      <c r="OJK5" s="279"/>
      <c r="OJL5" s="279"/>
      <c r="OJM5" s="279"/>
      <c r="OJN5" s="279"/>
      <c r="OJO5" s="279"/>
      <c r="OJP5" s="279"/>
      <c r="OJQ5" s="279"/>
      <c r="OJR5" s="279"/>
      <c r="OJS5" s="279"/>
      <c r="OJT5" s="279"/>
      <c r="OJU5" s="279"/>
      <c r="OJV5" s="279"/>
      <c r="OJW5" s="279"/>
      <c r="OJX5" s="279"/>
      <c r="OJY5" s="279"/>
      <c r="OJZ5" s="279"/>
      <c r="OKA5" s="279"/>
      <c r="OKB5" s="279"/>
      <c r="OKC5" s="279"/>
      <c r="OKD5" s="279"/>
      <c r="OKE5" s="279"/>
      <c r="OKF5" s="279"/>
      <c r="OKG5" s="279"/>
      <c r="OKH5" s="279"/>
      <c r="OKI5" s="279"/>
      <c r="OKJ5" s="279"/>
      <c r="OKK5" s="279"/>
      <c r="OKL5" s="279"/>
      <c r="OKM5" s="279"/>
      <c r="OKN5" s="279"/>
      <c r="OKO5" s="279"/>
      <c r="OKP5" s="279"/>
      <c r="OKQ5" s="279"/>
      <c r="OKR5" s="279"/>
      <c r="OKS5" s="279"/>
      <c r="OKT5" s="279"/>
      <c r="OKU5" s="279"/>
      <c r="OKV5" s="279"/>
      <c r="OKW5" s="279"/>
      <c r="OKX5" s="279"/>
      <c r="OKY5" s="279"/>
      <c r="OKZ5" s="279"/>
      <c r="OLA5" s="279"/>
      <c r="OLB5" s="279"/>
      <c r="OLC5" s="279"/>
      <c r="OLD5" s="279"/>
      <c r="OLE5" s="279"/>
      <c r="OLF5" s="279"/>
      <c r="OLG5" s="279"/>
      <c r="OLH5" s="279"/>
      <c r="OLI5" s="279"/>
      <c r="OLJ5" s="279"/>
      <c r="OLK5" s="279"/>
      <c r="OLL5" s="279"/>
      <c r="OLM5" s="279"/>
      <c r="OLN5" s="279"/>
      <c r="OLO5" s="279"/>
      <c r="OLP5" s="279"/>
      <c r="OLQ5" s="279"/>
      <c r="OLR5" s="279"/>
      <c r="OLS5" s="279"/>
      <c r="OLT5" s="279"/>
      <c r="OLU5" s="279"/>
      <c r="OLV5" s="279"/>
      <c r="OLW5" s="279"/>
      <c r="OLX5" s="279"/>
      <c r="OLY5" s="279"/>
      <c r="OLZ5" s="279"/>
      <c r="OMA5" s="279"/>
      <c r="OMB5" s="279"/>
      <c r="OMC5" s="279"/>
      <c r="OMD5" s="279"/>
      <c r="OME5" s="279"/>
      <c r="OMF5" s="279"/>
      <c r="OMG5" s="279"/>
      <c r="OMH5" s="279"/>
      <c r="OMI5" s="279"/>
      <c r="OMJ5" s="279"/>
      <c r="OMK5" s="279"/>
      <c r="OML5" s="279"/>
      <c r="OMM5" s="279"/>
      <c r="OMN5" s="279"/>
      <c r="OMO5" s="279"/>
      <c r="OMP5" s="279"/>
      <c r="OMQ5" s="279"/>
      <c r="OMR5" s="279"/>
      <c r="OMS5" s="279"/>
      <c r="OMT5" s="279"/>
      <c r="OMU5" s="279"/>
      <c r="OMV5" s="279"/>
      <c r="OMW5" s="279"/>
      <c r="OMX5" s="279"/>
      <c r="OMY5" s="279"/>
      <c r="OMZ5" s="279"/>
      <c r="ONA5" s="279"/>
      <c r="ONB5" s="279"/>
      <c r="ONC5" s="279"/>
      <c r="OND5" s="279"/>
      <c r="ONE5" s="279"/>
      <c r="ONF5" s="279"/>
      <c r="ONG5" s="279"/>
      <c r="ONH5" s="279"/>
      <c r="ONI5" s="279"/>
      <c r="ONJ5" s="279"/>
      <c r="ONK5" s="279"/>
      <c r="ONL5" s="279"/>
      <c r="ONM5" s="279"/>
      <c r="ONN5" s="279"/>
      <c r="ONO5" s="279"/>
      <c r="ONP5" s="279"/>
      <c r="ONQ5" s="279"/>
      <c r="ONR5" s="279"/>
      <c r="ONS5" s="279"/>
      <c r="ONT5" s="279"/>
      <c r="ONU5" s="279"/>
      <c r="ONV5" s="279"/>
      <c r="ONW5" s="279"/>
      <c r="ONX5" s="279"/>
      <c r="ONY5" s="279"/>
      <c r="ONZ5" s="279"/>
      <c r="OOA5" s="279"/>
      <c r="OOB5" s="279"/>
      <c r="OOC5" s="279"/>
      <c r="OOD5" s="279"/>
      <c r="OOE5" s="279"/>
      <c r="OOF5" s="279"/>
      <c r="OOG5" s="279"/>
      <c r="OOH5" s="279"/>
      <c r="OOI5" s="279"/>
      <c r="OOJ5" s="279"/>
      <c r="OOK5" s="279"/>
      <c r="OOL5" s="279"/>
      <c r="OOM5" s="279"/>
      <c r="OON5" s="279"/>
      <c r="OOO5" s="279"/>
      <c r="OOP5" s="279"/>
      <c r="OOQ5" s="279"/>
      <c r="OOR5" s="279"/>
      <c r="OOS5" s="279"/>
      <c r="OOT5" s="279"/>
      <c r="OOU5" s="279"/>
      <c r="OOV5" s="279"/>
      <c r="OOW5" s="279"/>
      <c r="OOX5" s="279"/>
      <c r="OOY5" s="279"/>
      <c r="OOZ5" s="279"/>
      <c r="OPA5" s="279"/>
      <c r="OPB5" s="279"/>
      <c r="OPC5" s="279"/>
      <c r="OPD5" s="279"/>
      <c r="OPE5" s="279"/>
      <c r="OPF5" s="279"/>
      <c r="OPG5" s="279"/>
      <c r="OPH5" s="279"/>
      <c r="OPI5" s="279"/>
      <c r="OPJ5" s="279"/>
      <c r="OPK5" s="279"/>
      <c r="OPL5" s="279"/>
      <c r="OPM5" s="279"/>
      <c r="OPN5" s="279"/>
      <c r="OPO5" s="279"/>
      <c r="OPP5" s="279"/>
      <c r="OPQ5" s="279"/>
      <c r="OPR5" s="279"/>
      <c r="OPS5" s="279"/>
      <c r="OPT5" s="279"/>
      <c r="OPU5" s="279"/>
      <c r="OPV5" s="279"/>
      <c r="OPW5" s="279"/>
      <c r="OPX5" s="279"/>
      <c r="OPY5" s="279"/>
      <c r="OPZ5" s="279"/>
      <c r="OQA5" s="279"/>
      <c r="OQB5" s="279"/>
      <c r="OQC5" s="279"/>
      <c r="OQD5" s="279"/>
      <c r="OQE5" s="279"/>
      <c r="OQF5" s="279"/>
      <c r="OQG5" s="279"/>
      <c r="OQH5" s="279"/>
      <c r="OQI5" s="279"/>
      <c r="OQJ5" s="279"/>
      <c r="OQK5" s="279"/>
      <c r="OQL5" s="279"/>
      <c r="OQM5" s="279"/>
      <c r="OQN5" s="279"/>
      <c r="OQO5" s="279"/>
      <c r="OQP5" s="279"/>
      <c r="OQQ5" s="279"/>
      <c r="OQR5" s="279"/>
      <c r="OQS5" s="279"/>
      <c r="OQT5" s="279"/>
      <c r="OQU5" s="279"/>
      <c r="OQV5" s="279"/>
      <c r="OQW5" s="279"/>
      <c r="OQX5" s="279"/>
      <c r="OQY5" s="279"/>
      <c r="OQZ5" s="279"/>
      <c r="ORA5" s="279"/>
      <c r="ORB5" s="279"/>
      <c r="ORC5" s="279"/>
      <c r="ORD5" s="279"/>
      <c r="ORE5" s="279"/>
      <c r="ORF5" s="279"/>
      <c r="ORG5" s="279"/>
      <c r="ORH5" s="279"/>
      <c r="ORI5" s="279"/>
      <c r="ORJ5" s="279"/>
      <c r="ORK5" s="279"/>
      <c r="ORL5" s="279"/>
      <c r="ORM5" s="279"/>
      <c r="ORN5" s="279"/>
      <c r="ORO5" s="279"/>
      <c r="ORP5" s="279"/>
      <c r="ORQ5" s="279"/>
      <c r="ORR5" s="279"/>
      <c r="ORS5" s="279"/>
      <c r="ORT5" s="279"/>
      <c r="ORU5" s="279"/>
      <c r="ORV5" s="279"/>
      <c r="ORW5" s="279"/>
      <c r="ORX5" s="279"/>
      <c r="ORY5" s="279"/>
      <c r="ORZ5" s="279"/>
      <c r="OSA5" s="279"/>
      <c r="OSB5" s="279"/>
      <c r="OSC5" s="279"/>
      <c r="OSD5" s="279"/>
      <c r="OSE5" s="279"/>
      <c r="OSF5" s="279"/>
      <c r="OSG5" s="279"/>
      <c r="OSH5" s="279"/>
      <c r="OSI5" s="279"/>
      <c r="OSJ5" s="279"/>
      <c r="OSK5" s="279"/>
      <c r="OSL5" s="279"/>
      <c r="OSM5" s="279"/>
      <c r="OSN5" s="279"/>
      <c r="OSO5" s="279"/>
      <c r="OSP5" s="279"/>
      <c r="OSQ5" s="279"/>
      <c r="OSR5" s="279"/>
      <c r="OSS5" s="279"/>
      <c r="OST5" s="279"/>
      <c r="OSU5" s="279"/>
      <c r="OSV5" s="279"/>
      <c r="OSW5" s="279"/>
      <c r="OSX5" s="279"/>
      <c r="OSY5" s="279"/>
      <c r="OSZ5" s="279"/>
      <c r="OTA5" s="279"/>
      <c r="OTB5" s="279"/>
      <c r="OTC5" s="279"/>
      <c r="OTD5" s="279"/>
      <c r="OTE5" s="279"/>
      <c r="OTF5" s="279"/>
      <c r="OTG5" s="279"/>
      <c r="OTH5" s="279"/>
      <c r="OTI5" s="279"/>
      <c r="OTJ5" s="279"/>
      <c r="OTK5" s="279"/>
      <c r="OTL5" s="279"/>
      <c r="OTM5" s="279"/>
      <c r="OTN5" s="279"/>
      <c r="OTO5" s="279"/>
      <c r="OTP5" s="279"/>
      <c r="OTQ5" s="279"/>
      <c r="OTR5" s="279"/>
      <c r="OTS5" s="279"/>
      <c r="OTT5" s="279"/>
      <c r="OTU5" s="279"/>
      <c r="OTV5" s="279"/>
      <c r="OTW5" s="279"/>
      <c r="OTX5" s="279"/>
      <c r="OTY5" s="279"/>
      <c r="OTZ5" s="279"/>
      <c r="OUA5" s="279"/>
      <c r="OUB5" s="279"/>
      <c r="OUC5" s="279"/>
      <c r="OUD5" s="279"/>
      <c r="OUE5" s="279"/>
      <c r="OUF5" s="279"/>
      <c r="OUG5" s="279"/>
      <c r="OUH5" s="279"/>
      <c r="OUI5" s="279"/>
      <c r="OUJ5" s="279"/>
      <c r="OUK5" s="279"/>
      <c r="OUL5" s="279"/>
      <c r="OUM5" s="279"/>
      <c r="OUN5" s="279"/>
      <c r="OUO5" s="279"/>
      <c r="OUP5" s="279"/>
      <c r="OUQ5" s="279"/>
      <c r="OUR5" s="279"/>
      <c r="OUS5" s="279"/>
      <c r="OUT5" s="279"/>
      <c r="OUU5" s="279"/>
      <c r="OUV5" s="279"/>
      <c r="OUW5" s="279"/>
      <c r="OUX5" s="279"/>
      <c r="OUY5" s="279"/>
      <c r="OUZ5" s="279"/>
      <c r="OVA5" s="279"/>
      <c r="OVB5" s="279"/>
      <c r="OVC5" s="279"/>
      <c r="OVD5" s="279"/>
      <c r="OVE5" s="279"/>
      <c r="OVF5" s="279"/>
      <c r="OVG5" s="279"/>
      <c r="OVH5" s="279"/>
      <c r="OVI5" s="279"/>
      <c r="OVJ5" s="279"/>
      <c r="OVK5" s="279"/>
      <c r="OVL5" s="279"/>
      <c r="OVM5" s="279"/>
      <c r="OVN5" s="279"/>
      <c r="OVO5" s="279"/>
      <c r="OVP5" s="279"/>
      <c r="OVQ5" s="279"/>
      <c r="OVR5" s="279"/>
      <c r="OVS5" s="279"/>
      <c r="OVT5" s="279"/>
      <c r="OVU5" s="279"/>
      <c r="OVV5" s="279"/>
      <c r="OVW5" s="279"/>
      <c r="OVX5" s="279"/>
      <c r="OVY5" s="279"/>
      <c r="OVZ5" s="279"/>
      <c r="OWA5" s="279"/>
      <c r="OWB5" s="279"/>
      <c r="OWC5" s="279"/>
      <c r="OWD5" s="279"/>
      <c r="OWE5" s="279"/>
      <c r="OWF5" s="279"/>
      <c r="OWG5" s="279"/>
      <c r="OWH5" s="279"/>
      <c r="OWI5" s="279"/>
      <c r="OWJ5" s="279"/>
      <c r="OWK5" s="279"/>
      <c r="OWL5" s="279"/>
      <c r="OWM5" s="279"/>
      <c r="OWN5" s="279"/>
      <c r="OWO5" s="279"/>
      <c r="OWP5" s="279"/>
      <c r="OWQ5" s="279"/>
      <c r="OWR5" s="279"/>
      <c r="OWS5" s="279"/>
      <c r="OWT5" s="279"/>
      <c r="OWU5" s="279"/>
      <c r="OWV5" s="279"/>
      <c r="OWW5" s="279"/>
      <c r="OWX5" s="279"/>
      <c r="OWY5" s="279"/>
      <c r="OWZ5" s="279"/>
      <c r="OXA5" s="279"/>
      <c r="OXB5" s="279"/>
      <c r="OXC5" s="279"/>
      <c r="OXD5" s="279"/>
      <c r="OXE5" s="279"/>
      <c r="OXF5" s="279"/>
      <c r="OXG5" s="279"/>
      <c r="OXH5" s="279"/>
      <c r="OXI5" s="279"/>
      <c r="OXJ5" s="279"/>
      <c r="OXK5" s="279"/>
      <c r="OXL5" s="279"/>
      <c r="OXM5" s="279"/>
      <c r="OXN5" s="279"/>
      <c r="OXO5" s="279"/>
      <c r="OXP5" s="279"/>
      <c r="OXQ5" s="279"/>
      <c r="OXR5" s="279"/>
      <c r="OXS5" s="279"/>
      <c r="OXT5" s="279"/>
      <c r="OXU5" s="279"/>
      <c r="OXV5" s="279"/>
      <c r="OXW5" s="279"/>
      <c r="OXX5" s="279"/>
      <c r="OXY5" s="279"/>
      <c r="OXZ5" s="279"/>
      <c r="OYA5" s="279"/>
      <c r="OYB5" s="279"/>
      <c r="OYC5" s="279"/>
      <c r="OYD5" s="279"/>
      <c r="OYE5" s="279"/>
      <c r="OYF5" s="279"/>
      <c r="OYG5" s="279"/>
      <c r="OYH5" s="279"/>
      <c r="OYI5" s="279"/>
      <c r="OYJ5" s="279"/>
      <c r="OYK5" s="279"/>
      <c r="OYL5" s="279"/>
      <c r="OYM5" s="279"/>
      <c r="OYN5" s="279"/>
      <c r="OYO5" s="279"/>
      <c r="OYP5" s="279"/>
      <c r="OYQ5" s="279"/>
      <c r="OYR5" s="279"/>
      <c r="OYS5" s="279"/>
      <c r="OYT5" s="279"/>
      <c r="OYU5" s="279"/>
      <c r="OYV5" s="279"/>
      <c r="OYW5" s="279"/>
      <c r="OYX5" s="279"/>
      <c r="OYY5" s="279"/>
      <c r="OYZ5" s="279"/>
      <c r="OZA5" s="279"/>
      <c r="OZB5" s="279"/>
      <c r="OZC5" s="279"/>
      <c r="OZD5" s="279"/>
      <c r="OZE5" s="279"/>
      <c r="OZF5" s="279"/>
      <c r="OZG5" s="279"/>
      <c r="OZH5" s="279"/>
      <c r="OZI5" s="279"/>
      <c r="OZJ5" s="279"/>
      <c r="OZK5" s="279"/>
      <c r="OZL5" s="279"/>
      <c r="OZM5" s="279"/>
      <c r="OZN5" s="279"/>
      <c r="OZO5" s="279"/>
      <c r="OZP5" s="279"/>
      <c r="OZQ5" s="279"/>
      <c r="OZR5" s="279"/>
      <c r="OZS5" s="279"/>
      <c r="OZT5" s="279"/>
      <c r="OZU5" s="279"/>
      <c r="OZV5" s="279"/>
      <c r="OZW5" s="279"/>
      <c r="OZX5" s="279"/>
      <c r="OZY5" s="279"/>
      <c r="OZZ5" s="279"/>
      <c r="PAA5" s="279"/>
      <c r="PAB5" s="279"/>
      <c r="PAC5" s="279"/>
      <c r="PAD5" s="279"/>
      <c r="PAE5" s="279"/>
      <c r="PAF5" s="279"/>
      <c r="PAG5" s="279"/>
      <c r="PAH5" s="279"/>
      <c r="PAI5" s="279"/>
      <c r="PAJ5" s="279"/>
      <c r="PAK5" s="279"/>
      <c r="PAL5" s="279"/>
      <c r="PAM5" s="279"/>
      <c r="PAN5" s="279"/>
      <c r="PAO5" s="279"/>
      <c r="PAP5" s="279"/>
      <c r="PAQ5" s="279"/>
      <c r="PAR5" s="279"/>
      <c r="PAS5" s="279"/>
      <c r="PAT5" s="279"/>
      <c r="PAU5" s="279"/>
      <c r="PAV5" s="279"/>
      <c r="PAW5" s="279"/>
      <c r="PAX5" s="279"/>
      <c r="PAY5" s="279"/>
      <c r="PAZ5" s="279"/>
      <c r="PBA5" s="279"/>
      <c r="PBB5" s="279"/>
      <c r="PBC5" s="279"/>
      <c r="PBD5" s="279"/>
      <c r="PBE5" s="279"/>
      <c r="PBF5" s="279"/>
      <c r="PBG5" s="279"/>
      <c r="PBH5" s="279"/>
      <c r="PBI5" s="279"/>
      <c r="PBJ5" s="279"/>
      <c r="PBK5" s="279"/>
      <c r="PBL5" s="279"/>
      <c r="PBM5" s="279"/>
      <c r="PBN5" s="279"/>
      <c r="PBO5" s="279"/>
      <c r="PBP5" s="279"/>
      <c r="PBQ5" s="279"/>
      <c r="PBR5" s="279"/>
      <c r="PBS5" s="279"/>
      <c r="PBT5" s="279"/>
      <c r="PBU5" s="279"/>
      <c r="PBV5" s="279"/>
      <c r="PBW5" s="279"/>
      <c r="PBX5" s="279"/>
      <c r="PBY5" s="279"/>
      <c r="PBZ5" s="279"/>
      <c r="PCA5" s="279"/>
      <c r="PCB5" s="279"/>
      <c r="PCC5" s="279"/>
      <c r="PCD5" s="279"/>
      <c r="PCE5" s="279"/>
      <c r="PCF5" s="279"/>
      <c r="PCG5" s="279"/>
      <c r="PCH5" s="279"/>
      <c r="PCI5" s="279"/>
      <c r="PCJ5" s="279"/>
      <c r="PCK5" s="279"/>
      <c r="PCL5" s="279"/>
      <c r="PCM5" s="279"/>
      <c r="PCN5" s="279"/>
      <c r="PCO5" s="279"/>
      <c r="PCP5" s="279"/>
      <c r="PCQ5" s="279"/>
      <c r="PCR5" s="279"/>
      <c r="PCS5" s="279"/>
      <c r="PCT5" s="279"/>
      <c r="PCU5" s="279"/>
      <c r="PCV5" s="279"/>
      <c r="PCW5" s="279"/>
      <c r="PCX5" s="279"/>
      <c r="PCY5" s="279"/>
      <c r="PCZ5" s="279"/>
      <c r="PDA5" s="279"/>
      <c r="PDB5" s="279"/>
      <c r="PDC5" s="279"/>
      <c r="PDD5" s="279"/>
      <c r="PDE5" s="279"/>
      <c r="PDF5" s="279"/>
      <c r="PDG5" s="279"/>
      <c r="PDH5" s="279"/>
      <c r="PDI5" s="279"/>
      <c r="PDJ5" s="279"/>
      <c r="PDK5" s="279"/>
      <c r="PDL5" s="279"/>
      <c r="PDM5" s="279"/>
      <c r="PDN5" s="279"/>
      <c r="PDO5" s="279"/>
      <c r="PDP5" s="279"/>
      <c r="PDQ5" s="279"/>
      <c r="PDR5" s="279"/>
      <c r="PDS5" s="279"/>
      <c r="PDT5" s="279"/>
      <c r="PDU5" s="279"/>
      <c r="PDV5" s="279"/>
      <c r="PDW5" s="279"/>
      <c r="PDX5" s="279"/>
      <c r="PDY5" s="279"/>
      <c r="PDZ5" s="279"/>
      <c r="PEA5" s="279"/>
      <c r="PEB5" s="279"/>
      <c r="PEC5" s="279"/>
      <c r="PED5" s="279"/>
      <c r="PEE5" s="279"/>
      <c r="PEF5" s="279"/>
      <c r="PEG5" s="279"/>
      <c r="PEH5" s="279"/>
      <c r="PEI5" s="279"/>
      <c r="PEJ5" s="279"/>
      <c r="PEK5" s="279"/>
      <c r="PEL5" s="279"/>
      <c r="PEM5" s="279"/>
      <c r="PEN5" s="279"/>
      <c r="PEO5" s="279"/>
      <c r="PEP5" s="279"/>
      <c r="PEQ5" s="279"/>
      <c r="PER5" s="279"/>
      <c r="PES5" s="279"/>
      <c r="PET5" s="279"/>
      <c r="PEU5" s="279"/>
      <c r="PEV5" s="279"/>
      <c r="PEW5" s="279"/>
      <c r="PEX5" s="279"/>
      <c r="PEY5" s="279"/>
      <c r="PEZ5" s="279"/>
      <c r="PFA5" s="279"/>
      <c r="PFB5" s="279"/>
      <c r="PFC5" s="279"/>
      <c r="PFD5" s="279"/>
      <c r="PFE5" s="279"/>
      <c r="PFF5" s="279"/>
      <c r="PFG5" s="279"/>
      <c r="PFH5" s="279"/>
      <c r="PFI5" s="279"/>
      <c r="PFJ5" s="279"/>
      <c r="PFK5" s="279"/>
      <c r="PFL5" s="279"/>
      <c r="PFM5" s="279"/>
      <c r="PFN5" s="279"/>
      <c r="PFO5" s="279"/>
      <c r="PFP5" s="279"/>
      <c r="PFQ5" s="279"/>
      <c r="PFR5" s="279"/>
      <c r="PFS5" s="279"/>
      <c r="PFT5" s="279"/>
      <c r="PFU5" s="279"/>
      <c r="PFV5" s="279"/>
      <c r="PFW5" s="279"/>
      <c r="PFX5" s="279"/>
      <c r="PFY5" s="279"/>
      <c r="PFZ5" s="279"/>
      <c r="PGA5" s="279"/>
      <c r="PGB5" s="279"/>
      <c r="PGC5" s="279"/>
      <c r="PGD5" s="279"/>
      <c r="PGE5" s="279"/>
      <c r="PGF5" s="279"/>
      <c r="PGG5" s="279"/>
      <c r="PGH5" s="279"/>
      <c r="PGI5" s="279"/>
      <c r="PGJ5" s="279"/>
      <c r="PGK5" s="279"/>
      <c r="PGL5" s="279"/>
      <c r="PGM5" s="279"/>
      <c r="PGN5" s="279"/>
      <c r="PGO5" s="279"/>
      <c r="PGP5" s="279"/>
      <c r="PGQ5" s="279"/>
      <c r="PGR5" s="279"/>
      <c r="PGS5" s="279"/>
      <c r="PGT5" s="279"/>
      <c r="PGU5" s="279"/>
      <c r="PGV5" s="279"/>
      <c r="PGW5" s="279"/>
      <c r="PGX5" s="279"/>
      <c r="PGY5" s="279"/>
      <c r="PGZ5" s="279"/>
      <c r="PHA5" s="279"/>
      <c r="PHB5" s="279"/>
      <c r="PHC5" s="279"/>
      <c r="PHD5" s="279"/>
      <c r="PHE5" s="279"/>
      <c r="PHF5" s="279"/>
      <c r="PHG5" s="279"/>
      <c r="PHH5" s="279"/>
      <c r="PHI5" s="279"/>
      <c r="PHJ5" s="279"/>
      <c r="PHK5" s="279"/>
      <c r="PHL5" s="279"/>
      <c r="PHM5" s="279"/>
      <c r="PHN5" s="279"/>
      <c r="PHO5" s="279"/>
      <c r="PHP5" s="279"/>
      <c r="PHQ5" s="279"/>
      <c r="PHR5" s="279"/>
      <c r="PHS5" s="279"/>
      <c r="PHT5" s="279"/>
      <c r="PHU5" s="279"/>
      <c r="PHV5" s="279"/>
      <c r="PHW5" s="279"/>
      <c r="PHX5" s="279"/>
      <c r="PHY5" s="279"/>
      <c r="PHZ5" s="279"/>
      <c r="PIA5" s="279"/>
      <c r="PIB5" s="279"/>
      <c r="PIC5" s="279"/>
      <c r="PID5" s="279"/>
      <c r="PIE5" s="279"/>
      <c r="PIF5" s="279"/>
      <c r="PIG5" s="279"/>
      <c r="PIH5" s="279"/>
      <c r="PII5" s="279"/>
      <c r="PIJ5" s="279"/>
      <c r="PIK5" s="279"/>
      <c r="PIL5" s="279"/>
      <c r="PIM5" s="279"/>
      <c r="PIN5" s="279"/>
      <c r="PIO5" s="279"/>
      <c r="PIP5" s="279"/>
      <c r="PIQ5" s="279"/>
      <c r="PIR5" s="279"/>
      <c r="PIS5" s="279"/>
      <c r="PIT5" s="279"/>
      <c r="PIU5" s="279"/>
      <c r="PIV5" s="279"/>
      <c r="PIW5" s="279"/>
      <c r="PIX5" s="279"/>
      <c r="PIY5" s="279"/>
      <c r="PIZ5" s="279"/>
      <c r="PJA5" s="279"/>
      <c r="PJB5" s="279"/>
      <c r="PJC5" s="279"/>
      <c r="PJD5" s="279"/>
      <c r="PJE5" s="279"/>
      <c r="PJF5" s="279"/>
      <c r="PJG5" s="279"/>
      <c r="PJH5" s="279"/>
      <c r="PJI5" s="279"/>
      <c r="PJJ5" s="279"/>
      <c r="PJK5" s="279"/>
      <c r="PJL5" s="279"/>
      <c r="PJM5" s="279"/>
      <c r="PJN5" s="279"/>
      <c r="PJO5" s="279"/>
      <c r="PJP5" s="279"/>
      <c r="PJQ5" s="279"/>
      <c r="PJR5" s="279"/>
      <c r="PJS5" s="279"/>
      <c r="PJT5" s="279"/>
      <c r="PJU5" s="279"/>
      <c r="PJV5" s="279"/>
      <c r="PJW5" s="279"/>
      <c r="PJX5" s="279"/>
      <c r="PJY5" s="279"/>
      <c r="PJZ5" s="279"/>
      <c r="PKA5" s="279"/>
      <c r="PKB5" s="279"/>
      <c r="PKC5" s="279"/>
      <c r="PKD5" s="279"/>
      <c r="PKE5" s="279"/>
      <c r="PKF5" s="279"/>
      <c r="PKG5" s="279"/>
      <c r="PKH5" s="279"/>
      <c r="PKI5" s="279"/>
      <c r="PKJ5" s="279"/>
      <c r="PKK5" s="279"/>
      <c r="PKL5" s="279"/>
      <c r="PKM5" s="279"/>
      <c r="PKN5" s="279"/>
      <c r="PKO5" s="279"/>
      <c r="PKP5" s="279"/>
      <c r="PKQ5" s="279"/>
      <c r="PKR5" s="279"/>
      <c r="PKS5" s="279"/>
      <c r="PKT5" s="279"/>
      <c r="PKU5" s="279"/>
      <c r="PKV5" s="279"/>
      <c r="PKW5" s="279"/>
      <c r="PKX5" s="279"/>
      <c r="PKY5" s="279"/>
      <c r="PKZ5" s="279"/>
      <c r="PLA5" s="279"/>
      <c r="PLB5" s="279"/>
      <c r="PLC5" s="279"/>
      <c r="PLD5" s="279"/>
      <c r="PLE5" s="279"/>
      <c r="PLF5" s="279"/>
      <c r="PLG5" s="279"/>
      <c r="PLH5" s="279"/>
      <c r="PLI5" s="279"/>
      <c r="PLJ5" s="279"/>
      <c r="PLK5" s="279"/>
      <c r="PLL5" s="279"/>
      <c r="PLM5" s="279"/>
      <c r="PLN5" s="279"/>
      <c r="PLO5" s="279"/>
      <c r="PLP5" s="279"/>
      <c r="PLQ5" s="279"/>
      <c r="PLR5" s="279"/>
      <c r="PLS5" s="279"/>
      <c r="PLT5" s="279"/>
      <c r="PLU5" s="279"/>
      <c r="PLV5" s="279"/>
      <c r="PLW5" s="279"/>
      <c r="PLX5" s="279"/>
      <c r="PLY5" s="279"/>
      <c r="PLZ5" s="279"/>
      <c r="PMA5" s="279"/>
      <c r="PMB5" s="279"/>
      <c r="PMC5" s="279"/>
      <c r="PMD5" s="279"/>
      <c r="PME5" s="279"/>
      <c r="PMF5" s="279"/>
      <c r="PMG5" s="279"/>
      <c r="PMH5" s="279"/>
      <c r="PMI5" s="279"/>
      <c r="PMJ5" s="279"/>
      <c r="PMK5" s="279"/>
      <c r="PML5" s="279"/>
      <c r="PMM5" s="279"/>
      <c r="PMN5" s="279"/>
      <c r="PMO5" s="279"/>
      <c r="PMP5" s="279"/>
      <c r="PMQ5" s="279"/>
      <c r="PMR5" s="279"/>
      <c r="PMS5" s="279"/>
      <c r="PMT5" s="279"/>
      <c r="PMU5" s="279"/>
      <c r="PMV5" s="279"/>
      <c r="PMW5" s="279"/>
      <c r="PMX5" s="279"/>
      <c r="PMY5" s="279"/>
      <c r="PMZ5" s="279"/>
      <c r="PNA5" s="279"/>
      <c r="PNB5" s="279"/>
      <c r="PNC5" s="279"/>
      <c r="PND5" s="279"/>
      <c r="PNE5" s="279"/>
      <c r="PNF5" s="279"/>
      <c r="PNG5" s="279"/>
      <c r="PNH5" s="279"/>
      <c r="PNI5" s="279"/>
      <c r="PNJ5" s="279"/>
      <c r="PNK5" s="279"/>
      <c r="PNL5" s="279"/>
      <c r="PNM5" s="279"/>
      <c r="PNN5" s="279"/>
      <c r="PNO5" s="279"/>
      <c r="PNP5" s="279"/>
      <c r="PNQ5" s="279"/>
      <c r="PNR5" s="279"/>
      <c r="PNS5" s="279"/>
      <c r="PNT5" s="279"/>
      <c r="PNU5" s="279"/>
      <c r="PNV5" s="279"/>
      <c r="PNW5" s="279"/>
      <c r="PNX5" s="279"/>
      <c r="PNY5" s="279"/>
      <c r="PNZ5" s="279"/>
      <c r="POA5" s="279"/>
      <c r="POB5" s="279"/>
      <c r="POC5" s="279"/>
      <c r="POD5" s="279"/>
      <c r="POE5" s="279"/>
      <c r="POF5" s="279"/>
      <c r="POG5" s="279"/>
      <c r="POH5" s="279"/>
      <c r="POI5" s="279"/>
      <c r="POJ5" s="279"/>
      <c r="POK5" s="279"/>
      <c r="POL5" s="279"/>
      <c r="POM5" s="279"/>
      <c r="PON5" s="279"/>
      <c r="POO5" s="279"/>
      <c r="POP5" s="279"/>
      <c r="POQ5" s="279"/>
      <c r="POR5" s="279"/>
      <c r="POS5" s="279"/>
      <c r="POT5" s="279"/>
      <c r="POU5" s="279"/>
      <c r="POV5" s="279"/>
      <c r="POW5" s="279"/>
      <c r="POX5" s="279"/>
      <c r="POY5" s="279"/>
      <c r="POZ5" s="279"/>
      <c r="PPA5" s="279"/>
      <c r="PPB5" s="279"/>
      <c r="PPC5" s="279"/>
      <c r="PPD5" s="279"/>
      <c r="PPE5" s="279"/>
      <c r="PPF5" s="279"/>
      <c r="PPG5" s="279"/>
      <c r="PPH5" s="279"/>
      <c r="PPI5" s="279"/>
      <c r="PPJ5" s="279"/>
      <c r="PPK5" s="279"/>
      <c r="PPL5" s="279"/>
      <c r="PPM5" s="279"/>
      <c r="PPN5" s="279"/>
      <c r="PPO5" s="279"/>
      <c r="PPP5" s="279"/>
      <c r="PPQ5" s="279"/>
      <c r="PPR5" s="279"/>
      <c r="PPS5" s="279"/>
      <c r="PPT5" s="279"/>
      <c r="PPU5" s="279"/>
      <c r="PPV5" s="279"/>
      <c r="PPW5" s="279"/>
      <c r="PPX5" s="279"/>
      <c r="PPY5" s="279"/>
      <c r="PPZ5" s="279"/>
      <c r="PQA5" s="279"/>
      <c r="PQB5" s="279"/>
      <c r="PQC5" s="279"/>
      <c r="PQD5" s="279"/>
      <c r="PQE5" s="279"/>
      <c r="PQF5" s="279"/>
      <c r="PQG5" s="279"/>
      <c r="PQH5" s="279"/>
      <c r="PQI5" s="279"/>
      <c r="PQJ5" s="279"/>
      <c r="PQK5" s="279"/>
      <c r="PQL5" s="279"/>
      <c r="PQM5" s="279"/>
      <c r="PQN5" s="279"/>
      <c r="PQO5" s="279"/>
      <c r="PQP5" s="279"/>
      <c r="PQQ5" s="279"/>
      <c r="PQR5" s="279"/>
      <c r="PQS5" s="279"/>
      <c r="PQT5" s="279"/>
      <c r="PQU5" s="279"/>
      <c r="PQV5" s="279"/>
      <c r="PQW5" s="279"/>
      <c r="PQX5" s="279"/>
      <c r="PQY5" s="279"/>
      <c r="PQZ5" s="279"/>
      <c r="PRA5" s="279"/>
      <c r="PRB5" s="279"/>
      <c r="PRC5" s="279"/>
      <c r="PRD5" s="279"/>
      <c r="PRE5" s="279"/>
      <c r="PRF5" s="279"/>
      <c r="PRG5" s="279"/>
      <c r="PRH5" s="279"/>
      <c r="PRI5" s="279"/>
      <c r="PRJ5" s="279"/>
      <c r="PRK5" s="279"/>
      <c r="PRL5" s="279"/>
      <c r="PRM5" s="279"/>
      <c r="PRN5" s="279"/>
      <c r="PRO5" s="279"/>
      <c r="PRP5" s="279"/>
      <c r="PRQ5" s="279"/>
      <c r="PRR5" s="279"/>
      <c r="PRS5" s="279"/>
      <c r="PRT5" s="279"/>
      <c r="PRU5" s="279"/>
      <c r="PRV5" s="279"/>
      <c r="PRW5" s="279"/>
      <c r="PRX5" s="279"/>
      <c r="PRY5" s="279"/>
      <c r="PRZ5" s="279"/>
      <c r="PSA5" s="279"/>
      <c r="PSB5" s="279"/>
      <c r="PSC5" s="279"/>
      <c r="PSD5" s="279"/>
      <c r="PSE5" s="279"/>
      <c r="PSF5" s="279"/>
      <c r="PSG5" s="279"/>
      <c r="PSH5" s="279"/>
      <c r="PSI5" s="279"/>
      <c r="PSJ5" s="279"/>
      <c r="PSK5" s="279"/>
      <c r="PSL5" s="279"/>
      <c r="PSM5" s="279"/>
      <c r="PSN5" s="279"/>
      <c r="PSO5" s="279"/>
      <c r="PSP5" s="279"/>
      <c r="PSQ5" s="279"/>
      <c r="PSR5" s="279"/>
      <c r="PSS5" s="279"/>
      <c r="PST5" s="279"/>
      <c r="PSU5" s="279"/>
      <c r="PSV5" s="279"/>
      <c r="PSW5" s="279"/>
      <c r="PSX5" s="279"/>
      <c r="PSY5" s="279"/>
      <c r="PSZ5" s="279"/>
      <c r="PTA5" s="279"/>
      <c r="PTB5" s="279"/>
      <c r="PTC5" s="279"/>
      <c r="PTD5" s="279"/>
      <c r="PTE5" s="279"/>
      <c r="PTF5" s="279"/>
      <c r="PTG5" s="279"/>
      <c r="PTH5" s="279"/>
      <c r="PTI5" s="279"/>
      <c r="PTJ5" s="279"/>
      <c r="PTK5" s="279"/>
      <c r="PTL5" s="279"/>
      <c r="PTM5" s="279"/>
      <c r="PTN5" s="279"/>
      <c r="PTO5" s="279"/>
      <c r="PTP5" s="279"/>
      <c r="PTQ5" s="279"/>
      <c r="PTR5" s="279"/>
      <c r="PTS5" s="279"/>
      <c r="PTT5" s="279"/>
      <c r="PTU5" s="279"/>
      <c r="PTV5" s="279"/>
      <c r="PTW5" s="279"/>
      <c r="PTX5" s="279"/>
      <c r="PTY5" s="279"/>
      <c r="PTZ5" s="279"/>
      <c r="PUA5" s="279"/>
      <c r="PUB5" s="279"/>
      <c r="PUC5" s="279"/>
      <c r="PUD5" s="279"/>
      <c r="PUE5" s="279"/>
      <c r="PUF5" s="279"/>
      <c r="PUG5" s="279"/>
      <c r="PUH5" s="279"/>
      <c r="PUI5" s="279"/>
      <c r="PUJ5" s="279"/>
      <c r="PUK5" s="279"/>
      <c r="PUL5" s="279"/>
      <c r="PUM5" s="279"/>
      <c r="PUN5" s="279"/>
      <c r="PUO5" s="279"/>
      <c r="PUP5" s="279"/>
      <c r="PUQ5" s="279"/>
      <c r="PUR5" s="279"/>
      <c r="PUS5" s="279"/>
      <c r="PUT5" s="279"/>
      <c r="PUU5" s="279"/>
      <c r="PUV5" s="279"/>
      <c r="PUW5" s="279"/>
      <c r="PUX5" s="279"/>
      <c r="PUY5" s="279"/>
      <c r="PUZ5" s="279"/>
      <c r="PVA5" s="279"/>
      <c r="PVB5" s="279"/>
      <c r="PVC5" s="279"/>
      <c r="PVD5" s="279"/>
      <c r="PVE5" s="279"/>
      <c r="PVF5" s="279"/>
      <c r="PVG5" s="279"/>
      <c r="PVH5" s="279"/>
      <c r="PVI5" s="279"/>
      <c r="PVJ5" s="279"/>
      <c r="PVK5" s="279"/>
      <c r="PVL5" s="279"/>
      <c r="PVM5" s="279"/>
      <c r="PVN5" s="279"/>
      <c r="PVO5" s="279"/>
      <c r="PVP5" s="279"/>
      <c r="PVQ5" s="279"/>
      <c r="PVR5" s="279"/>
      <c r="PVS5" s="279"/>
      <c r="PVT5" s="279"/>
      <c r="PVU5" s="279"/>
      <c r="PVV5" s="279"/>
      <c r="PVW5" s="279"/>
      <c r="PVX5" s="279"/>
      <c r="PVY5" s="279"/>
      <c r="PVZ5" s="279"/>
      <c r="PWA5" s="279"/>
      <c r="PWB5" s="279"/>
      <c r="PWC5" s="279"/>
      <c r="PWD5" s="279"/>
      <c r="PWE5" s="279"/>
      <c r="PWF5" s="279"/>
      <c r="PWG5" s="279"/>
      <c r="PWH5" s="279"/>
      <c r="PWI5" s="279"/>
      <c r="PWJ5" s="279"/>
      <c r="PWK5" s="279"/>
      <c r="PWL5" s="279"/>
      <c r="PWM5" s="279"/>
      <c r="PWN5" s="279"/>
      <c r="PWO5" s="279"/>
      <c r="PWP5" s="279"/>
      <c r="PWQ5" s="279"/>
      <c r="PWR5" s="279"/>
      <c r="PWS5" s="279"/>
      <c r="PWT5" s="279"/>
      <c r="PWU5" s="279"/>
      <c r="PWV5" s="279"/>
      <c r="PWW5" s="279"/>
      <c r="PWX5" s="279"/>
      <c r="PWY5" s="279"/>
      <c r="PWZ5" s="279"/>
      <c r="PXA5" s="279"/>
      <c r="PXB5" s="279"/>
      <c r="PXC5" s="279"/>
      <c r="PXD5" s="279"/>
      <c r="PXE5" s="279"/>
      <c r="PXF5" s="279"/>
      <c r="PXG5" s="279"/>
      <c r="PXH5" s="279"/>
      <c r="PXI5" s="279"/>
      <c r="PXJ5" s="279"/>
      <c r="PXK5" s="279"/>
      <c r="PXL5" s="279"/>
      <c r="PXM5" s="279"/>
      <c r="PXN5" s="279"/>
      <c r="PXO5" s="279"/>
      <c r="PXP5" s="279"/>
      <c r="PXQ5" s="279"/>
      <c r="PXR5" s="279"/>
      <c r="PXS5" s="279"/>
      <c r="PXT5" s="279"/>
      <c r="PXU5" s="279"/>
      <c r="PXV5" s="279"/>
      <c r="PXW5" s="279"/>
      <c r="PXX5" s="279"/>
      <c r="PXY5" s="279"/>
      <c r="PXZ5" s="279"/>
      <c r="PYA5" s="279"/>
      <c r="PYB5" s="279"/>
      <c r="PYC5" s="279"/>
      <c r="PYD5" s="279"/>
      <c r="PYE5" s="279"/>
      <c r="PYF5" s="279"/>
      <c r="PYG5" s="279"/>
      <c r="PYH5" s="279"/>
      <c r="PYI5" s="279"/>
      <c r="PYJ5" s="279"/>
      <c r="PYK5" s="279"/>
      <c r="PYL5" s="279"/>
      <c r="PYM5" s="279"/>
      <c r="PYN5" s="279"/>
      <c r="PYO5" s="279"/>
      <c r="PYP5" s="279"/>
      <c r="PYQ5" s="279"/>
      <c r="PYR5" s="279"/>
      <c r="PYS5" s="279"/>
      <c r="PYT5" s="279"/>
      <c r="PYU5" s="279"/>
      <c r="PYV5" s="279"/>
      <c r="PYW5" s="279"/>
      <c r="PYX5" s="279"/>
      <c r="PYY5" s="279"/>
      <c r="PYZ5" s="279"/>
      <c r="PZA5" s="279"/>
      <c r="PZB5" s="279"/>
      <c r="PZC5" s="279"/>
      <c r="PZD5" s="279"/>
      <c r="PZE5" s="279"/>
      <c r="PZF5" s="279"/>
      <c r="PZG5" s="279"/>
      <c r="PZH5" s="279"/>
      <c r="PZI5" s="279"/>
      <c r="PZJ5" s="279"/>
      <c r="PZK5" s="279"/>
      <c r="PZL5" s="279"/>
      <c r="PZM5" s="279"/>
      <c r="PZN5" s="279"/>
      <c r="PZO5" s="279"/>
      <c r="PZP5" s="279"/>
      <c r="PZQ5" s="279"/>
      <c r="PZR5" s="279"/>
      <c r="PZS5" s="279"/>
      <c r="PZT5" s="279"/>
      <c r="PZU5" s="279"/>
      <c r="PZV5" s="279"/>
      <c r="PZW5" s="279"/>
      <c r="PZX5" s="279"/>
      <c r="PZY5" s="279"/>
      <c r="PZZ5" s="279"/>
      <c r="QAA5" s="279"/>
      <c r="QAB5" s="279"/>
      <c r="QAC5" s="279"/>
      <c r="QAD5" s="279"/>
      <c r="QAE5" s="279"/>
      <c r="QAF5" s="279"/>
      <c r="QAG5" s="279"/>
      <c r="QAH5" s="279"/>
      <c r="QAI5" s="279"/>
      <c r="QAJ5" s="279"/>
      <c r="QAK5" s="279"/>
      <c r="QAL5" s="279"/>
      <c r="QAM5" s="279"/>
      <c r="QAN5" s="279"/>
      <c r="QAO5" s="279"/>
      <c r="QAP5" s="279"/>
      <c r="QAQ5" s="279"/>
      <c r="QAR5" s="279"/>
      <c r="QAS5" s="279"/>
      <c r="QAT5" s="279"/>
      <c r="QAU5" s="279"/>
      <c r="QAV5" s="279"/>
      <c r="QAW5" s="279"/>
      <c r="QAX5" s="279"/>
      <c r="QAY5" s="279"/>
      <c r="QAZ5" s="279"/>
      <c r="QBA5" s="279"/>
      <c r="QBB5" s="279"/>
      <c r="QBC5" s="279"/>
      <c r="QBD5" s="279"/>
      <c r="QBE5" s="279"/>
      <c r="QBF5" s="279"/>
      <c r="QBG5" s="279"/>
      <c r="QBH5" s="279"/>
      <c r="QBI5" s="279"/>
      <c r="QBJ5" s="279"/>
      <c r="QBK5" s="279"/>
      <c r="QBL5" s="279"/>
      <c r="QBM5" s="279"/>
      <c r="QBN5" s="279"/>
      <c r="QBO5" s="279"/>
      <c r="QBP5" s="279"/>
      <c r="QBQ5" s="279"/>
      <c r="QBR5" s="279"/>
      <c r="QBS5" s="279"/>
      <c r="QBT5" s="279"/>
      <c r="QBU5" s="279"/>
      <c r="QBV5" s="279"/>
      <c r="QBW5" s="279"/>
      <c r="QBX5" s="279"/>
      <c r="QBY5" s="279"/>
      <c r="QBZ5" s="279"/>
      <c r="QCA5" s="279"/>
      <c r="QCB5" s="279"/>
      <c r="QCC5" s="279"/>
      <c r="QCD5" s="279"/>
      <c r="QCE5" s="279"/>
      <c r="QCF5" s="279"/>
      <c r="QCG5" s="279"/>
      <c r="QCH5" s="279"/>
      <c r="QCI5" s="279"/>
      <c r="QCJ5" s="279"/>
      <c r="QCK5" s="279"/>
      <c r="QCL5" s="279"/>
      <c r="QCM5" s="279"/>
      <c r="QCN5" s="279"/>
      <c r="QCO5" s="279"/>
      <c r="QCP5" s="279"/>
      <c r="QCQ5" s="279"/>
      <c r="QCR5" s="279"/>
      <c r="QCS5" s="279"/>
      <c r="QCT5" s="279"/>
      <c r="QCU5" s="279"/>
      <c r="QCV5" s="279"/>
      <c r="QCW5" s="279"/>
      <c r="QCX5" s="279"/>
      <c r="QCY5" s="279"/>
      <c r="QCZ5" s="279"/>
      <c r="QDA5" s="279"/>
      <c r="QDB5" s="279"/>
      <c r="QDC5" s="279"/>
      <c r="QDD5" s="279"/>
      <c r="QDE5" s="279"/>
      <c r="QDF5" s="279"/>
      <c r="QDG5" s="279"/>
      <c r="QDH5" s="279"/>
      <c r="QDI5" s="279"/>
      <c r="QDJ5" s="279"/>
      <c r="QDK5" s="279"/>
      <c r="QDL5" s="279"/>
      <c r="QDM5" s="279"/>
      <c r="QDN5" s="279"/>
      <c r="QDO5" s="279"/>
      <c r="QDP5" s="279"/>
      <c r="QDQ5" s="279"/>
      <c r="QDR5" s="279"/>
      <c r="QDS5" s="279"/>
      <c r="QDT5" s="279"/>
      <c r="QDU5" s="279"/>
      <c r="QDV5" s="279"/>
      <c r="QDW5" s="279"/>
      <c r="QDX5" s="279"/>
      <c r="QDY5" s="279"/>
      <c r="QDZ5" s="279"/>
      <c r="QEA5" s="279"/>
      <c r="QEB5" s="279"/>
      <c r="QEC5" s="279"/>
      <c r="QED5" s="279"/>
      <c r="QEE5" s="279"/>
      <c r="QEF5" s="279"/>
      <c r="QEG5" s="279"/>
      <c r="QEH5" s="279"/>
      <c r="QEI5" s="279"/>
      <c r="QEJ5" s="279"/>
      <c r="QEK5" s="279"/>
      <c r="QEL5" s="279"/>
      <c r="QEM5" s="279"/>
      <c r="QEN5" s="279"/>
      <c r="QEO5" s="279"/>
      <c r="QEP5" s="279"/>
      <c r="QEQ5" s="279"/>
      <c r="QER5" s="279"/>
      <c r="QES5" s="279"/>
      <c r="QET5" s="279"/>
      <c r="QEU5" s="279"/>
      <c r="QEV5" s="279"/>
      <c r="QEW5" s="279"/>
      <c r="QEX5" s="279"/>
      <c r="QEY5" s="279"/>
      <c r="QEZ5" s="279"/>
      <c r="QFA5" s="279"/>
      <c r="QFB5" s="279"/>
      <c r="QFC5" s="279"/>
      <c r="QFD5" s="279"/>
      <c r="QFE5" s="279"/>
      <c r="QFF5" s="279"/>
      <c r="QFG5" s="279"/>
      <c r="QFH5" s="279"/>
      <c r="QFI5" s="279"/>
      <c r="QFJ5" s="279"/>
      <c r="QFK5" s="279"/>
      <c r="QFL5" s="279"/>
      <c r="QFM5" s="279"/>
      <c r="QFN5" s="279"/>
      <c r="QFO5" s="279"/>
      <c r="QFP5" s="279"/>
      <c r="QFQ5" s="279"/>
      <c r="QFR5" s="279"/>
      <c r="QFS5" s="279"/>
      <c r="QFT5" s="279"/>
      <c r="QFU5" s="279"/>
      <c r="QFV5" s="279"/>
      <c r="QFW5" s="279"/>
      <c r="QFX5" s="279"/>
      <c r="QFY5" s="279"/>
      <c r="QFZ5" s="279"/>
      <c r="QGA5" s="279"/>
      <c r="QGB5" s="279"/>
      <c r="QGC5" s="279"/>
      <c r="QGD5" s="279"/>
      <c r="QGE5" s="279"/>
      <c r="QGF5" s="279"/>
      <c r="QGG5" s="279"/>
      <c r="QGH5" s="279"/>
      <c r="QGI5" s="279"/>
      <c r="QGJ5" s="279"/>
      <c r="QGK5" s="279"/>
      <c r="QGL5" s="279"/>
      <c r="QGM5" s="279"/>
      <c r="QGN5" s="279"/>
      <c r="QGO5" s="279"/>
      <c r="QGP5" s="279"/>
      <c r="QGQ5" s="279"/>
      <c r="QGR5" s="279"/>
      <c r="QGS5" s="279"/>
      <c r="QGT5" s="279"/>
      <c r="QGU5" s="279"/>
      <c r="QGV5" s="279"/>
      <c r="QGW5" s="279"/>
      <c r="QGX5" s="279"/>
      <c r="QGY5" s="279"/>
      <c r="QGZ5" s="279"/>
      <c r="QHA5" s="279"/>
      <c r="QHB5" s="279"/>
      <c r="QHC5" s="279"/>
      <c r="QHD5" s="279"/>
      <c r="QHE5" s="279"/>
      <c r="QHF5" s="279"/>
      <c r="QHG5" s="279"/>
      <c r="QHH5" s="279"/>
      <c r="QHI5" s="279"/>
      <c r="QHJ5" s="279"/>
      <c r="QHK5" s="279"/>
      <c r="QHL5" s="279"/>
      <c r="QHM5" s="279"/>
      <c r="QHN5" s="279"/>
      <c r="QHO5" s="279"/>
      <c r="QHP5" s="279"/>
      <c r="QHQ5" s="279"/>
      <c r="QHR5" s="279"/>
      <c r="QHS5" s="279"/>
      <c r="QHT5" s="279"/>
      <c r="QHU5" s="279"/>
      <c r="QHV5" s="279"/>
      <c r="QHW5" s="279"/>
      <c r="QHX5" s="279"/>
      <c r="QHY5" s="279"/>
      <c r="QHZ5" s="279"/>
      <c r="QIA5" s="279"/>
      <c r="QIB5" s="279"/>
      <c r="QIC5" s="279"/>
      <c r="QID5" s="279"/>
      <c r="QIE5" s="279"/>
      <c r="QIF5" s="279"/>
      <c r="QIG5" s="279"/>
      <c r="QIH5" s="279"/>
      <c r="QII5" s="279"/>
      <c r="QIJ5" s="279"/>
      <c r="QIK5" s="279"/>
      <c r="QIL5" s="279"/>
      <c r="QIM5" s="279"/>
      <c r="QIN5" s="279"/>
      <c r="QIO5" s="279"/>
      <c r="QIP5" s="279"/>
      <c r="QIQ5" s="279"/>
      <c r="QIR5" s="279"/>
      <c r="QIS5" s="279"/>
      <c r="QIT5" s="279"/>
      <c r="QIU5" s="279"/>
      <c r="QIV5" s="279"/>
      <c r="QIW5" s="279"/>
      <c r="QIX5" s="279"/>
      <c r="QIY5" s="279"/>
      <c r="QIZ5" s="279"/>
      <c r="QJA5" s="279"/>
      <c r="QJB5" s="279"/>
      <c r="QJC5" s="279"/>
      <c r="QJD5" s="279"/>
      <c r="QJE5" s="279"/>
      <c r="QJF5" s="279"/>
      <c r="QJG5" s="279"/>
      <c r="QJH5" s="279"/>
      <c r="QJI5" s="279"/>
      <c r="QJJ5" s="279"/>
      <c r="QJK5" s="279"/>
      <c r="QJL5" s="279"/>
      <c r="QJM5" s="279"/>
      <c r="QJN5" s="279"/>
      <c r="QJO5" s="279"/>
      <c r="QJP5" s="279"/>
      <c r="QJQ5" s="279"/>
      <c r="QJR5" s="279"/>
      <c r="QJS5" s="279"/>
      <c r="QJT5" s="279"/>
      <c r="QJU5" s="279"/>
      <c r="QJV5" s="279"/>
      <c r="QJW5" s="279"/>
      <c r="QJX5" s="279"/>
      <c r="QJY5" s="279"/>
      <c r="QJZ5" s="279"/>
      <c r="QKA5" s="279"/>
      <c r="QKB5" s="279"/>
      <c r="QKC5" s="279"/>
      <c r="QKD5" s="279"/>
      <c r="QKE5" s="279"/>
      <c r="QKF5" s="279"/>
      <c r="QKG5" s="279"/>
      <c r="QKH5" s="279"/>
      <c r="QKI5" s="279"/>
      <c r="QKJ5" s="279"/>
      <c r="QKK5" s="279"/>
      <c r="QKL5" s="279"/>
      <c r="QKM5" s="279"/>
      <c r="QKN5" s="279"/>
      <c r="QKO5" s="279"/>
      <c r="QKP5" s="279"/>
      <c r="QKQ5" s="279"/>
      <c r="QKR5" s="279"/>
      <c r="QKS5" s="279"/>
      <c r="QKT5" s="279"/>
      <c r="QKU5" s="279"/>
      <c r="QKV5" s="279"/>
      <c r="QKW5" s="279"/>
      <c r="QKX5" s="279"/>
      <c r="QKY5" s="279"/>
      <c r="QKZ5" s="279"/>
      <c r="QLA5" s="279"/>
      <c r="QLB5" s="279"/>
      <c r="QLC5" s="279"/>
      <c r="QLD5" s="279"/>
      <c r="QLE5" s="279"/>
      <c r="QLF5" s="279"/>
      <c r="QLG5" s="279"/>
      <c r="QLH5" s="279"/>
      <c r="QLI5" s="279"/>
      <c r="QLJ5" s="279"/>
      <c r="QLK5" s="279"/>
      <c r="QLL5" s="279"/>
      <c r="QLM5" s="279"/>
      <c r="QLN5" s="279"/>
      <c r="QLO5" s="279"/>
      <c r="QLP5" s="279"/>
      <c r="QLQ5" s="279"/>
      <c r="QLR5" s="279"/>
      <c r="QLS5" s="279"/>
      <c r="QLT5" s="279"/>
      <c r="QLU5" s="279"/>
      <c r="QLV5" s="279"/>
      <c r="QLW5" s="279"/>
      <c r="QLX5" s="279"/>
      <c r="QLY5" s="279"/>
      <c r="QLZ5" s="279"/>
      <c r="QMA5" s="279"/>
      <c r="QMB5" s="279"/>
      <c r="QMC5" s="279"/>
      <c r="QMD5" s="279"/>
      <c r="QME5" s="279"/>
      <c r="QMF5" s="279"/>
      <c r="QMG5" s="279"/>
      <c r="QMH5" s="279"/>
      <c r="QMI5" s="279"/>
      <c r="QMJ5" s="279"/>
      <c r="QMK5" s="279"/>
      <c r="QML5" s="279"/>
      <c r="QMM5" s="279"/>
      <c r="QMN5" s="279"/>
      <c r="QMO5" s="279"/>
      <c r="QMP5" s="279"/>
      <c r="QMQ5" s="279"/>
      <c r="QMR5" s="279"/>
      <c r="QMS5" s="279"/>
      <c r="QMT5" s="279"/>
      <c r="QMU5" s="279"/>
      <c r="QMV5" s="279"/>
      <c r="QMW5" s="279"/>
      <c r="QMX5" s="279"/>
      <c r="QMY5" s="279"/>
      <c r="QMZ5" s="279"/>
      <c r="QNA5" s="279"/>
      <c r="QNB5" s="279"/>
      <c r="QNC5" s="279"/>
      <c r="QND5" s="279"/>
      <c r="QNE5" s="279"/>
      <c r="QNF5" s="279"/>
      <c r="QNG5" s="279"/>
      <c r="QNH5" s="279"/>
      <c r="QNI5" s="279"/>
      <c r="QNJ5" s="279"/>
      <c r="QNK5" s="279"/>
      <c r="QNL5" s="279"/>
      <c r="QNM5" s="279"/>
      <c r="QNN5" s="279"/>
      <c r="QNO5" s="279"/>
      <c r="QNP5" s="279"/>
      <c r="QNQ5" s="279"/>
      <c r="QNR5" s="279"/>
      <c r="QNS5" s="279"/>
      <c r="QNT5" s="279"/>
      <c r="QNU5" s="279"/>
      <c r="QNV5" s="279"/>
      <c r="QNW5" s="279"/>
      <c r="QNX5" s="279"/>
      <c r="QNY5" s="279"/>
      <c r="QNZ5" s="279"/>
      <c r="QOA5" s="279"/>
      <c r="QOB5" s="279"/>
      <c r="QOC5" s="279"/>
      <c r="QOD5" s="279"/>
      <c r="QOE5" s="279"/>
      <c r="QOF5" s="279"/>
      <c r="QOG5" s="279"/>
      <c r="QOH5" s="279"/>
      <c r="QOI5" s="279"/>
      <c r="QOJ5" s="279"/>
      <c r="QOK5" s="279"/>
      <c r="QOL5" s="279"/>
      <c r="QOM5" s="279"/>
      <c r="QON5" s="279"/>
      <c r="QOO5" s="279"/>
      <c r="QOP5" s="279"/>
      <c r="QOQ5" s="279"/>
      <c r="QOR5" s="279"/>
      <c r="QOS5" s="279"/>
      <c r="QOT5" s="279"/>
      <c r="QOU5" s="279"/>
      <c r="QOV5" s="279"/>
      <c r="QOW5" s="279"/>
      <c r="QOX5" s="279"/>
      <c r="QOY5" s="279"/>
      <c r="QOZ5" s="279"/>
      <c r="QPA5" s="279"/>
      <c r="QPB5" s="279"/>
      <c r="QPC5" s="279"/>
      <c r="QPD5" s="279"/>
      <c r="QPE5" s="279"/>
      <c r="QPF5" s="279"/>
      <c r="QPG5" s="279"/>
      <c r="QPH5" s="279"/>
      <c r="QPI5" s="279"/>
      <c r="QPJ5" s="279"/>
      <c r="QPK5" s="279"/>
      <c r="QPL5" s="279"/>
      <c r="QPM5" s="279"/>
      <c r="QPN5" s="279"/>
      <c r="QPO5" s="279"/>
      <c r="QPP5" s="279"/>
      <c r="QPQ5" s="279"/>
      <c r="QPR5" s="279"/>
      <c r="QPS5" s="279"/>
      <c r="QPT5" s="279"/>
      <c r="QPU5" s="279"/>
      <c r="QPV5" s="279"/>
      <c r="QPW5" s="279"/>
      <c r="QPX5" s="279"/>
      <c r="QPY5" s="279"/>
      <c r="QPZ5" s="279"/>
      <c r="QQA5" s="279"/>
      <c r="QQB5" s="279"/>
      <c r="QQC5" s="279"/>
      <c r="QQD5" s="279"/>
      <c r="QQE5" s="279"/>
      <c r="QQF5" s="279"/>
      <c r="QQG5" s="279"/>
      <c r="QQH5" s="279"/>
      <c r="QQI5" s="279"/>
      <c r="QQJ5" s="279"/>
      <c r="QQK5" s="279"/>
      <c r="QQL5" s="279"/>
      <c r="QQM5" s="279"/>
      <c r="QQN5" s="279"/>
      <c r="QQO5" s="279"/>
      <c r="QQP5" s="279"/>
      <c r="QQQ5" s="279"/>
      <c r="QQR5" s="279"/>
      <c r="QQS5" s="279"/>
      <c r="QQT5" s="279"/>
      <c r="QQU5" s="279"/>
      <c r="QQV5" s="279"/>
      <c r="QQW5" s="279"/>
      <c r="QQX5" s="279"/>
      <c r="QQY5" s="279"/>
      <c r="QQZ5" s="279"/>
      <c r="QRA5" s="279"/>
      <c r="QRB5" s="279"/>
      <c r="QRC5" s="279"/>
      <c r="QRD5" s="279"/>
      <c r="QRE5" s="279"/>
      <c r="QRF5" s="279"/>
      <c r="QRG5" s="279"/>
      <c r="QRH5" s="279"/>
      <c r="QRI5" s="279"/>
      <c r="QRJ5" s="279"/>
      <c r="QRK5" s="279"/>
      <c r="QRL5" s="279"/>
      <c r="QRM5" s="279"/>
      <c r="QRN5" s="279"/>
      <c r="QRO5" s="279"/>
      <c r="QRP5" s="279"/>
      <c r="QRQ5" s="279"/>
      <c r="QRR5" s="279"/>
      <c r="QRS5" s="279"/>
      <c r="QRT5" s="279"/>
      <c r="QRU5" s="279"/>
      <c r="QRV5" s="279"/>
      <c r="QRW5" s="279"/>
      <c r="QRX5" s="279"/>
      <c r="QRY5" s="279"/>
      <c r="QRZ5" s="279"/>
      <c r="QSA5" s="279"/>
      <c r="QSB5" s="279"/>
      <c r="QSC5" s="279"/>
      <c r="QSD5" s="279"/>
      <c r="QSE5" s="279"/>
      <c r="QSF5" s="279"/>
      <c r="QSG5" s="279"/>
      <c r="QSH5" s="279"/>
      <c r="QSI5" s="279"/>
      <c r="QSJ5" s="279"/>
      <c r="QSK5" s="279"/>
      <c r="QSL5" s="279"/>
      <c r="QSM5" s="279"/>
      <c r="QSN5" s="279"/>
      <c r="QSO5" s="279"/>
      <c r="QSP5" s="279"/>
      <c r="QSQ5" s="279"/>
      <c r="QSR5" s="279"/>
      <c r="QSS5" s="279"/>
      <c r="QST5" s="279"/>
      <c r="QSU5" s="279"/>
      <c r="QSV5" s="279"/>
      <c r="QSW5" s="279"/>
      <c r="QSX5" s="279"/>
      <c r="QSY5" s="279"/>
      <c r="QSZ5" s="279"/>
      <c r="QTA5" s="279"/>
      <c r="QTB5" s="279"/>
      <c r="QTC5" s="279"/>
      <c r="QTD5" s="279"/>
      <c r="QTE5" s="279"/>
      <c r="QTF5" s="279"/>
      <c r="QTG5" s="279"/>
      <c r="QTH5" s="279"/>
      <c r="QTI5" s="279"/>
      <c r="QTJ5" s="279"/>
      <c r="QTK5" s="279"/>
      <c r="QTL5" s="279"/>
      <c r="QTM5" s="279"/>
      <c r="QTN5" s="279"/>
      <c r="QTO5" s="279"/>
      <c r="QTP5" s="279"/>
      <c r="QTQ5" s="279"/>
      <c r="QTR5" s="279"/>
      <c r="QTS5" s="279"/>
      <c r="QTT5" s="279"/>
      <c r="QTU5" s="279"/>
      <c r="QTV5" s="279"/>
      <c r="QTW5" s="279"/>
      <c r="QTX5" s="279"/>
      <c r="QTY5" s="279"/>
      <c r="QTZ5" s="279"/>
      <c r="QUA5" s="279"/>
      <c r="QUB5" s="279"/>
      <c r="QUC5" s="279"/>
      <c r="QUD5" s="279"/>
      <c r="QUE5" s="279"/>
      <c r="QUF5" s="279"/>
      <c r="QUG5" s="279"/>
      <c r="QUH5" s="279"/>
      <c r="QUI5" s="279"/>
      <c r="QUJ5" s="279"/>
      <c r="QUK5" s="279"/>
      <c r="QUL5" s="279"/>
      <c r="QUM5" s="279"/>
      <c r="QUN5" s="279"/>
      <c r="QUO5" s="279"/>
      <c r="QUP5" s="279"/>
      <c r="QUQ5" s="279"/>
      <c r="QUR5" s="279"/>
      <c r="QUS5" s="279"/>
      <c r="QUT5" s="279"/>
      <c r="QUU5" s="279"/>
      <c r="QUV5" s="279"/>
      <c r="QUW5" s="279"/>
      <c r="QUX5" s="279"/>
      <c r="QUY5" s="279"/>
      <c r="QUZ5" s="279"/>
      <c r="QVA5" s="279"/>
      <c r="QVB5" s="279"/>
      <c r="QVC5" s="279"/>
      <c r="QVD5" s="279"/>
      <c r="QVE5" s="279"/>
      <c r="QVF5" s="279"/>
      <c r="QVG5" s="279"/>
      <c r="QVH5" s="279"/>
      <c r="QVI5" s="279"/>
      <c r="QVJ5" s="279"/>
      <c r="QVK5" s="279"/>
      <c r="QVL5" s="279"/>
      <c r="QVM5" s="279"/>
      <c r="QVN5" s="279"/>
      <c r="QVO5" s="279"/>
      <c r="QVP5" s="279"/>
      <c r="QVQ5" s="279"/>
      <c r="QVR5" s="279"/>
      <c r="QVS5" s="279"/>
      <c r="QVT5" s="279"/>
      <c r="QVU5" s="279"/>
      <c r="QVV5" s="279"/>
      <c r="QVW5" s="279"/>
      <c r="QVX5" s="279"/>
      <c r="QVY5" s="279"/>
      <c r="QVZ5" s="279"/>
      <c r="QWA5" s="279"/>
      <c r="QWB5" s="279"/>
      <c r="QWC5" s="279"/>
      <c r="QWD5" s="279"/>
      <c r="QWE5" s="279"/>
      <c r="QWF5" s="279"/>
      <c r="QWG5" s="279"/>
      <c r="QWH5" s="279"/>
      <c r="QWI5" s="279"/>
      <c r="QWJ5" s="279"/>
      <c r="QWK5" s="279"/>
      <c r="QWL5" s="279"/>
      <c r="QWM5" s="279"/>
      <c r="QWN5" s="279"/>
      <c r="QWO5" s="279"/>
      <c r="QWP5" s="279"/>
      <c r="QWQ5" s="279"/>
      <c r="QWR5" s="279"/>
      <c r="QWS5" s="279"/>
      <c r="QWT5" s="279"/>
      <c r="QWU5" s="279"/>
      <c r="QWV5" s="279"/>
      <c r="QWW5" s="279"/>
      <c r="QWX5" s="279"/>
      <c r="QWY5" s="279"/>
      <c r="QWZ5" s="279"/>
      <c r="QXA5" s="279"/>
      <c r="QXB5" s="279"/>
      <c r="QXC5" s="279"/>
      <c r="QXD5" s="279"/>
      <c r="QXE5" s="279"/>
      <c r="QXF5" s="279"/>
      <c r="QXG5" s="279"/>
      <c r="QXH5" s="279"/>
      <c r="QXI5" s="279"/>
      <c r="QXJ5" s="279"/>
      <c r="QXK5" s="279"/>
      <c r="QXL5" s="279"/>
      <c r="QXM5" s="279"/>
      <c r="QXN5" s="279"/>
      <c r="QXO5" s="279"/>
      <c r="QXP5" s="279"/>
      <c r="QXQ5" s="279"/>
      <c r="QXR5" s="279"/>
      <c r="QXS5" s="279"/>
      <c r="QXT5" s="279"/>
      <c r="QXU5" s="279"/>
      <c r="QXV5" s="279"/>
      <c r="QXW5" s="279"/>
      <c r="QXX5" s="279"/>
      <c r="QXY5" s="279"/>
      <c r="QXZ5" s="279"/>
      <c r="QYA5" s="279"/>
      <c r="QYB5" s="279"/>
      <c r="QYC5" s="279"/>
      <c r="QYD5" s="279"/>
      <c r="QYE5" s="279"/>
      <c r="QYF5" s="279"/>
      <c r="QYG5" s="279"/>
      <c r="QYH5" s="279"/>
      <c r="QYI5" s="279"/>
      <c r="QYJ5" s="279"/>
      <c r="QYK5" s="279"/>
      <c r="QYL5" s="279"/>
      <c r="QYM5" s="279"/>
      <c r="QYN5" s="279"/>
      <c r="QYO5" s="279"/>
      <c r="QYP5" s="279"/>
      <c r="QYQ5" s="279"/>
      <c r="QYR5" s="279"/>
      <c r="QYS5" s="279"/>
      <c r="QYT5" s="279"/>
      <c r="QYU5" s="279"/>
      <c r="QYV5" s="279"/>
      <c r="QYW5" s="279"/>
      <c r="QYX5" s="279"/>
      <c r="QYY5" s="279"/>
      <c r="QYZ5" s="279"/>
      <c r="QZA5" s="279"/>
      <c r="QZB5" s="279"/>
      <c r="QZC5" s="279"/>
      <c r="QZD5" s="279"/>
      <c r="QZE5" s="279"/>
      <c r="QZF5" s="279"/>
      <c r="QZG5" s="279"/>
      <c r="QZH5" s="279"/>
      <c r="QZI5" s="279"/>
      <c r="QZJ5" s="279"/>
      <c r="QZK5" s="279"/>
      <c r="QZL5" s="279"/>
      <c r="QZM5" s="279"/>
      <c r="QZN5" s="279"/>
      <c r="QZO5" s="279"/>
      <c r="QZP5" s="279"/>
      <c r="QZQ5" s="279"/>
      <c r="QZR5" s="279"/>
      <c r="QZS5" s="279"/>
      <c r="QZT5" s="279"/>
      <c r="QZU5" s="279"/>
      <c r="QZV5" s="279"/>
      <c r="QZW5" s="279"/>
      <c r="QZX5" s="279"/>
      <c r="QZY5" s="279"/>
      <c r="QZZ5" s="279"/>
      <c r="RAA5" s="279"/>
      <c r="RAB5" s="279"/>
      <c r="RAC5" s="279"/>
      <c r="RAD5" s="279"/>
      <c r="RAE5" s="279"/>
      <c r="RAF5" s="279"/>
      <c r="RAG5" s="279"/>
      <c r="RAH5" s="279"/>
      <c r="RAI5" s="279"/>
      <c r="RAJ5" s="279"/>
      <c r="RAK5" s="279"/>
      <c r="RAL5" s="279"/>
      <c r="RAM5" s="279"/>
      <c r="RAN5" s="279"/>
      <c r="RAO5" s="279"/>
      <c r="RAP5" s="279"/>
      <c r="RAQ5" s="279"/>
      <c r="RAR5" s="279"/>
      <c r="RAS5" s="279"/>
      <c r="RAT5" s="279"/>
      <c r="RAU5" s="279"/>
      <c r="RAV5" s="279"/>
      <c r="RAW5" s="279"/>
      <c r="RAX5" s="279"/>
      <c r="RAY5" s="279"/>
      <c r="RAZ5" s="279"/>
      <c r="RBA5" s="279"/>
      <c r="RBB5" s="279"/>
      <c r="RBC5" s="279"/>
      <c r="RBD5" s="279"/>
      <c r="RBE5" s="279"/>
      <c r="RBF5" s="279"/>
      <c r="RBG5" s="279"/>
      <c r="RBH5" s="279"/>
      <c r="RBI5" s="279"/>
      <c r="RBJ5" s="279"/>
      <c r="RBK5" s="279"/>
      <c r="RBL5" s="279"/>
      <c r="RBM5" s="279"/>
      <c r="RBN5" s="279"/>
      <c r="RBO5" s="279"/>
      <c r="RBP5" s="279"/>
      <c r="RBQ5" s="279"/>
      <c r="RBR5" s="279"/>
      <c r="RBS5" s="279"/>
      <c r="RBT5" s="279"/>
      <c r="RBU5" s="279"/>
      <c r="RBV5" s="279"/>
      <c r="RBW5" s="279"/>
      <c r="RBX5" s="279"/>
      <c r="RBY5" s="279"/>
      <c r="RBZ5" s="279"/>
      <c r="RCA5" s="279"/>
      <c r="RCB5" s="279"/>
      <c r="RCC5" s="279"/>
      <c r="RCD5" s="279"/>
      <c r="RCE5" s="279"/>
      <c r="RCF5" s="279"/>
      <c r="RCG5" s="279"/>
      <c r="RCH5" s="279"/>
      <c r="RCI5" s="279"/>
      <c r="RCJ5" s="279"/>
      <c r="RCK5" s="279"/>
      <c r="RCL5" s="279"/>
      <c r="RCM5" s="279"/>
      <c r="RCN5" s="279"/>
      <c r="RCO5" s="279"/>
      <c r="RCP5" s="279"/>
      <c r="RCQ5" s="279"/>
      <c r="RCR5" s="279"/>
      <c r="RCS5" s="279"/>
      <c r="RCT5" s="279"/>
      <c r="RCU5" s="279"/>
      <c r="RCV5" s="279"/>
      <c r="RCW5" s="279"/>
      <c r="RCX5" s="279"/>
      <c r="RCY5" s="279"/>
      <c r="RCZ5" s="279"/>
      <c r="RDA5" s="279"/>
      <c r="RDB5" s="279"/>
      <c r="RDC5" s="279"/>
      <c r="RDD5" s="279"/>
      <c r="RDE5" s="279"/>
      <c r="RDF5" s="279"/>
      <c r="RDG5" s="279"/>
      <c r="RDH5" s="279"/>
      <c r="RDI5" s="279"/>
      <c r="RDJ5" s="279"/>
      <c r="RDK5" s="279"/>
      <c r="RDL5" s="279"/>
      <c r="RDM5" s="279"/>
      <c r="RDN5" s="279"/>
      <c r="RDO5" s="279"/>
      <c r="RDP5" s="279"/>
      <c r="RDQ5" s="279"/>
      <c r="RDR5" s="279"/>
      <c r="RDS5" s="279"/>
      <c r="RDT5" s="279"/>
      <c r="RDU5" s="279"/>
      <c r="RDV5" s="279"/>
      <c r="RDW5" s="279"/>
      <c r="RDX5" s="279"/>
      <c r="RDY5" s="279"/>
      <c r="RDZ5" s="279"/>
      <c r="REA5" s="279"/>
      <c r="REB5" s="279"/>
      <c r="REC5" s="279"/>
      <c r="RED5" s="279"/>
      <c r="REE5" s="279"/>
      <c r="REF5" s="279"/>
      <c r="REG5" s="279"/>
      <c r="REH5" s="279"/>
      <c r="REI5" s="279"/>
      <c r="REJ5" s="279"/>
      <c r="REK5" s="279"/>
      <c r="REL5" s="279"/>
      <c r="REM5" s="279"/>
      <c r="REN5" s="279"/>
      <c r="REO5" s="279"/>
      <c r="REP5" s="279"/>
      <c r="REQ5" s="279"/>
      <c r="RER5" s="279"/>
      <c r="RES5" s="279"/>
      <c r="RET5" s="279"/>
      <c r="REU5" s="279"/>
      <c r="REV5" s="279"/>
      <c r="REW5" s="279"/>
      <c r="REX5" s="279"/>
      <c r="REY5" s="279"/>
      <c r="REZ5" s="279"/>
      <c r="RFA5" s="279"/>
      <c r="RFB5" s="279"/>
      <c r="RFC5" s="279"/>
      <c r="RFD5" s="279"/>
      <c r="RFE5" s="279"/>
      <c r="RFF5" s="279"/>
      <c r="RFG5" s="279"/>
      <c r="RFH5" s="279"/>
      <c r="RFI5" s="279"/>
      <c r="RFJ5" s="279"/>
      <c r="RFK5" s="279"/>
      <c r="RFL5" s="279"/>
      <c r="RFM5" s="279"/>
      <c r="RFN5" s="279"/>
      <c r="RFO5" s="279"/>
      <c r="RFP5" s="279"/>
      <c r="RFQ5" s="279"/>
      <c r="RFR5" s="279"/>
      <c r="RFS5" s="279"/>
      <c r="RFT5" s="279"/>
      <c r="RFU5" s="279"/>
      <c r="RFV5" s="279"/>
      <c r="RFW5" s="279"/>
      <c r="RFX5" s="279"/>
      <c r="RFY5" s="279"/>
      <c r="RFZ5" s="279"/>
      <c r="RGA5" s="279"/>
      <c r="RGB5" s="279"/>
      <c r="RGC5" s="279"/>
      <c r="RGD5" s="279"/>
      <c r="RGE5" s="279"/>
      <c r="RGF5" s="279"/>
      <c r="RGG5" s="279"/>
      <c r="RGH5" s="279"/>
      <c r="RGI5" s="279"/>
      <c r="RGJ5" s="279"/>
      <c r="RGK5" s="279"/>
      <c r="RGL5" s="279"/>
      <c r="RGM5" s="279"/>
      <c r="RGN5" s="279"/>
      <c r="RGO5" s="279"/>
      <c r="RGP5" s="279"/>
      <c r="RGQ5" s="279"/>
      <c r="RGR5" s="279"/>
      <c r="RGS5" s="279"/>
      <c r="RGT5" s="279"/>
      <c r="RGU5" s="279"/>
      <c r="RGV5" s="279"/>
      <c r="RGW5" s="279"/>
      <c r="RGX5" s="279"/>
      <c r="RGY5" s="279"/>
      <c r="RGZ5" s="279"/>
      <c r="RHA5" s="279"/>
      <c r="RHB5" s="279"/>
      <c r="RHC5" s="279"/>
      <c r="RHD5" s="279"/>
      <c r="RHE5" s="279"/>
      <c r="RHF5" s="279"/>
      <c r="RHG5" s="279"/>
      <c r="RHH5" s="279"/>
      <c r="RHI5" s="279"/>
      <c r="RHJ5" s="279"/>
      <c r="RHK5" s="279"/>
      <c r="RHL5" s="279"/>
      <c r="RHM5" s="279"/>
      <c r="RHN5" s="279"/>
      <c r="RHO5" s="279"/>
      <c r="RHP5" s="279"/>
      <c r="RHQ5" s="279"/>
      <c r="RHR5" s="279"/>
      <c r="RHS5" s="279"/>
      <c r="RHT5" s="279"/>
      <c r="RHU5" s="279"/>
      <c r="RHV5" s="279"/>
      <c r="RHW5" s="279"/>
      <c r="RHX5" s="279"/>
      <c r="RHY5" s="279"/>
      <c r="RHZ5" s="279"/>
      <c r="RIA5" s="279"/>
      <c r="RIB5" s="279"/>
      <c r="RIC5" s="279"/>
      <c r="RID5" s="279"/>
      <c r="RIE5" s="279"/>
      <c r="RIF5" s="279"/>
      <c r="RIG5" s="279"/>
      <c r="RIH5" s="279"/>
      <c r="RII5" s="279"/>
      <c r="RIJ5" s="279"/>
      <c r="RIK5" s="279"/>
      <c r="RIL5" s="279"/>
      <c r="RIM5" s="279"/>
      <c r="RIN5" s="279"/>
      <c r="RIO5" s="279"/>
      <c r="RIP5" s="279"/>
      <c r="RIQ5" s="279"/>
      <c r="RIR5" s="279"/>
      <c r="RIS5" s="279"/>
      <c r="RIT5" s="279"/>
      <c r="RIU5" s="279"/>
      <c r="RIV5" s="279"/>
      <c r="RIW5" s="279"/>
      <c r="RIX5" s="279"/>
      <c r="RIY5" s="279"/>
      <c r="RIZ5" s="279"/>
      <c r="RJA5" s="279"/>
      <c r="RJB5" s="279"/>
      <c r="RJC5" s="279"/>
      <c r="RJD5" s="279"/>
      <c r="RJE5" s="279"/>
      <c r="RJF5" s="279"/>
      <c r="RJG5" s="279"/>
      <c r="RJH5" s="279"/>
      <c r="RJI5" s="279"/>
      <c r="RJJ5" s="279"/>
      <c r="RJK5" s="279"/>
      <c r="RJL5" s="279"/>
      <c r="RJM5" s="279"/>
      <c r="RJN5" s="279"/>
      <c r="RJO5" s="279"/>
      <c r="RJP5" s="279"/>
      <c r="RJQ5" s="279"/>
      <c r="RJR5" s="279"/>
      <c r="RJS5" s="279"/>
      <c r="RJT5" s="279"/>
      <c r="RJU5" s="279"/>
      <c r="RJV5" s="279"/>
      <c r="RJW5" s="279"/>
      <c r="RJX5" s="279"/>
      <c r="RJY5" s="279"/>
      <c r="RJZ5" s="279"/>
      <c r="RKA5" s="279"/>
      <c r="RKB5" s="279"/>
      <c r="RKC5" s="279"/>
      <c r="RKD5" s="279"/>
      <c r="RKE5" s="279"/>
      <c r="RKF5" s="279"/>
      <c r="RKG5" s="279"/>
      <c r="RKH5" s="279"/>
      <c r="RKI5" s="279"/>
      <c r="RKJ5" s="279"/>
      <c r="RKK5" s="279"/>
      <c r="RKL5" s="279"/>
      <c r="RKM5" s="279"/>
      <c r="RKN5" s="279"/>
      <c r="RKO5" s="279"/>
      <c r="RKP5" s="279"/>
      <c r="RKQ5" s="279"/>
      <c r="RKR5" s="279"/>
      <c r="RKS5" s="279"/>
      <c r="RKT5" s="279"/>
      <c r="RKU5" s="279"/>
      <c r="RKV5" s="279"/>
      <c r="RKW5" s="279"/>
      <c r="RKX5" s="279"/>
      <c r="RKY5" s="279"/>
      <c r="RKZ5" s="279"/>
      <c r="RLA5" s="279"/>
      <c r="RLB5" s="279"/>
      <c r="RLC5" s="279"/>
      <c r="RLD5" s="279"/>
      <c r="RLE5" s="279"/>
      <c r="RLF5" s="279"/>
      <c r="RLG5" s="279"/>
      <c r="RLH5" s="279"/>
      <c r="RLI5" s="279"/>
      <c r="RLJ5" s="279"/>
      <c r="RLK5" s="279"/>
      <c r="RLL5" s="279"/>
      <c r="RLM5" s="279"/>
      <c r="RLN5" s="279"/>
      <c r="RLO5" s="279"/>
      <c r="RLP5" s="279"/>
      <c r="RLQ5" s="279"/>
      <c r="RLR5" s="279"/>
      <c r="RLS5" s="279"/>
      <c r="RLT5" s="279"/>
      <c r="RLU5" s="279"/>
      <c r="RLV5" s="279"/>
      <c r="RLW5" s="279"/>
      <c r="RLX5" s="279"/>
      <c r="RLY5" s="279"/>
      <c r="RLZ5" s="279"/>
      <c r="RMA5" s="279"/>
      <c r="RMB5" s="279"/>
      <c r="RMC5" s="279"/>
      <c r="RMD5" s="279"/>
      <c r="RME5" s="279"/>
      <c r="RMF5" s="279"/>
      <c r="RMG5" s="279"/>
      <c r="RMH5" s="279"/>
      <c r="RMI5" s="279"/>
      <c r="RMJ5" s="279"/>
      <c r="RMK5" s="279"/>
      <c r="RML5" s="279"/>
      <c r="RMM5" s="279"/>
      <c r="RMN5" s="279"/>
      <c r="RMO5" s="279"/>
      <c r="RMP5" s="279"/>
      <c r="RMQ5" s="279"/>
      <c r="RMR5" s="279"/>
      <c r="RMS5" s="279"/>
      <c r="RMT5" s="279"/>
      <c r="RMU5" s="279"/>
      <c r="RMV5" s="279"/>
      <c r="RMW5" s="279"/>
      <c r="RMX5" s="279"/>
      <c r="RMY5" s="279"/>
      <c r="RMZ5" s="279"/>
      <c r="RNA5" s="279"/>
      <c r="RNB5" s="279"/>
      <c r="RNC5" s="279"/>
      <c r="RND5" s="279"/>
      <c r="RNE5" s="279"/>
      <c r="RNF5" s="279"/>
      <c r="RNG5" s="279"/>
      <c r="RNH5" s="279"/>
      <c r="RNI5" s="279"/>
      <c r="RNJ5" s="279"/>
      <c r="RNK5" s="279"/>
      <c r="RNL5" s="279"/>
      <c r="RNM5" s="279"/>
      <c r="RNN5" s="279"/>
      <c r="RNO5" s="279"/>
      <c r="RNP5" s="279"/>
      <c r="RNQ5" s="279"/>
      <c r="RNR5" s="279"/>
      <c r="RNS5" s="279"/>
      <c r="RNT5" s="279"/>
      <c r="RNU5" s="279"/>
      <c r="RNV5" s="279"/>
      <c r="RNW5" s="279"/>
      <c r="RNX5" s="279"/>
      <c r="RNY5" s="279"/>
      <c r="RNZ5" s="279"/>
      <c r="ROA5" s="279"/>
      <c r="ROB5" s="279"/>
      <c r="ROC5" s="279"/>
      <c r="ROD5" s="279"/>
      <c r="ROE5" s="279"/>
      <c r="ROF5" s="279"/>
      <c r="ROG5" s="279"/>
      <c r="ROH5" s="279"/>
      <c r="ROI5" s="279"/>
      <c r="ROJ5" s="279"/>
      <c r="ROK5" s="279"/>
      <c r="ROL5" s="279"/>
      <c r="ROM5" s="279"/>
      <c r="RON5" s="279"/>
      <c r="ROO5" s="279"/>
      <c r="ROP5" s="279"/>
      <c r="ROQ5" s="279"/>
      <c r="ROR5" s="279"/>
      <c r="ROS5" s="279"/>
      <c r="ROT5" s="279"/>
      <c r="ROU5" s="279"/>
      <c r="ROV5" s="279"/>
      <c r="ROW5" s="279"/>
      <c r="ROX5" s="279"/>
      <c r="ROY5" s="279"/>
      <c r="ROZ5" s="279"/>
      <c r="RPA5" s="279"/>
      <c r="RPB5" s="279"/>
      <c r="RPC5" s="279"/>
      <c r="RPD5" s="279"/>
      <c r="RPE5" s="279"/>
      <c r="RPF5" s="279"/>
      <c r="RPG5" s="279"/>
      <c r="RPH5" s="279"/>
      <c r="RPI5" s="279"/>
      <c r="RPJ5" s="279"/>
      <c r="RPK5" s="279"/>
      <c r="RPL5" s="279"/>
      <c r="RPM5" s="279"/>
      <c r="RPN5" s="279"/>
      <c r="RPO5" s="279"/>
      <c r="RPP5" s="279"/>
      <c r="RPQ5" s="279"/>
      <c r="RPR5" s="279"/>
      <c r="RPS5" s="279"/>
      <c r="RPT5" s="279"/>
      <c r="RPU5" s="279"/>
      <c r="RPV5" s="279"/>
      <c r="RPW5" s="279"/>
      <c r="RPX5" s="279"/>
      <c r="RPY5" s="279"/>
      <c r="RPZ5" s="279"/>
      <c r="RQA5" s="279"/>
      <c r="RQB5" s="279"/>
      <c r="RQC5" s="279"/>
      <c r="RQD5" s="279"/>
      <c r="RQE5" s="279"/>
      <c r="RQF5" s="279"/>
      <c r="RQG5" s="279"/>
      <c r="RQH5" s="279"/>
      <c r="RQI5" s="279"/>
      <c r="RQJ5" s="279"/>
      <c r="RQK5" s="279"/>
      <c r="RQL5" s="279"/>
      <c r="RQM5" s="279"/>
      <c r="RQN5" s="279"/>
      <c r="RQO5" s="279"/>
      <c r="RQP5" s="279"/>
      <c r="RQQ5" s="279"/>
      <c r="RQR5" s="279"/>
      <c r="RQS5" s="279"/>
      <c r="RQT5" s="279"/>
      <c r="RQU5" s="279"/>
      <c r="RQV5" s="279"/>
      <c r="RQW5" s="279"/>
      <c r="RQX5" s="279"/>
      <c r="RQY5" s="279"/>
      <c r="RQZ5" s="279"/>
      <c r="RRA5" s="279"/>
      <c r="RRB5" s="279"/>
      <c r="RRC5" s="279"/>
      <c r="RRD5" s="279"/>
      <c r="RRE5" s="279"/>
      <c r="RRF5" s="279"/>
      <c r="RRG5" s="279"/>
      <c r="RRH5" s="279"/>
      <c r="RRI5" s="279"/>
      <c r="RRJ5" s="279"/>
      <c r="RRK5" s="279"/>
      <c r="RRL5" s="279"/>
      <c r="RRM5" s="279"/>
      <c r="RRN5" s="279"/>
      <c r="RRO5" s="279"/>
      <c r="RRP5" s="279"/>
      <c r="RRQ5" s="279"/>
      <c r="RRR5" s="279"/>
      <c r="RRS5" s="279"/>
      <c r="RRT5" s="279"/>
      <c r="RRU5" s="279"/>
      <c r="RRV5" s="279"/>
      <c r="RRW5" s="279"/>
      <c r="RRX5" s="279"/>
      <c r="RRY5" s="279"/>
      <c r="RRZ5" s="279"/>
      <c r="RSA5" s="279"/>
      <c r="RSB5" s="279"/>
      <c r="RSC5" s="279"/>
      <c r="RSD5" s="279"/>
      <c r="RSE5" s="279"/>
      <c r="RSF5" s="279"/>
      <c r="RSG5" s="279"/>
      <c r="RSH5" s="279"/>
      <c r="RSI5" s="279"/>
      <c r="RSJ5" s="279"/>
      <c r="RSK5" s="279"/>
      <c r="RSL5" s="279"/>
      <c r="RSM5" s="279"/>
      <c r="RSN5" s="279"/>
      <c r="RSO5" s="279"/>
      <c r="RSP5" s="279"/>
      <c r="RSQ5" s="279"/>
      <c r="RSR5" s="279"/>
      <c r="RSS5" s="279"/>
      <c r="RST5" s="279"/>
      <c r="RSU5" s="279"/>
      <c r="RSV5" s="279"/>
      <c r="RSW5" s="279"/>
      <c r="RSX5" s="279"/>
      <c r="RSY5" s="279"/>
      <c r="RSZ5" s="279"/>
      <c r="RTA5" s="279"/>
      <c r="RTB5" s="279"/>
      <c r="RTC5" s="279"/>
      <c r="RTD5" s="279"/>
      <c r="RTE5" s="279"/>
      <c r="RTF5" s="279"/>
      <c r="RTG5" s="279"/>
      <c r="RTH5" s="279"/>
      <c r="RTI5" s="279"/>
      <c r="RTJ5" s="279"/>
      <c r="RTK5" s="279"/>
      <c r="RTL5" s="279"/>
      <c r="RTM5" s="279"/>
      <c r="RTN5" s="279"/>
      <c r="RTO5" s="279"/>
      <c r="RTP5" s="279"/>
      <c r="RTQ5" s="279"/>
      <c r="RTR5" s="279"/>
      <c r="RTS5" s="279"/>
      <c r="RTT5" s="279"/>
      <c r="RTU5" s="279"/>
      <c r="RTV5" s="279"/>
      <c r="RTW5" s="279"/>
      <c r="RTX5" s="279"/>
      <c r="RTY5" s="279"/>
      <c r="RTZ5" s="279"/>
      <c r="RUA5" s="279"/>
      <c r="RUB5" s="279"/>
      <c r="RUC5" s="279"/>
      <c r="RUD5" s="279"/>
      <c r="RUE5" s="279"/>
      <c r="RUF5" s="279"/>
      <c r="RUG5" s="279"/>
      <c r="RUH5" s="279"/>
      <c r="RUI5" s="279"/>
      <c r="RUJ5" s="279"/>
      <c r="RUK5" s="279"/>
      <c r="RUL5" s="279"/>
      <c r="RUM5" s="279"/>
      <c r="RUN5" s="279"/>
      <c r="RUO5" s="279"/>
      <c r="RUP5" s="279"/>
      <c r="RUQ5" s="279"/>
      <c r="RUR5" s="279"/>
      <c r="RUS5" s="279"/>
      <c r="RUT5" s="279"/>
      <c r="RUU5" s="279"/>
      <c r="RUV5" s="279"/>
      <c r="RUW5" s="279"/>
      <c r="RUX5" s="279"/>
      <c r="RUY5" s="279"/>
      <c r="RUZ5" s="279"/>
      <c r="RVA5" s="279"/>
      <c r="RVB5" s="279"/>
      <c r="RVC5" s="279"/>
      <c r="RVD5" s="279"/>
      <c r="RVE5" s="279"/>
      <c r="RVF5" s="279"/>
      <c r="RVG5" s="279"/>
      <c r="RVH5" s="279"/>
      <c r="RVI5" s="279"/>
      <c r="RVJ5" s="279"/>
      <c r="RVK5" s="279"/>
      <c r="RVL5" s="279"/>
      <c r="RVM5" s="279"/>
      <c r="RVN5" s="279"/>
      <c r="RVO5" s="279"/>
      <c r="RVP5" s="279"/>
      <c r="RVQ5" s="279"/>
      <c r="RVR5" s="279"/>
      <c r="RVS5" s="279"/>
      <c r="RVT5" s="279"/>
      <c r="RVU5" s="279"/>
      <c r="RVV5" s="279"/>
      <c r="RVW5" s="279"/>
      <c r="RVX5" s="279"/>
      <c r="RVY5" s="279"/>
      <c r="RVZ5" s="279"/>
      <c r="RWA5" s="279"/>
      <c r="RWB5" s="279"/>
      <c r="RWC5" s="279"/>
      <c r="RWD5" s="279"/>
      <c r="RWE5" s="279"/>
      <c r="RWF5" s="279"/>
      <c r="RWG5" s="279"/>
      <c r="RWH5" s="279"/>
      <c r="RWI5" s="279"/>
      <c r="RWJ5" s="279"/>
      <c r="RWK5" s="279"/>
      <c r="RWL5" s="279"/>
      <c r="RWM5" s="279"/>
      <c r="RWN5" s="279"/>
      <c r="RWO5" s="279"/>
      <c r="RWP5" s="279"/>
      <c r="RWQ5" s="279"/>
      <c r="RWR5" s="279"/>
      <c r="RWS5" s="279"/>
      <c r="RWT5" s="279"/>
      <c r="RWU5" s="279"/>
      <c r="RWV5" s="279"/>
      <c r="RWW5" s="279"/>
      <c r="RWX5" s="279"/>
      <c r="RWY5" s="279"/>
      <c r="RWZ5" s="279"/>
      <c r="RXA5" s="279"/>
      <c r="RXB5" s="279"/>
      <c r="RXC5" s="279"/>
      <c r="RXD5" s="279"/>
      <c r="RXE5" s="279"/>
      <c r="RXF5" s="279"/>
      <c r="RXG5" s="279"/>
      <c r="RXH5" s="279"/>
      <c r="RXI5" s="279"/>
      <c r="RXJ5" s="279"/>
      <c r="RXK5" s="279"/>
      <c r="RXL5" s="279"/>
      <c r="RXM5" s="279"/>
      <c r="RXN5" s="279"/>
      <c r="RXO5" s="279"/>
      <c r="RXP5" s="279"/>
      <c r="RXQ5" s="279"/>
      <c r="RXR5" s="279"/>
      <c r="RXS5" s="279"/>
      <c r="RXT5" s="279"/>
      <c r="RXU5" s="279"/>
      <c r="RXV5" s="279"/>
      <c r="RXW5" s="279"/>
      <c r="RXX5" s="279"/>
      <c r="RXY5" s="279"/>
      <c r="RXZ5" s="279"/>
      <c r="RYA5" s="279"/>
      <c r="RYB5" s="279"/>
      <c r="RYC5" s="279"/>
      <c r="RYD5" s="279"/>
      <c r="RYE5" s="279"/>
      <c r="RYF5" s="279"/>
      <c r="RYG5" s="279"/>
      <c r="RYH5" s="279"/>
      <c r="RYI5" s="279"/>
      <c r="RYJ5" s="279"/>
      <c r="RYK5" s="279"/>
      <c r="RYL5" s="279"/>
      <c r="RYM5" s="279"/>
      <c r="RYN5" s="279"/>
      <c r="RYO5" s="279"/>
      <c r="RYP5" s="279"/>
      <c r="RYQ5" s="279"/>
      <c r="RYR5" s="279"/>
      <c r="RYS5" s="279"/>
      <c r="RYT5" s="279"/>
      <c r="RYU5" s="279"/>
      <c r="RYV5" s="279"/>
      <c r="RYW5" s="279"/>
      <c r="RYX5" s="279"/>
      <c r="RYY5" s="279"/>
      <c r="RYZ5" s="279"/>
      <c r="RZA5" s="279"/>
      <c r="RZB5" s="279"/>
      <c r="RZC5" s="279"/>
      <c r="RZD5" s="279"/>
      <c r="RZE5" s="279"/>
      <c r="RZF5" s="279"/>
      <c r="RZG5" s="279"/>
      <c r="RZH5" s="279"/>
      <c r="RZI5" s="279"/>
      <c r="RZJ5" s="279"/>
      <c r="RZK5" s="279"/>
      <c r="RZL5" s="279"/>
      <c r="RZM5" s="279"/>
      <c r="RZN5" s="279"/>
      <c r="RZO5" s="279"/>
      <c r="RZP5" s="279"/>
      <c r="RZQ5" s="279"/>
      <c r="RZR5" s="279"/>
      <c r="RZS5" s="279"/>
      <c r="RZT5" s="279"/>
      <c r="RZU5" s="279"/>
      <c r="RZV5" s="279"/>
      <c r="RZW5" s="279"/>
      <c r="RZX5" s="279"/>
      <c r="RZY5" s="279"/>
      <c r="RZZ5" s="279"/>
      <c r="SAA5" s="279"/>
      <c r="SAB5" s="279"/>
      <c r="SAC5" s="279"/>
      <c r="SAD5" s="279"/>
      <c r="SAE5" s="279"/>
      <c r="SAF5" s="279"/>
      <c r="SAG5" s="279"/>
      <c r="SAH5" s="279"/>
      <c r="SAI5" s="279"/>
      <c r="SAJ5" s="279"/>
      <c r="SAK5" s="279"/>
      <c r="SAL5" s="279"/>
      <c r="SAM5" s="279"/>
      <c r="SAN5" s="279"/>
      <c r="SAO5" s="279"/>
      <c r="SAP5" s="279"/>
      <c r="SAQ5" s="279"/>
      <c r="SAR5" s="279"/>
      <c r="SAS5" s="279"/>
      <c r="SAT5" s="279"/>
      <c r="SAU5" s="279"/>
      <c r="SAV5" s="279"/>
      <c r="SAW5" s="279"/>
      <c r="SAX5" s="279"/>
      <c r="SAY5" s="279"/>
      <c r="SAZ5" s="279"/>
      <c r="SBA5" s="279"/>
      <c r="SBB5" s="279"/>
      <c r="SBC5" s="279"/>
      <c r="SBD5" s="279"/>
      <c r="SBE5" s="279"/>
      <c r="SBF5" s="279"/>
      <c r="SBG5" s="279"/>
      <c r="SBH5" s="279"/>
      <c r="SBI5" s="279"/>
      <c r="SBJ5" s="279"/>
      <c r="SBK5" s="279"/>
      <c r="SBL5" s="279"/>
      <c r="SBM5" s="279"/>
      <c r="SBN5" s="279"/>
      <c r="SBO5" s="279"/>
      <c r="SBP5" s="279"/>
      <c r="SBQ5" s="279"/>
      <c r="SBR5" s="279"/>
      <c r="SBS5" s="279"/>
      <c r="SBT5" s="279"/>
      <c r="SBU5" s="279"/>
      <c r="SBV5" s="279"/>
      <c r="SBW5" s="279"/>
      <c r="SBX5" s="279"/>
      <c r="SBY5" s="279"/>
      <c r="SBZ5" s="279"/>
      <c r="SCA5" s="279"/>
      <c r="SCB5" s="279"/>
      <c r="SCC5" s="279"/>
      <c r="SCD5" s="279"/>
      <c r="SCE5" s="279"/>
      <c r="SCF5" s="279"/>
      <c r="SCG5" s="279"/>
      <c r="SCH5" s="279"/>
      <c r="SCI5" s="279"/>
      <c r="SCJ5" s="279"/>
      <c r="SCK5" s="279"/>
      <c r="SCL5" s="279"/>
      <c r="SCM5" s="279"/>
      <c r="SCN5" s="279"/>
      <c r="SCO5" s="279"/>
      <c r="SCP5" s="279"/>
      <c r="SCQ5" s="279"/>
      <c r="SCR5" s="279"/>
      <c r="SCS5" s="279"/>
      <c r="SCT5" s="279"/>
      <c r="SCU5" s="279"/>
      <c r="SCV5" s="279"/>
      <c r="SCW5" s="279"/>
      <c r="SCX5" s="279"/>
      <c r="SCY5" s="279"/>
      <c r="SCZ5" s="279"/>
      <c r="SDA5" s="279"/>
      <c r="SDB5" s="279"/>
      <c r="SDC5" s="279"/>
      <c r="SDD5" s="279"/>
      <c r="SDE5" s="279"/>
      <c r="SDF5" s="279"/>
      <c r="SDG5" s="279"/>
      <c r="SDH5" s="279"/>
      <c r="SDI5" s="279"/>
      <c r="SDJ5" s="279"/>
      <c r="SDK5" s="279"/>
      <c r="SDL5" s="279"/>
      <c r="SDM5" s="279"/>
      <c r="SDN5" s="279"/>
      <c r="SDO5" s="279"/>
      <c r="SDP5" s="279"/>
      <c r="SDQ5" s="279"/>
      <c r="SDR5" s="279"/>
      <c r="SDS5" s="279"/>
      <c r="SDT5" s="279"/>
      <c r="SDU5" s="279"/>
      <c r="SDV5" s="279"/>
      <c r="SDW5" s="279"/>
      <c r="SDX5" s="279"/>
      <c r="SDY5" s="279"/>
      <c r="SDZ5" s="279"/>
      <c r="SEA5" s="279"/>
      <c r="SEB5" s="279"/>
      <c r="SEC5" s="279"/>
      <c r="SED5" s="279"/>
      <c r="SEE5" s="279"/>
      <c r="SEF5" s="279"/>
      <c r="SEG5" s="279"/>
      <c r="SEH5" s="279"/>
      <c r="SEI5" s="279"/>
      <c r="SEJ5" s="279"/>
      <c r="SEK5" s="279"/>
      <c r="SEL5" s="279"/>
      <c r="SEM5" s="279"/>
      <c r="SEN5" s="279"/>
      <c r="SEO5" s="279"/>
      <c r="SEP5" s="279"/>
      <c r="SEQ5" s="279"/>
      <c r="SER5" s="279"/>
      <c r="SES5" s="279"/>
      <c r="SET5" s="279"/>
      <c r="SEU5" s="279"/>
      <c r="SEV5" s="279"/>
      <c r="SEW5" s="279"/>
      <c r="SEX5" s="279"/>
      <c r="SEY5" s="279"/>
      <c r="SEZ5" s="279"/>
      <c r="SFA5" s="279"/>
      <c r="SFB5" s="279"/>
      <c r="SFC5" s="279"/>
      <c r="SFD5" s="279"/>
      <c r="SFE5" s="279"/>
      <c r="SFF5" s="279"/>
      <c r="SFG5" s="279"/>
      <c r="SFH5" s="279"/>
      <c r="SFI5" s="279"/>
      <c r="SFJ5" s="279"/>
      <c r="SFK5" s="279"/>
      <c r="SFL5" s="279"/>
      <c r="SFM5" s="279"/>
      <c r="SFN5" s="279"/>
      <c r="SFO5" s="279"/>
      <c r="SFP5" s="279"/>
      <c r="SFQ5" s="279"/>
      <c r="SFR5" s="279"/>
      <c r="SFS5" s="279"/>
      <c r="SFT5" s="279"/>
      <c r="SFU5" s="279"/>
      <c r="SFV5" s="279"/>
      <c r="SFW5" s="279"/>
      <c r="SFX5" s="279"/>
      <c r="SFY5" s="279"/>
      <c r="SFZ5" s="279"/>
      <c r="SGA5" s="279"/>
      <c r="SGB5" s="279"/>
      <c r="SGC5" s="279"/>
      <c r="SGD5" s="279"/>
      <c r="SGE5" s="279"/>
      <c r="SGF5" s="279"/>
      <c r="SGG5" s="279"/>
      <c r="SGH5" s="279"/>
      <c r="SGI5" s="279"/>
      <c r="SGJ5" s="279"/>
      <c r="SGK5" s="279"/>
      <c r="SGL5" s="279"/>
      <c r="SGM5" s="279"/>
      <c r="SGN5" s="279"/>
      <c r="SGO5" s="279"/>
      <c r="SGP5" s="279"/>
      <c r="SGQ5" s="279"/>
      <c r="SGR5" s="279"/>
      <c r="SGS5" s="279"/>
      <c r="SGT5" s="279"/>
      <c r="SGU5" s="279"/>
      <c r="SGV5" s="279"/>
      <c r="SGW5" s="279"/>
      <c r="SGX5" s="279"/>
      <c r="SGY5" s="279"/>
      <c r="SGZ5" s="279"/>
      <c r="SHA5" s="279"/>
      <c r="SHB5" s="279"/>
      <c r="SHC5" s="279"/>
      <c r="SHD5" s="279"/>
      <c r="SHE5" s="279"/>
      <c r="SHF5" s="279"/>
      <c r="SHG5" s="279"/>
      <c r="SHH5" s="279"/>
      <c r="SHI5" s="279"/>
      <c r="SHJ5" s="279"/>
      <c r="SHK5" s="279"/>
      <c r="SHL5" s="279"/>
      <c r="SHM5" s="279"/>
      <c r="SHN5" s="279"/>
      <c r="SHO5" s="279"/>
      <c r="SHP5" s="279"/>
      <c r="SHQ5" s="279"/>
      <c r="SHR5" s="279"/>
      <c r="SHS5" s="279"/>
      <c r="SHT5" s="279"/>
      <c r="SHU5" s="279"/>
      <c r="SHV5" s="279"/>
      <c r="SHW5" s="279"/>
      <c r="SHX5" s="279"/>
      <c r="SHY5" s="279"/>
      <c r="SHZ5" s="279"/>
      <c r="SIA5" s="279"/>
      <c r="SIB5" s="279"/>
      <c r="SIC5" s="279"/>
      <c r="SID5" s="279"/>
      <c r="SIE5" s="279"/>
      <c r="SIF5" s="279"/>
      <c r="SIG5" s="279"/>
      <c r="SIH5" s="279"/>
      <c r="SII5" s="279"/>
      <c r="SIJ5" s="279"/>
      <c r="SIK5" s="279"/>
      <c r="SIL5" s="279"/>
      <c r="SIM5" s="279"/>
      <c r="SIN5" s="279"/>
      <c r="SIO5" s="279"/>
      <c r="SIP5" s="279"/>
      <c r="SIQ5" s="279"/>
      <c r="SIR5" s="279"/>
      <c r="SIS5" s="279"/>
      <c r="SIT5" s="279"/>
      <c r="SIU5" s="279"/>
      <c r="SIV5" s="279"/>
      <c r="SIW5" s="279"/>
      <c r="SIX5" s="279"/>
      <c r="SIY5" s="279"/>
      <c r="SIZ5" s="279"/>
      <c r="SJA5" s="279"/>
      <c r="SJB5" s="279"/>
      <c r="SJC5" s="279"/>
      <c r="SJD5" s="279"/>
      <c r="SJE5" s="279"/>
      <c r="SJF5" s="279"/>
      <c r="SJG5" s="279"/>
      <c r="SJH5" s="279"/>
      <c r="SJI5" s="279"/>
      <c r="SJJ5" s="279"/>
      <c r="SJK5" s="279"/>
      <c r="SJL5" s="279"/>
      <c r="SJM5" s="279"/>
      <c r="SJN5" s="279"/>
      <c r="SJO5" s="279"/>
      <c r="SJP5" s="279"/>
      <c r="SJQ5" s="279"/>
      <c r="SJR5" s="279"/>
      <c r="SJS5" s="279"/>
      <c r="SJT5" s="279"/>
      <c r="SJU5" s="279"/>
      <c r="SJV5" s="279"/>
      <c r="SJW5" s="279"/>
      <c r="SJX5" s="279"/>
      <c r="SJY5" s="279"/>
      <c r="SJZ5" s="279"/>
      <c r="SKA5" s="279"/>
      <c r="SKB5" s="279"/>
      <c r="SKC5" s="279"/>
      <c r="SKD5" s="279"/>
      <c r="SKE5" s="279"/>
      <c r="SKF5" s="279"/>
      <c r="SKG5" s="279"/>
      <c r="SKH5" s="279"/>
      <c r="SKI5" s="279"/>
      <c r="SKJ5" s="279"/>
      <c r="SKK5" s="279"/>
      <c r="SKL5" s="279"/>
      <c r="SKM5" s="279"/>
      <c r="SKN5" s="279"/>
      <c r="SKO5" s="279"/>
      <c r="SKP5" s="279"/>
      <c r="SKQ5" s="279"/>
      <c r="SKR5" s="279"/>
      <c r="SKS5" s="279"/>
      <c r="SKT5" s="279"/>
      <c r="SKU5" s="279"/>
      <c r="SKV5" s="279"/>
      <c r="SKW5" s="279"/>
      <c r="SKX5" s="279"/>
      <c r="SKY5" s="279"/>
      <c r="SKZ5" s="279"/>
      <c r="SLA5" s="279"/>
      <c r="SLB5" s="279"/>
      <c r="SLC5" s="279"/>
      <c r="SLD5" s="279"/>
      <c r="SLE5" s="279"/>
      <c r="SLF5" s="279"/>
      <c r="SLG5" s="279"/>
      <c r="SLH5" s="279"/>
      <c r="SLI5" s="279"/>
      <c r="SLJ5" s="279"/>
      <c r="SLK5" s="279"/>
      <c r="SLL5" s="279"/>
      <c r="SLM5" s="279"/>
      <c r="SLN5" s="279"/>
      <c r="SLO5" s="279"/>
      <c r="SLP5" s="279"/>
      <c r="SLQ5" s="279"/>
      <c r="SLR5" s="279"/>
      <c r="SLS5" s="279"/>
      <c r="SLT5" s="279"/>
      <c r="SLU5" s="279"/>
      <c r="SLV5" s="279"/>
      <c r="SLW5" s="279"/>
      <c r="SLX5" s="279"/>
      <c r="SLY5" s="279"/>
      <c r="SLZ5" s="279"/>
      <c r="SMA5" s="279"/>
      <c r="SMB5" s="279"/>
      <c r="SMC5" s="279"/>
      <c r="SMD5" s="279"/>
      <c r="SME5" s="279"/>
      <c r="SMF5" s="279"/>
      <c r="SMG5" s="279"/>
      <c r="SMH5" s="279"/>
      <c r="SMI5" s="279"/>
      <c r="SMJ5" s="279"/>
      <c r="SMK5" s="279"/>
      <c r="SML5" s="279"/>
      <c r="SMM5" s="279"/>
      <c r="SMN5" s="279"/>
      <c r="SMO5" s="279"/>
      <c r="SMP5" s="279"/>
      <c r="SMQ5" s="279"/>
      <c r="SMR5" s="279"/>
      <c r="SMS5" s="279"/>
      <c r="SMT5" s="279"/>
      <c r="SMU5" s="279"/>
      <c r="SMV5" s="279"/>
      <c r="SMW5" s="279"/>
      <c r="SMX5" s="279"/>
      <c r="SMY5" s="279"/>
      <c r="SMZ5" s="279"/>
      <c r="SNA5" s="279"/>
      <c r="SNB5" s="279"/>
      <c r="SNC5" s="279"/>
      <c r="SND5" s="279"/>
      <c r="SNE5" s="279"/>
      <c r="SNF5" s="279"/>
      <c r="SNG5" s="279"/>
      <c r="SNH5" s="279"/>
      <c r="SNI5" s="279"/>
      <c r="SNJ5" s="279"/>
      <c r="SNK5" s="279"/>
      <c r="SNL5" s="279"/>
      <c r="SNM5" s="279"/>
      <c r="SNN5" s="279"/>
      <c r="SNO5" s="279"/>
      <c r="SNP5" s="279"/>
      <c r="SNQ5" s="279"/>
      <c r="SNR5" s="279"/>
      <c r="SNS5" s="279"/>
      <c r="SNT5" s="279"/>
      <c r="SNU5" s="279"/>
      <c r="SNV5" s="279"/>
      <c r="SNW5" s="279"/>
      <c r="SNX5" s="279"/>
      <c r="SNY5" s="279"/>
      <c r="SNZ5" s="279"/>
      <c r="SOA5" s="279"/>
      <c r="SOB5" s="279"/>
      <c r="SOC5" s="279"/>
      <c r="SOD5" s="279"/>
      <c r="SOE5" s="279"/>
      <c r="SOF5" s="279"/>
      <c r="SOG5" s="279"/>
      <c r="SOH5" s="279"/>
      <c r="SOI5" s="279"/>
      <c r="SOJ5" s="279"/>
      <c r="SOK5" s="279"/>
      <c r="SOL5" s="279"/>
      <c r="SOM5" s="279"/>
      <c r="SON5" s="279"/>
      <c r="SOO5" s="279"/>
      <c r="SOP5" s="279"/>
      <c r="SOQ5" s="279"/>
      <c r="SOR5" s="279"/>
      <c r="SOS5" s="279"/>
      <c r="SOT5" s="279"/>
      <c r="SOU5" s="279"/>
      <c r="SOV5" s="279"/>
      <c r="SOW5" s="279"/>
      <c r="SOX5" s="279"/>
      <c r="SOY5" s="279"/>
      <c r="SOZ5" s="279"/>
      <c r="SPA5" s="279"/>
      <c r="SPB5" s="279"/>
      <c r="SPC5" s="279"/>
      <c r="SPD5" s="279"/>
      <c r="SPE5" s="279"/>
      <c r="SPF5" s="279"/>
      <c r="SPG5" s="279"/>
      <c r="SPH5" s="279"/>
      <c r="SPI5" s="279"/>
      <c r="SPJ5" s="279"/>
      <c r="SPK5" s="279"/>
      <c r="SPL5" s="279"/>
      <c r="SPM5" s="279"/>
      <c r="SPN5" s="279"/>
      <c r="SPO5" s="279"/>
      <c r="SPP5" s="279"/>
      <c r="SPQ5" s="279"/>
      <c r="SPR5" s="279"/>
      <c r="SPS5" s="279"/>
      <c r="SPT5" s="279"/>
      <c r="SPU5" s="279"/>
      <c r="SPV5" s="279"/>
      <c r="SPW5" s="279"/>
      <c r="SPX5" s="279"/>
      <c r="SPY5" s="279"/>
      <c r="SPZ5" s="279"/>
      <c r="SQA5" s="279"/>
      <c r="SQB5" s="279"/>
      <c r="SQC5" s="279"/>
      <c r="SQD5" s="279"/>
      <c r="SQE5" s="279"/>
      <c r="SQF5" s="279"/>
      <c r="SQG5" s="279"/>
      <c r="SQH5" s="279"/>
      <c r="SQI5" s="279"/>
      <c r="SQJ5" s="279"/>
      <c r="SQK5" s="279"/>
      <c r="SQL5" s="279"/>
      <c r="SQM5" s="279"/>
      <c r="SQN5" s="279"/>
      <c r="SQO5" s="279"/>
      <c r="SQP5" s="279"/>
      <c r="SQQ5" s="279"/>
      <c r="SQR5" s="279"/>
      <c r="SQS5" s="279"/>
      <c r="SQT5" s="279"/>
      <c r="SQU5" s="279"/>
      <c r="SQV5" s="279"/>
      <c r="SQW5" s="279"/>
      <c r="SQX5" s="279"/>
      <c r="SQY5" s="279"/>
      <c r="SQZ5" s="279"/>
      <c r="SRA5" s="279"/>
      <c r="SRB5" s="279"/>
      <c r="SRC5" s="279"/>
      <c r="SRD5" s="279"/>
      <c r="SRE5" s="279"/>
      <c r="SRF5" s="279"/>
      <c r="SRG5" s="279"/>
      <c r="SRH5" s="279"/>
      <c r="SRI5" s="279"/>
      <c r="SRJ5" s="279"/>
      <c r="SRK5" s="279"/>
      <c r="SRL5" s="279"/>
      <c r="SRM5" s="279"/>
      <c r="SRN5" s="279"/>
      <c r="SRO5" s="279"/>
      <c r="SRP5" s="279"/>
      <c r="SRQ5" s="279"/>
      <c r="SRR5" s="279"/>
      <c r="SRS5" s="279"/>
      <c r="SRT5" s="279"/>
      <c r="SRU5" s="279"/>
      <c r="SRV5" s="279"/>
      <c r="SRW5" s="279"/>
      <c r="SRX5" s="279"/>
      <c r="SRY5" s="279"/>
      <c r="SRZ5" s="279"/>
      <c r="SSA5" s="279"/>
      <c r="SSB5" s="279"/>
      <c r="SSC5" s="279"/>
      <c r="SSD5" s="279"/>
      <c r="SSE5" s="279"/>
      <c r="SSF5" s="279"/>
      <c r="SSG5" s="279"/>
      <c r="SSH5" s="279"/>
      <c r="SSI5" s="279"/>
      <c r="SSJ5" s="279"/>
      <c r="SSK5" s="279"/>
      <c r="SSL5" s="279"/>
      <c r="SSM5" s="279"/>
      <c r="SSN5" s="279"/>
      <c r="SSO5" s="279"/>
      <c r="SSP5" s="279"/>
      <c r="SSQ5" s="279"/>
      <c r="SSR5" s="279"/>
      <c r="SSS5" s="279"/>
      <c r="SST5" s="279"/>
      <c r="SSU5" s="279"/>
      <c r="SSV5" s="279"/>
      <c r="SSW5" s="279"/>
      <c r="SSX5" s="279"/>
      <c r="SSY5" s="279"/>
      <c r="SSZ5" s="279"/>
      <c r="STA5" s="279"/>
      <c r="STB5" s="279"/>
      <c r="STC5" s="279"/>
      <c r="STD5" s="279"/>
      <c r="STE5" s="279"/>
      <c r="STF5" s="279"/>
      <c r="STG5" s="279"/>
      <c r="STH5" s="279"/>
      <c r="STI5" s="279"/>
      <c r="STJ5" s="279"/>
      <c r="STK5" s="279"/>
      <c r="STL5" s="279"/>
      <c r="STM5" s="279"/>
      <c r="STN5" s="279"/>
      <c r="STO5" s="279"/>
      <c r="STP5" s="279"/>
      <c r="STQ5" s="279"/>
      <c r="STR5" s="279"/>
      <c r="STS5" s="279"/>
      <c r="STT5" s="279"/>
      <c r="STU5" s="279"/>
      <c r="STV5" s="279"/>
      <c r="STW5" s="279"/>
      <c r="STX5" s="279"/>
      <c r="STY5" s="279"/>
      <c r="STZ5" s="279"/>
      <c r="SUA5" s="279"/>
      <c r="SUB5" s="279"/>
      <c r="SUC5" s="279"/>
      <c r="SUD5" s="279"/>
      <c r="SUE5" s="279"/>
      <c r="SUF5" s="279"/>
      <c r="SUG5" s="279"/>
      <c r="SUH5" s="279"/>
      <c r="SUI5" s="279"/>
      <c r="SUJ5" s="279"/>
      <c r="SUK5" s="279"/>
      <c r="SUL5" s="279"/>
      <c r="SUM5" s="279"/>
      <c r="SUN5" s="279"/>
      <c r="SUO5" s="279"/>
      <c r="SUP5" s="279"/>
      <c r="SUQ5" s="279"/>
      <c r="SUR5" s="279"/>
      <c r="SUS5" s="279"/>
      <c r="SUT5" s="279"/>
      <c r="SUU5" s="279"/>
      <c r="SUV5" s="279"/>
      <c r="SUW5" s="279"/>
      <c r="SUX5" s="279"/>
      <c r="SUY5" s="279"/>
      <c r="SUZ5" s="279"/>
      <c r="SVA5" s="279"/>
      <c r="SVB5" s="279"/>
      <c r="SVC5" s="279"/>
      <c r="SVD5" s="279"/>
      <c r="SVE5" s="279"/>
      <c r="SVF5" s="279"/>
      <c r="SVG5" s="279"/>
      <c r="SVH5" s="279"/>
      <c r="SVI5" s="279"/>
      <c r="SVJ5" s="279"/>
      <c r="SVK5" s="279"/>
      <c r="SVL5" s="279"/>
      <c r="SVM5" s="279"/>
      <c r="SVN5" s="279"/>
      <c r="SVO5" s="279"/>
      <c r="SVP5" s="279"/>
      <c r="SVQ5" s="279"/>
      <c r="SVR5" s="279"/>
      <c r="SVS5" s="279"/>
      <c r="SVT5" s="279"/>
      <c r="SVU5" s="279"/>
      <c r="SVV5" s="279"/>
      <c r="SVW5" s="279"/>
      <c r="SVX5" s="279"/>
      <c r="SVY5" s="279"/>
      <c r="SVZ5" s="279"/>
      <c r="SWA5" s="279"/>
      <c r="SWB5" s="279"/>
      <c r="SWC5" s="279"/>
      <c r="SWD5" s="279"/>
      <c r="SWE5" s="279"/>
      <c r="SWF5" s="279"/>
      <c r="SWG5" s="279"/>
      <c r="SWH5" s="279"/>
      <c r="SWI5" s="279"/>
      <c r="SWJ5" s="279"/>
      <c r="SWK5" s="279"/>
      <c r="SWL5" s="279"/>
      <c r="SWM5" s="279"/>
      <c r="SWN5" s="279"/>
      <c r="SWO5" s="279"/>
      <c r="SWP5" s="279"/>
      <c r="SWQ5" s="279"/>
      <c r="SWR5" s="279"/>
      <c r="SWS5" s="279"/>
      <c r="SWT5" s="279"/>
      <c r="SWU5" s="279"/>
      <c r="SWV5" s="279"/>
      <c r="SWW5" s="279"/>
      <c r="SWX5" s="279"/>
      <c r="SWY5" s="279"/>
      <c r="SWZ5" s="279"/>
      <c r="SXA5" s="279"/>
      <c r="SXB5" s="279"/>
      <c r="SXC5" s="279"/>
      <c r="SXD5" s="279"/>
      <c r="SXE5" s="279"/>
      <c r="SXF5" s="279"/>
      <c r="SXG5" s="279"/>
      <c r="SXH5" s="279"/>
      <c r="SXI5" s="279"/>
      <c r="SXJ5" s="279"/>
      <c r="SXK5" s="279"/>
      <c r="SXL5" s="279"/>
      <c r="SXM5" s="279"/>
      <c r="SXN5" s="279"/>
      <c r="SXO5" s="279"/>
      <c r="SXP5" s="279"/>
      <c r="SXQ5" s="279"/>
      <c r="SXR5" s="279"/>
      <c r="SXS5" s="279"/>
      <c r="SXT5" s="279"/>
      <c r="SXU5" s="279"/>
      <c r="SXV5" s="279"/>
      <c r="SXW5" s="279"/>
      <c r="SXX5" s="279"/>
      <c r="SXY5" s="279"/>
      <c r="SXZ5" s="279"/>
      <c r="SYA5" s="279"/>
      <c r="SYB5" s="279"/>
      <c r="SYC5" s="279"/>
      <c r="SYD5" s="279"/>
      <c r="SYE5" s="279"/>
      <c r="SYF5" s="279"/>
      <c r="SYG5" s="279"/>
      <c r="SYH5" s="279"/>
      <c r="SYI5" s="279"/>
      <c r="SYJ5" s="279"/>
      <c r="SYK5" s="279"/>
      <c r="SYL5" s="279"/>
      <c r="SYM5" s="279"/>
      <c r="SYN5" s="279"/>
      <c r="SYO5" s="279"/>
      <c r="SYP5" s="279"/>
      <c r="SYQ5" s="279"/>
      <c r="SYR5" s="279"/>
      <c r="SYS5" s="279"/>
      <c r="SYT5" s="279"/>
      <c r="SYU5" s="279"/>
      <c r="SYV5" s="279"/>
      <c r="SYW5" s="279"/>
      <c r="SYX5" s="279"/>
      <c r="SYY5" s="279"/>
      <c r="SYZ5" s="279"/>
      <c r="SZA5" s="279"/>
      <c r="SZB5" s="279"/>
      <c r="SZC5" s="279"/>
      <c r="SZD5" s="279"/>
      <c r="SZE5" s="279"/>
      <c r="SZF5" s="279"/>
      <c r="SZG5" s="279"/>
      <c r="SZH5" s="279"/>
      <c r="SZI5" s="279"/>
      <c r="SZJ5" s="279"/>
      <c r="SZK5" s="279"/>
      <c r="SZL5" s="279"/>
      <c r="SZM5" s="279"/>
      <c r="SZN5" s="279"/>
      <c r="SZO5" s="279"/>
      <c r="SZP5" s="279"/>
      <c r="SZQ5" s="279"/>
      <c r="SZR5" s="279"/>
      <c r="SZS5" s="279"/>
      <c r="SZT5" s="279"/>
      <c r="SZU5" s="279"/>
      <c r="SZV5" s="279"/>
      <c r="SZW5" s="279"/>
      <c r="SZX5" s="279"/>
      <c r="SZY5" s="279"/>
      <c r="SZZ5" s="279"/>
      <c r="TAA5" s="279"/>
      <c r="TAB5" s="279"/>
      <c r="TAC5" s="279"/>
      <c r="TAD5" s="279"/>
      <c r="TAE5" s="279"/>
      <c r="TAF5" s="279"/>
      <c r="TAG5" s="279"/>
      <c r="TAH5" s="279"/>
      <c r="TAI5" s="279"/>
      <c r="TAJ5" s="279"/>
      <c r="TAK5" s="279"/>
      <c r="TAL5" s="279"/>
      <c r="TAM5" s="279"/>
      <c r="TAN5" s="279"/>
      <c r="TAO5" s="279"/>
      <c r="TAP5" s="279"/>
      <c r="TAQ5" s="279"/>
      <c r="TAR5" s="279"/>
      <c r="TAS5" s="279"/>
      <c r="TAT5" s="279"/>
      <c r="TAU5" s="279"/>
      <c r="TAV5" s="279"/>
      <c r="TAW5" s="279"/>
      <c r="TAX5" s="279"/>
      <c r="TAY5" s="279"/>
      <c r="TAZ5" s="279"/>
      <c r="TBA5" s="279"/>
      <c r="TBB5" s="279"/>
      <c r="TBC5" s="279"/>
      <c r="TBD5" s="279"/>
      <c r="TBE5" s="279"/>
      <c r="TBF5" s="279"/>
      <c r="TBG5" s="279"/>
      <c r="TBH5" s="279"/>
      <c r="TBI5" s="279"/>
      <c r="TBJ5" s="279"/>
      <c r="TBK5" s="279"/>
      <c r="TBL5" s="279"/>
      <c r="TBM5" s="279"/>
      <c r="TBN5" s="279"/>
      <c r="TBO5" s="279"/>
      <c r="TBP5" s="279"/>
      <c r="TBQ5" s="279"/>
      <c r="TBR5" s="279"/>
      <c r="TBS5" s="279"/>
      <c r="TBT5" s="279"/>
      <c r="TBU5" s="279"/>
      <c r="TBV5" s="279"/>
      <c r="TBW5" s="279"/>
      <c r="TBX5" s="279"/>
      <c r="TBY5" s="279"/>
      <c r="TBZ5" s="279"/>
      <c r="TCA5" s="279"/>
      <c r="TCB5" s="279"/>
      <c r="TCC5" s="279"/>
      <c r="TCD5" s="279"/>
      <c r="TCE5" s="279"/>
      <c r="TCF5" s="279"/>
      <c r="TCG5" s="279"/>
      <c r="TCH5" s="279"/>
      <c r="TCI5" s="279"/>
      <c r="TCJ5" s="279"/>
      <c r="TCK5" s="279"/>
      <c r="TCL5" s="279"/>
      <c r="TCM5" s="279"/>
      <c r="TCN5" s="279"/>
      <c r="TCO5" s="279"/>
      <c r="TCP5" s="279"/>
      <c r="TCQ5" s="279"/>
      <c r="TCR5" s="279"/>
      <c r="TCS5" s="279"/>
      <c r="TCT5" s="279"/>
      <c r="TCU5" s="279"/>
      <c r="TCV5" s="279"/>
      <c r="TCW5" s="279"/>
      <c r="TCX5" s="279"/>
      <c r="TCY5" s="279"/>
      <c r="TCZ5" s="279"/>
      <c r="TDA5" s="279"/>
      <c r="TDB5" s="279"/>
      <c r="TDC5" s="279"/>
      <c r="TDD5" s="279"/>
      <c r="TDE5" s="279"/>
      <c r="TDF5" s="279"/>
      <c r="TDG5" s="279"/>
      <c r="TDH5" s="279"/>
      <c r="TDI5" s="279"/>
      <c r="TDJ5" s="279"/>
      <c r="TDK5" s="279"/>
      <c r="TDL5" s="279"/>
      <c r="TDM5" s="279"/>
      <c r="TDN5" s="279"/>
      <c r="TDO5" s="279"/>
      <c r="TDP5" s="279"/>
      <c r="TDQ5" s="279"/>
      <c r="TDR5" s="279"/>
      <c r="TDS5" s="279"/>
      <c r="TDT5" s="279"/>
      <c r="TDU5" s="279"/>
      <c r="TDV5" s="279"/>
      <c r="TDW5" s="279"/>
      <c r="TDX5" s="279"/>
      <c r="TDY5" s="279"/>
      <c r="TDZ5" s="279"/>
      <c r="TEA5" s="279"/>
      <c r="TEB5" s="279"/>
      <c r="TEC5" s="279"/>
      <c r="TED5" s="279"/>
      <c r="TEE5" s="279"/>
      <c r="TEF5" s="279"/>
      <c r="TEG5" s="279"/>
      <c r="TEH5" s="279"/>
      <c r="TEI5" s="279"/>
      <c r="TEJ5" s="279"/>
      <c r="TEK5" s="279"/>
      <c r="TEL5" s="279"/>
      <c r="TEM5" s="279"/>
      <c r="TEN5" s="279"/>
      <c r="TEO5" s="279"/>
      <c r="TEP5" s="279"/>
      <c r="TEQ5" s="279"/>
      <c r="TER5" s="279"/>
      <c r="TES5" s="279"/>
      <c r="TET5" s="279"/>
      <c r="TEU5" s="279"/>
      <c r="TEV5" s="279"/>
      <c r="TEW5" s="279"/>
      <c r="TEX5" s="279"/>
      <c r="TEY5" s="279"/>
      <c r="TEZ5" s="279"/>
      <c r="TFA5" s="279"/>
      <c r="TFB5" s="279"/>
      <c r="TFC5" s="279"/>
      <c r="TFD5" s="279"/>
      <c r="TFE5" s="279"/>
      <c r="TFF5" s="279"/>
      <c r="TFG5" s="279"/>
      <c r="TFH5" s="279"/>
      <c r="TFI5" s="279"/>
      <c r="TFJ5" s="279"/>
      <c r="TFK5" s="279"/>
      <c r="TFL5" s="279"/>
      <c r="TFM5" s="279"/>
      <c r="TFN5" s="279"/>
      <c r="TFO5" s="279"/>
      <c r="TFP5" s="279"/>
      <c r="TFQ5" s="279"/>
      <c r="TFR5" s="279"/>
      <c r="TFS5" s="279"/>
      <c r="TFT5" s="279"/>
      <c r="TFU5" s="279"/>
      <c r="TFV5" s="279"/>
      <c r="TFW5" s="279"/>
      <c r="TFX5" s="279"/>
      <c r="TFY5" s="279"/>
      <c r="TFZ5" s="279"/>
      <c r="TGA5" s="279"/>
      <c r="TGB5" s="279"/>
      <c r="TGC5" s="279"/>
      <c r="TGD5" s="279"/>
      <c r="TGE5" s="279"/>
      <c r="TGF5" s="279"/>
      <c r="TGG5" s="279"/>
      <c r="TGH5" s="279"/>
      <c r="TGI5" s="279"/>
      <c r="TGJ5" s="279"/>
      <c r="TGK5" s="279"/>
      <c r="TGL5" s="279"/>
      <c r="TGM5" s="279"/>
      <c r="TGN5" s="279"/>
      <c r="TGO5" s="279"/>
      <c r="TGP5" s="279"/>
      <c r="TGQ5" s="279"/>
      <c r="TGR5" s="279"/>
      <c r="TGS5" s="279"/>
      <c r="TGT5" s="279"/>
      <c r="TGU5" s="279"/>
      <c r="TGV5" s="279"/>
      <c r="TGW5" s="279"/>
      <c r="TGX5" s="279"/>
      <c r="TGY5" s="279"/>
      <c r="TGZ5" s="279"/>
      <c r="THA5" s="279"/>
      <c r="THB5" s="279"/>
      <c r="THC5" s="279"/>
      <c r="THD5" s="279"/>
      <c r="THE5" s="279"/>
      <c r="THF5" s="279"/>
      <c r="THG5" s="279"/>
      <c r="THH5" s="279"/>
      <c r="THI5" s="279"/>
      <c r="THJ5" s="279"/>
      <c r="THK5" s="279"/>
      <c r="THL5" s="279"/>
      <c r="THM5" s="279"/>
      <c r="THN5" s="279"/>
      <c r="THO5" s="279"/>
      <c r="THP5" s="279"/>
      <c r="THQ5" s="279"/>
      <c r="THR5" s="279"/>
      <c r="THS5" s="279"/>
      <c r="THT5" s="279"/>
      <c r="THU5" s="279"/>
      <c r="THV5" s="279"/>
      <c r="THW5" s="279"/>
      <c r="THX5" s="279"/>
      <c r="THY5" s="279"/>
      <c r="THZ5" s="279"/>
      <c r="TIA5" s="279"/>
      <c r="TIB5" s="279"/>
      <c r="TIC5" s="279"/>
      <c r="TID5" s="279"/>
      <c r="TIE5" s="279"/>
      <c r="TIF5" s="279"/>
      <c r="TIG5" s="279"/>
      <c r="TIH5" s="279"/>
      <c r="TII5" s="279"/>
      <c r="TIJ5" s="279"/>
      <c r="TIK5" s="279"/>
      <c r="TIL5" s="279"/>
      <c r="TIM5" s="279"/>
      <c r="TIN5" s="279"/>
      <c r="TIO5" s="279"/>
      <c r="TIP5" s="279"/>
      <c r="TIQ5" s="279"/>
      <c r="TIR5" s="279"/>
      <c r="TIS5" s="279"/>
      <c r="TIT5" s="279"/>
      <c r="TIU5" s="279"/>
      <c r="TIV5" s="279"/>
      <c r="TIW5" s="279"/>
      <c r="TIX5" s="279"/>
      <c r="TIY5" s="279"/>
      <c r="TIZ5" s="279"/>
      <c r="TJA5" s="279"/>
      <c r="TJB5" s="279"/>
      <c r="TJC5" s="279"/>
      <c r="TJD5" s="279"/>
      <c r="TJE5" s="279"/>
      <c r="TJF5" s="279"/>
      <c r="TJG5" s="279"/>
      <c r="TJH5" s="279"/>
      <c r="TJI5" s="279"/>
      <c r="TJJ5" s="279"/>
      <c r="TJK5" s="279"/>
      <c r="TJL5" s="279"/>
      <c r="TJM5" s="279"/>
      <c r="TJN5" s="279"/>
      <c r="TJO5" s="279"/>
      <c r="TJP5" s="279"/>
      <c r="TJQ5" s="279"/>
      <c r="TJR5" s="279"/>
      <c r="TJS5" s="279"/>
      <c r="TJT5" s="279"/>
      <c r="TJU5" s="279"/>
      <c r="TJV5" s="279"/>
      <c r="TJW5" s="279"/>
      <c r="TJX5" s="279"/>
      <c r="TJY5" s="279"/>
      <c r="TJZ5" s="279"/>
      <c r="TKA5" s="279"/>
      <c r="TKB5" s="279"/>
      <c r="TKC5" s="279"/>
      <c r="TKD5" s="279"/>
      <c r="TKE5" s="279"/>
      <c r="TKF5" s="279"/>
      <c r="TKG5" s="279"/>
      <c r="TKH5" s="279"/>
      <c r="TKI5" s="279"/>
      <c r="TKJ5" s="279"/>
      <c r="TKK5" s="279"/>
      <c r="TKL5" s="279"/>
      <c r="TKM5" s="279"/>
      <c r="TKN5" s="279"/>
      <c r="TKO5" s="279"/>
      <c r="TKP5" s="279"/>
      <c r="TKQ5" s="279"/>
      <c r="TKR5" s="279"/>
      <c r="TKS5" s="279"/>
      <c r="TKT5" s="279"/>
      <c r="TKU5" s="279"/>
      <c r="TKV5" s="279"/>
      <c r="TKW5" s="279"/>
      <c r="TKX5" s="279"/>
      <c r="TKY5" s="279"/>
      <c r="TKZ5" s="279"/>
      <c r="TLA5" s="279"/>
      <c r="TLB5" s="279"/>
      <c r="TLC5" s="279"/>
      <c r="TLD5" s="279"/>
      <c r="TLE5" s="279"/>
      <c r="TLF5" s="279"/>
      <c r="TLG5" s="279"/>
      <c r="TLH5" s="279"/>
      <c r="TLI5" s="279"/>
      <c r="TLJ5" s="279"/>
      <c r="TLK5" s="279"/>
      <c r="TLL5" s="279"/>
      <c r="TLM5" s="279"/>
      <c r="TLN5" s="279"/>
      <c r="TLO5" s="279"/>
      <c r="TLP5" s="279"/>
      <c r="TLQ5" s="279"/>
      <c r="TLR5" s="279"/>
      <c r="TLS5" s="279"/>
      <c r="TLT5" s="279"/>
      <c r="TLU5" s="279"/>
      <c r="TLV5" s="279"/>
      <c r="TLW5" s="279"/>
      <c r="TLX5" s="279"/>
      <c r="TLY5" s="279"/>
      <c r="TLZ5" s="279"/>
      <c r="TMA5" s="279"/>
      <c r="TMB5" s="279"/>
      <c r="TMC5" s="279"/>
      <c r="TMD5" s="279"/>
      <c r="TME5" s="279"/>
      <c r="TMF5" s="279"/>
      <c r="TMG5" s="279"/>
      <c r="TMH5" s="279"/>
      <c r="TMI5" s="279"/>
      <c r="TMJ5" s="279"/>
      <c r="TMK5" s="279"/>
      <c r="TML5" s="279"/>
      <c r="TMM5" s="279"/>
      <c r="TMN5" s="279"/>
      <c r="TMO5" s="279"/>
      <c r="TMP5" s="279"/>
      <c r="TMQ5" s="279"/>
      <c r="TMR5" s="279"/>
      <c r="TMS5" s="279"/>
      <c r="TMT5" s="279"/>
      <c r="TMU5" s="279"/>
      <c r="TMV5" s="279"/>
      <c r="TMW5" s="279"/>
      <c r="TMX5" s="279"/>
      <c r="TMY5" s="279"/>
      <c r="TMZ5" s="279"/>
      <c r="TNA5" s="279"/>
      <c r="TNB5" s="279"/>
      <c r="TNC5" s="279"/>
      <c r="TND5" s="279"/>
      <c r="TNE5" s="279"/>
      <c r="TNF5" s="279"/>
      <c r="TNG5" s="279"/>
      <c r="TNH5" s="279"/>
      <c r="TNI5" s="279"/>
      <c r="TNJ5" s="279"/>
      <c r="TNK5" s="279"/>
      <c r="TNL5" s="279"/>
      <c r="TNM5" s="279"/>
      <c r="TNN5" s="279"/>
      <c r="TNO5" s="279"/>
      <c r="TNP5" s="279"/>
      <c r="TNQ5" s="279"/>
      <c r="TNR5" s="279"/>
      <c r="TNS5" s="279"/>
      <c r="TNT5" s="279"/>
      <c r="TNU5" s="279"/>
      <c r="TNV5" s="279"/>
      <c r="TNW5" s="279"/>
      <c r="TNX5" s="279"/>
      <c r="TNY5" s="279"/>
      <c r="TNZ5" s="279"/>
      <c r="TOA5" s="279"/>
      <c r="TOB5" s="279"/>
      <c r="TOC5" s="279"/>
      <c r="TOD5" s="279"/>
      <c r="TOE5" s="279"/>
      <c r="TOF5" s="279"/>
      <c r="TOG5" s="279"/>
      <c r="TOH5" s="279"/>
      <c r="TOI5" s="279"/>
      <c r="TOJ5" s="279"/>
      <c r="TOK5" s="279"/>
      <c r="TOL5" s="279"/>
      <c r="TOM5" s="279"/>
      <c r="TON5" s="279"/>
      <c r="TOO5" s="279"/>
      <c r="TOP5" s="279"/>
      <c r="TOQ5" s="279"/>
      <c r="TOR5" s="279"/>
      <c r="TOS5" s="279"/>
      <c r="TOT5" s="279"/>
      <c r="TOU5" s="279"/>
      <c r="TOV5" s="279"/>
      <c r="TOW5" s="279"/>
      <c r="TOX5" s="279"/>
      <c r="TOY5" s="279"/>
      <c r="TOZ5" s="279"/>
      <c r="TPA5" s="279"/>
      <c r="TPB5" s="279"/>
      <c r="TPC5" s="279"/>
      <c r="TPD5" s="279"/>
      <c r="TPE5" s="279"/>
      <c r="TPF5" s="279"/>
      <c r="TPG5" s="279"/>
      <c r="TPH5" s="279"/>
      <c r="TPI5" s="279"/>
      <c r="TPJ5" s="279"/>
      <c r="TPK5" s="279"/>
      <c r="TPL5" s="279"/>
      <c r="TPM5" s="279"/>
      <c r="TPN5" s="279"/>
      <c r="TPO5" s="279"/>
      <c r="TPP5" s="279"/>
      <c r="TPQ5" s="279"/>
      <c r="TPR5" s="279"/>
      <c r="TPS5" s="279"/>
      <c r="TPT5" s="279"/>
      <c r="TPU5" s="279"/>
      <c r="TPV5" s="279"/>
      <c r="TPW5" s="279"/>
      <c r="TPX5" s="279"/>
      <c r="TPY5" s="279"/>
      <c r="TPZ5" s="279"/>
      <c r="TQA5" s="279"/>
      <c r="TQB5" s="279"/>
      <c r="TQC5" s="279"/>
      <c r="TQD5" s="279"/>
      <c r="TQE5" s="279"/>
      <c r="TQF5" s="279"/>
      <c r="TQG5" s="279"/>
      <c r="TQH5" s="279"/>
      <c r="TQI5" s="279"/>
      <c r="TQJ5" s="279"/>
      <c r="TQK5" s="279"/>
      <c r="TQL5" s="279"/>
      <c r="TQM5" s="279"/>
      <c r="TQN5" s="279"/>
      <c r="TQO5" s="279"/>
      <c r="TQP5" s="279"/>
      <c r="TQQ5" s="279"/>
      <c r="TQR5" s="279"/>
      <c r="TQS5" s="279"/>
      <c r="TQT5" s="279"/>
      <c r="TQU5" s="279"/>
      <c r="TQV5" s="279"/>
      <c r="TQW5" s="279"/>
      <c r="TQX5" s="279"/>
      <c r="TQY5" s="279"/>
      <c r="TQZ5" s="279"/>
      <c r="TRA5" s="279"/>
      <c r="TRB5" s="279"/>
      <c r="TRC5" s="279"/>
      <c r="TRD5" s="279"/>
      <c r="TRE5" s="279"/>
      <c r="TRF5" s="279"/>
      <c r="TRG5" s="279"/>
      <c r="TRH5" s="279"/>
      <c r="TRI5" s="279"/>
      <c r="TRJ5" s="279"/>
      <c r="TRK5" s="279"/>
      <c r="TRL5" s="279"/>
      <c r="TRM5" s="279"/>
      <c r="TRN5" s="279"/>
      <c r="TRO5" s="279"/>
      <c r="TRP5" s="279"/>
      <c r="TRQ5" s="279"/>
      <c r="TRR5" s="279"/>
      <c r="TRS5" s="279"/>
      <c r="TRT5" s="279"/>
      <c r="TRU5" s="279"/>
      <c r="TRV5" s="279"/>
      <c r="TRW5" s="279"/>
      <c r="TRX5" s="279"/>
      <c r="TRY5" s="279"/>
      <c r="TRZ5" s="279"/>
      <c r="TSA5" s="279"/>
      <c r="TSB5" s="279"/>
      <c r="TSC5" s="279"/>
      <c r="TSD5" s="279"/>
      <c r="TSE5" s="279"/>
      <c r="TSF5" s="279"/>
      <c r="TSG5" s="279"/>
      <c r="TSH5" s="279"/>
      <c r="TSI5" s="279"/>
      <c r="TSJ5" s="279"/>
      <c r="TSK5" s="279"/>
      <c r="TSL5" s="279"/>
      <c r="TSM5" s="279"/>
      <c r="TSN5" s="279"/>
      <c r="TSO5" s="279"/>
      <c r="TSP5" s="279"/>
      <c r="TSQ5" s="279"/>
      <c r="TSR5" s="279"/>
      <c r="TSS5" s="279"/>
      <c r="TST5" s="279"/>
      <c r="TSU5" s="279"/>
      <c r="TSV5" s="279"/>
      <c r="TSW5" s="279"/>
      <c r="TSX5" s="279"/>
      <c r="TSY5" s="279"/>
      <c r="TSZ5" s="279"/>
      <c r="TTA5" s="279"/>
      <c r="TTB5" s="279"/>
      <c r="TTC5" s="279"/>
      <c r="TTD5" s="279"/>
      <c r="TTE5" s="279"/>
      <c r="TTF5" s="279"/>
      <c r="TTG5" s="279"/>
      <c r="TTH5" s="279"/>
      <c r="TTI5" s="279"/>
      <c r="TTJ5" s="279"/>
      <c r="TTK5" s="279"/>
      <c r="TTL5" s="279"/>
      <c r="TTM5" s="279"/>
      <c r="TTN5" s="279"/>
      <c r="TTO5" s="279"/>
      <c r="TTP5" s="279"/>
      <c r="TTQ5" s="279"/>
      <c r="TTR5" s="279"/>
      <c r="TTS5" s="279"/>
      <c r="TTT5" s="279"/>
      <c r="TTU5" s="279"/>
      <c r="TTV5" s="279"/>
      <c r="TTW5" s="279"/>
      <c r="TTX5" s="279"/>
      <c r="TTY5" s="279"/>
      <c r="TTZ5" s="279"/>
      <c r="TUA5" s="279"/>
      <c r="TUB5" s="279"/>
      <c r="TUC5" s="279"/>
      <c r="TUD5" s="279"/>
      <c r="TUE5" s="279"/>
      <c r="TUF5" s="279"/>
      <c r="TUG5" s="279"/>
      <c r="TUH5" s="279"/>
      <c r="TUI5" s="279"/>
      <c r="TUJ5" s="279"/>
      <c r="TUK5" s="279"/>
      <c r="TUL5" s="279"/>
      <c r="TUM5" s="279"/>
      <c r="TUN5" s="279"/>
      <c r="TUO5" s="279"/>
      <c r="TUP5" s="279"/>
      <c r="TUQ5" s="279"/>
      <c r="TUR5" s="279"/>
      <c r="TUS5" s="279"/>
      <c r="TUT5" s="279"/>
      <c r="TUU5" s="279"/>
      <c r="TUV5" s="279"/>
      <c r="TUW5" s="279"/>
      <c r="TUX5" s="279"/>
      <c r="TUY5" s="279"/>
      <c r="TUZ5" s="279"/>
      <c r="TVA5" s="279"/>
      <c r="TVB5" s="279"/>
      <c r="TVC5" s="279"/>
      <c r="TVD5" s="279"/>
      <c r="TVE5" s="279"/>
      <c r="TVF5" s="279"/>
      <c r="TVG5" s="279"/>
      <c r="TVH5" s="279"/>
      <c r="TVI5" s="279"/>
      <c r="TVJ5" s="279"/>
      <c r="TVK5" s="279"/>
      <c r="TVL5" s="279"/>
      <c r="TVM5" s="279"/>
      <c r="TVN5" s="279"/>
      <c r="TVO5" s="279"/>
      <c r="TVP5" s="279"/>
      <c r="TVQ5" s="279"/>
      <c r="TVR5" s="279"/>
      <c r="TVS5" s="279"/>
      <c r="TVT5" s="279"/>
      <c r="TVU5" s="279"/>
      <c r="TVV5" s="279"/>
      <c r="TVW5" s="279"/>
      <c r="TVX5" s="279"/>
      <c r="TVY5" s="279"/>
      <c r="TVZ5" s="279"/>
      <c r="TWA5" s="279"/>
      <c r="TWB5" s="279"/>
      <c r="TWC5" s="279"/>
      <c r="TWD5" s="279"/>
      <c r="TWE5" s="279"/>
      <c r="TWF5" s="279"/>
      <c r="TWG5" s="279"/>
      <c r="TWH5" s="279"/>
      <c r="TWI5" s="279"/>
      <c r="TWJ5" s="279"/>
      <c r="TWK5" s="279"/>
      <c r="TWL5" s="279"/>
      <c r="TWM5" s="279"/>
      <c r="TWN5" s="279"/>
      <c r="TWO5" s="279"/>
      <c r="TWP5" s="279"/>
      <c r="TWQ5" s="279"/>
      <c r="TWR5" s="279"/>
      <c r="TWS5" s="279"/>
      <c r="TWT5" s="279"/>
      <c r="TWU5" s="279"/>
      <c r="TWV5" s="279"/>
      <c r="TWW5" s="279"/>
      <c r="TWX5" s="279"/>
      <c r="TWY5" s="279"/>
      <c r="TWZ5" s="279"/>
      <c r="TXA5" s="279"/>
      <c r="TXB5" s="279"/>
      <c r="TXC5" s="279"/>
      <c r="TXD5" s="279"/>
      <c r="TXE5" s="279"/>
      <c r="TXF5" s="279"/>
      <c r="TXG5" s="279"/>
      <c r="TXH5" s="279"/>
      <c r="TXI5" s="279"/>
      <c r="TXJ5" s="279"/>
      <c r="TXK5" s="279"/>
      <c r="TXL5" s="279"/>
      <c r="TXM5" s="279"/>
      <c r="TXN5" s="279"/>
      <c r="TXO5" s="279"/>
      <c r="TXP5" s="279"/>
      <c r="TXQ5" s="279"/>
      <c r="TXR5" s="279"/>
      <c r="TXS5" s="279"/>
      <c r="TXT5" s="279"/>
      <c r="TXU5" s="279"/>
      <c r="TXV5" s="279"/>
      <c r="TXW5" s="279"/>
      <c r="TXX5" s="279"/>
      <c r="TXY5" s="279"/>
      <c r="TXZ5" s="279"/>
      <c r="TYA5" s="279"/>
      <c r="TYB5" s="279"/>
      <c r="TYC5" s="279"/>
      <c r="TYD5" s="279"/>
      <c r="TYE5" s="279"/>
      <c r="TYF5" s="279"/>
      <c r="TYG5" s="279"/>
      <c r="TYH5" s="279"/>
      <c r="TYI5" s="279"/>
      <c r="TYJ5" s="279"/>
      <c r="TYK5" s="279"/>
      <c r="TYL5" s="279"/>
      <c r="TYM5" s="279"/>
      <c r="TYN5" s="279"/>
      <c r="TYO5" s="279"/>
      <c r="TYP5" s="279"/>
      <c r="TYQ5" s="279"/>
      <c r="TYR5" s="279"/>
      <c r="TYS5" s="279"/>
      <c r="TYT5" s="279"/>
      <c r="TYU5" s="279"/>
      <c r="TYV5" s="279"/>
      <c r="TYW5" s="279"/>
      <c r="TYX5" s="279"/>
      <c r="TYY5" s="279"/>
      <c r="TYZ5" s="279"/>
      <c r="TZA5" s="279"/>
      <c r="TZB5" s="279"/>
      <c r="TZC5" s="279"/>
      <c r="TZD5" s="279"/>
      <c r="TZE5" s="279"/>
      <c r="TZF5" s="279"/>
      <c r="TZG5" s="279"/>
      <c r="TZH5" s="279"/>
      <c r="TZI5" s="279"/>
      <c r="TZJ5" s="279"/>
      <c r="TZK5" s="279"/>
      <c r="TZL5" s="279"/>
      <c r="TZM5" s="279"/>
      <c r="TZN5" s="279"/>
      <c r="TZO5" s="279"/>
      <c r="TZP5" s="279"/>
      <c r="TZQ5" s="279"/>
      <c r="TZR5" s="279"/>
      <c r="TZS5" s="279"/>
      <c r="TZT5" s="279"/>
      <c r="TZU5" s="279"/>
      <c r="TZV5" s="279"/>
      <c r="TZW5" s="279"/>
      <c r="TZX5" s="279"/>
      <c r="TZY5" s="279"/>
      <c r="TZZ5" s="279"/>
      <c r="UAA5" s="279"/>
      <c r="UAB5" s="279"/>
      <c r="UAC5" s="279"/>
      <c r="UAD5" s="279"/>
      <c r="UAE5" s="279"/>
      <c r="UAF5" s="279"/>
      <c r="UAG5" s="279"/>
      <c r="UAH5" s="279"/>
      <c r="UAI5" s="279"/>
      <c r="UAJ5" s="279"/>
      <c r="UAK5" s="279"/>
      <c r="UAL5" s="279"/>
      <c r="UAM5" s="279"/>
      <c r="UAN5" s="279"/>
      <c r="UAO5" s="279"/>
      <c r="UAP5" s="279"/>
      <c r="UAQ5" s="279"/>
      <c r="UAR5" s="279"/>
      <c r="UAS5" s="279"/>
      <c r="UAT5" s="279"/>
      <c r="UAU5" s="279"/>
      <c r="UAV5" s="279"/>
      <c r="UAW5" s="279"/>
      <c r="UAX5" s="279"/>
      <c r="UAY5" s="279"/>
      <c r="UAZ5" s="279"/>
      <c r="UBA5" s="279"/>
      <c r="UBB5" s="279"/>
      <c r="UBC5" s="279"/>
      <c r="UBD5" s="279"/>
      <c r="UBE5" s="279"/>
      <c r="UBF5" s="279"/>
      <c r="UBG5" s="279"/>
      <c r="UBH5" s="279"/>
      <c r="UBI5" s="279"/>
      <c r="UBJ5" s="279"/>
      <c r="UBK5" s="279"/>
      <c r="UBL5" s="279"/>
      <c r="UBM5" s="279"/>
      <c r="UBN5" s="279"/>
      <c r="UBO5" s="279"/>
      <c r="UBP5" s="279"/>
      <c r="UBQ5" s="279"/>
      <c r="UBR5" s="279"/>
      <c r="UBS5" s="279"/>
      <c r="UBT5" s="279"/>
      <c r="UBU5" s="279"/>
      <c r="UBV5" s="279"/>
      <c r="UBW5" s="279"/>
      <c r="UBX5" s="279"/>
      <c r="UBY5" s="279"/>
      <c r="UBZ5" s="279"/>
      <c r="UCA5" s="279"/>
      <c r="UCB5" s="279"/>
      <c r="UCC5" s="279"/>
      <c r="UCD5" s="279"/>
      <c r="UCE5" s="279"/>
      <c r="UCF5" s="279"/>
      <c r="UCG5" s="279"/>
      <c r="UCH5" s="279"/>
      <c r="UCI5" s="279"/>
      <c r="UCJ5" s="279"/>
      <c r="UCK5" s="279"/>
      <c r="UCL5" s="279"/>
      <c r="UCM5" s="279"/>
      <c r="UCN5" s="279"/>
      <c r="UCO5" s="279"/>
      <c r="UCP5" s="279"/>
      <c r="UCQ5" s="279"/>
      <c r="UCR5" s="279"/>
      <c r="UCS5" s="279"/>
      <c r="UCT5" s="279"/>
      <c r="UCU5" s="279"/>
      <c r="UCV5" s="279"/>
      <c r="UCW5" s="279"/>
      <c r="UCX5" s="279"/>
      <c r="UCY5" s="279"/>
      <c r="UCZ5" s="279"/>
      <c r="UDA5" s="279"/>
      <c r="UDB5" s="279"/>
      <c r="UDC5" s="279"/>
      <c r="UDD5" s="279"/>
      <c r="UDE5" s="279"/>
      <c r="UDF5" s="279"/>
      <c r="UDG5" s="279"/>
      <c r="UDH5" s="279"/>
      <c r="UDI5" s="279"/>
      <c r="UDJ5" s="279"/>
      <c r="UDK5" s="279"/>
      <c r="UDL5" s="279"/>
      <c r="UDM5" s="279"/>
      <c r="UDN5" s="279"/>
      <c r="UDO5" s="279"/>
      <c r="UDP5" s="279"/>
      <c r="UDQ5" s="279"/>
      <c r="UDR5" s="279"/>
      <c r="UDS5" s="279"/>
      <c r="UDT5" s="279"/>
      <c r="UDU5" s="279"/>
      <c r="UDV5" s="279"/>
      <c r="UDW5" s="279"/>
      <c r="UDX5" s="279"/>
      <c r="UDY5" s="279"/>
      <c r="UDZ5" s="279"/>
      <c r="UEA5" s="279"/>
      <c r="UEB5" s="279"/>
      <c r="UEC5" s="279"/>
      <c r="UED5" s="279"/>
      <c r="UEE5" s="279"/>
      <c r="UEF5" s="279"/>
      <c r="UEG5" s="279"/>
      <c r="UEH5" s="279"/>
      <c r="UEI5" s="279"/>
      <c r="UEJ5" s="279"/>
      <c r="UEK5" s="279"/>
      <c r="UEL5" s="279"/>
      <c r="UEM5" s="279"/>
      <c r="UEN5" s="279"/>
      <c r="UEO5" s="279"/>
      <c r="UEP5" s="279"/>
      <c r="UEQ5" s="279"/>
      <c r="UER5" s="279"/>
      <c r="UES5" s="279"/>
      <c r="UET5" s="279"/>
      <c r="UEU5" s="279"/>
      <c r="UEV5" s="279"/>
      <c r="UEW5" s="279"/>
      <c r="UEX5" s="279"/>
      <c r="UEY5" s="279"/>
      <c r="UEZ5" s="279"/>
      <c r="UFA5" s="279"/>
      <c r="UFB5" s="279"/>
      <c r="UFC5" s="279"/>
      <c r="UFD5" s="279"/>
      <c r="UFE5" s="279"/>
      <c r="UFF5" s="279"/>
      <c r="UFG5" s="279"/>
      <c r="UFH5" s="279"/>
      <c r="UFI5" s="279"/>
      <c r="UFJ5" s="279"/>
      <c r="UFK5" s="279"/>
      <c r="UFL5" s="279"/>
      <c r="UFM5" s="279"/>
      <c r="UFN5" s="279"/>
      <c r="UFO5" s="279"/>
      <c r="UFP5" s="279"/>
      <c r="UFQ5" s="279"/>
      <c r="UFR5" s="279"/>
      <c r="UFS5" s="279"/>
      <c r="UFT5" s="279"/>
      <c r="UFU5" s="279"/>
      <c r="UFV5" s="279"/>
      <c r="UFW5" s="279"/>
      <c r="UFX5" s="279"/>
      <c r="UFY5" s="279"/>
      <c r="UFZ5" s="279"/>
      <c r="UGA5" s="279"/>
      <c r="UGB5" s="279"/>
      <c r="UGC5" s="279"/>
      <c r="UGD5" s="279"/>
      <c r="UGE5" s="279"/>
      <c r="UGF5" s="279"/>
      <c r="UGG5" s="279"/>
      <c r="UGH5" s="279"/>
      <c r="UGI5" s="279"/>
      <c r="UGJ5" s="279"/>
      <c r="UGK5" s="279"/>
      <c r="UGL5" s="279"/>
      <c r="UGM5" s="279"/>
      <c r="UGN5" s="279"/>
      <c r="UGO5" s="279"/>
      <c r="UGP5" s="279"/>
      <c r="UGQ5" s="279"/>
      <c r="UGR5" s="279"/>
      <c r="UGS5" s="279"/>
      <c r="UGT5" s="279"/>
      <c r="UGU5" s="279"/>
      <c r="UGV5" s="279"/>
      <c r="UGW5" s="279"/>
      <c r="UGX5" s="279"/>
      <c r="UGY5" s="279"/>
      <c r="UGZ5" s="279"/>
      <c r="UHA5" s="279"/>
      <c r="UHB5" s="279"/>
      <c r="UHC5" s="279"/>
      <c r="UHD5" s="279"/>
      <c r="UHE5" s="279"/>
      <c r="UHF5" s="279"/>
      <c r="UHG5" s="279"/>
      <c r="UHH5" s="279"/>
      <c r="UHI5" s="279"/>
      <c r="UHJ5" s="279"/>
      <c r="UHK5" s="279"/>
      <c r="UHL5" s="279"/>
      <c r="UHM5" s="279"/>
      <c r="UHN5" s="279"/>
      <c r="UHO5" s="279"/>
      <c r="UHP5" s="279"/>
      <c r="UHQ5" s="279"/>
      <c r="UHR5" s="279"/>
      <c r="UHS5" s="279"/>
      <c r="UHT5" s="279"/>
      <c r="UHU5" s="279"/>
      <c r="UHV5" s="279"/>
      <c r="UHW5" s="279"/>
      <c r="UHX5" s="279"/>
      <c r="UHY5" s="279"/>
      <c r="UHZ5" s="279"/>
      <c r="UIA5" s="279"/>
      <c r="UIB5" s="279"/>
      <c r="UIC5" s="279"/>
      <c r="UID5" s="279"/>
      <c r="UIE5" s="279"/>
      <c r="UIF5" s="279"/>
      <c r="UIG5" s="279"/>
      <c r="UIH5" s="279"/>
      <c r="UII5" s="279"/>
      <c r="UIJ5" s="279"/>
      <c r="UIK5" s="279"/>
      <c r="UIL5" s="279"/>
      <c r="UIM5" s="279"/>
      <c r="UIN5" s="279"/>
      <c r="UIO5" s="279"/>
      <c r="UIP5" s="279"/>
      <c r="UIQ5" s="279"/>
      <c r="UIR5" s="279"/>
      <c r="UIS5" s="279"/>
      <c r="UIT5" s="279"/>
      <c r="UIU5" s="279"/>
      <c r="UIV5" s="279"/>
      <c r="UIW5" s="279"/>
      <c r="UIX5" s="279"/>
      <c r="UIY5" s="279"/>
      <c r="UIZ5" s="279"/>
      <c r="UJA5" s="279"/>
      <c r="UJB5" s="279"/>
      <c r="UJC5" s="279"/>
      <c r="UJD5" s="279"/>
      <c r="UJE5" s="279"/>
      <c r="UJF5" s="279"/>
      <c r="UJG5" s="279"/>
      <c r="UJH5" s="279"/>
      <c r="UJI5" s="279"/>
      <c r="UJJ5" s="279"/>
      <c r="UJK5" s="279"/>
      <c r="UJL5" s="279"/>
      <c r="UJM5" s="279"/>
      <c r="UJN5" s="279"/>
      <c r="UJO5" s="279"/>
      <c r="UJP5" s="279"/>
      <c r="UJQ5" s="279"/>
      <c r="UJR5" s="279"/>
      <c r="UJS5" s="279"/>
      <c r="UJT5" s="279"/>
      <c r="UJU5" s="279"/>
      <c r="UJV5" s="279"/>
      <c r="UJW5" s="279"/>
      <c r="UJX5" s="279"/>
      <c r="UJY5" s="279"/>
      <c r="UJZ5" s="279"/>
      <c r="UKA5" s="279"/>
      <c r="UKB5" s="279"/>
      <c r="UKC5" s="279"/>
      <c r="UKD5" s="279"/>
      <c r="UKE5" s="279"/>
      <c r="UKF5" s="279"/>
      <c r="UKG5" s="279"/>
      <c r="UKH5" s="279"/>
      <c r="UKI5" s="279"/>
      <c r="UKJ5" s="279"/>
      <c r="UKK5" s="279"/>
      <c r="UKL5" s="279"/>
      <c r="UKM5" s="279"/>
      <c r="UKN5" s="279"/>
      <c r="UKO5" s="279"/>
      <c r="UKP5" s="279"/>
      <c r="UKQ5" s="279"/>
      <c r="UKR5" s="279"/>
      <c r="UKS5" s="279"/>
      <c r="UKT5" s="279"/>
      <c r="UKU5" s="279"/>
      <c r="UKV5" s="279"/>
      <c r="UKW5" s="279"/>
      <c r="UKX5" s="279"/>
      <c r="UKY5" s="279"/>
      <c r="UKZ5" s="279"/>
      <c r="ULA5" s="279"/>
      <c r="ULB5" s="279"/>
      <c r="ULC5" s="279"/>
      <c r="ULD5" s="279"/>
      <c r="ULE5" s="279"/>
      <c r="ULF5" s="279"/>
      <c r="ULG5" s="279"/>
      <c r="ULH5" s="279"/>
      <c r="ULI5" s="279"/>
      <c r="ULJ5" s="279"/>
      <c r="ULK5" s="279"/>
      <c r="ULL5" s="279"/>
      <c r="ULM5" s="279"/>
      <c r="ULN5" s="279"/>
      <c r="ULO5" s="279"/>
      <c r="ULP5" s="279"/>
      <c r="ULQ5" s="279"/>
      <c r="ULR5" s="279"/>
      <c r="ULS5" s="279"/>
      <c r="ULT5" s="279"/>
      <c r="ULU5" s="279"/>
      <c r="ULV5" s="279"/>
      <c r="ULW5" s="279"/>
      <c r="ULX5" s="279"/>
      <c r="ULY5" s="279"/>
      <c r="ULZ5" s="279"/>
      <c r="UMA5" s="279"/>
      <c r="UMB5" s="279"/>
      <c r="UMC5" s="279"/>
      <c r="UMD5" s="279"/>
      <c r="UME5" s="279"/>
      <c r="UMF5" s="279"/>
      <c r="UMG5" s="279"/>
      <c r="UMH5" s="279"/>
      <c r="UMI5" s="279"/>
      <c r="UMJ5" s="279"/>
      <c r="UMK5" s="279"/>
      <c r="UML5" s="279"/>
      <c r="UMM5" s="279"/>
      <c r="UMN5" s="279"/>
      <c r="UMO5" s="279"/>
      <c r="UMP5" s="279"/>
      <c r="UMQ5" s="279"/>
      <c r="UMR5" s="279"/>
      <c r="UMS5" s="279"/>
      <c r="UMT5" s="279"/>
      <c r="UMU5" s="279"/>
      <c r="UMV5" s="279"/>
      <c r="UMW5" s="279"/>
      <c r="UMX5" s="279"/>
      <c r="UMY5" s="279"/>
      <c r="UMZ5" s="279"/>
      <c r="UNA5" s="279"/>
      <c r="UNB5" s="279"/>
      <c r="UNC5" s="279"/>
      <c r="UND5" s="279"/>
      <c r="UNE5" s="279"/>
      <c r="UNF5" s="279"/>
      <c r="UNG5" s="279"/>
      <c r="UNH5" s="279"/>
      <c r="UNI5" s="279"/>
      <c r="UNJ5" s="279"/>
      <c r="UNK5" s="279"/>
      <c r="UNL5" s="279"/>
      <c r="UNM5" s="279"/>
      <c r="UNN5" s="279"/>
      <c r="UNO5" s="279"/>
      <c r="UNP5" s="279"/>
      <c r="UNQ5" s="279"/>
      <c r="UNR5" s="279"/>
      <c r="UNS5" s="279"/>
      <c r="UNT5" s="279"/>
      <c r="UNU5" s="279"/>
      <c r="UNV5" s="279"/>
      <c r="UNW5" s="279"/>
      <c r="UNX5" s="279"/>
      <c r="UNY5" s="279"/>
      <c r="UNZ5" s="279"/>
      <c r="UOA5" s="279"/>
      <c r="UOB5" s="279"/>
      <c r="UOC5" s="279"/>
      <c r="UOD5" s="279"/>
      <c r="UOE5" s="279"/>
      <c r="UOF5" s="279"/>
      <c r="UOG5" s="279"/>
      <c r="UOH5" s="279"/>
      <c r="UOI5" s="279"/>
      <c r="UOJ5" s="279"/>
      <c r="UOK5" s="279"/>
      <c r="UOL5" s="279"/>
      <c r="UOM5" s="279"/>
      <c r="UON5" s="279"/>
      <c r="UOO5" s="279"/>
      <c r="UOP5" s="279"/>
      <c r="UOQ5" s="279"/>
      <c r="UOR5" s="279"/>
      <c r="UOS5" s="279"/>
      <c r="UOT5" s="279"/>
      <c r="UOU5" s="279"/>
      <c r="UOV5" s="279"/>
      <c r="UOW5" s="279"/>
      <c r="UOX5" s="279"/>
      <c r="UOY5" s="279"/>
      <c r="UOZ5" s="279"/>
      <c r="UPA5" s="279"/>
      <c r="UPB5" s="279"/>
      <c r="UPC5" s="279"/>
      <c r="UPD5" s="279"/>
      <c r="UPE5" s="279"/>
      <c r="UPF5" s="279"/>
      <c r="UPG5" s="279"/>
      <c r="UPH5" s="279"/>
      <c r="UPI5" s="279"/>
      <c r="UPJ5" s="279"/>
      <c r="UPK5" s="279"/>
      <c r="UPL5" s="279"/>
      <c r="UPM5" s="279"/>
      <c r="UPN5" s="279"/>
      <c r="UPO5" s="279"/>
      <c r="UPP5" s="279"/>
      <c r="UPQ5" s="279"/>
      <c r="UPR5" s="279"/>
      <c r="UPS5" s="279"/>
      <c r="UPT5" s="279"/>
      <c r="UPU5" s="279"/>
      <c r="UPV5" s="279"/>
      <c r="UPW5" s="279"/>
      <c r="UPX5" s="279"/>
      <c r="UPY5" s="279"/>
      <c r="UPZ5" s="279"/>
      <c r="UQA5" s="279"/>
      <c r="UQB5" s="279"/>
      <c r="UQC5" s="279"/>
      <c r="UQD5" s="279"/>
      <c r="UQE5" s="279"/>
      <c r="UQF5" s="279"/>
      <c r="UQG5" s="279"/>
      <c r="UQH5" s="279"/>
      <c r="UQI5" s="279"/>
      <c r="UQJ5" s="279"/>
      <c r="UQK5" s="279"/>
      <c r="UQL5" s="279"/>
      <c r="UQM5" s="279"/>
      <c r="UQN5" s="279"/>
      <c r="UQO5" s="279"/>
      <c r="UQP5" s="279"/>
      <c r="UQQ5" s="279"/>
      <c r="UQR5" s="279"/>
      <c r="UQS5" s="279"/>
      <c r="UQT5" s="279"/>
      <c r="UQU5" s="279"/>
      <c r="UQV5" s="279"/>
      <c r="UQW5" s="279"/>
      <c r="UQX5" s="279"/>
      <c r="UQY5" s="279"/>
      <c r="UQZ5" s="279"/>
      <c r="URA5" s="279"/>
      <c r="URB5" s="279"/>
      <c r="URC5" s="279"/>
      <c r="URD5" s="279"/>
      <c r="URE5" s="279"/>
      <c r="URF5" s="279"/>
      <c r="URG5" s="279"/>
      <c r="URH5" s="279"/>
      <c r="URI5" s="279"/>
      <c r="URJ5" s="279"/>
      <c r="URK5" s="279"/>
      <c r="URL5" s="279"/>
      <c r="URM5" s="279"/>
      <c r="URN5" s="279"/>
      <c r="URO5" s="279"/>
      <c r="URP5" s="279"/>
      <c r="URQ5" s="279"/>
      <c r="URR5" s="279"/>
      <c r="URS5" s="279"/>
      <c r="URT5" s="279"/>
      <c r="URU5" s="279"/>
      <c r="URV5" s="279"/>
      <c r="URW5" s="279"/>
      <c r="URX5" s="279"/>
      <c r="URY5" s="279"/>
      <c r="URZ5" s="279"/>
      <c r="USA5" s="279"/>
      <c r="USB5" s="279"/>
      <c r="USC5" s="279"/>
      <c r="USD5" s="279"/>
      <c r="USE5" s="279"/>
      <c r="USF5" s="279"/>
      <c r="USG5" s="279"/>
      <c r="USH5" s="279"/>
      <c r="USI5" s="279"/>
      <c r="USJ5" s="279"/>
      <c r="USK5" s="279"/>
      <c r="USL5" s="279"/>
      <c r="USM5" s="279"/>
      <c r="USN5" s="279"/>
      <c r="USO5" s="279"/>
      <c r="USP5" s="279"/>
      <c r="USQ5" s="279"/>
      <c r="USR5" s="279"/>
      <c r="USS5" s="279"/>
      <c r="UST5" s="279"/>
      <c r="USU5" s="279"/>
      <c r="USV5" s="279"/>
      <c r="USW5" s="279"/>
      <c r="USX5" s="279"/>
      <c r="USY5" s="279"/>
      <c r="USZ5" s="279"/>
      <c r="UTA5" s="279"/>
      <c r="UTB5" s="279"/>
      <c r="UTC5" s="279"/>
      <c r="UTD5" s="279"/>
      <c r="UTE5" s="279"/>
      <c r="UTF5" s="279"/>
      <c r="UTG5" s="279"/>
      <c r="UTH5" s="279"/>
      <c r="UTI5" s="279"/>
      <c r="UTJ5" s="279"/>
      <c r="UTK5" s="279"/>
      <c r="UTL5" s="279"/>
      <c r="UTM5" s="279"/>
      <c r="UTN5" s="279"/>
      <c r="UTO5" s="279"/>
      <c r="UTP5" s="279"/>
      <c r="UTQ5" s="279"/>
      <c r="UTR5" s="279"/>
      <c r="UTS5" s="279"/>
      <c r="UTT5" s="279"/>
      <c r="UTU5" s="279"/>
      <c r="UTV5" s="279"/>
      <c r="UTW5" s="279"/>
      <c r="UTX5" s="279"/>
      <c r="UTY5" s="279"/>
      <c r="UTZ5" s="279"/>
      <c r="UUA5" s="279"/>
      <c r="UUB5" s="279"/>
      <c r="UUC5" s="279"/>
      <c r="UUD5" s="279"/>
      <c r="UUE5" s="279"/>
      <c r="UUF5" s="279"/>
      <c r="UUG5" s="279"/>
      <c r="UUH5" s="279"/>
      <c r="UUI5" s="279"/>
      <c r="UUJ5" s="279"/>
      <c r="UUK5" s="279"/>
      <c r="UUL5" s="279"/>
      <c r="UUM5" s="279"/>
      <c r="UUN5" s="279"/>
      <c r="UUO5" s="279"/>
      <c r="UUP5" s="279"/>
      <c r="UUQ5" s="279"/>
      <c r="UUR5" s="279"/>
      <c r="UUS5" s="279"/>
      <c r="UUT5" s="279"/>
      <c r="UUU5" s="279"/>
      <c r="UUV5" s="279"/>
      <c r="UUW5" s="279"/>
      <c r="UUX5" s="279"/>
      <c r="UUY5" s="279"/>
      <c r="UUZ5" s="279"/>
      <c r="UVA5" s="279"/>
      <c r="UVB5" s="279"/>
      <c r="UVC5" s="279"/>
      <c r="UVD5" s="279"/>
      <c r="UVE5" s="279"/>
      <c r="UVF5" s="279"/>
      <c r="UVG5" s="279"/>
      <c r="UVH5" s="279"/>
      <c r="UVI5" s="279"/>
      <c r="UVJ5" s="279"/>
      <c r="UVK5" s="279"/>
      <c r="UVL5" s="279"/>
      <c r="UVM5" s="279"/>
      <c r="UVN5" s="279"/>
      <c r="UVO5" s="279"/>
      <c r="UVP5" s="279"/>
      <c r="UVQ5" s="279"/>
      <c r="UVR5" s="279"/>
      <c r="UVS5" s="279"/>
      <c r="UVT5" s="279"/>
      <c r="UVU5" s="279"/>
      <c r="UVV5" s="279"/>
      <c r="UVW5" s="279"/>
      <c r="UVX5" s="279"/>
      <c r="UVY5" s="279"/>
      <c r="UVZ5" s="279"/>
      <c r="UWA5" s="279"/>
      <c r="UWB5" s="279"/>
      <c r="UWC5" s="279"/>
      <c r="UWD5" s="279"/>
      <c r="UWE5" s="279"/>
      <c r="UWF5" s="279"/>
      <c r="UWG5" s="279"/>
      <c r="UWH5" s="279"/>
      <c r="UWI5" s="279"/>
      <c r="UWJ5" s="279"/>
      <c r="UWK5" s="279"/>
      <c r="UWL5" s="279"/>
      <c r="UWM5" s="279"/>
      <c r="UWN5" s="279"/>
      <c r="UWO5" s="279"/>
      <c r="UWP5" s="279"/>
      <c r="UWQ5" s="279"/>
      <c r="UWR5" s="279"/>
      <c r="UWS5" s="279"/>
      <c r="UWT5" s="279"/>
      <c r="UWU5" s="279"/>
      <c r="UWV5" s="279"/>
      <c r="UWW5" s="279"/>
      <c r="UWX5" s="279"/>
      <c r="UWY5" s="279"/>
      <c r="UWZ5" s="279"/>
      <c r="UXA5" s="279"/>
      <c r="UXB5" s="279"/>
      <c r="UXC5" s="279"/>
      <c r="UXD5" s="279"/>
      <c r="UXE5" s="279"/>
      <c r="UXF5" s="279"/>
      <c r="UXG5" s="279"/>
      <c r="UXH5" s="279"/>
      <c r="UXI5" s="279"/>
      <c r="UXJ5" s="279"/>
      <c r="UXK5" s="279"/>
      <c r="UXL5" s="279"/>
      <c r="UXM5" s="279"/>
      <c r="UXN5" s="279"/>
      <c r="UXO5" s="279"/>
      <c r="UXP5" s="279"/>
      <c r="UXQ5" s="279"/>
      <c r="UXR5" s="279"/>
      <c r="UXS5" s="279"/>
      <c r="UXT5" s="279"/>
      <c r="UXU5" s="279"/>
      <c r="UXV5" s="279"/>
      <c r="UXW5" s="279"/>
      <c r="UXX5" s="279"/>
      <c r="UXY5" s="279"/>
      <c r="UXZ5" s="279"/>
      <c r="UYA5" s="279"/>
      <c r="UYB5" s="279"/>
      <c r="UYC5" s="279"/>
      <c r="UYD5" s="279"/>
      <c r="UYE5" s="279"/>
      <c r="UYF5" s="279"/>
      <c r="UYG5" s="279"/>
      <c r="UYH5" s="279"/>
      <c r="UYI5" s="279"/>
      <c r="UYJ5" s="279"/>
      <c r="UYK5" s="279"/>
      <c r="UYL5" s="279"/>
      <c r="UYM5" s="279"/>
      <c r="UYN5" s="279"/>
      <c r="UYO5" s="279"/>
      <c r="UYP5" s="279"/>
      <c r="UYQ5" s="279"/>
      <c r="UYR5" s="279"/>
      <c r="UYS5" s="279"/>
      <c r="UYT5" s="279"/>
      <c r="UYU5" s="279"/>
      <c r="UYV5" s="279"/>
      <c r="UYW5" s="279"/>
      <c r="UYX5" s="279"/>
      <c r="UYY5" s="279"/>
      <c r="UYZ5" s="279"/>
      <c r="UZA5" s="279"/>
      <c r="UZB5" s="279"/>
      <c r="UZC5" s="279"/>
      <c r="UZD5" s="279"/>
      <c r="UZE5" s="279"/>
      <c r="UZF5" s="279"/>
      <c r="UZG5" s="279"/>
      <c r="UZH5" s="279"/>
      <c r="UZI5" s="279"/>
      <c r="UZJ5" s="279"/>
      <c r="UZK5" s="279"/>
      <c r="UZL5" s="279"/>
      <c r="UZM5" s="279"/>
      <c r="UZN5" s="279"/>
      <c r="UZO5" s="279"/>
      <c r="UZP5" s="279"/>
      <c r="UZQ5" s="279"/>
      <c r="UZR5" s="279"/>
      <c r="UZS5" s="279"/>
      <c r="UZT5" s="279"/>
      <c r="UZU5" s="279"/>
      <c r="UZV5" s="279"/>
      <c r="UZW5" s="279"/>
      <c r="UZX5" s="279"/>
      <c r="UZY5" s="279"/>
      <c r="UZZ5" s="279"/>
      <c r="VAA5" s="279"/>
      <c r="VAB5" s="279"/>
      <c r="VAC5" s="279"/>
      <c r="VAD5" s="279"/>
      <c r="VAE5" s="279"/>
      <c r="VAF5" s="279"/>
      <c r="VAG5" s="279"/>
      <c r="VAH5" s="279"/>
      <c r="VAI5" s="279"/>
      <c r="VAJ5" s="279"/>
      <c r="VAK5" s="279"/>
      <c r="VAL5" s="279"/>
      <c r="VAM5" s="279"/>
      <c r="VAN5" s="279"/>
      <c r="VAO5" s="279"/>
      <c r="VAP5" s="279"/>
      <c r="VAQ5" s="279"/>
      <c r="VAR5" s="279"/>
      <c r="VAS5" s="279"/>
      <c r="VAT5" s="279"/>
      <c r="VAU5" s="279"/>
      <c r="VAV5" s="279"/>
      <c r="VAW5" s="279"/>
      <c r="VAX5" s="279"/>
      <c r="VAY5" s="279"/>
      <c r="VAZ5" s="279"/>
      <c r="VBA5" s="279"/>
      <c r="VBB5" s="279"/>
      <c r="VBC5" s="279"/>
      <c r="VBD5" s="279"/>
      <c r="VBE5" s="279"/>
      <c r="VBF5" s="279"/>
      <c r="VBG5" s="279"/>
      <c r="VBH5" s="279"/>
      <c r="VBI5" s="279"/>
      <c r="VBJ5" s="279"/>
      <c r="VBK5" s="279"/>
      <c r="VBL5" s="279"/>
      <c r="VBM5" s="279"/>
      <c r="VBN5" s="279"/>
      <c r="VBO5" s="279"/>
      <c r="VBP5" s="279"/>
      <c r="VBQ5" s="279"/>
      <c r="VBR5" s="279"/>
      <c r="VBS5" s="279"/>
      <c r="VBT5" s="279"/>
      <c r="VBU5" s="279"/>
      <c r="VBV5" s="279"/>
      <c r="VBW5" s="279"/>
      <c r="VBX5" s="279"/>
      <c r="VBY5" s="279"/>
      <c r="VBZ5" s="279"/>
      <c r="VCA5" s="279"/>
      <c r="VCB5" s="279"/>
      <c r="VCC5" s="279"/>
      <c r="VCD5" s="279"/>
      <c r="VCE5" s="279"/>
      <c r="VCF5" s="279"/>
      <c r="VCG5" s="279"/>
      <c r="VCH5" s="279"/>
      <c r="VCI5" s="279"/>
      <c r="VCJ5" s="279"/>
      <c r="VCK5" s="279"/>
      <c r="VCL5" s="279"/>
      <c r="VCM5" s="279"/>
      <c r="VCN5" s="279"/>
      <c r="VCO5" s="279"/>
      <c r="VCP5" s="279"/>
      <c r="VCQ5" s="279"/>
      <c r="VCR5" s="279"/>
      <c r="VCS5" s="279"/>
      <c r="VCT5" s="279"/>
      <c r="VCU5" s="279"/>
      <c r="VCV5" s="279"/>
      <c r="VCW5" s="279"/>
      <c r="VCX5" s="279"/>
      <c r="VCY5" s="279"/>
      <c r="VCZ5" s="279"/>
      <c r="VDA5" s="279"/>
      <c r="VDB5" s="279"/>
      <c r="VDC5" s="279"/>
      <c r="VDD5" s="279"/>
      <c r="VDE5" s="279"/>
      <c r="VDF5" s="279"/>
      <c r="VDG5" s="279"/>
      <c r="VDH5" s="279"/>
      <c r="VDI5" s="279"/>
      <c r="VDJ5" s="279"/>
      <c r="VDK5" s="279"/>
      <c r="VDL5" s="279"/>
      <c r="VDM5" s="279"/>
      <c r="VDN5" s="279"/>
      <c r="VDO5" s="279"/>
      <c r="VDP5" s="279"/>
      <c r="VDQ5" s="279"/>
      <c r="VDR5" s="279"/>
      <c r="VDS5" s="279"/>
      <c r="VDT5" s="279"/>
      <c r="VDU5" s="279"/>
      <c r="VDV5" s="279"/>
      <c r="VDW5" s="279"/>
      <c r="VDX5" s="279"/>
      <c r="VDY5" s="279"/>
      <c r="VDZ5" s="279"/>
      <c r="VEA5" s="279"/>
      <c r="VEB5" s="279"/>
      <c r="VEC5" s="279"/>
      <c r="VED5" s="279"/>
      <c r="VEE5" s="279"/>
      <c r="VEF5" s="279"/>
      <c r="VEG5" s="279"/>
      <c r="VEH5" s="279"/>
      <c r="VEI5" s="279"/>
      <c r="VEJ5" s="279"/>
      <c r="VEK5" s="279"/>
      <c r="VEL5" s="279"/>
      <c r="VEM5" s="279"/>
      <c r="VEN5" s="279"/>
      <c r="VEO5" s="279"/>
      <c r="VEP5" s="279"/>
      <c r="VEQ5" s="279"/>
      <c r="VER5" s="279"/>
      <c r="VES5" s="279"/>
      <c r="VET5" s="279"/>
      <c r="VEU5" s="279"/>
      <c r="VEV5" s="279"/>
      <c r="VEW5" s="279"/>
      <c r="VEX5" s="279"/>
      <c r="VEY5" s="279"/>
      <c r="VEZ5" s="279"/>
      <c r="VFA5" s="279"/>
      <c r="VFB5" s="279"/>
      <c r="VFC5" s="279"/>
      <c r="VFD5" s="279"/>
      <c r="VFE5" s="279"/>
      <c r="VFF5" s="279"/>
      <c r="VFG5" s="279"/>
      <c r="VFH5" s="279"/>
      <c r="VFI5" s="279"/>
      <c r="VFJ5" s="279"/>
      <c r="VFK5" s="279"/>
      <c r="VFL5" s="279"/>
      <c r="VFM5" s="279"/>
      <c r="VFN5" s="279"/>
      <c r="VFO5" s="279"/>
      <c r="VFP5" s="279"/>
      <c r="VFQ5" s="279"/>
      <c r="VFR5" s="279"/>
      <c r="VFS5" s="279"/>
      <c r="VFT5" s="279"/>
      <c r="VFU5" s="279"/>
      <c r="VFV5" s="279"/>
      <c r="VFW5" s="279"/>
      <c r="VFX5" s="279"/>
      <c r="VFY5" s="279"/>
      <c r="VFZ5" s="279"/>
      <c r="VGA5" s="279"/>
      <c r="VGB5" s="279"/>
      <c r="VGC5" s="279"/>
      <c r="VGD5" s="279"/>
      <c r="VGE5" s="279"/>
      <c r="VGF5" s="279"/>
      <c r="VGG5" s="279"/>
      <c r="VGH5" s="279"/>
      <c r="VGI5" s="279"/>
      <c r="VGJ5" s="279"/>
      <c r="VGK5" s="279"/>
      <c r="VGL5" s="279"/>
      <c r="VGM5" s="279"/>
      <c r="VGN5" s="279"/>
      <c r="VGO5" s="279"/>
      <c r="VGP5" s="279"/>
      <c r="VGQ5" s="279"/>
      <c r="VGR5" s="279"/>
      <c r="VGS5" s="279"/>
      <c r="VGT5" s="279"/>
      <c r="VGU5" s="279"/>
      <c r="VGV5" s="279"/>
      <c r="VGW5" s="279"/>
      <c r="VGX5" s="279"/>
      <c r="VGY5" s="279"/>
      <c r="VGZ5" s="279"/>
      <c r="VHA5" s="279"/>
      <c r="VHB5" s="279"/>
      <c r="VHC5" s="279"/>
      <c r="VHD5" s="279"/>
      <c r="VHE5" s="279"/>
      <c r="VHF5" s="279"/>
      <c r="VHG5" s="279"/>
      <c r="VHH5" s="279"/>
      <c r="VHI5" s="279"/>
      <c r="VHJ5" s="279"/>
      <c r="VHK5" s="279"/>
      <c r="VHL5" s="279"/>
      <c r="VHM5" s="279"/>
      <c r="VHN5" s="279"/>
      <c r="VHO5" s="279"/>
      <c r="VHP5" s="279"/>
      <c r="VHQ5" s="279"/>
      <c r="VHR5" s="279"/>
      <c r="VHS5" s="279"/>
      <c r="VHT5" s="279"/>
      <c r="VHU5" s="279"/>
      <c r="VHV5" s="279"/>
      <c r="VHW5" s="279"/>
      <c r="VHX5" s="279"/>
      <c r="VHY5" s="279"/>
      <c r="VHZ5" s="279"/>
      <c r="VIA5" s="279"/>
      <c r="VIB5" s="279"/>
      <c r="VIC5" s="279"/>
      <c r="VID5" s="279"/>
      <c r="VIE5" s="279"/>
      <c r="VIF5" s="279"/>
      <c r="VIG5" s="279"/>
      <c r="VIH5" s="279"/>
      <c r="VII5" s="279"/>
      <c r="VIJ5" s="279"/>
      <c r="VIK5" s="279"/>
      <c r="VIL5" s="279"/>
      <c r="VIM5" s="279"/>
      <c r="VIN5" s="279"/>
      <c r="VIO5" s="279"/>
      <c r="VIP5" s="279"/>
      <c r="VIQ5" s="279"/>
      <c r="VIR5" s="279"/>
      <c r="VIS5" s="279"/>
      <c r="VIT5" s="279"/>
      <c r="VIU5" s="279"/>
      <c r="VIV5" s="279"/>
      <c r="VIW5" s="279"/>
      <c r="VIX5" s="279"/>
      <c r="VIY5" s="279"/>
      <c r="VIZ5" s="279"/>
      <c r="VJA5" s="279"/>
      <c r="VJB5" s="279"/>
      <c r="VJC5" s="279"/>
      <c r="VJD5" s="279"/>
      <c r="VJE5" s="279"/>
      <c r="VJF5" s="279"/>
      <c r="VJG5" s="279"/>
      <c r="VJH5" s="279"/>
      <c r="VJI5" s="279"/>
      <c r="VJJ5" s="279"/>
      <c r="VJK5" s="279"/>
      <c r="VJL5" s="279"/>
      <c r="VJM5" s="279"/>
      <c r="VJN5" s="279"/>
      <c r="VJO5" s="279"/>
      <c r="VJP5" s="279"/>
      <c r="VJQ5" s="279"/>
      <c r="VJR5" s="279"/>
      <c r="VJS5" s="279"/>
      <c r="VJT5" s="279"/>
      <c r="VJU5" s="279"/>
      <c r="VJV5" s="279"/>
      <c r="VJW5" s="279"/>
      <c r="VJX5" s="279"/>
      <c r="VJY5" s="279"/>
      <c r="VJZ5" s="279"/>
      <c r="VKA5" s="279"/>
      <c r="VKB5" s="279"/>
      <c r="VKC5" s="279"/>
      <c r="VKD5" s="279"/>
      <c r="VKE5" s="279"/>
      <c r="VKF5" s="279"/>
      <c r="VKG5" s="279"/>
      <c r="VKH5" s="279"/>
      <c r="VKI5" s="279"/>
      <c r="VKJ5" s="279"/>
      <c r="VKK5" s="279"/>
      <c r="VKL5" s="279"/>
      <c r="VKM5" s="279"/>
      <c r="VKN5" s="279"/>
      <c r="VKO5" s="279"/>
      <c r="VKP5" s="279"/>
      <c r="VKQ5" s="279"/>
      <c r="VKR5" s="279"/>
      <c r="VKS5" s="279"/>
      <c r="VKT5" s="279"/>
      <c r="VKU5" s="279"/>
      <c r="VKV5" s="279"/>
      <c r="VKW5" s="279"/>
      <c r="VKX5" s="279"/>
      <c r="VKY5" s="279"/>
      <c r="VKZ5" s="279"/>
      <c r="VLA5" s="279"/>
      <c r="VLB5" s="279"/>
      <c r="VLC5" s="279"/>
      <c r="VLD5" s="279"/>
      <c r="VLE5" s="279"/>
      <c r="VLF5" s="279"/>
      <c r="VLG5" s="279"/>
      <c r="VLH5" s="279"/>
      <c r="VLI5" s="279"/>
      <c r="VLJ5" s="279"/>
      <c r="VLK5" s="279"/>
      <c r="VLL5" s="279"/>
      <c r="VLM5" s="279"/>
      <c r="VLN5" s="279"/>
      <c r="VLO5" s="279"/>
      <c r="VLP5" s="279"/>
      <c r="VLQ5" s="279"/>
      <c r="VLR5" s="279"/>
      <c r="VLS5" s="279"/>
      <c r="VLT5" s="279"/>
      <c r="VLU5" s="279"/>
      <c r="VLV5" s="279"/>
      <c r="VLW5" s="279"/>
      <c r="VLX5" s="279"/>
      <c r="VLY5" s="279"/>
      <c r="VLZ5" s="279"/>
      <c r="VMA5" s="279"/>
      <c r="VMB5" s="279"/>
      <c r="VMC5" s="279"/>
      <c r="VMD5" s="279"/>
      <c r="VME5" s="279"/>
      <c r="VMF5" s="279"/>
      <c r="VMG5" s="279"/>
      <c r="VMH5" s="279"/>
      <c r="VMI5" s="279"/>
      <c r="VMJ5" s="279"/>
      <c r="VMK5" s="279"/>
      <c r="VML5" s="279"/>
      <c r="VMM5" s="279"/>
      <c r="VMN5" s="279"/>
      <c r="VMO5" s="279"/>
      <c r="VMP5" s="279"/>
      <c r="VMQ5" s="279"/>
      <c r="VMR5" s="279"/>
      <c r="VMS5" s="279"/>
      <c r="VMT5" s="279"/>
      <c r="VMU5" s="279"/>
      <c r="VMV5" s="279"/>
      <c r="VMW5" s="279"/>
      <c r="VMX5" s="279"/>
      <c r="VMY5" s="279"/>
      <c r="VMZ5" s="279"/>
      <c r="VNA5" s="279"/>
      <c r="VNB5" s="279"/>
      <c r="VNC5" s="279"/>
      <c r="VND5" s="279"/>
      <c r="VNE5" s="279"/>
      <c r="VNF5" s="279"/>
      <c r="VNG5" s="279"/>
      <c r="VNH5" s="279"/>
      <c r="VNI5" s="279"/>
      <c r="VNJ5" s="279"/>
      <c r="VNK5" s="279"/>
      <c r="VNL5" s="279"/>
      <c r="VNM5" s="279"/>
      <c r="VNN5" s="279"/>
      <c r="VNO5" s="279"/>
      <c r="VNP5" s="279"/>
      <c r="VNQ5" s="279"/>
      <c r="VNR5" s="279"/>
      <c r="VNS5" s="279"/>
      <c r="VNT5" s="279"/>
      <c r="VNU5" s="279"/>
      <c r="VNV5" s="279"/>
      <c r="VNW5" s="279"/>
      <c r="VNX5" s="279"/>
      <c r="VNY5" s="279"/>
      <c r="VNZ5" s="279"/>
      <c r="VOA5" s="279"/>
      <c r="VOB5" s="279"/>
      <c r="VOC5" s="279"/>
      <c r="VOD5" s="279"/>
      <c r="VOE5" s="279"/>
      <c r="VOF5" s="279"/>
      <c r="VOG5" s="279"/>
      <c r="VOH5" s="279"/>
      <c r="VOI5" s="279"/>
      <c r="VOJ5" s="279"/>
      <c r="VOK5" s="279"/>
      <c r="VOL5" s="279"/>
      <c r="VOM5" s="279"/>
      <c r="VON5" s="279"/>
      <c r="VOO5" s="279"/>
      <c r="VOP5" s="279"/>
      <c r="VOQ5" s="279"/>
      <c r="VOR5" s="279"/>
      <c r="VOS5" s="279"/>
      <c r="VOT5" s="279"/>
      <c r="VOU5" s="279"/>
      <c r="VOV5" s="279"/>
      <c r="VOW5" s="279"/>
      <c r="VOX5" s="279"/>
      <c r="VOY5" s="279"/>
      <c r="VOZ5" s="279"/>
      <c r="VPA5" s="279"/>
      <c r="VPB5" s="279"/>
      <c r="VPC5" s="279"/>
      <c r="VPD5" s="279"/>
      <c r="VPE5" s="279"/>
      <c r="VPF5" s="279"/>
      <c r="VPG5" s="279"/>
      <c r="VPH5" s="279"/>
      <c r="VPI5" s="279"/>
      <c r="VPJ5" s="279"/>
      <c r="VPK5" s="279"/>
      <c r="VPL5" s="279"/>
      <c r="VPM5" s="279"/>
      <c r="VPN5" s="279"/>
      <c r="VPO5" s="279"/>
      <c r="VPP5" s="279"/>
      <c r="VPQ5" s="279"/>
      <c r="VPR5" s="279"/>
      <c r="VPS5" s="279"/>
      <c r="VPT5" s="279"/>
      <c r="VPU5" s="279"/>
      <c r="VPV5" s="279"/>
      <c r="VPW5" s="279"/>
      <c r="VPX5" s="279"/>
      <c r="VPY5" s="279"/>
      <c r="VPZ5" s="279"/>
      <c r="VQA5" s="279"/>
      <c r="VQB5" s="279"/>
      <c r="VQC5" s="279"/>
      <c r="VQD5" s="279"/>
      <c r="VQE5" s="279"/>
      <c r="VQF5" s="279"/>
      <c r="VQG5" s="279"/>
      <c r="VQH5" s="279"/>
      <c r="VQI5" s="279"/>
      <c r="VQJ5" s="279"/>
      <c r="VQK5" s="279"/>
      <c r="VQL5" s="279"/>
      <c r="VQM5" s="279"/>
      <c r="VQN5" s="279"/>
      <c r="VQO5" s="279"/>
      <c r="VQP5" s="279"/>
      <c r="VQQ5" s="279"/>
      <c r="VQR5" s="279"/>
      <c r="VQS5" s="279"/>
      <c r="VQT5" s="279"/>
      <c r="VQU5" s="279"/>
      <c r="VQV5" s="279"/>
      <c r="VQW5" s="279"/>
      <c r="VQX5" s="279"/>
      <c r="VQY5" s="279"/>
      <c r="VQZ5" s="279"/>
      <c r="VRA5" s="279"/>
      <c r="VRB5" s="279"/>
      <c r="VRC5" s="279"/>
      <c r="VRD5" s="279"/>
      <c r="VRE5" s="279"/>
      <c r="VRF5" s="279"/>
      <c r="VRG5" s="279"/>
      <c r="VRH5" s="279"/>
      <c r="VRI5" s="279"/>
      <c r="VRJ5" s="279"/>
      <c r="VRK5" s="279"/>
      <c r="VRL5" s="279"/>
      <c r="VRM5" s="279"/>
      <c r="VRN5" s="279"/>
      <c r="VRO5" s="279"/>
      <c r="VRP5" s="279"/>
      <c r="VRQ5" s="279"/>
      <c r="VRR5" s="279"/>
      <c r="VRS5" s="279"/>
      <c r="VRT5" s="279"/>
      <c r="VRU5" s="279"/>
      <c r="VRV5" s="279"/>
      <c r="VRW5" s="279"/>
      <c r="VRX5" s="279"/>
      <c r="VRY5" s="279"/>
      <c r="VRZ5" s="279"/>
      <c r="VSA5" s="279"/>
      <c r="VSB5" s="279"/>
      <c r="VSC5" s="279"/>
      <c r="VSD5" s="279"/>
      <c r="VSE5" s="279"/>
      <c r="VSF5" s="279"/>
      <c r="VSG5" s="279"/>
      <c r="VSH5" s="279"/>
      <c r="VSI5" s="279"/>
      <c r="VSJ5" s="279"/>
      <c r="VSK5" s="279"/>
      <c r="VSL5" s="279"/>
      <c r="VSM5" s="279"/>
      <c r="VSN5" s="279"/>
      <c r="VSO5" s="279"/>
      <c r="VSP5" s="279"/>
      <c r="VSQ5" s="279"/>
      <c r="VSR5" s="279"/>
      <c r="VSS5" s="279"/>
      <c r="VST5" s="279"/>
      <c r="VSU5" s="279"/>
      <c r="VSV5" s="279"/>
      <c r="VSW5" s="279"/>
      <c r="VSX5" s="279"/>
      <c r="VSY5" s="279"/>
      <c r="VSZ5" s="279"/>
      <c r="VTA5" s="279"/>
      <c r="VTB5" s="279"/>
      <c r="VTC5" s="279"/>
      <c r="VTD5" s="279"/>
      <c r="VTE5" s="279"/>
      <c r="VTF5" s="279"/>
      <c r="VTG5" s="279"/>
      <c r="VTH5" s="279"/>
      <c r="VTI5" s="279"/>
      <c r="VTJ5" s="279"/>
      <c r="VTK5" s="279"/>
      <c r="VTL5" s="279"/>
      <c r="VTM5" s="279"/>
      <c r="VTN5" s="279"/>
      <c r="VTO5" s="279"/>
      <c r="VTP5" s="279"/>
      <c r="VTQ5" s="279"/>
      <c r="VTR5" s="279"/>
      <c r="VTS5" s="279"/>
      <c r="VTT5" s="279"/>
      <c r="VTU5" s="279"/>
      <c r="VTV5" s="279"/>
      <c r="VTW5" s="279"/>
      <c r="VTX5" s="279"/>
      <c r="VTY5" s="279"/>
      <c r="VTZ5" s="279"/>
      <c r="VUA5" s="279"/>
      <c r="VUB5" s="279"/>
      <c r="VUC5" s="279"/>
      <c r="VUD5" s="279"/>
      <c r="VUE5" s="279"/>
      <c r="VUF5" s="279"/>
      <c r="VUG5" s="279"/>
      <c r="VUH5" s="279"/>
      <c r="VUI5" s="279"/>
      <c r="VUJ5" s="279"/>
      <c r="VUK5" s="279"/>
      <c r="VUL5" s="279"/>
      <c r="VUM5" s="279"/>
      <c r="VUN5" s="279"/>
      <c r="VUO5" s="279"/>
      <c r="VUP5" s="279"/>
      <c r="VUQ5" s="279"/>
      <c r="VUR5" s="279"/>
      <c r="VUS5" s="279"/>
      <c r="VUT5" s="279"/>
      <c r="VUU5" s="279"/>
      <c r="VUV5" s="279"/>
      <c r="VUW5" s="279"/>
      <c r="VUX5" s="279"/>
      <c r="VUY5" s="279"/>
      <c r="VUZ5" s="279"/>
      <c r="VVA5" s="279"/>
      <c r="VVB5" s="279"/>
      <c r="VVC5" s="279"/>
      <c r="VVD5" s="279"/>
      <c r="VVE5" s="279"/>
      <c r="VVF5" s="279"/>
      <c r="VVG5" s="279"/>
      <c r="VVH5" s="279"/>
      <c r="VVI5" s="279"/>
      <c r="VVJ5" s="279"/>
      <c r="VVK5" s="279"/>
      <c r="VVL5" s="279"/>
      <c r="VVM5" s="279"/>
      <c r="VVN5" s="279"/>
      <c r="VVO5" s="279"/>
      <c r="VVP5" s="279"/>
      <c r="VVQ5" s="279"/>
      <c r="VVR5" s="279"/>
      <c r="VVS5" s="279"/>
      <c r="VVT5" s="279"/>
      <c r="VVU5" s="279"/>
      <c r="VVV5" s="279"/>
      <c r="VVW5" s="279"/>
      <c r="VVX5" s="279"/>
      <c r="VVY5" s="279"/>
      <c r="VVZ5" s="279"/>
      <c r="VWA5" s="279"/>
      <c r="VWB5" s="279"/>
      <c r="VWC5" s="279"/>
      <c r="VWD5" s="279"/>
      <c r="VWE5" s="279"/>
      <c r="VWF5" s="279"/>
      <c r="VWG5" s="279"/>
      <c r="VWH5" s="279"/>
      <c r="VWI5" s="279"/>
      <c r="VWJ5" s="279"/>
      <c r="VWK5" s="279"/>
      <c r="VWL5" s="279"/>
      <c r="VWM5" s="279"/>
      <c r="VWN5" s="279"/>
      <c r="VWO5" s="279"/>
      <c r="VWP5" s="279"/>
      <c r="VWQ5" s="279"/>
      <c r="VWR5" s="279"/>
      <c r="VWS5" s="279"/>
      <c r="VWT5" s="279"/>
      <c r="VWU5" s="279"/>
      <c r="VWV5" s="279"/>
      <c r="VWW5" s="279"/>
      <c r="VWX5" s="279"/>
      <c r="VWY5" s="279"/>
      <c r="VWZ5" s="279"/>
      <c r="VXA5" s="279"/>
      <c r="VXB5" s="279"/>
      <c r="VXC5" s="279"/>
      <c r="VXD5" s="279"/>
      <c r="VXE5" s="279"/>
      <c r="VXF5" s="279"/>
      <c r="VXG5" s="279"/>
      <c r="VXH5" s="279"/>
      <c r="VXI5" s="279"/>
      <c r="VXJ5" s="279"/>
      <c r="VXK5" s="279"/>
      <c r="VXL5" s="279"/>
      <c r="VXM5" s="279"/>
      <c r="VXN5" s="279"/>
      <c r="VXO5" s="279"/>
      <c r="VXP5" s="279"/>
      <c r="VXQ5" s="279"/>
      <c r="VXR5" s="279"/>
      <c r="VXS5" s="279"/>
      <c r="VXT5" s="279"/>
      <c r="VXU5" s="279"/>
      <c r="VXV5" s="279"/>
      <c r="VXW5" s="279"/>
      <c r="VXX5" s="279"/>
      <c r="VXY5" s="279"/>
      <c r="VXZ5" s="279"/>
      <c r="VYA5" s="279"/>
      <c r="VYB5" s="279"/>
      <c r="VYC5" s="279"/>
      <c r="VYD5" s="279"/>
      <c r="VYE5" s="279"/>
      <c r="VYF5" s="279"/>
      <c r="VYG5" s="279"/>
      <c r="VYH5" s="279"/>
      <c r="VYI5" s="279"/>
      <c r="VYJ5" s="279"/>
      <c r="VYK5" s="279"/>
      <c r="VYL5" s="279"/>
      <c r="VYM5" s="279"/>
      <c r="VYN5" s="279"/>
      <c r="VYO5" s="279"/>
      <c r="VYP5" s="279"/>
      <c r="VYQ5" s="279"/>
      <c r="VYR5" s="279"/>
      <c r="VYS5" s="279"/>
      <c r="VYT5" s="279"/>
      <c r="VYU5" s="279"/>
      <c r="VYV5" s="279"/>
      <c r="VYW5" s="279"/>
      <c r="VYX5" s="279"/>
      <c r="VYY5" s="279"/>
      <c r="VYZ5" s="279"/>
      <c r="VZA5" s="279"/>
      <c r="VZB5" s="279"/>
      <c r="VZC5" s="279"/>
      <c r="VZD5" s="279"/>
      <c r="VZE5" s="279"/>
      <c r="VZF5" s="279"/>
      <c r="VZG5" s="279"/>
      <c r="VZH5" s="279"/>
      <c r="VZI5" s="279"/>
      <c r="VZJ5" s="279"/>
      <c r="VZK5" s="279"/>
      <c r="VZL5" s="279"/>
      <c r="VZM5" s="279"/>
      <c r="VZN5" s="279"/>
      <c r="VZO5" s="279"/>
      <c r="VZP5" s="279"/>
      <c r="VZQ5" s="279"/>
      <c r="VZR5" s="279"/>
      <c r="VZS5" s="279"/>
      <c r="VZT5" s="279"/>
      <c r="VZU5" s="279"/>
      <c r="VZV5" s="279"/>
      <c r="VZW5" s="279"/>
      <c r="VZX5" s="279"/>
      <c r="VZY5" s="279"/>
      <c r="VZZ5" s="279"/>
      <c r="WAA5" s="279"/>
      <c r="WAB5" s="279"/>
      <c r="WAC5" s="279"/>
      <c r="WAD5" s="279"/>
      <c r="WAE5" s="279"/>
      <c r="WAF5" s="279"/>
      <c r="WAG5" s="279"/>
      <c r="WAH5" s="279"/>
      <c r="WAI5" s="279"/>
      <c r="WAJ5" s="279"/>
      <c r="WAK5" s="279"/>
      <c r="WAL5" s="279"/>
      <c r="WAM5" s="279"/>
      <c r="WAN5" s="279"/>
      <c r="WAO5" s="279"/>
      <c r="WAP5" s="279"/>
      <c r="WAQ5" s="279"/>
      <c r="WAR5" s="279"/>
      <c r="WAS5" s="279"/>
      <c r="WAT5" s="279"/>
      <c r="WAU5" s="279"/>
      <c r="WAV5" s="279"/>
      <c r="WAW5" s="279"/>
      <c r="WAX5" s="279"/>
      <c r="WAY5" s="279"/>
      <c r="WAZ5" s="279"/>
      <c r="WBA5" s="279"/>
      <c r="WBB5" s="279"/>
      <c r="WBC5" s="279"/>
      <c r="WBD5" s="279"/>
      <c r="WBE5" s="279"/>
      <c r="WBF5" s="279"/>
      <c r="WBG5" s="279"/>
      <c r="WBH5" s="279"/>
      <c r="WBI5" s="279"/>
      <c r="WBJ5" s="279"/>
      <c r="WBK5" s="279"/>
      <c r="WBL5" s="279"/>
      <c r="WBM5" s="279"/>
      <c r="WBN5" s="279"/>
      <c r="WBO5" s="279"/>
      <c r="WBP5" s="279"/>
      <c r="WBQ5" s="279"/>
      <c r="WBR5" s="279"/>
      <c r="WBS5" s="279"/>
      <c r="WBT5" s="279"/>
      <c r="WBU5" s="279"/>
      <c r="WBV5" s="279"/>
      <c r="WBW5" s="279"/>
      <c r="WBX5" s="279"/>
      <c r="WBY5" s="279"/>
      <c r="WBZ5" s="279"/>
      <c r="WCA5" s="279"/>
      <c r="WCB5" s="279"/>
      <c r="WCC5" s="279"/>
      <c r="WCD5" s="279"/>
      <c r="WCE5" s="279"/>
      <c r="WCF5" s="279"/>
      <c r="WCG5" s="279"/>
      <c r="WCH5" s="279"/>
      <c r="WCI5" s="279"/>
      <c r="WCJ5" s="279"/>
      <c r="WCK5" s="279"/>
      <c r="WCL5" s="279"/>
      <c r="WCM5" s="279"/>
      <c r="WCN5" s="279"/>
      <c r="WCO5" s="279"/>
      <c r="WCP5" s="279"/>
      <c r="WCQ5" s="279"/>
      <c r="WCR5" s="279"/>
      <c r="WCS5" s="279"/>
      <c r="WCT5" s="279"/>
      <c r="WCU5" s="279"/>
      <c r="WCV5" s="279"/>
      <c r="WCW5" s="279"/>
      <c r="WCX5" s="279"/>
      <c r="WCY5" s="279"/>
      <c r="WCZ5" s="279"/>
      <c r="WDA5" s="279"/>
      <c r="WDB5" s="279"/>
      <c r="WDC5" s="279"/>
      <c r="WDD5" s="279"/>
      <c r="WDE5" s="279"/>
      <c r="WDF5" s="279"/>
      <c r="WDG5" s="279"/>
      <c r="WDH5" s="279"/>
      <c r="WDI5" s="279"/>
      <c r="WDJ5" s="279"/>
      <c r="WDK5" s="279"/>
      <c r="WDL5" s="279"/>
      <c r="WDM5" s="279"/>
      <c r="WDN5" s="279"/>
      <c r="WDO5" s="279"/>
      <c r="WDP5" s="279"/>
      <c r="WDQ5" s="279"/>
      <c r="WDR5" s="279"/>
      <c r="WDS5" s="279"/>
      <c r="WDT5" s="279"/>
      <c r="WDU5" s="279"/>
      <c r="WDV5" s="279"/>
      <c r="WDW5" s="279"/>
      <c r="WDX5" s="279"/>
      <c r="WDY5" s="279"/>
      <c r="WDZ5" s="279"/>
      <c r="WEA5" s="279"/>
      <c r="WEB5" s="279"/>
      <c r="WEC5" s="279"/>
      <c r="WED5" s="279"/>
      <c r="WEE5" s="279"/>
      <c r="WEF5" s="279"/>
      <c r="WEG5" s="279"/>
      <c r="WEH5" s="279"/>
      <c r="WEI5" s="279"/>
      <c r="WEJ5" s="279"/>
      <c r="WEK5" s="279"/>
      <c r="WEL5" s="279"/>
      <c r="WEM5" s="279"/>
      <c r="WEN5" s="279"/>
      <c r="WEO5" s="279"/>
      <c r="WEP5" s="279"/>
      <c r="WEQ5" s="279"/>
      <c r="WER5" s="279"/>
      <c r="WES5" s="279"/>
      <c r="WET5" s="279"/>
      <c r="WEU5" s="279"/>
      <c r="WEV5" s="279"/>
      <c r="WEW5" s="279"/>
      <c r="WEX5" s="279"/>
      <c r="WEY5" s="279"/>
      <c r="WEZ5" s="279"/>
      <c r="WFA5" s="279"/>
      <c r="WFB5" s="279"/>
      <c r="WFC5" s="279"/>
      <c r="WFD5" s="279"/>
      <c r="WFE5" s="279"/>
      <c r="WFF5" s="279"/>
      <c r="WFG5" s="279"/>
      <c r="WFH5" s="279"/>
      <c r="WFI5" s="279"/>
      <c r="WFJ5" s="279"/>
      <c r="WFK5" s="279"/>
      <c r="WFL5" s="279"/>
      <c r="WFM5" s="279"/>
      <c r="WFN5" s="279"/>
      <c r="WFO5" s="279"/>
      <c r="WFP5" s="279"/>
      <c r="WFQ5" s="279"/>
      <c r="WFR5" s="279"/>
      <c r="WFS5" s="279"/>
      <c r="WFT5" s="279"/>
      <c r="WFU5" s="279"/>
      <c r="WFV5" s="279"/>
      <c r="WFW5" s="279"/>
      <c r="WFX5" s="279"/>
      <c r="WFY5" s="279"/>
      <c r="WFZ5" s="279"/>
      <c r="WGA5" s="279"/>
      <c r="WGB5" s="279"/>
      <c r="WGC5" s="279"/>
      <c r="WGD5" s="279"/>
      <c r="WGE5" s="279"/>
      <c r="WGF5" s="279"/>
      <c r="WGG5" s="279"/>
      <c r="WGH5" s="279"/>
      <c r="WGI5" s="279"/>
      <c r="WGJ5" s="279"/>
      <c r="WGK5" s="279"/>
      <c r="WGL5" s="279"/>
      <c r="WGM5" s="279"/>
      <c r="WGN5" s="279"/>
      <c r="WGO5" s="279"/>
      <c r="WGP5" s="279"/>
      <c r="WGQ5" s="279"/>
      <c r="WGR5" s="279"/>
      <c r="WGS5" s="279"/>
      <c r="WGT5" s="279"/>
      <c r="WGU5" s="279"/>
      <c r="WGV5" s="279"/>
      <c r="WGW5" s="279"/>
      <c r="WGX5" s="279"/>
      <c r="WGY5" s="279"/>
      <c r="WGZ5" s="279"/>
      <c r="WHA5" s="279"/>
      <c r="WHB5" s="279"/>
      <c r="WHC5" s="279"/>
      <c r="WHD5" s="279"/>
      <c r="WHE5" s="279"/>
      <c r="WHF5" s="279"/>
      <c r="WHG5" s="279"/>
      <c r="WHH5" s="279"/>
      <c r="WHI5" s="279"/>
      <c r="WHJ5" s="279"/>
      <c r="WHK5" s="279"/>
      <c r="WHL5" s="279"/>
      <c r="WHM5" s="279"/>
      <c r="WHN5" s="279"/>
      <c r="WHO5" s="279"/>
      <c r="WHP5" s="279"/>
      <c r="WHQ5" s="279"/>
      <c r="WHR5" s="279"/>
      <c r="WHS5" s="279"/>
      <c r="WHT5" s="279"/>
      <c r="WHU5" s="279"/>
      <c r="WHV5" s="279"/>
      <c r="WHW5" s="279"/>
      <c r="WHX5" s="279"/>
      <c r="WHY5" s="279"/>
      <c r="WHZ5" s="279"/>
      <c r="WIA5" s="279"/>
      <c r="WIB5" s="279"/>
      <c r="WIC5" s="279"/>
      <c r="WID5" s="279"/>
      <c r="WIE5" s="279"/>
      <c r="WIF5" s="279"/>
      <c r="WIG5" s="279"/>
      <c r="WIH5" s="279"/>
      <c r="WII5" s="279"/>
      <c r="WIJ5" s="279"/>
      <c r="WIK5" s="279"/>
      <c r="WIL5" s="279"/>
      <c r="WIM5" s="279"/>
      <c r="WIN5" s="279"/>
      <c r="WIO5" s="279"/>
      <c r="WIP5" s="279"/>
      <c r="WIQ5" s="279"/>
      <c r="WIR5" s="279"/>
      <c r="WIS5" s="279"/>
      <c r="WIT5" s="279"/>
      <c r="WIU5" s="279"/>
      <c r="WIV5" s="279"/>
      <c r="WIW5" s="279"/>
      <c r="WIX5" s="279"/>
      <c r="WIY5" s="279"/>
      <c r="WIZ5" s="279"/>
      <c r="WJA5" s="279"/>
      <c r="WJB5" s="279"/>
      <c r="WJC5" s="279"/>
      <c r="WJD5" s="279"/>
      <c r="WJE5" s="279"/>
      <c r="WJF5" s="279"/>
      <c r="WJG5" s="279"/>
      <c r="WJH5" s="279"/>
      <c r="WJI5" s="279"/>
      <c r="WJJ5" s="279"/>
      <c r="WJK5" s="279"/>
      <c r="WJL5" s="279"/>
      <c r="WJM5" s="279"/>
      <c r="WJN5" s="279"/>
      <c r="WJO5" s="279"/>
      <c r="WJP5" s="279"/>
      <c r="WJQ5" s="279"/>
      <c r="WJR5" s="279"/>
      <c r="WJS5" s="279"/>
      <c r="WJT5" s="279"/>
      <c r="WJU5" s="279"/>
      <c r="WJV5" s="279"/>
      <c r="WJW5" s="279"/>
      <c r="WJX5" s="279"/>
      <c r="WJY5" s="279"/>
      <c r="WJZ5" s="279"/>
      <c r="WKA5" s="279"/>
      <c r="WKB5" s="279"/>
      <c r="WKC5" s="279"/>
      <c r="WKD5" s="279"/>
      <c r="WKE5" s="279"/>
      <c r="WKF5" s="279"/>
      <c r="WKG5" s="279"/>
      <c r="WKH5" s="279"/>
      <c r="WKI5" s="279"/>
      <c r="WKJ5" s="279"/>
      <c r="WKK5" s="279"/>
      <c r="WKL5" s="279"/>
      <c r="WKM5" s="279"/>
      <c r="WKN5" s="279"/>
      <c r="WKO5" s="279"/>
      <c r="WKP5" s="279"/>
      <c r="WKQ5" s="279"/>
      <c r="WKR5" s="279"/>
      <c r="WKS5" s="279"/>
      <c r="WKT5" s="279"/>
      <c r="WKU5" s="279"/>
      <c r="WKV5" s="279"/>
      <c r="WKW5" s="279"/>
      <c r="WKX5" s="279"/>
      <c r="WKY5" s="279"/>
      <c r="WKZ5" s="279"/>
      <c r="WLA5" s="279"/>
      <c r="WLB5" s="279"/>
      <c r="WLC5" s="279"/>
      <c r="WLD5" s="279"/>
      <c r="WLE5" s="279"/>
      <c r="WLF5" s="279"/>
      <c r="WLG5" s="279"/>
      <c r="WLH5" s="279"/>
      <c r="WLI5" s="279"/>
      <c r="WLJ5" s="279"/>
      <c r="WLK5" s="279"/>
      <c r="WLL5" s="279"/>
      <c r="WLM5" s="279"/>
      <c r="WLN5" s="279"/>
      <c r="WLO5" s="279"/>
      <c r="WLP5" s="279"/>
      <c r="WLQ5" s="279"/>
      <c r="WLR5" s="279"/>
      <c r="WLS5" s="279"/>
      <c r="WLT5" s="279"/>
      <c r="WLU5" s="279"/>
      <c r="WLV5" s="279"/>
      <c r="WLW5" s="279"/>
      <c r="WLX5" s="279"/>
      <c r="WLY5" s="279"/>
      <c r="WLZ5" s="279"/>
      <c r="WMA5" s="279"/>
      <c r="WMB5" s="279"/>
      <c r="WMC5" s="279"/>
      <c r="WMD5" s="279"/>
      <c r="WME5" s="279"/>
      <c r="WMF5" s="279"/>
      <c r="WMG5" s="279"/>
      <c r="WMH5" s="279"/>
      <c r="WMI5" s="279"/>
      <c r="WMJ5" s="279"/>
      <c r="WMK5" s="279"/>
      <c r="WML5" s="279"/>
      <c r="WMM5" s="279"/>
      <c r="WMN5" s="279"/>
      <c r="WMO5" s="279"/>
      <c r="WMP5" s="279"/>
      <c r="WMQ5" s="279"/>
      <c r="WMR5" s="279"/>
      <c r="WMS5" s="279"/>
      <c r="WMT5" s="279"/>
      <c r="WMU5" s="279"/>
      <c r="WMV5" s="279"/>
      <c r="WMW5" s="279"/>
      <c r="WMX5" s="279"/>
      <c r="WMY5" s="279"/>
      <c r="WMZ5" s="279"/>
      <c r="WNA5" s="279"/>
      <c r="WNB5" s="279"/>
      <c r="WNC5" s="279"/>
      <c r="WND5" s="279"/>
      <c r="WNE5" s="279"/>
      <c r="WNF5" s="279"/>
      <c r="WNG5" s="279"/>
      <c r="WNH5" s="279"/>
      <c r="WNI5" s="279"/>
      <c r="WNJ5" s="279"/>
      <c r="WNK5" s="279"/>
      <c r="WNL5" s="279"/>
      <c r="WNM5" s="279"/>
      <c r="WNN5" s="279"/>
      <c r="WNO5" s="279"/>
      <c r="WNP5" s="279"/>
      <c r="WNQ5" s="279"/>
      <c r="WNR5" s="279"/>
      <c r="WNS5" s="279"/>
      <c r="WNT5" s="279"/>
      <c r="WNU5" s="279"/>
      <c r="WNV5" s="279"/>
      <c r="WNW5" s="279"/>
      <c r="WNX5" s="279"/>
      <c r="WNY5" s="279"/>
      <c r="WNZ5" s="279"/>
      <c r="WOA5" s="279"/>
      <c r="WOB5" s="279"/>
      <c r="WOC5" s="279"/>
      <c r="WOD5" s="279"/>
      <c r="WOE5" s="279"/>
      <c r="WOF5" s="279"/>
      <c r="WOG5" s="279"/>
      <c r="WOH5" s="279"/>
      <c r="WOI5" s="279"/>
      <c r="WOJ5" s="279"/>
      <c r="WOK5" s="279"/>
      <c r="WOL5" s="279"/>
      <c r="WOM5" s="279"/>
      <c r="WON5" s="279"/>
      <c r="WOO5" s="279"/>
      <c r="WOP5" s="279"/>
      <c r="WOQ5" s="279"/>
      <c r="WOR5" s="279"/>
      <c r="WOS5" s="279"/>
      <c r="WOT5" s="279"/>
      <c r="WOU5" s="279"/>
      <c r="WOV5" s="279"/>
      <c r="WOW5" s="279"/>
      <c r="WOX5" s="279"/>
      <c r="WOY5" s="279"/>
      <c r="WOZ5" s="279"/>
      <c r="WPA5" s="279"/>
      <c r="WPB5" s="279"/>
      <c r="WPC5" s="279"/>
      <c r="WPD5" s="279"/>
      <c r="WPE5" s="279"/>
      <c r="WPF5" s="279"/>
      <c r="WPG5" s="279"/>
      <c r="WPH5" s="279"/>
      <c r="WPI5" s="279"/>
      <c r="WPJ5" s="279"/>
      <c r="WPK5" s="279"/>
      <c r="WPL5" s="279"/>
      <c r="WPM5" s="279"/>
      <c r="WPN5" s="279"/>
      <c r="WPO5" s="279"/>
      <c r="WPP5" s="279"/>
      <c r="WPQ5" s="279"/>
      <c r="WPR5" s="279"/>
      <c r="WPS5" s="279"/>
      <c r="WPT5" s="279"/>
      <c r="WPU5" s="279"/>
      <c r="WPV5" s="279"/>
      <c r="WPW5" s="279"/>
      <c r="WPX5" s="279"/>
      <c r="WPY5" s="279"/>
      <c r="WPZ5" s="279"/>
      <c r="WQA5" s="279"/>
      <c r="WQB5" s="279"/>
      <c r="WQC5" s="279"/>
      <c r="WQD5" s="279"/>
      <c r="WQE5" s="279"/>
      <c r="WQF5" s="279"/>
      <c r="WQG5" s="279"/>
      <c r="WQH5" s="279"/>
      <c r="WQI5" s="279"/>
      <c r="WQJ5" s="279"/>
      <c r="WQK5" s="279"/>
      <c r="WQL5" s="279"/>
      <c r="WQM5" s="279"/>
      <c r="WQN5" s="279"/>
      <c r="WQO5" s="279"/>
      <c r="WQP5" s="279"/>
      <c r="WQQ5" s="279"/>
      <c r="WQR5" s="279"/>
      <c r="WQS5" s="279"/>
      <c r="WQT5" s="279"/>
      <c r="WQU5" s="279"/>
      <c r="WQV5" s="279"/>
      <c r="WQW5" s="279"/>
      <c r="WQX5" s="279"/>
      <c r="WQY5" s="279"/>
      <c r="WQZ5" s="279"/>
      <c r="WRA5" s="279"/>
      <c r="WRB5" s="279"/>
      <c r="WRC5" s="279"/>
      <c r="WRD5" s="279"/>
      <c r="WRE5" s="279"/>
      <c r="WRF5" s="279"/>
      <c r="WRG5" s="279"/>
      <c r="WRH5" s="279"/>
      <c r="WRI5" s="279"/>
      <c r="WRJ5" s="279"/>
      <c r="WRK5" s="279"/>
      <c r="WRL5" s="279"/>
      <c r="WRM5" s="279"/>
      <c r="WRN5" s="279"/>
      <c r="WRO5" s="279"/>
      <c r="WRP5" s="279"/>
      <c r="WRQ5" s="279"/>
      <c r="WRR5" s="279"/>
      <c r="WRS5" s="279"/>
      <c r="WRT5" s="279"/>
      <c r="WRU5" s="279"/>
      <c r="WRV5" s="279"/>
      <c r="WRW5" s="279"/>
      <c r="WRX5" s="279"/>
      <c r="WRY5" s="279"/>
      <c r="WRZ5" s="279"/>
      <c r="WSA5" s="279"/>
      <c r="WSB5" s="279"/>
      <c r="WSC5" s="279"/>
      <c r="WSD5" s="279"/>
      <c r="WSE5" s="279"/>
      <c r="WSF5" s="279"/>
      <c r="WSG5" s="279"/>
      <c r="WSH5" s="279"/>
      <c r="WSI5" s="279"/>
      <c r="WSJ5" s="279"/>
      <c r="WSK5" s="279"/>
      <c r="WSL5" s="279"/>
      <c r="WSM5" s="279"/>
      <c r="WSN5" s="279"/>
      <c r="WSO5" s="279"/>
      <c r="WSP5" s="279"/>
      <c r="WSQ5" s="279"/>
      <c r="WSR5" s="279"/>
      <c r="WSS5" s="279"/>
      <c r="WST5" s="279"/>
      <c r="WSU5" s="279"/>
      <c r="WSV5" s="279"/>
      <c r="WSW5" s="279"/>
      <c r="WSX5" s="279"/>
      <c r="WSY5" s="279"/>
      <c r="WSZ5" s="279"/>
      <c r="WTA5" s="279"/>
      <c r="WTB5" s="279"/>
      <c r="WTC5" s="279"/>
      <c r="WTD5" s="279"/>
      <c r="WTE5" s="279"/>
      <c r="WTF5" s="279"/>
      <c r="WTG5" s="279"/>
      <c r="WTH5" s="279"/>
      <c r="WTI5" s="279"/>
      <c r="WTJ5" s="279"/>
      <c r="WTK5" s="279"/>
      <c r="WTL5" s="279"/>
      <c r="WTM5" s="279"/>
      <c r="WTN5" s="279"/>
      <c r="WTO5" s="279"/>
      <c r="WTP5" s="279"/>
      <c r="WTQ5" s="279"/>
      <c r="WTR5" s="279"/>
      <c r="WTS5" s="279"/>
      <c r="WTT5" s="279"/>
      <c r="WTU5" s="279"/>
      <c r="WTV5" s="279"/>
      <c r="WTW5" s="279"/>
      <c r="WTX5" s="279"/>
      <c r="WTY5" s="279"/>
      <c r="WTZ5" s="279"/>
      <c r="WUA5" s="279"/>
      <c r="WUB5" s="279"/>
      <c r="WUC5" s="279"/>
      <c r="WUD5" s="279"/>
      <c r="WUE5" s="279"/>
      <c r="WUF5" s="279"/>
      <c r="WUG5" s="279"/>
      <c r="WUH5" s="279"/>
      <c r="WUI5" s="279"/>
      <c r="WUJ5" s="279"/>
      <c r="WUK5" s="279"/>
      <c r="WUL5" s="279"/>
      <c r="WUM5" s="279"/>
      <c r="WUN5" s="279"/>
      <c r="WUO5" s="279"/>
      <c r="WUP5" s="279"/>
      <c r="WUQ5" s="279"/>
      <c r="WUR5" s="279"/>
      <c r="WUS5" s="279"/>
      <c r="WUT5" s="279"/>
      <c r="WUU5" s="279"/>
      <c r="WUV5" s="279"/>
      <c r="WUW5" s="279"/>
      <c r="WUX5" s="279"/>
      <c r="WUY5" s="279"/>
      <c r="WUZ5" s="279"/>
      <c r="WVA5" s="279"/>
      <c r="WVB5" s="279"/>
      <c r="WVC5" s="279"/>
      <c r="WVD5" s="279"/>
      <c r="WVE5" s="279"/>
      <c r="WVF5" s="279"/>
      <c r="WVG5" s="279"/>
      <c r="WVH5" s="279"/>
      <c r="WVI5" s="279"/>
      <c r="WVJ5" s="279"/>
      <c r="WVK5" s="279"/>
      <c r="WVL5" s="279"/>
      <c r="WVM5" s="279"/>
      <c r="WVN5" s="279"/>
      <c r="WVO5" s="279"/>
      <c r="WVP5" s="279"/>
      <c r="WVQ5" s="279"/>
      <c r="WVR5" s="279"/>
      <c r="WVS5" s="279"/>
      <c r="WVT5" s="279"/>
      <c r="WVU5" s="279"/>
      <c r="WVV5" s="279"/>
      <c r="WVW5" s="279"/>
      <c r="WVX5" s="279"/>
      <c r="WVY5" s="279"/>
      <c r="WVZ5" s="279"/>
      <c r="WWA5" s="279"/>
      <c r="WWB5" s="279"/>
      <c r="WWC5" s="279"/>
      <c r="WWD5" s="279"/>
      <c r="WWE5" s="279"/>
      <c r="WWF5" s="279"/>
      <c r="WWG5" s="279"/>
      <c r="WWH5" s="279"/>
      <c r="WWI5" s="279"/>
      <c r="WWJ5" s="279"/>
      <c r="WWK5" s="279"/>
      <c r="WWL5" s="279"/>
      <c r="WWM5" s="279"/>
      <c r="WWN5" s="279"/>
      <c r="WWO5" s="279"/>
      <c r="WWP5" s="279"/>
      <c r="WWQ5" s="279"/>
      <c r="WWR5" s="279"/>
      <c r="WWS5" s="279"/>
      <c r="WWT5" s="279"/>
      <c r="WWU5" s="279"/>
      <c r="WWV5" s="279"/>
      <c r="WWW5" s="279"/>
      <c r="WWX5" s="279"/>
      <c r="WWY5" s="279"/>
      <c r="WWZ5" s="279"/>
      <c r="WXA5" s="279"/>
      <c r="WXB5" s="279"/>
      <c r="WXC5" s="279"/>
      <c r="WXD5" s="279"/>
      <c r="WXE5" s="279"/>
      <c r="WXF5" s="279"/>
      <c r="WXG5" s="279"/>
      <c r="WXH5" s="279"/>
      <c r="WXI5" s="279"/>
      <c r="WXJ5" s="279"/>
      <c r="WXK5" s="279"/>
      <c r="WXL5" s="279"/>
      <c r="WXM5" s="279"/>
      <c r="WXN5" s="279"/>
      <c r="WXO5" s="279"/>
      <c r="WXP5" s="279"/>
      <c r="WXQ5" s="279"/>
      <c r="WXR5" s="279"/>
      <c r="WXS5" s="279"/>
      <c r="WXT5" s="279"/>
      <c r="WXU5" s="279"/>
      <c r="WXV5" s="279"/>
      <c r="WXW5" s="279"/>
      <c r="WXX5" s="279"/>
      <c r="WXY5" s="279"/>
      <c r="WXZ5" s="279"/>
      <c r="WYA5" s="279"/>
      <c r="WYB5" s="279"/>
      <c r="WYC5" s="279"/>
      <c r="WYD5" s="279"/>
      <c r="WYE5" s="279"/>
      <c r="WYF5" s="279"/>
      <c r="WYG5" s="279"/>
      <c r="WYH5" s="279"/>
      <c r="WYI5" s="279"/>
      <c r="WYJ5" s="279"/>
      <c r="WYK5" s="279"/>
      <c r="WYL5" s="279"/>
      <c r="WYM5" s="279"/>
      <c r="WYN5" s="279"/>
      <c r="WYO5" s="279"/>
      <c r="WYP5" s="279"/>
      <c r="WYQ5" s="279"/>
      <c r="WYR5" s="279"/>
      <c r="WYS5" s="279"/>
      <c r="WYT5" s="279"/>
      <c r="WYU5" s="279"/>
      <c r="WYV5" s="279"/>
      <c r="WYW5" s="279"/>
      <c r="WYX5" s="279"/>
      <c r="WYY5" s="279"/>
      <c r="WYZ5" s="279"/>
      <c r="WZA5" s="279"/>
      <c r="WZB5" s="279"/>
      <c r="WZC5" s="279"/>
      <c r="WZD5" s="279"/>
      <c r="WZE5" s="279"/>
      <c r="WZF5" s="279"/>
      <c r="WZG5" s="279"/>
      <c r="WZH5" s="279"/>
      <c r="WZI5" s="279"/>
      <c r="WZJ5" s="279"/>
      <c r="WZK5" s="279"/>
      <c r="WZL5" s="279"/>
      <c r="WZM5" s="279"/>
      <c r="WZN5" s="279"/>
      <c r="WZO5" s="279"/>
      <c r="WZP5" s="279"/>
      <c r="WZQ5" s="279"/>
      <c r="WZR5" s="279"/>
      <c r="WZS5" s="279"/>
      <c r="WZT5" s="279"/>
      <c r="WZU5" s="279"/>
      <c r="WZV5" s="279"/>
      <c r="WZW5" s="279"/>
      <c r="WZX5" s="279"/>
      <c r="WZY5" s="279"/>
      <c r="WZZ5" s="279"/>
      <c r="XAA5" s="279"/>
      <c r="XAB5" s="279"/>
      <c r="XAC5" s="279"/>
      <c r="XAD5" s="279"/>
      <c r="XAE5" s="279"/>
      <c r="XAF5" s="279"/>
      <c r="XAG5" s="279"/>
      <c r="XAH5" s="279"/>
      <c r="XAI5" s="279"/>
      <c r="XAJ5" s="279"/>
      <c r="XAK5" s="279"/>
      <c r="XAL5" s="279"/>
      <c r="XAM5" s="279"/>
      <c r="XAN5" s="279"/>
      <c r="XAO5" s="279"/>
      <c r="XAP5" s="279"/>
      <c r="XAQ5" s="279"/>
      <c r="XAR5" s="279"/>
      <c r="XAS5" s="279"/>
      <c r="XAT5" s="279"/>
      <c r="XAU5" s="279"/>
      <c r="XAV5" s="279"/>
      <c r="XAW5" s="279"/>
      <c r="XAX5" s="279"/>
      <c r="XAY5" s="279"/>
      <c r="XAZ5" s="279"/>
      <c r="XBA5" s="279"/>
      <c r="XBB5" s="279"/>
      <c r="XBC5" s="279"/>
      <c r="XBD5" s="279"/>
      <c r="XBE5" s="279"/>
      <c r="XBF5" s="279"/>
      <c r="XBG5" s="279"/>
      <c r="XBH5" s="279"/>
      <c r="XBI5" s="279"/>
      <c r="XBJ5" s="279"/>
      <c r="XBK5" s="279"/>
      <c r="XBL5" s="279"/>
      <c r="XBM5" s="279"/>
      <c r="XBN5" s="279"/>
      <c r="XBO5" s="279"/>
      <c r="XBP5" s="279"/>
      <c r="XBQ5" s="279"/>
      <c r="XBR5" s="279"/>
      <c r="XBS5" s="279"/>
      <c r="XBT5" s="279"/>
      <c r="XBU5" s="279"/>
      <c r="XBV5" s="279"/>
      <c r="XBW5" s="279"/>
      <c r="XBX5" s="279"/>
      <c r="XBY5" s="279"/>
      <c r="XBZ5" s="279"/>
      <c r="XCA5" s="279"/>
      <c r="XCB5" s="279"/>
      <c r="XCC5" s="279"/>
      <c r="XCD5" s="279"/>
      <c r="XCE5" s="279"/>
      <c r="XCF5" s="279"/>
      <c r="XCG5" s="279"/>
      <c r="XCH5" s="279"/>
      <c r="XCI5" s="279"/>
      <c r="XCJ5" s="279"/>
      <c r="XCK5" s="279"/>
      <c r="XCL5" s="279"/>
      <c r="XCM5" s="279"/>
      <c r="XCN5" s="279"/>
      <c r="XCO5" s="279"/>
      <c r="XCP5" s="279"/>
      <c r="XCQ5" s="279"/>
      <c r="XCR5" s="279"/>
      <c r="XCS5" s="279"/>
      <c r="XCT5" s="279"/>
      <c r="XCU5" s="279"/>
      <c r="XCV5" s="279"/>
      <c r="XCW5" s="279"/>
      <c r="XCX5" s="279"/>
      <c r="XCY5" s="279"/>
      <c r="XCZ5" s="279"/>
      <c r="XDA5" s="279"/>
      <c r="XDB5" s="279"/>
      <c r="XDC5" s="279"/>
      <c r="XDD5" s="279"/>
      <c r="XDE5" s="279"/>
      <c r="XDF5" s="279"/>
      <c r="XDG5" s="279"/>
      <c r="XDH5" s="279"/>
      <c r="XDI5" s="279"/>
      <c r="XDJ5" s="279"/>
      <c r="XDK5" s="279"/>
      <c r="XDL5" s="279"/>
      <c r="XDM5" s="279"/>
      <c r="XDN5" s="279"/>
      <c r="XDO5" s="279"/>
      <c r="XDP5" s="279"/>
      <c r="XDQ5" s="279"/>
      <c r="XDR5" s="279"/>
      <c r="XDS5" s="279"/>
      <c r="XDT5" s="279"/>
      <c r="XDU5" s="279"/>
      <c r="XDV5" s="279"/>
      <c r="XDW5" s="279"/>
      <c r="XDX5" s="279"/>
      <c r="XDY5" s="279"/>
      <c r="XDZ5" s="279"/>
      <c r="XEA5" s="279"/>
      <c r="XEB5" s="279"/>
      <c r="XEC5" s="279"/>
      <c r="XED5" s="279"/>
      <c r="XEE5" s="279"/>
      <c r="XEF5" s="279"/>
      <c r="XEG5" s="279"/>
      <c r="XEH5" s="279"/>
      <c r="XEI5" s="279"/>
      <c r="XEJ5" s="279"/>
      <c r="XEK5" s="279"/>
      <c r="XEL5" s="279"/>
      <c r="XEM5" s="279"/>
      <c r="XEN5" s="279"/>
      <c r="XEO5" s="279"/>
      <c r="XEP5" s="279"/>
      <c r="XEQ5" s="279"/>
      <c r="XER5" s="279"/>
      <c r="XES5" s="279"/>
      <c r="XET5" s="279"/>
      <c r="XEU5" s="279"/>
      <c r="XEV5" s="279"/>
      <c r="XEW5" s="279"/>
      <c r="XEX5" s="279"/>
      <c r="XEY5" s="279"/>
      <c r="XEZ5" s="279"/>
      <c r="XFA5" s="279"/>
      <c r="XFB5" s="279"/>
      <c r="XFC5" s="279"/>
    </row>
    <row r="6" spans="1:16383" x14ac:dyDescent="0.2">
      <c r="A6" s="382"/>
      <c r="B6" s="385">
        <v>2</v>
      </c>
      <c r="C6" s="359"/>
      <c r="D6" s="359"/>
      <c r="E6" s="671"/>
      <c r="F6" s="661" t="s">
        <v>838</v>
      </c>
      <c r="G6" s="883" t="s">
        <v>1532</v>
      </c>
      <c r="H6" s="882" t="s">
        <v>296</v>
      </c>
      <c r="I6" s="882" t="s">
        <v>296</v>
      </c>
      <c r="J6" s="886">
        <v>47500</v>
      </c>
      <c r="K6" s="672">
        <v>0</v>
      </c>
      <c r="L6" s="663"/>
      <c r="M6" s="664"/>
      <c r="N6" s="1122">
        <f>J6*(1+K6)+L6+M6</f>
        <v>47500</v>
      </c>
      <c r="O6" s="1122"/>
      <c r="P6" s="1122"/>
      <c r="Q6" s="667"/>
      <c r="R6" s="666">
        <f t="shared" si="0"/>
        <v>0</v>
      </c>
      <c r="S6" s="665">
        <f t="shared" si="1"/>
        <v>2945</v>
      </c>
      <c r="T6" s="665">
        <f t="shared" si="2"/>
        <v>688.75</v>
      </c>
      <c r="U6" s="666">
        <f t="shared" si="3"/>
        <v>42</v>
      </c>
      <c r="V6" s="666">
        <f t="shared" si="4"/>
        <v>100.8</v>
      </c>
      <c r="W6" s="665">
        <f t="shared" si="5"/>
        <v>364.79999999999995</v>
      </c>
      <c r="X6" s="665">
        <f t="shared" ref="X6:X63" si="28">+AN6*6</f>
        <v>10804.679999999998</v>
      </c>
      <c r="Y6" s="665">
        <f>+$AN6*6</f>
        <v>10804.679999999998</v>
      </c>
      <c r="Z6" s="361">
        <f t="shared" si="6"/>
        <v>73250.710000000006</v>
      </c>
      <c r="AB6" s="362"/>
      <c r="AC6" s="1181" t="str">
        <f t="shared" si="7"/>
        <v>tba (was Hutch)</v>
      </c>
      <c r="AD6" s="668" t="s">
        <v>524</v>
      </c>
      <c r="AE6" s="669">
        <f t="shared" si="8"/>
        <v>449.2</v>
      </c>
      <c r="AF6" s="670" t="s">
        <v>517</v>
      </c>
      <c r="AG6" s="669">
        <f t="shared" si="9"/>
        <v>52.91</v>
      </c>
      <c r="AH6" s="670" t="s">
        <v>526</v>
      </c>
      <c r="AI6" s="364">
        <f t="shared" si="10"/>
        <v>0</v>
      </c>
      <c r="AJ6" s="364">
        <f t="shared" si="11"/>
        <v>1741.9999999999998</v>
      </c>
      <c r="AK6" s="364">
        <f t="shared" si="12"/>
        <v>58.78</v>
      </c>
      <c r="AL6" s="364">
        <f t="shared" si="13"/>
        <v>0</v>
      </c>
      <c r="AM6" s="365">
        <f t="shared" si="14"/>
        <v>502.11</v>
      </c>
      <c r="AN6" s="366">
        <f t="shared" si="15"/>
        <v>1800.7799999999997</v>
      </c>
      <c r="AO6" s="367">
        <f t="shared" ref="AO6:AO47" si="29">SUM(AM6:AN6)</f>
        <v>2302.89</v>
      </c>
      <c r="AP6" s="368">
        <v>8.7999999999999998E-5</v>
      </c>
      <c r="AQ6" s="369">
        <v>2.0000000000000002E-5</v>
      </c>
      <c r="AR6" s="370">
        <v>2.22E-4</v>
      </c>
      <c r="AS6" s="371">
        <v>3.1E-4</v>
      </c>
      <c r="AT6" s="372">
        <f t="shared" si="16"/>
        <v>364.79999999999995</v>
      </c>
      <c r="AV6" s="373">
        <f t="shared" si="17"/>
        <v>47500</v>
      </c>
      <c r="AW6" s="374">
        <f t="shared" si="18"/>
        <v>0</v>
      </c>
      <c r="AX6" s="375" t="str">
        <f t="shared" si="19"/>
        <v/>
      </c>
      <c r="AY6" s="376">
        <v>41820</v>
      </c>
      <c r="AZ6" s="377">
        <f t="shared" si="20"/>
        <v>-29871</v>
      </c>
      <c r="BA6" s="378">
        <f t="shared" si="21"/>
        <v>29871</v>
      </c>
      <c r="BB6" s="379" t="str">
        <f t="shared" si="22"/>
        <v/>
      </c>
      <c r="BC6" s="379" t="str">
        <f t="shared" si="23"/>
        <v/>
      </c>
      <c r="BD6" s="379">
        <f t="shared" si="24"/>
        <v>0</v>
      </c>
      <c r="BE6" s="379" t="str">
        <f t="shared" si="25"/>
        <v/>
      </c>
      <c r="BF6" s="380" t="str">
        <f t="shared" si="26"/>
        <v/>
      </c>
      <c r="BG6" s="381" t="e">
        <f t="shared" si="27"/>
        <v>#VALUE!</v>
      </c>
    </row>
    <row r="7" spans="1:16383" x14ac:dyDescent="0.2">
      <c r="A7" s="331"/>
      <c r="B7" s="358">
        <v>3</v>
      </c>
      <c r="C7" s="359"/>
      <c r="D7" s="359"/>
      <c r="E7" s="671"/>
      <c r="F7" s="661" t="s">
        <v>838</v>
      </c>
      <c r="G7" s="882" t="s">
        <v>1533</v>
      </c>
      <c r="H7" s="882" t="s">
        <v>1534</v>
      </c>
      <c r="I7" s="882" t="s">
        <v>1576</v>
      </c>
      <c r="J7" s="886">
        <v>47500</v>
      </c>
      <c r="K7" s="672">
        <v>0.03</v>
      </c>
      <c r="L7" s="663">
        <v>0</v>
      </c>
      <c r="M7" s="664">
        <v>1000</v>
      </c>
      <c r="N7" s="1122">
        <f t="shared" ref="N7:N47" si="30">J7*(1+K7)+L7+M7</f>
        <v>49925</v>
      </c>
      <c r="O7" s="1122"/>
      <c r="P7" s="1122"/>
      <c r="Q7" s="667">
        <v>0.05</v>
      </c>
      <c r="R7" s="666">
        <f t="shared" si="0"/>
        <v>2496.25</v>
      </c>
      <c r="S7" s="665">
        <f t="shared" si="1"/>
        <v>2940.5825</v>
      </c>
      <c r="T7" s="665">
        <f t="shared" si="2"/>
        <v>687.71687500000007</v>
      </c>
      <c r="U7" s="666">
        <f t="shared" si="3"/>
        <v>42</v>
      </c>
      <c r="V7" s="666">
        <f t="shared" si="4"/>
        <v>100.8</v>
      </c>
      <c r="W7" s="665">
        <f t="shared" si="5"/>
        <v>364.79999999999995</v>
      </c>
      <c r="X7" s="665">
        <f t="shared" si="28"/>
        <v>0</v>
      </c>
      <c r="Y7" s="665">
        <f t="shared" ref="Y7:Y63" si="31">+AN7*6</f>
        <v>0</v>
      </c>
      <c r="Z7" s="361">
        <f t="shared" si="6"/>
        <v>56557.199375000004</v>
      </c>
      <c r="AA7" s="453"/>
      <c r="AB7" s="362"/>
      <c r="AC7" s="1181" t="str">
        <f t="shared" si="7"/>
        <v xml:space="preserve">Jessica Smithson </v>
      </c>
      <c r="AD7" s="668" t="s">
        <v>526</v>
      </c>
      <c r="AE7" s="669">
        <f t="shared" si="8"/>
        <v>0</v>
      </c>
      <c r="AF7" s="670" t="s">
        <v>526</v>
      </c>
      <c r="AG7" s="669">
        <f t="shared" si="9"/>
        <v>0</v>
      </c>
      <c r="AH7" s="670" t="s">
        <v>526</v>
      </c>
      <c r="AI7" s="364">
        <f t="shared" si="10"/>
        <v>0</v>
      </c>
      <c r="AJ7" s="364">
        <f t="shared" si="11"/>
        <v>0</v>
      </c>
      <c r="AK7" s="364">
        <f t="shared" si="12"/>
        <v>0</v>
      </c>
      <c r="AL7" s="364">
        <f t="shared" si="13"/>
        <v>0</v>
      </c>
      <c r="AM7" s="365">
        <f t="shared" si="14"/>
        <v>0</v>
      </c>
      <c r="AN7" s="366">
        <f t="shared" si="15"/>
        <v>0</v>
      </c>
      <c r="AO7" s="367">
        <f t="shared" si="29"/>
        <v>0</v>
      </c>
      <c r="AP7" s="368">
        <v>8.7999999999999998E-5</v>
      </c>
      <c r="AQ7" s="369">
        <v>2.0000000000000002E-5</v>
      </c>
      <c r="AR7" s="370">
        <v>2.22E-4</v>
      </c>
      <c r="AS7" s="371">
        <v>3.1E-4</v>
      </c>
      <c r="AT7" s="372">
        <f t="shared" si="16"/>
        <v>364.79999999999995</v>
      </c>
      <c r="AV7" s="373">
        <f t="shared" si="17"/>
        <v>47500</v>
      </c>
      <c r="AW7" s="374">
        <f t="shared" si="18"/>
        <v>0</v>
      </c>
      <c r="AX7" s="375" t="str">
        <f t="shared" si="19"/>
        <v/>
      </c>
      <c r="AY7" s="376">
        <v>41820</v>
      </c>
      <c r="AZ7" s="377">
        <f t="shared" si="20"/>
        <v>-29871</v>
      </c>
      <c r="BA7" s="378">
        <f t="shared" si="21"/>
        <v>29871</v>
      </c>
      <c r="BB7" s="379" t="str">
        <f t="shared" si="22"/>
        <v/>
      </c>
      <c r="BC7" s="379" t="str">
        <f t="shared" si="23"/>
        <v/>
      </c>
      <c r="BD7" s="379">
        <f t="shared" si="24"/>
        <v>0</v>
      </c>
      <c r="BE7" s="379" t="str">
        <f t="shared" si="25"/>
        <v/>
      </c>
      <c r="BF7" s="380" t="str">
        <f t="shared" si="26"/>
        <v/>
      </c>
      <c r="BG7" s="381" t="e">
        <f t="shared" si="27"/>
        <v>#VALUE!</v>
      </c>
    </row>
    <row r="8" spans="1:16383" x14ac:dyDescent="0.2">
      <c r="A8" s="331"/>
      <c r="B8" s="358">
        <v>4</v>
      </c>
      <c r="C8" s="359"/>
      <c r="D8" s="359"/>
      <c r="E8" s="671"/>
      <c r="F8" s="805" t="s">
        <v>838</v>
      </c>
      <c r="G8" s="883" t="s">
        <v>881</v>
      </c>
      <c r="H8" s="882" t="s">
        <v>864</v>
      </c>
      <c r="I8" s="882" t="s">
        <v>884</v>
      </c>
      <c r="J8" s="886">
        <v>47500</v>
      </c>
      <c r="K8" s="672">
        <v>0.03</v>
      </c>
      <c r="L8" s="663">
        <v>1000</v>
      </c>
      <c r="M8" s="664">
        <v>1200</v>
      </c>
      <c r="N8" s="1122">
        <f t="shared" si="30"/>
        <v>51125</v>
      </c>
      <c r="O8" s="1122"/>
      <c r="P8" s="1122"/>
      <c r="Q8" s="667">
        <v>0</v>
      </c>
      <c r="R8" s="666">
        <f t="shared" si="0"/>
        <v>0</v>
      </c>
      <c r="S8" s="665">
        <f t="shared" si="1"/>
        <v>3169.75</v>
      </c>
      <c r="T8" s="665">
        <f t="shared" si="2"/>
        <v>741.3125</v>
      </c>
      <c r="U8" s="666">
        <f t="shared" si="3"/>
        <v>42</v>
      </c>
      <c r="V8" s="666">
        <f t="shared" si="4"/>
        <v>100.8</v>
      </c>
      <c r="W8" s="665">
        <f t="shared" si="5"/>
        <v>364.79999999999995</v>
      </c>
      <c r="X8" s="665">
        <f t="shared" si="28"/>
        <v>0</v>
      </c>
      <c r="Y8" s="665">
        <f t="shared" si="31"/>
        <v>0</v>
      </c>
      <c r="Z8" s="361">
        <f t="shared" si="6"/>
        <v>55543.662500000006</v>
      </c>
      <c r="AB8" s="362"/>
      <c r="AC8" s="1181" t="str">
        <f t="shared" si="7"/>
        <v>Christine Fonte</v>
      </c>
      <c r="AD8" s="668" t="s">
        <v>526</v>
      </c>
      <c r="AE8" s="669">
        <f t="shared" si="8"/>
        <v>0</v>
      </c>
      <c r="AF8" s="670" t="s">
        <v>526</v>
      </c>
      <c r="AG8" s="669">
        <f t="shared" si="9"/>
        <v>0</v>
      </c>
      <c r="AH8" s="670" t="s">
        <v>526</v>
      </c>
      <c r="AI8" s="364">
        <f t="shared" si="10"/>
        <v>0</v>
      </c>
      <c r="AJ8" s="364">
        <f t="shared" si="11"/>
        <v>0</v>
      </c>
      <c r="AK8" s="364">
        <f t="shared" si="12"/>
        <v>0</v>
      </c>
      <c r="AL8" s="364">
        <f t="shared" si="13"/>
        <v>0</v>
      </c>
      <c r="AM8" s="365">
        <f t="shared" si="14"/>
        <v>0</v>
      </c>
      <c r="AN8" s="366">
        <f t="shared" si="15"/>
        <v>0</v>
      </c>
      <c r="AO8" s="367">
        <f t="shared" si="29"/>
        <v>0</v>
      </c>
      <c r="AP8" s="368">
        <v>8.7999999999999998E-5</v>
      </c>
      <c r="AQ8" s="369">
        <v>2.0000000000000002E-5</v>
      </c>
      <c r="AR8" s="370">
        <v>2.22E-4</v>
      </c>
      <c r="AS8" s="371">
        <v>3.1E-4</v>
      </c>
      <c r="AT8" s="372">
        <f t="shared" si="16"/>
        <v>364.79999999999995</v>
      </c>
      <c r="AV8" s="373">
        <f t="shared" si="17"/>
        <v>47500</v>
      </c>
      <c r="AW8" s="374">
        <f t="shared" si="18"/>
        <v>0</v>
      </c>
      <c r="AX8" s="375" t="str">
        <f t="shared" si="19"/>
        <v/>
      </c>
      <c r="AY8" s="376">
        <v>41820</v>
      </c>
      <c r="AZ8" s="377">
        <f t="shared" si="20"/>
        <v>-29871</v>
      </c>
      <c r="BA8" s="378">
        <f t="shared" si="21"/>
        <v>29871</v>
      </c>
      <c r="BB8" s="379" t="str">
        <f t="shared" si="22"/>
        <v/>
      </c>
      <c r="BC8" s="379" t="str">
        <f t="shared" si="23"/>
        <v/>
      </c>
      <c r="BD8" s="379">
        <f t="shared" si="24"/>
        <v>0</v>
      </c>
      <c r="BE8" s="379" t="str">
        <f t="shared" si="25"/>
        <v/>
      </c>
      <c r="BF8" s="380" t="str">
        <f t="shared" si="26"/>
        <v/>
      </c>
      <c r="BG8" s="381" t="e">
        <f t="shared" si="27"/>
        <v>#VALUE!</v>
      </c>
    </row>
    <row r="9" spans="1:16383" x14ac:dyDescent="0.2">
      <c r="A9" s="382"/>
      <c r="B9" s="383">
        <v>5</v>
      </c>
      <c r="C9" s="359"/>
      <c r="D9" s="359"/>
      <c r="E9" s="671"/>
      <c r="F9" s="661" t="s">
        <v>838</v>
      </c>
      <c r="G9" s="1248" t="s">
        <v>1398</v>
      </c>
      <c r="H9" s="882" t="s">
        <v>56</v>
      </c>
      <c r="I9" s="882" t="s">
        <v>1397</v>
      </c>
      <c r="J9" s="886">
        <v>47500</v>
      </c>
      <c r="K9" s="672">
        <v>0.03</v>
      </c>
      <c r="L9" s="663">
        <v>0</v>
      </c>
      <c r="M9" s="664">
        <v>1200</v>
      </c>
      <c r="N9" s="1122">
        <f t="shared" si="30"/>
        <v>50125</v>
      </c>
      <c r="O9" s="1122"/>
      <c r="P9" s="1122"/>
      <c r="Q9" s="667">
        <v>0.05</v>
      </c>
      <c r="R9" s="666">
        <f t="shared" si="0"/>
        <v>2506.25</v>
      </c>
      <c r="S9" s="665">
        <f t="shared" si="1"/>
        <v>2952.3625000000002</v>
      </c>
      <c r="T9" s="665">
        <f t="shared" si="2"/>
        <v>690.47187500000007</v>
      </c>
      <c r="U9" s="666">
        <f t="shared" si="3"/>
        <v>42</v>
      </c>
      <c r="V9" s="666">
        <f t="shared" si="4"/>
        <v>100.8</v>
      </c>
      <c r="W9" s="665">
        <f t="shared" si="5"/>
        <v>364.79999999999995</v>
      </c>
      <c r="X9" s="665">
        <f t="shared" si="28"/>
        <v>3437.3999999999996</v>
      </c>
      <c r="Y9" s="665">
        <f t="shared" si="31"/>
        <v>3437.3999999999996</v>
      </c>
      <c r="Z9" s="361">
        <f t="shared" si="6"/>
        <v>63656.534375000017</v>
      </c>
      <c r="AB9" s="362"/>
      <c r="AC9" s="1181" t="str">
        <f t="shared" si="7"/>
        <v xml:space="preserve">Madison Morrow </v>
      </c>
      <c r="AD9" s="668" t="s">
        <v>530</v>
      </c>
      <c r="AE9" s="669">
        <f t="shared" si="8"/>
        <v>125.65</v>
      </c>
      <c r="AF9" s="670" t="s">
        <v>511</v>
      </c>
      <c r="AG9" s="669">
        <f t="shared" si="9"/>
        <v>6.92</v>
      </c>
      <c r="AH9" s="670" t="s">
        <v>526</v>
      </c>
      <c r="AI9" s="364">
        <f t="shared" si="10"/>
        <v>0</v>
      </c>
      <c r="AJ9" s="364">
        <f t="shared" si="11"/>
        <v>553.53</v>
      </c>
      <c r="AK9" s="364">
        <f t="shared" si="12"/>
        <v>19.369999999999997</v>
      </c>
      <c r="AL9" s="364">
        <f t="shared" si="13"/>
        <v>0</v>
      </c>
      <c r="AM9" s="365">
        <f t="shared" si="14"/>
        <v>132.57</v>
      </c>
      <c r="AN9" s="366">
        <f t="shared" si="15"/>
        <v>572.9</v>
      </c>
      <c r="AO9" s="367">
        <f t="shared" si="29"/>
        <v>705.47</v>
      </c>
      <c r="AP9" s="368">
        <v>8.7999999999999998E-5</v>
      </c>
      <c r="AQ9" s="369">
        <v>2.0000000000000002E-5</v>
      </c>
      <c r="AR9" s="370">
        <v>2.22E-4</v>
      </c>
      <c r="AS9" s="371">
        <v>3.1E-4</v>
      </c>
      <c r="AT9" s="372">
        <f t="shared" si="16"/>
        <v>364.79999999999995</v>
      </c>
      <c r="AV9" s="373">
        <f t="shared" si="17"/>
        <v>47500</v>
      </c>
      <c r="AW9" s="374">
        <f t="shared" si="18"/>
        <v>0</v>
      </c>
      <c r="AX9" s="375" t="str">
        <f t="shared" si="19"/>
        <v/>
      </c>
      <c r="AY9" s="376">
        <v>41820</v>
      </c>
      <c r="AZ9" s="377">
        <f t="shared" si="20"/>
        <v>-29871</v>
      </c>
      <c r="BA9" s="378">
        <f t="shared" si="21"/>
        <v>29871</v>
      </c>
      <c r="BB9" s="379" t="str">
        <f t="shared" si="22"/>
        <v/>
      </c>
      <c r="BC9" s="379" t="str">
        <f t="shared" si="23"/>
        <v/>
      </c>
      <c r="BD9" s="379">
        <f t="shared" si="24"/>
        <v>0</v>
      </c>
      <c r="BE9" s="379" t="str">
        <f t="shared" si="25"/>
        <v/>
      </c>
      <c r="BF9" s="380" t="str">
        <f t="shared" si="26"/>
        <v/>
      </c>
      <c r="BG9" s="381" t="e">
        <f t="shared" si="27"/>
        <v>#VALUE!</v>
      </c>
    </row>
    <row r="10" spans="1:16383" x14ac:dyDescent="0.2">
      <c r="A10" s="382"/>
      <c r="B10" s="358">
        <v>6</v>
      </c>
      <c r="C10" s="359"/>
      <c r="D10" s="359"/>
      <c r="E10" s="671"/>
      <c r="F10" s="661" t="s">
        <v>838</v>
      </c>
      <c r="G10" s="882" t="s">
        <v>1535</v>
      </c>
      <c r="H10" s="882" t="s">
        <v>1536</v>
      </c>
      <c r="I10" s="882" t="s">
        <v>1537</v>
      </c>
      <c r="J10" s="886">
        <v>47500</v>
      </c>
      <c r="K10" s="672">
        <v>0.03</v>
      </c>
      <c r="L10" s="663">
        <v>0</v>
      </c>
      <c r="M10" s="664">
        <v>1000</v>
      </c>
      <c r="N10" s="1122">
        <f t="shared" si="30"/>
        <v>49925</v>
      </c>
      <c r="O10" s="1122"/>
      <c r="P10" s="1122"/>
      <c r="Q10" s="667">
        <v>0.05</v>
      </c>
      <c r="R10" s="666">
        <f t="shared" si="0"/>
        <v>2496.25</v>
      </c>
      <c r="S10" s="665">
        <f t="shared" si="1"/>
        <v>2940.5825</v>
      </c>
      <c r="T10" s="665">
        <f t="shared" si="2"/>
        <v>687.71687500000007</v>
      </c>
      <c r="U10" s="666">
        <f t="shared" si="3"/>
        <v>42</v>
      </c>
      <c r="V10" s="666">
        <f t="shared" si="4"/>
        <v>100.8</v>
      </c>
      <c r="W10" s="665">
        <f t="shared" si="5"/>
        <v>364.79999999999995</v>
      </c>
      <c r="X10" s="665">
        <f t="shared" si="28"/>
        <v>11426.279999999999</v>
      </c>
      <c r="Y10" s="665">
        <f t="shared" si="31"/>
        <v>11426.279999999999</v>
      </c>
      <c r="Z10" s="361">
        <f t="shared" si="6"/>
        <v>79409.759374999994</v>
      </c>
      <c r="AB10" s="362"/>
      <c r="AC10" s="1181" t="str">
        <f t="shared" si="7"/>
        <v>Emily Hess</v>
      </c>
      <c r="AD10" s="668" t="s">
        <v>516</v>
      </c>
      <c r="AE10" s="669">
        <f t="shared" si="8"/>
        <v>637.86</v>
      </c>
      <c r="AF10" s="670" t="s">
        <v>540</v>
      </c>
      <c r="AG10" s="669">
        <f t="shared" si="9"/>
        <v>33.340000000000003</v>
      </c>
      <c r="AH10" s="670" t="s">
        <v>512</v>
      </c>
      <c r="AI10" s="364">
        <f t="shared" si="10"/>
        <v>1.63</v>
      </c>
      <c r="AJ10" s="364">
        <f t="shared" si="11"/>
        <v>1863.54</v>
      </c>
      <c r="AK10" s="364">
        <f t="shared" si="12"/>
        <v>37.039999999999992</v>
      </c>
      <c r="AL10" s="364">
        <f t="shared" si="13"/>
        <v>3.8</v>
      </c>
      <c r="AM10" s="365">
        <f t="shared" si="14"/>
        <v>672.83</v>
      </c>
      <c r="AN10" s="366">
        <f t="shared" si="15"/>
        <v>1904.3799999999999</v>
      </c>
      <c r="AO10" s="367">
        <f t="shared" si="29"/>
        <v>2577.21</v>
      </c>
      <c r="AP10" s="368">
        <v>8.7999999999999998E-5</v>
      </c>
      <c r="AQ10" s="369">
        <v>2.0000000000000002E-5</v>
      </c>
      <c r="AR10" s="370">
        <v>2.22E-4</v>
      </c>
      <c r="AS10" s="371">
        <v>3.1E-4</v>
      </c>
      <c r="AT10" s="372">
        <f t="shared" si="16"/>
        <v>364.79999999999995</v>
      </c>
      <c r="AV10" s="373">
        <f t="shared" si="17"/>
        <v>47500</v>
      </c>
      <c r="AW10" s="374">
        <f t="shared" si="18"/>
        <v>0</v>
      </c>
      <c r="AX10" s="375" t="str">
        <f t="shared" si="19"/>
        <v/>
      </c>
      <c r="AY10" s="376">
        <v>41820</v>
      </c>
      <c r="AZ10" s="377">
        <f t="shared" si="20"/>
        <v>-29871</v>
      </c>
      <c r="BA10" s="378">
        <f t="shared" si="21"/>
        <v>29871</v>
      </c>
      <c r="BB10" s="379" t="str">
        <f t="shared" si="22"/>
        <v/>
      </c>
      <c r="BC10" s="379" t="str">
        <f t="shared" si="23"/>
        <v/>
      </c>
      <c r="BD10" s="379">
        <f t="shared" si="24"/>
        <v>0</v>
      </c>
      <c r="BE10" s="379" t="str">
        <f t="shared" si="25"/>
        <v/>
      </c>
      <c r="BF10" s="380" t="str">
        <f t="shared" si="26"/>
        <v/>
      </c>
      <c r="BG10" s="381" t="e">
        <f t="shared" si="27"/>
        <v>#VALUE!</v>
      </c>
    </row>
    <row r="11" spans="1:16383" x14ac:dyDescent="0.2">
      <c r="A11" s="382"/>
      <c r="B11" s="385">
        <v>7</v>
      </c>
      <c r="C11" s="359"/>
      <c r="D11" s="359"/>
      <c r="E11" s="671"/>
      <c r="F11" s="661" t="s">
        <v>659</v>
      </c>
      <c r="G11" s="882" t="s">
        <v>1538</v>
      </c>
      <c r="H11" s="882" t="s">
        <v>865</v>
      </c>
      <c r="I11" s="882" t="s">
        <v>1539</v>
      </c>
      <c r="J11" s="920">
        <v>47500</v>
      </c>
      <c r="K11" s="672">
        <v>0.03</v>
      </c>
      <c r="L11" s="663">
        <v>1000</v>
      </c>
      <c r="M11" s="664">
        <v>1200</v>
      </c>
      <c r="N11" s="1122">
        <f>J11*(1+K11)+L11+M11</f>
        <v>51125</v>
      </c>
      <c r="O11" s="1122"/>
      <c r="P11" s="1122"/>
      <c r="Q11" s="667">
        <v>0.05</v>
      </c>
      <c r="R11" s="666">
        <f t="shared" si="0"/>
        <v>2556.25</v>
      </c>
      <c r="S11" s="665">
        <f t="shared" si="1"/>
        <v>3011.2624999999998</v>
      </c>
      <c r="T11" s="665">
        <f t="shared" si="2"/>
        <v>704.24687500000005</v>
      </c>
      <c r="U11" s="666">
        <f t="shared" si="3"/>
        <v>42</v>
      </c>
      <c r="V11" s="666">
        <f t="shared" si="4"/>
        <v>100.8</v>
      </c>
      <c r="W11" s="665">
        <f t="shared" si="5"/>
        <v>364.79999999999995</v>
      </c>
      <c r="X11" s="665">
        <f t="shared" si="28"/>
        <v>8600.16</v>
      </c>
      <c r="Y11" s="665">
        <f t="shared" si="31"/>
        <v>8600.16</v>
      </c>
      <c r="Z11" s="361">
        <f t="shared" si="6"/>
        <v>75104.72937500001</v>
      </c>
      <c r="AB11" s="362"/>
      <c r="AC11" s="1181" t="str">
        <f t="shared" si="7"/>
        <v>Cassiana Klotzbach(Lipke)</v>
      </c>
      <c r="AD11" s="668" t="s">
        <v>515</v>
      </c>
      <c r="AE11" s="669">
        <f t="shared" si="8"/>
        <v>515.76</v>
      </c>
      <c r="AF11" s="670" t="s">
        <v>557</v>
      </c>
      <c r="AG11" s="669">
        <f t="shared" si="9"/>
        <v>72.36</v>
      </c>
      <c r="AH11" s="670" t="s">
        <v>519</v>
      </c>
      <c r="AI11" s="364">
        <f t="shared" si="10"/>
        <v>7.96</v>
      </c>
      <c r="AJ11" s="364">
        <f t="shared" si="11"/>
        <v>1359.74</v>
      </c>
      <c r="AK11" s="364">
        <f t="shared" si="12"/>
        <v>65.63000000000001</v>
      </c>
      <c r="AL11" s="364">
        <f t="shared" si="13"/>
        <v>7.9899999999999993</v>
      </c>
      <c r="AM11" s="365">
        <f t="shared" si="14"/>
        <v>596.08000000000004</v>
      </c>
      <c r="AN11" s="366">
        <f t="shared" si="15"/>
        <v>1433.3600000000001</v>
      </c>
      <c r="AO11" s="367">
        <f t="shared" si="29"/>
        <v>2029.44</v>
      </c>
      <c r="AP11" s="368">
        <v>8.7999999999999998E-5</v>
      </c>
      <c r="AQ11" s="369">
        <v>2.0000000000000002E-5</v>
      </c>
      <c r="AR11" s="370">
        <v>2.22E-4</v>
      </c>
      <c r="AS11" s="371">
        <v>3.1E-4</v>
      </c>
      <c r="AT11" s="372">
        <f t="shared" si="16"/>
        <v>364.79999999999995</v>
      </c>
      <c r="AV11" s="373">
        <f t="shared" si="17"/>
        <v>47500</v>
      </c>
      <c r="AW11" s="374">
        <f t="shared" si="18"/>
        <v>0</v>
      </c>
      <c r="AX11" s="375" t="str">
        <f t="shared" si="19"/>
        <v/>
      </c>
      <c r="AY11" s="376">
        <v>41820</v>
      </c>
      <c r="AZ11" s="377">
        <f t="shared" si="20"/>
        <v>-29871</v>
      </c>
      <c r="BA11" s="378">
        <f t="shared" si="21"/>
        <v>29871</v>
      </c>
      <c r="BB11" s="379" t="str">
        <f t="shared" si="22"/>
        <v/>
      </c>
      <c r="BC11" s="379" t="str">
        <f t="shared" si="23"/>
        <v/>
      </c>
      <c r="BD11" s="379">
        <f t="shared" si="24"/>
        <v>0</v>
      </c>
      <c r="BE11" s="379" t="str">
        <f t="shared" si="25"/>
        <v/>
      </c>
      <c r="BF11" s="380" t="str">
        <f t="shared" si="26"/>
        <v/>
      </c>
      <c r="BG11" s="381" t="e">
        <f t="shared" si="27"/>
        <v>#VALUE!</v>
      </c>
    </row>
    <row r="12" spans="1:16383" x14ac:dyDescent="0.2">
      <c r="A12" s="382"/>
      <c r="B12" s="358">
        <v>8</v>
      </c>
      <c r="C12" s="359"/>
      <c r="D12" s="359"/>
      <c r="E12" s="671"/>
      <c r="F12" s="661" t="s">
        <v>659</v>
      </c>
      <c r="G12" s="883" t="s">
        <v>1540</v>
      </c>
      <c r="H12" s="882" t="s">
        <v>1534</v>
      </c>
      <c r="I12" s="882" t="s">
        <v>1541</v>
      </c>
      <c r="J12" s="886">
        <v>47500</v>
      </c>
      <c r="K12" s="672">
        <v>0.03</v>
      </c>
      <c r="L12" s="663">
        <v>0</v>
      </c>
      <c r="M12" s="664">
        <v>0</v>
      </c>
      <c r="N12" s="1122">
        <f t="shared" si="30"/>
        <v>48925</v>
      </c>
      <c r="O12" s="1122"/>
      <c r="P12" s="1122"/>
      <c r="Q12" s="667">
        <v>0.05</v>
      </c>
      <c r="R12" s="666">
        <f t="shared" si="0"/>
        <v>2446.25</v>
      </c>
      <c r="S12" s="665">
        <f t="shared" si="1"/>
        <v>2881.6824999999999</v>
      </c>
      <c r="T12" s="665">
        <f t="shared" si="2"/>
        <v>673.94187499999998</v>
      </c>
      <c r="U12" s="666">
        <f t="shared" si="3"/>
        <v>42</v>
      </c>
      <c r="V12" s="666">
        <f t="shared" si="4"/>
        <v>100.8</v>
      </c>
      <c r="W12" s="665">
        <f t="shared" si="5"/>
        <v>364.79999999999995</v>
      </c>
      <c r="X12" s="665">
        <f t="shared" si="28"/>
        <v>7840.74</v>
      </c>
      <c r="Y12" s="665">
        <f t="shared" si="31"/>
        <v>7840.74</v>
      </c>
      <c r="Z12" s="361">
        <f t="shared" si="6"/>
        <v>71116.004375000004</v>
      </c>
      <c r="AB12" s="362"/>
      <c r="AC12" s="1181" t="str">
        <f t="shared" si="7"/>
        <v>Jessica McGinnis</v>
      </c>
      <c r="AD12" s="668" t="s">
        <v>534</v>
      </c>
      <c r="AE12" s="669">
        <f t="shared" si="8"/>
        <v>266.76</v>
      </c>
      <c r="AF12" s="670" t="s">
        <v>555</v>
      </c>
      <c r="AG12" s="669">
        <f t="shared" si="9"/>
        <v>38.93</v>
      </c>
      <c r="AH12" s="670" t="s">
        <v>521</v>
      </c>
      <c r="AI12" s="364">
        <f t="shared" si="10"/>
        <v>4.88</v>
      </c>
      <c r="AJ12" s="364">
        <f t="shared" si="11"/>
        <v>1257.57</v>
      </c>
      <c r="AK12" s="364">
        <f t="shared" si="12"/>
        <v>43.250000000000007</v>
      </c>
      <c r="AL12" s="364">
        <f t="shared" si="13"/>
        <v>5.97</v>
      </c>
      <c r="AM12" s="365">
        <f t="shared" si="14"/>
        <v>310.57</v>
      </c>
      <c r="AN12" s="366">
        <f t="shared" si="15"/>
        <v>1306.79</v>
      </c>
      <c r="AO12" s="367">
        <f t="shared" ref="AO12:AO18" si="32">SUM(AM12:AN12)</f>
        <v>1617.36</v>
      </c>
      <c r="AP12" s="368">
        <v>8.7999999999999998E-5</v>
      </c>
      <c r="AQ12" s="369">
        <v>2.0000000000000002E-5</v>
      </c>
      <c r="AR12" s="370">
        <v>2.22E-4</v>
      </c>
      <c r="AS12" s="371">
        <v>3.1E-4</v>
      </c>
      <c r="AT12" s="372">
        <f t="shared" si="16"/>
        <v>364.79999999999995</v>
      </c>
      <c r="AV12" s="373">
        <f t="shared" si="17"/>
        <v>47500</v>
      </c>
      <c r="AW12" s="374">
        <f t="shared" si="18"/>
        <v>0</v>
      </c>
      <c r="AX12" s="375" t="str">
        <f t="shared" si="19"/>
        <v/>
      </c>
      <c r="AY12" s="376">
        <v>41820</v>
      </c>
      <c r="AZ12" s="377">
        <f t="shared" si="20"/>
        <v>-29871</v>
      </c>
      <c r="BA12" s="378">
        <f t="shared" si="21"/>
        <v>29871</v>
      </c>
      <c r="BB12" s="379" t="str">
        <f t="shared" si="22"/>
        <v/>
      </c>
      <c r="BC12" s="379" t="str">
        <f t="shared" si="23"/>
        <v/>
      </c>
      <c r="BD12" s="379">
        <f t="shared" si="24"/>
        <v>0</v>
      </c>
      <c r="BE12" s="379" t="str">
        <f t="shared" si="25"/>
        <v/>
      </c>
      <c r="BF12" s="380" t="str">
        <f t="shared" si="26"/>
        <v/>
      </c>
      <c r="BG12" s="381" t="e">
        <f t="shared" si="27"/>
        <v>#VALUE!</v>
      </c>
    </row>
    <row r="13" spans="1:16383" x14ac:dyDescent="0.2">
      <c r="A13" s="382"/>
      <c r="B13" s="383">
        <v>9</v>
      </c>
      <c r="C13" s="359"/>
      <c r="D13" s="359"/>
      <c r="E13" s="671"/>
      <c r="F13" s="661" t="s">
        <v>659</v>
      </c>
      <c r="G13" s="883" t="s">
        <v>976</v>
      </c>
      <c r="H13" s="882" t="s">
        <v>977</v>
      </c>
      <c r="I13" s="882" t="s">
        <v>978</v>
      </c>
      <c r="J13" s="886">
        <v>52560</v>
      </c>
      <c r="K13" s="672">
        <v>0.03</v>
      </c>
      <c r="L13" s="663">
        <v>0</v>
      </c>
      <c r="M13" s="664">
        <v>1200</v>
      </c>
      <c r="N13" s="1122">
        <f t="shared" si="30"/>
        <v>55336.800000000003</v>
      </c>
      <c r="O13" s="1122"/>
      <c r="P13" s="1122"/>
      <c r="Q13" s="667">
        <v>0.05</v>
      </c>
      <c r="R13" s="666">
        <f t="shared" si="0"/>
        <v>2766.84</v>
      </c>
      <c r="S13" s="665">
        <f t="shared" si="1"/>
        <v>3259.3375200000005</v>
      </c>
      <c r="T13" s="665">
        <f t="shared" si="2"/>
        <v>762.26442000000009</v>
      </c>
      <c r="U13" s="666">
        <f t="shared" si="3"/>
        <v>42</v>
      </c>
      <c r="V13" s="666">
        <f t="shared" si="4"/>
        <v>100.8</v>
      </c>
      <c r="W13" s="665">
        <f t="shared" si="5"/>
        <v>403.66080000000005</v>
      </c>
      <c r="X13" s="665">
        <f t="shared" si="28"/>
        <v>0</v>
      </c>
      <c r="Y13" s="665">
        <f t="shared" si="31"/>
        <v>0</v>
      </c>
      <c r="Z13" s="361">
        <f t="shared" si="6"/>
        <v>62671.752740000004</v>
      </c>
      <c r="AB13" s="362"/>
      <c r="AC13" s="1181" t="str">
        <f t="shared" si="7"/>
        <v>Amy Wagner</v>
      </c>
      <c r="AD13" s="668" t="s">
        <v>526</v>
      </c>
      <c r="AE13" s="669">
        <f t="shared" si="8"/>
        <v>0</v>
      </c>
      <c r="AF13" s="670" t="s">
        <v>526</v>
      </c>
      <c r="AG13" s="669">
        <f t="shared" si="9"/>
        <v>0</v>
      </c>
      <c r="AH13" s="670" t="s">
        <v>526</v>
      </c>
      <c r="AI13" s="364">
        <f t="shared" si="10"/>
        <v>0</v>
      </c>
      <c r="AJ13" s="364">
        <f t="shared" si="11"/>
        <v>0</v>
      </c>
      <c r="AK13" s="364">
        <f t="shared" si="12"/>
        <v>0</v>
      </c>
      <c r="AL13" s="364">
        <f t="shared" si="13"/>
        <v>0</v>
      </c>
      <c r="AM13" s="365">
        <f t="shared" si="14"/>
        <v>0</v>
      </c>
      <c r="AN13" s="366">
        <f t="shared" si="15"/>
        <v>0</v>
      </c>
      <c r="AO13" s="367">
        <f t="shared" si="32"/>
        <v>0</v>
      </c>
      <c r="AP13" s="368">
        <v>8.7999999999999998E-5</v>
      </c>
      <c r="AQ13" s="369">
        <v>2.0000000000000002E-5</v>
      </c>
      <c r="AR13" s="370">
        <v>2.22E-4</v>
      </c>
      <c r="AS13" s="371">
        <v>3.1E-4</v>
      </c>
      <c r="AT13" s="372">
        <f t="shared" si="16"/>
        <v>403.66080000000005</v>
      </c>
      <c r="AV13" s="373">
        <f t="shared" si="17"/>
        <v>52560</v>
      </c>
      <c r="AW13" s="374">
        <f t="shared" si="18"/>
        <v>0</v>
      </c>
      <c r="AX13" s="375" t="str">
        <f t="shared" si="19"/>
        <v/>
      </c>
      <c r="AY13" s="376">
        <v>41820</v>
      </c>
      <c r="AZ13" s="377">
        <f t="shared" si="20"/>
        <v>-29871</v>
      </c>
      <c r="BA13" s="378">
        <f t="shared" si="21"/>
        <v>29871</v>
      </c>
      <c r="BB13" s="379" t="str">
        <f t="shared" si="22"/>
        <v/>
      </c>
      <c r="BC13" s="379" t="str">
        <f t="shared" si="23"/>
        <v/>
      </c>
      <c r="BD13" s="379">
        <f t="shared" si="24"/>
        <v>0</v>
      </c>
      <c r="BE13" s="379" t="str">
        <f t="shared" si="25"/>
        <v/>
      </c>
      <c r="BF13" s="380" t="str">
        <f t="shared" si="26"/>
        <v/>
      </c>
      <c r="BG13" s="381" t="e">
        <f t="shared" si="27"/>
        <v>#VALUE!</v>
      </c>
    </row>
    <row r="14" spans="1:16383" x14ac:dyDescent="0.2">
      <c r="A14" s="382"/>
      <c r="B14" s="383">
        <v>10</v>
      </c>
      <c r="C14" s="359"/>
      <c r="D14" s="359"/>
      <c r="E14" s="671"/>
      <c r="F14" s="661" t="s">
        <v>659</v>
      </c>
      <c r="G14" s="1249" t="s">
        <v>1542</v>
      </c>
      <c r="H14" s="1249" t="s">
        <v>1534</v>
      </c>
      <c r="I14" s="1249" t="s">
        <v>1543</v>
      </c>
      <c r="J14" s="1250">
        <v>49900</v>
      </c>
      <c r="K14" s="672">
        <v>0</v>
      </c>
      <c r="L14" s="663">
        <v>0</v>
      </c>
      <c r="M14" s="664"/>
      <c r="N14" s="1122">
        <f t="shared" si="30"/>
        <v>49900</v>
      </c>
      <c r="O14" s="1122"/>
      <c r="P14" s="1122"/>
      <c r="Q14" s="667">
        <v>0.05</v>
      </c>
      <c r="R14" s="666">
        <f t="shared" si="0"/>
        <v>2495</v>
      </c>
      <c r="S14" s="665">
        <f t="shared" si="1"/>
        <v>2939.11</v>
      </c>
      <c r="T14" s="665">
        <f t="shared" si="2"/>
        <v>687.37250000000006</v>
      </c>
      <c r="U14" s="666">
        <f t="shared" si="3"/>
        <v>42</v>
      </c>
      <c r="V14" s="666">
        <f t="shared" si="4"/>
        <v>100.8</v>
      </c>
      <c r="W14" s="665">
        <f t="shared" si="5"/>
        <v>383.23199999999997</v>
      </c>
      <c r="X14" s="665">
        <f t="shared" si="28"/>
        <v>8671.74</v>
      </c>
      <c r="Y14" s="665">
        <f t="shared" si="31"/>
        <v>8671.74</v>
      </c>
      <c r="Z14" s="361">
        <f t="shared" si="6"/>
        <v>73891.044500000004</v>
      </c>
      <c r="AB14" s="362"/>
      <c r="AC14" s="1181" t="str">
        <f t="shared" si="7"/>
        <v>Jessica Elsey</v>
      </c>
      <c r="AD14" s="818" t="s">
        <v>513</v>
      </c>
      <c r="AE14" s="819">
        <f t="shared" si="8"/>
        <v>339.32</v>
      </c>
      <c r="AF14" s="820" t="s">
        <v>520</v>
      </c>
      <c r="AG14" s="819">
        <f t="shared" si="9"/>
        <v>28.02</v>
      </c>
      <c r="AH14" s="820" t="s">
        <v>521</v>
      </c>
      <c r="AI14" s="819">
        <f t="shared" si="10"/>
        <v>4.88</v>
      </c>
      <c r="AJ14" s="819">
        <f t="shared" si="11"/>
        <v>1400.78</v>
      </c>
      <c r="AK14" s="819">
        <f t="shared" si="12"/>
        <v>38.540000000000006</v>
      </c>
      <c r="AL14" s="819">
        <f t="shared" si="13"/>
        <v>5.97</v>
      </c>
      <c r="AM14" s="365">
        <f t="shared" si="14"/>
        <v>372.21999999999997</v>
      </c>
      <c r="AN14" s="366">
        <f t="shared" si="15"/>
        <v>1445.29</v>
      </c>
      <c r="AO14" s="367">
        <f t="shared" si="32"/>
        <v>1817.51</v>
      </c>
      <c r="AP14" s="821">
        <v>8.7999999999999998E-5</v>
      </c>
      <c r="AQ14" s="822">
        <v>2.0000000000000002E-5</v>
      </c>
      <c r="AR14" s="370">
        <v>2.22E-4</v>
      </c>
      <c r="AS14" s="371">
        <v>3.1E-4</v>
      </c>
      <c r="AT14" s="372">
        <f t="shared" si="16"/>
        <v>383.23199999999997</v>
      </c>
      <c r="AV14" s="823">
        <f t="shared" si="17"/>
        <v>49900</v>
      </c>
      <c r="AW14" s="374">
        <f t="shared" si="18"/>
        <v>0</v>
      </c>
      <c r="AX14" s="375" t="str">
        <f t="shared" si="19"/>
        <v/>
      </c>
      <c r="AY14" s="376">
        <v>41820</v>
      </c>
      <c r="AZ14" s="377">
        <f t="shared" si="20"/>
        <v>-29871</v>
      </c>
      <c r="BA14" s="378">
        <f t="shared" si="21"/>
        <v>29871</v>
      </c>
      <c r="BB14" s="824" t="str">
        <f t="shared" si="22"/>
        <v/>
      </c>
      <c r="BC14" s="824" t="str">
        <f t="shared" si="23"/>
        <v/>
      </c>
      <c r="BD14" s="824">
        <f t="shared" si="24"/>
        <v>0</v>
      </c>
      <c r="BE14" s="824" t="str">
        <f t="shared" si="25"/>
        <v/>
      </c>
      <c r="BF14" s="825" t="str">
        <f t="shared" si="26"/>
        <v/>
      </c>
      <c r="BG14" s="826" t="e">
        <f t="shared" si="27"/>
        <v>#VALUE!</v>
      </c>
      <c r="BH14" s="877"/>
    </row>
    <row r="15" spans="1:16383" x14ac:dyDescent="0.2">
      <c r="A15" s="382"/>
      <c r="B15" s="383">
        <v>11</v>
      </c>
      <c r="C15" s="359"/>
      <c r="D15" s="359"/>
      <c r="E15" s="671"/>
      <c r="F15" s="661" t="s">
        <v>659</v>
      </c>
      <c r="G15" s="883" t="s">
        <v>1018</v>
      </c>
      <c r="H15" s="882" t="s">
        <v>1019</v>
      </c>
      <c r="I15" s="882" t="s">
        <v>1020</v>
      </c>
      <c r="J15" s="886">
        <v>47500</v>
      </c>
      <c r="K15" s="672">
        <v>0.03</v>
      </c>
      <c r="L15" s="663">
        <v>0</v>
      </c>
      <c r="M15" s="664">
        <v>600</v>
      </c>
      <c r="N15" s="1122">
        <f t="shared" si="30"/>
        <v>49525</v>
      </c>
      <c r="O15" s="1122"/>
      <c r="P15" s="1122"/>
      <c r="Q15" s="667">
        <v>0.05</v>
      </c>
      <c r="R15" s="666">
        <f t="shared" si="0"/>
        <v>2476.25</v>
      </c>
      <c r="S15" s="665">
        <f t="shared" si="1"/>
        <v>2917.0225</v>
      </c>
      <c r="T15" s="665">
        <f t="shared" si="2"/>
        <v>682.20687500000008</v>
      </c>
      <c r="U15" s="666">
        <f t="shared" si="3"/>
        <v>42</v>
      </c>
      <c r="V15" s="666">
        <f t="shared" si="4"/>
        <v>100.8</v>
      </c>
      <c r="W15" s="665">
        <f t="shared" si="5"/>
        <v>364.79999999999995</v>
      </c>
      <c r="X15" s="665">
        <f t="shared" si="28"/>
        <v>8671.74</v>
      </c>
      <c r="Y15" s="665">
        <f t="shared" si="31"/>
        <v>8671.74</v>
      </c>
      <c r="Z15" s="361">
        <f t="shared" si="6"/>
        <v>73451.609375000015</v>
      </c>
      <c r="AB15" s="362"/>
      <c r="AC15" s="1181" t="str">
        <f t="shared" si="7"/>
        <v>Ana Siu</v>
      </c>
      <c r="AD15" s="818" t="s">
        <v>513</v>
      </c>
      <c r="AE15" s="819">
        <f t="shared" si="8"/>
        <v>339.32</v>
      </c>
      <c r="AF15" s="820" t="s">
        <v>520</v>
      </c>
      <c r="AG15" s="819">
        <f t="shared" si="9"/>
        <v>28.02</v>
      </c>
      <c r="AH15" s="820" t="s">
        <v>521</v>
      </c>
      <c r="AI15" s="819">
        <f t="shared" si="10"/>
        <v>4.88</v>
      </c>
      <c r="AJ15" s="819">
        <f t="shared" si="11"/>
        <v>1400.78</v>
      </c>
      <c r="AK15" s="819">
        <f t="shared" si="12"/>
        <v>38.540000000000006</v>
      </c>
      <c r="AL15" s="819">
        <f t="shared" si="13"/>
        <v>5.97</v>
      </c>
      <c r="AM15" s="365">
        <f t="shared" si="14"/>
        <v>372.21999999999997</v>
      </c>
      <c r="AN15" s="366">
        <f t="shared" si="15"/>
        <v>1445.29</v>
      </c>
      <c r="AO15" s="367">
        <f t="shared" si="32"/>
        <v>1817.51</v>
      </c>
      <c r="AP15" s="821">
        <v>8.7999999999999998E-5</v>
      </c>
      <c r="AQ15" s="822">
        <v>2.0000000000000002E-5</v>
      </c>
      <c r="AR15" s="370">
        <v>2.22E-4</v>
      </c>
      <c r="AS15" s="371">
        <v>3.1E-4</v>
      </c>
      <c r="AT15" s="372">
        <f t="shared" si="16"/>
        <v>364.79999999999995</v>
      </c>
      <c r="AV15" s="823">
        <f t="shared" si="17"/>
        <v>47500</v>
      </c>
      <c r="AW15" s="374">
        <f t="shared" si="18"/>
        <v>0</v>
      </c>
      <c r="AX15" s="375" t="str">
        <f t="shared" si="19"/>
        <v/>
      </c>
      <c r="AY15" s="376">
        <v>41820</v>
      </c>
      <c r="AZ15" s="377">
        <f t="shared" si="20"/>
        <v>-29871</v>
      </c>
      <c r="BA15" s="378">
        <f t="shared" si="21"/>
        <v>29871</v>
      </c>
      <c r="BB15" s="824" t="str">
        <f t="shared" si="22"/>
        <v/>
      </c>
      <c r="BC15" s="824" t="str">
        <f t="shared" si="23"/>
        <v/>
      </c>
      <c r="BD15" s="824">
        <f t="shared" si="24"/>
        <v>0</v>
      </c>
      <c r="BE15" s="824" t="str">
        <f t="shared" si="25"/>
        <v/>
      </c>
      <c r="BF15" s="825" t="str">
        <f t="shared" si="26"/>
        <v/>
      </c>
      <c r="BG15" s="826" t="e">
        <f t="shared" si="27"/>
        <v>#VALUE!</v>
      </c>
    </row>
    <row r="16" spans="1:16383" x14ac:dyDescent="0.2">
      <c r="A16" s="382"/>
      <c r="B16" s="383">
        <v>13</v>
      </c>
      <c r="C16" s="359"/>
      <c r="D16" s="359"/>
      <c r="E16" s="671"/>
      <c r="F16" s="661" t="s">
        <v>1011</v>
      </c>
      <c r="G16" s="882" t="s">
        <v>1023</v>
      </c>
      <c r="H16" s="882" t="s">
        <v>1021</v>
      </c>
      <c r="I16" s="882" t="s">
        <v>1022</v>
      </c>
      <c r="J16" s="886">
        <v>49145</v>
      </c>
      <c r="K16" s="672">
        <v>0.03</v>
      </c>
      <c r="L16" s="663">
        <v>0</v>
      </c>
      <c r="M16" s="664">
        <v>1200</v>
      </c>
      <c r="N16" s="1122">
        <f t="shared" si="30"/>
        <v>51819.35</v>
      </c>
      <c r="O16" s="1122"/>
      <c r="P16" s="1122"/>
      <c r="Q16" s="667">
        <v>0.05</v>
      </c>
      <c r="R16" s="666">
        <f t="shared" si="0"/>
        <v>2590.9675000000002</v>
      </c>
      <c r="S16" s="665">
        <f t="shared" si="1"/>
        <v>3052.1597149999998</v>
      </c>
      <c r="T16" s="665">
        <f t="shared" si="2"/>
        <v>713.81154624999999</v>
      </c>
      <c r="U16" s="666">
        <f t="shared" si="3"/>
        <v>42</v>
      </c>
      <c r="V16" s="666">
        <f t="shared" si="4"/>
        <v>100.8</v>
      </c>
      <c r="W16" s="665">
        <f t="shared" si="5"/>
        <v>377.43359999999996</v>
      </c>
      <c r="X16" s="665">
        <f t="shared" si="28"/>
        <v>3460.2</v>
      </c>
      <c r="Y16" s="665">
        <f t="shared" si="31"/>
        <v>3460.2</v>
      </c>
      <c r="Z16" s="361">
        <f t="shared" si="6"/>
        <v>65616.972361249995</v>
      </c>
      <c r="AB16" s="362"/>
      <c r="AC16" s="1181" t="str">
        <f t="shared" si="7"/>
        <v>Matthew Gaither</v>
      </c>
      <c r="AD16" s="818" t="s">
        <v>530</v>
      </c>
      <c r="AE16" s="819">
        <f t="shared" si="8"/>
        <v>125.65</v>
      </c>
      <c r="AF16" s="820" t="s">
        <v>511</v>
      </c>
      <c r="AG16" s="819">
        <f t="shared" si="9"/>
        <v>6.92</v>
      </c>
      <c r="AH16" s="820" t="s">
        <v>512</v>
      </c>
      <c r="AI16" s="819">
        <f t="shared" si="10"/>
        <v>1.63</v>
      </c>
      <c r="AJ16" s="819">
        <f t="shared" si="11"/>
        <v>553.53</v>
      </c>
      <c r="AK16" s="819">
        <f t="shared" si="12"/>
        <v>19.369999999999997</v>
      </c>
      <c r="AL16" s="819">
        <f t="shared" si="13"/>
        <v>3.8</v>
      </c>
      <c r="AM16" s="365">
        <f t="shared" si="14"/>
        <v>134.19999999999999</v>
      </c>
      <c r="AN16" s="366">
        <f t="shared" si="15"/>
        <v>576.69999999999993</v>
      </c>
      <c r="AO16" s="367">
        <f t="shared" si="32"/>
        <v>710.89999999999986</v>
      </c>
      <c r="AP16" s="821">
        <v>8.7999999999999998E-5</v>
      </c>
      <c r="AQ16" s="822">
        <v>2.0000000000000002E-5</v>
      </c>
      <c r="AR16" s="370">
        <v>2.22E-4</v>
      </c>
      <c r="AS16" s="371">
        <v>3.1E-4</v>
      </c>
      <c r="AT16" s="372">
        <f t="shared" si="16"/>
        <v>377.43359999999996</v>
      </c>
      <c r="AV16" s="823">
        <f t="shared" si="17"/>
        <v>49145</v>
      </c>
      <c r="AW16" s="374">
        <f t="shared" si="18"/>
        <v>0</v>
      </c>
      <c r="AX16" s="375" t="str">
        <f t="shared" si="19"/>
        <v/>
      </c>
      <c r="AY16" s="376">
        <v>41820</v>
      </c>
      <c r="AZ16" s="377">
        <f t="shared" si="20"/>
        <v>-29871</v>
      </c>
      <c r="BA16" s="378">
        <f t="shared" si="21"/>
        <v>29871</v>
      </c>
      <c r="BB16" s="824" t="str">
        <f t="shared" si="22"/>
        <v/>
      </c>
      <c r="BC16" s="824" t="str">
        <f t="shared" si="23"/>
        <v/>
      </c>
      <c r="BD16" s="824">
        <f t="shared" si="24"/>
        <v>0</v>
      </c>
      <c r="BE16" s="824" t="str">
        <f t="shared" si="25"/>
        <v/>
      </c>
      <c r="BF16" s="825" t="str">
        <f t="shared" si="26"/>
        <v/>
      </c>
      <c r="BG16" s="826" t="e">
        <f t="shared" si="27"/>
        <v>#VALUE!</v>
      </c>
      <c r="BH16" s="877"/>
    </row>
    <row r="17" spans="1:16383" x14ac:dyDescent="0.2">
      <c r="A17" s="382"/>
      <c r="B17" s="383">
        <v>12</v>
      </c>
      <c r="C17" s="359"/>
      <c r="D17" s="359"/>
      <c r="E17" s="671"/>
      <c r="F17" s="661" t="s">
        <v>661</v>
      </c>
      <c r="G17" s="882" t="s">
        <v>1015</v>
      </c>
      <c r="H17" s="882" t="s">
        <v>1016</v>
      </c>
      <c r="I17" s="882" t="s">
        <v>1017</v>
      </c>
      <c r="J17" s="920">
        <v>52560</v>
      </c>
      <c r="K17" s="672">
        <v>0.03</v>
      </c>
      <c r="L17" s="663">
        <v>0</v>
      </c>
      <c r="M17" s="664">
        <v>1200</v>
      </c>
      <c r="N17" s="1122">
        <f>J17*(1+K17)+L17+M17</f>
        <v>55336.800000000003</v>
      </c>
      <c r="O17" s="1122"/>
      <c r="P17" s="1122"/>
      <c r="Q17" s="667">
        <v>0.05</v>
      </c>
      <c r="R17" s="666">
        <f t="shared" si="0"/>
        <v>2766.84</v>
      </c>
      <c r="S17" s="665">
        <f t="shared" si="1"/>
        <v>3259.3375200000005</v>
      </c>
      <c r="T17" s="665">
        <f t="shared" si="2"/>
        <v>762.26442000000009</v>
      </c>
      <c r="U17" s="666">
        <f t="shared" si="3"/>
        <v>42</v>
      </c>
      <c r="V17" s="666">
        <f t="shared" si="4"/>
        <v>100.8</v>
      </c>
      <c r="W17" s="665">
        <f t="shared" si="5"/>
        <v>403.66080000000005</v>
      </c>
      <c r="X17" s="665">
        <f t="shared" si="28"/>
        <v>0</v>
      </c>
      <c r="Y17" s="665">
        <f t="shared" si="31"/>
        <v>0</v>
      </c>
      <c r="Z17" s="361">
        <f t="shared" si="6"/>
        <v>62671.752740000004</v>
      </c>
      <c r="AB17" s="362"/>
      <c r="AC17" s="1181" t="str">
        <f t="shared" si="7"/>
        <v>Tiffany Hurley</v>
      </c>
      <c r="AD17" s="818" t="s">
        <v>526</v>
      </c>
      <c r="AE17" s="819">
        <f t="shared" si="8"/>
        <v>0</v>
      </c>
      <c r="AF17" s="820" t="s">
        <v>526</v>
      </c>
      <c r="AG17" s="819">
        <f t="shared" si="9"/>
        <v>0</v>
      </c>
      <c r="AH17" s="820" t="s">
        <v>526</v>
      </c>
      <c r="AI17" s="819">
        <f t="shared" si="10"/>
        <v>0</v>
      </c>
      <c r="AJ17" s="819">
        <f t="shared" si="11"/>
        <v>0</v>
      </c>
      <c r="AK17" s="819">
        <f t="shared" si="12"/>
        <v>0</v>
      </c>
      <c r="AL17" s="819">
        <f t="shared" si="13"/>
        <v>0</v>
      </c>
      <c r="AM17" s="365">
        <f t="shared" si="14"/>
        <v>0</v>
      </c>
      <c r="AN17" s="366">
        <f t="shared" si="15"/>
        <v>0</v>
      </c>
      <c r="AO17" s="367">
        <f t="shared" si="32"/>
        <v>0</v>
      </c>
      <c r="AP17" s="821">
        <v>8.7999999999999998E-5</v>
      </c>
      <c r="AQ17" s="822">
        <v>2.0000000000000002E-5</v>
      </c>
      <c r="AR17" s="370">
        <v>2.22E-4</v>
      </c>
      <c r="AS17" s="371">
        <v>3.1E-4</v>
      </c>
      <c r="AT17" s="372">
        <f t="shared" si="16"/>
        <v>403.66080000000005</v>
      </c>
      <c r="AV17" s="823">
        <f t="shared" si="17"/>
        <v>52560</v>
      </c>
      <c r="AW17" s="374">
        <f t="shared" si="18"/>
        <v>0</v>
      </c>
      <c r="AX17" s="375" t="str">
        <f t="shared" si="19"/>
        <v/>
      </c>
      <c r="AY17" s="376">
        <v>41820</v>
      </c>
      <c r="AZ17" s="377">
        <f t="shared" si="20"/>
        <v>-29871</v>
      </c>
      <c r="BA17" s="378">
        <f t="shared" si="21"/>
        <v>29871</v>
      </c>
      <c r="BB17" s="824" t="str">
        <f t="shared" si="22"/>
        <v/>
      </c>
      <c r="BC17" s="824" t="str">
        <f t="shared" si="23"/>
        <v/>
      </c>
      <c r="BD17" s="824">
        <f t="shared" si="24"/>
        <v>0</v>
      </c>
      <c r="BE17" s="824" t="str">
        <f t="shared" si="25"/>
        <v/>
      </c>
      <c r="BF17" s="825" t="str">
        <f t="shared" si="26"/>
        <v/>
      </c>
      <c r="BG17" s="826" t="e">
        <f t="shared" si="27"/>
        <v>#VALUE!</v>
      </c>
      <c r="BH17" s="877"/>
    </row>
    <row r="18" spans="1:16383" x14ac:dyDescent="0.2">
      <c r="A18" s="385"/>
      <c r="B18" s="358">
        <v>27</v>
      </c>
      <c r="C18" s="359"/>
      <c r="D18" s="660"/>
      <c r="E18" s="671"/>
      <c r="F18" s="661" t="s">
        <v>1399</v>
      </c>
      <c r="G18" s="882" t="s">
        <v>1544</v>
      </c>
      <c r="H18" s="882" t="s">
        <v>1545</v>
      </c>
      <c r="I18" s="882" t="s">
        <v>1546</v>
      </c>
      <c r="J18" s="886">
        <v>47500</v>
      </c>
      <c r="K18" s="672">
        <v>0.03</v>
      </c>
      <c r="L18" s="663">
        <v>0</v>
      </c>
      <c r="M18" s="664"/>
      <c r="N18" s="1122">
        <f t="shared" si="30"/>
        <v>48925</v>
      </c>
      <c r="O18" s="1122"/>
      <c r="P18" s="1122"/>
      <c r="Q18" s="667">
        <v>0.03</v>
      </c>
      <c r="R18" s="666">
        <f t="shared" si="0"/>
        <v>1467.75</v>
      </c>
      <c r="S18" s="665">
        <f t="shared" si="1"/>
        <v>2942.3494999999998</v>
      </c>
      <c r="T18" s="665">
        <f t="shared" si="2"/>
        <v>688.13012500000002</v>
      </c>
      <c r="U18" s="666">
        <f t="shared" si="3"/>
        <v>42</v>
      </c>
      <c r="V18" s="666">
        <f t="shared" si="4"/>
        <v>100.8</v>
      </c>
      <c r="W18" s="665">
        <f t="shared" si="5"/>
        <v>364.79999999999995</v>
      </c>
      <c r="X18" s="665">
        <f t="shared" si="28"/>
        <v>3947.4600000000005</v>
      </c>
      <c r="Y18" s="665">
        <f t="shared" si="31"/>
        <v>3947.4600000000005</v>
      </c>
      <c r="Z18" s="361">
        <f t="shared" si="6"/>
        <v>62425.779625000003</v>
      </c>
      <c r="AB18" s="362"/>
      <c r="AC18" s="1181" t="str">
        <f t="shared" si="7"/>
        <v>Megan Richardson</v>
      </c>
      <c r="AD18" s="668" t="s">
        <v>510</v>
      </c>
      <c r="AE18" s="669">
        <f t="shared" si="8"/>
        <v>143.44</v>
      </c>
      <c r="AF18" s="670" t="s">
        <v>525</v>
      </c>
      <c r="AG18" s="669">
        <f t="shared" si="9"/>
        <v>10.25</v>
      </c>
      <c r="AH18" s="670" t="s">
        <v>512</v>
      </c>
      <c r="AI18" s="364">
        <f t="shared" si="10"/>
        <v>1.63</v>
      </c>
      <c r="AJ18" s="364">
        <f t="shared" si="11"/>
        <v>631.8900000000001</v>
      </c>
      <c r="AK18" s="364">
        <f t="shared" si="12"/>
        <v>22.22</v>
      </c>
      <c r="AL18" s="364">
        <f t="shared" si="13"/>
        <v>3.8</v>
      </c>
      <c r="AM18" s="365">
        <f t="shared" si="14"/>
        <v>155.32</v>
      </c>
      <c r="AN18" s="366">
        <f t="shared" si="15"/>
        <v>657.91000000000008</v>
      </c>
      <c r="AO18" s="367">
        <f t="shared" si="32"/>
        <v>813.23</v>
      </c>
      <c r="AP18" s="368">
        <v>8.7999999999999998E-5</v>
      </c>
      <c r="AQ18" s="369">
        <v>2.0000000000000002E-5</v>
      </c>
      <c r="AR18" s="370">
        <v>2.22E-4</v>
      </c>
      <c r="AS18" s="371">
        <v>3.1E-4</v>
      </c>
      <c r="AT18" s="372">
        <f t="shared" si="16"/>
        <v>364.79999999999995</v>
      </c>
      <c r="AV18" s="373">
        <f t="shared" si="17"/>
        <v>47500</v>
      </c>
      <c r="AW18" s="374">
        <f t="shared" si="18"/>
        <v>0</v>
      </c>
      <c r="AX18" s="375" t="str">
        <f t="shared" si="19"/>
        <v/>
      </c>
      <c r="AY18" s="376">
        <v>41820</v>
      </c>
      <c r="AZ18" s="377">
        <f t="shared" si="20"/>
        <v>-29871</v>
      </c>
      <c r="BA18" s="378">
        <f t="shared" si="21"/>
        <v>29871</v>
      </c>
      <c r="BB18" s="379" t="str">
        <f t="shared" si="22"/>
        <v/>
      </c>
      <c r="BC18" s="379" t="str">
        <f t="shared" si="23"/>
        <v/>
      </c>
      <c r="BD18" s="379">
        <f t="shared" si="24"/>
        <v>0</v>
      </c>
      <c r="BE18" s="379" t="str">
        <f t="shared" si="25"/>
        <v/>
      </c>
      <c r="BF18" s="380" t="str">
        <f t="shared" si="26"/>
        <v/>
      </c>
      <c r="BG18" s="381" t="e">
        <f t="shared" si="27"/>
        <v>#VALUE!</v>
      </c>
    </row>
    <row r="19" spans="1:16383" x14ac:dyDescent="0.2">
      <c r="A19" s="382"/>
      <c r="B19" s="383">
        <v>15</v>
      </c>
      <c r="C19" s="359"/>
      <c r="D19" s="359"/>
      <c r="E19" s="671"/>
      <c r="F19" s="661" t="s">
        <v>661</v>
      </c>
      <c r="G19" s="882" t="s">
        <v>1547</v>
      </c>
      <c r="H19" s="882" t="s">
        <v>1548</v>
      </c>
      <c r="I19" s="882" t="s">
        <v>1549</v>
      </c>
      <c r="J19" s="886">
        <v>47500</v>
      </c>
      <c r="K19" s="672">
        <v>0.03</v>
      </c>
      <c r="L19" s="663">
        <v>0</v>
      </c>
      <c r="M19" s="664">
        <v>1000</v>
      </c>
      <c r="N19" s="1122">
        <f t="shared" si="30"/>
        <v>49925</v>
      </c>
      <c r="O19" s="1122"/>
      <c r="P19" s="1122"/>
      <c r="Q19" s="667">
        <v>0.05</v>
      </c>
      <c r="R19" s="666">
        <f t="shared" si="0"/>
        <v>2496.25</v>
      </c>
      <c r="S19" s="665">
        <f t="shared" si="1"/>
        <v>2940.5825</v>
      </c>
      <c r="T19" s="665">
        <f t="shared" si="2"/>
        <v>687.71687500000007</v>
      </c>
      <c r="U19" s="666">
        <f t="shared" si="3"/>
        <v>42</v>
      </c>
      <c r="V19" s="666">
        <f t="shared" si="4"/>
        <v>100.8</v>
      </c>
      <c r="W19" s="665">
        <f t="shared" si="5"/>
        <v>364.79999999999995</v>
      </c>
      <c r="X19" s="665">
        <f t="shared" si="28"/>
        <v>3947.4600000000005</v>
      </c>
      <c r="Y19" s="665">
        <f t="shared" si="31"/>
        <v>3947.4600000000005</v>
      </c>
      <c r="Z19" s="361">
        <f t="shared" si="6"/>
        <v>64452.119375000002</v>
      </c>
      <c r="AB19" s="362"/>
      <c r="AC19" s="1181" t="str">
        <f t="shared" si="7"/>
        <v>Hadleigh Biggers</v>
      </c>
      <c r="AD19" s="668" t="s">
        <v>510</v>
      </c>
      <c r="AE19" s="669">
        <f t="shared" si="8"/>
        <v>143.44</v>
      </c>
      <c r="AF19" s="670" t="s">
        <v>525</v>
      </c>
      <c r="AG19" s="669">
        <f t="shared" si="9"/>
        <v>10.25</v>
      </c>
      <c r="AH19" s="670" t="s">
        <v>512</v>
      </c>
      <c r="AI19" s="364">
        <f t="shared" si="10"/>
        <v>1.63</v>
      </c>
      <c r="AJ19" s="364">
        <f t="shared" si="11"/>
        <v>631.8900000000001</v>
      </c>
      <c r="AK19" s="364">
        <f t="shared" si="12"/>
        <v>22.22</v>
      </c>
      <c r="AL19" s="364">
        <f t="shared" si="13"/>
        <v>3.8</v>
      </c>
      <c r="AM19" s="365">
        <f t="shared" si="14"/>
        <v>155.32</v>
      </c>
      <c r="AN19" s="366">
        <f t="shared" si="15"/>
        <v>657.91000000000008</v>
      </c>
      <c r="AO19" s="367">
        <f t="shared" si="29"/>
        <v>813.23</v>
      </c>
      <c r="AP19" s="368">
        <v>8.7999999999999998E-5</v>
      </c>
      <c r="AQ19" s="369">
        <v>2.0000000000000002E-5</v>
      </c>
      <c r="AR19" s="370">
        <v>2.22E-4</v>
      </c>
      <c r="AS19" s="371">
        <v>3.1E-4</v>
      </c>
      <c r="AT19" s="372">
        <f t="shared" si="16"/>
        <v>364.79999999999995</v>
      </c>
      <c r="AV19" s="373">
        <f t="shared" si="17"/>
        <v>47500</v>
      </c>
      <c r="AW19" s="374">
        <f t="shared" si="18"/>
        <v>0</v>
      </c>
      <c r="AX19" s="375" t="str">
        <f t="shared" si="19"/>
        <v/>
      </c>
      <c r="AY19" s="376">
        <v>41820</v>
      </c>
      <c r="AZ19" s="377">
        <f t="shared" si="20"/>
        <v>-29871</v>
      </c>
      <c r="BA19" s="378">
        <f t="shared" si="21"/>
        <v>29871</v>
      </c>
      <c r="BB19" s="379" t="str">
        <f t="shared" si="22"/>
        <v/>
      </c>
      <c r="BC19" s="379" t="str">
        <f t="shared" si="23"/>
        <v/>
      </c>
      <c r="BD19" s="379">
        <f t="shared" si="24"/>
        <v>0</v>
      </c>
      <c r="BE19" s="379" t="str">
        <f t="shared" si="25"/>
        <v/>
      </c>
      <c r="BF19" s="380" t="str">
        <f t="shared" si="26"/>
        <v/>
      </c>
      <c r="BG19" s="381" t="e">
        <f t="shared" si="27"/>
        <v>#VALUE!</v>
      </c>
    </row>
    <row r="20" spans="1:16383" x14ac:dyDescent="0.2">
      <c r="A20" s="382"/>
      <c r="B20" s="385">
        <v>16</v>
      </c>
      <c r="C20" s="359"/>
      <c r="D20" s="359"/>
      <c r="E20" s="671"/>
      <c r="F20" s="661" t="s">
        <v>661</v>
      </c>
      <c r="G20" s="882" t="s">
        <v>1550</v>
      </c>
      <c r="H20" s="882" t="s">
        <v>1551</v>
      </c>
      <c r="I20" s="882" t="s">
        <v>1552</v>
      </c>
      <c r="J20" s="886">
        <v>47500</v>
      </c>
      <c r="K20" s="672">
        <v>0.03</v>
      </c>
      <c r="L20" s="663">
        <v>0</v>
      </c>
      <c r="M20" s="664">
        <v>1000</v>
      </c>
      <c r="N20" s="1122">
        <f t="shared" si="30"/>
        <v>49925</v>
      </c>
      <c r="O20" s="1122"/>
      <c r="P20" s="1122"/>
      <c r="Q20" s="667">
        <v>0</v>
      </c>
      <c r="R20" s="666">
        <f t="shared" si="0"/>
        <v>0</v>
      </c>
      <c r="S20" s="665">
        <f t="shared" si="1"/>
        <v>3095.35</v>
      </c>
      <c r="T20" s="665">
        <f t="shared" si="2"/>
        <v>723.91250000000002</v>
      </c>
      <c r="U20" s="666">
        <f t="shared" si="3"/>
        <v>42</v>
      </c>
      <c r="V20" s="666">
        <f t="shared" si="4"/>
        <v>100.8</v>
      </c>
      <c r="W20" s="665">
        <f t="shared" si="5"/>
        <v>364.79999999999995</v>
      </c>
      <c r="X20" s="665">
        <f t="shared" si="28"/>
        <v>3947.4600000000005</v>
      </c>
      <c r="Y20" s="665">
        <f t="shared" si="31"/>
        <v>3947.4600000000005</v>
      </c>
      <c r="Z20" s="361">
        <f t="shared" si="6"/>
        <v>62146.782500000001</v>
      </c>
      <c r="AB20" s="362"/>
      <c r="AC20" s="1181" t="str">
        <f t="shared" si="7"/>
        <v>Hanna Fisher</v>
      </c>
      <c r="AD20" s="668" t="s">
        <v>510</v>
      </c>
      <c r="AE20" s="669">
        <f t="shared" si="8"/>
        <v>143.44</v>
      </c>
      <c r="AF20" s="670" t="s">
        <v>525</v>
      </c>
      <c r="AG20" s="669">
        <f t="shared" si="9"/>
        <v>10.25</v>
      </c>
      <c r="AH20" s="670" t="s">
        <v>512</v>
      </c>
      <c r="AI20" s="364">
        <f t="shared" si="10"/>
        <v>1.63</v>
      </c>
      <c r="AJ20" s="364">
        <f t="shared" si="11"/>
        <v>631.8900000000001</v>
      </c>
      <c r="AK20" s="364">
        <f t="shared" si="12"/>
        <v>22.22</v>
      </c>
      <c r="AL20" s="364">
        <f t="shared" si="13"/>
        <v>3.8</v>
      </c>
      <c r="AM20" s="365">
        <f t="shared" si="14"/>
        <v>155.32</v>
      </c>
      <c r="AN20" s="366">
        <f t="shared" si="15"/>
        <v>657.91000000000008</v>
      </c>
      <c r="AO20" s="367">
        <f t="shared" si="29"/>
        <v>813.23</v>
      </c>
      <c r="AP20" s="368">
        <v>8.7999999999999998E-5</v>
      </c>
      <c r="AQ20" s="369">
        <v>2.0000000000000002E-5</v>
      </c>
      <c r="AR20" s="370">
        <v>2.22E-4</v>
      </c>
      <c r="AS20" s="371">
        <v>3.1E-4</v>
      </c>
      <c r="AT20" s="372">
        <f t="shared" si="16"/>
        <v>364.79999999999995</v>
      </c>
      <c r="AV20" s="373">
        <f t="shared" si="17"/>
        <v>47500</v>
      </c>
      <c r="AW20" s="374">
        <f t="shared" si="18"/>
        <v>0</v>
      </c>
      <c r="AX20" s="375" t="str">
        <f t="shared" si="19"/>
        <v/>
      </c>
      <c r="AY20" s="376">
        <v>41820</v>
      </c>
      <c r="AZ20" s="377">
        <f t="shared" si="20"/>
        <v>-29871</v>
      </c>
      <c r="BA20" s="378">
        <f t="shared" si="21"/>
        <v>29871</v>
      </c>
      <c r="BB20" s="379" t="str">
        <f t="shared" si="22"/>
        <v/>
      </c>
      <c r="BC20" s="379" t="str">
        <f t="shared" si="23"/>
        <v/>
      </c>
      <c r="BD20" s="379">
        <f t="shared" si="24"/>
        <v>0</v>
      </c>
      <c r="BE20" s="379" t="str">
        <f t="shared" si="25"/>
        <v/>
      </c>
      <c r="BF20" s="380" t="str">
        <f t="shared" si="26"/>
        <v/>
      </c>
      <c r="BG20" s="381" t="e">
        <f t="shared" si="27"/>
        <v>#VALUE!</v>
      </c>
    </row>
    <row r="21" spans="1:16383" x14ac:dyDescent="0.2">
      <c r="A21" s="382"/>
      <c r="B21" s="358">
        <v>17</v>
      </c>
      <c r="C21" s="359"/>
      <c r="D21" s="359"/>
      <c r="E21" s="671"/>
      <c r="F21" s="661" t="s">
        <v>661</v>
      </c>
      <c r="G21" s="882" t="s">
        <v>886</v>
      </c>
      <c r="H21" s="882" t="s">
        <v>891</v>
      </c>
      <c r="I21" s="882" t="s">
        <v>892</v>
      </c>
      <c r="J21" s="886">
        <v>47500</v>
      </c>
      <c r="K21" s="672">
        <v>0.03</v>
      </c>
      <c r="L21" s="663">
        <v>1000</v>
      </c>
      <c r="M21" s="664">
        <v>1200</v>
      </c>
      <c r="N21" s="1122">
        <f t="shared" si="30"/>
        <v>51125</v>
      </c>
      <c r="O21" s="1122"/>
      <c r="P21" s="1122"/>
      <c r="Q21" s="667">
        <v>0.04</v>
      </c>
      <c r="R21" s="666">
        <f t="shared" si="0"/>
        <v>2045</v>
      </c>
      <c r="S21" s="665">
        <f t="shared" si="1"/>
        <v>3042.96</v>
      </c>
      <c r="T21" s="665">
        <f t="shared" si="2"/>
        <v>711.66000000000008</v>
      </c>
      <c r="U21" s="666">
        <f t="shared" si="3"/>
        <v>42</v>
      </c>
      <c r="V21" s="666">
        <f t="shared" si="4"/>
        <v>100.8</v>
      </c>
      <c r="W21" s="665">
        <f t="shared" si="5"/>
        <v>364.79999999999995</v>
      </c>
      <c r="X21" s="665">
        <f t="shared" si="28"/>
        <v>11581.86</v>
      </c>
      <c r="Y21" s="665">
        <f t="shared" si="31"/>
        <v>11581.86</v>
      </c>
      <c r="Z21" s="361">
        <f t="shared" si="6"/>
        <v>80595.98000000001</v>
      </c>
      <c r="AB21" s="362"/>
      <c r="AC21" s="1181" t="str">
        <f t="shared" si="7"/>
        <v>Joann Ramotar</v>
      </c>
      <c r="AD21" s="668" t="s">
        <v>516</v>
      </c>
      <c r="AE21" s="669">
        <f t="shared" si="8"/>
        <v>637.86</v>
      </c>
      <c r="AF21" s="670" t="s">
        <v>517</v>
      </c>
      <c r="AG21" s="669">
        <f t="shared" si="9"/>
        <v>52.91</v>
      </c>
      <c r="AH21" s="670" t="s">
        <v>519</v>
      </c>
      <c r="AI21" s="364">
        <f t="shared" si="10"/>
        <v>7.96</v>
      </c>
      <c r="AJ21" s="364">
        <f t="shared" si="11"/>
        <v>1863.54</v>
      </c>
      <c r="AK21" s="364">
        <f t="shared" si="12"/>
        <v>58.78</v>
      </c>
      <c r="AL21" s="364">
        <f t="shared" si="13"/>
        <v>7.9899999999999993</v>
      </c>
      <c r="AM21" s="365">
        <f t="shared" si="14"/>
        <v>698.73</v>
      </c>
      <c r="AN21" s="366">
        <f t="shared" si="15"/>
        <v>1930.31</v>
      </c>
      <c r="AO21" s="367">
        <f t="shared" si="29"/>
        <v>2629.04</v>
      </c>
      <c r="AP21" s="368">
        <v>8.7999999999999998E-5</v>
      </c>
      <c r="AQ21" s="369">
        <v>2.0000000000000002E-5</v>
      </c>
      <c r="AR21" s="370">
        <v>2.22E-4</v>
      </c>
      <c r="AS21" s="371">
        <v>3.1E-4</v>
      </c>
      <c r="AT21" s="372">
        <f t="shared" si="16"/>
        <v>364.79999999999995</v>
      </c>
      <c r="AV21" s="373">
        <f t="shared" si="17"/>
        <v>47500</v>
      </c>
      <c r="AW21" s="374">
        <f t="shared" si="18"/>
        <v>0</v>
      </c>
      <c r="AX21" s="375" t="str">
        <f t="shared" si="19"/>
        <v/>
      </c>
      <c r="AY21" s="376">
        <v>41820</v>
      </c>
      <c r="AZ21" s="377">
        <f t="shared" si="20"/>
        <v>-29871</v>
      </c>
      <c r="BA21" s="378">
        <f t="shared" si="21"/>
        <v>29871</v>
      </c>
      <c r="BB21" s="379" t="str">
        <f t="shared" si="22"/>
        <v/>
      </c>
      <c r="BC21" s="379" t="str">
        <f t="shared" si="23"/>
        <v/>
      </c>
      <c r="BD21" s="379">
        <f t="shared" si="24"/>
        <v>0</v>
      </c>
      <c r="BE21" s="379" t="str">
        <f t="shared" si="25"/>
        <v/>
      </c>
      <c r="BF21" s="380" t="str">
        <f t="shared" si="26"/>
        <v/>
      </c>
      <c r="BG21" s="381" t="e">
        <f t="shared" si="27"/>
        <v>#VALUE!</v>
      </c>
    </row>
    <row r="22" spans="1:16383" x14ac:dyDescent="0.2">
      <c r="A22" s="382"/>
      <c r="B22" s="358">
        <v>18</v>
      </c>
      <c r="C22" s="359"/>
      <c r="D22" s="359"/>
      <c r="E22" s="671"/>
      <c r="F22" s="661" t="s">
        <v>661</v>
      </c>
      <c r="G22" s="882" t="s">
        <v>1553</v>
      </c>
      <c r="H22" s="882" t="s">
        <v>1554</v>
      </c>
      <c r="I22" s="882" t="s">
        <v>884</v>
      </c>
      <c r="J22" s="886">
        <v>47500</v>
      </c>
      <c r="K22" s="672">
        <v>0.03</v>
      </c>
      <c r="L22" s="663">
        <v>0</v>
      </c>
      <c r="M22" s="664"/>
      <c r="N22" s="1122">
        <f t="shared" si="30"/>
        <v>48925</v>
      </c>
      <c r="O22" s="1122"/>
      <c r="P22" s="1122"/>
      <c r="Q22" s="667">
        <v>0.05</v>
      </c>
      <c r="R22" s="666">
        <f t="shared" si="0"/>
        <v>2446.25</v>
      </c>
      <c r="S22" s="665">
        <f t="shared" si="1"/>
        <v>2881.6824999999999</v>
      </c>
      <c r="T22" s="665">
        <f t="shared" si="2"/>
        <v>673.94187499999998</v>
      </c>
      <c r="U22" s="666">
        <f t="shared" si="3"/>
        <v>42</v>
      </c>
      <c r="V22" s="666">
        <f t="shared" si="4"/>
        <v>100.8</v>
      </c>
      <c r="W22" s="665">
        <f t="shared" si="5"/>
        <v>364.79999999999995</v>
      </c>
      <c r="X22" s="665">
        <f t="shared" si="28"/>
        <v>0</v>
      </c>
      <c r="Y22" s="665">
        <f t="shared" si="31"/>
        <v>0</v>
      </c>
      <c r="Z22" s="361">
        <f t="shared" si="6"/>
        <v>55434.524375000008</v>
      </c>
      <c r="AB22" s="362"/>
      <c r="AC22" s="1181" t="str">
        <f t="shared" si="7"/>
        <v>Gracie Fonte</v>
      </c>
      <c r="AD22" s="668" t="s">
        <v>526</v>
      </c>
      <c r="AE22" s="669">
        <f t="shared" si="8"/>
        <v>0</v>
      </c>
      <c r="AF22" s="670" t="s">
        <v>526</v>
      </c>
      <c r="AG22" s="669">
        <f t="shared" si="9"/>
        <v>0</v>
      </c>
      <c r="AH22" s="670" t="s">
        <v>526</v>
      </c>
      <c r="AI22" s="364">
        <f t="shared" si="10"/>
        <v>0</v>
      </c>
      <c r="AJ22" s="364">
        <f t="shared" si="11"/>
        <v>0</v>
      </c>
      <c r="AK22" s="364">
        <f t="shared" si="12"/>
        <v>0</v>
      </c>
      <c r="AL22" s="364">
        <f t="shared" si="13"/>
        <v>0</v>
      </c>
      <c r="AM22" s="365">
        <f t="shared" si="14"/>
        <v>0</v>
      </c>
      <c r="AN22" s="366">
        <f t="shared" si="15"/>
        <v>0</v>
      </c>
      <c r="AO22" s="367">
        <f t="shared" si="29"/>
        <v>0</v>
      </c>
      <c r="AP22" s="368">
        <v>8.7999999999999998E-5</v>
      </c>
      <c r="AQ22" s="369">
        <v>2.0000000000000002E-5</v>
      </c>
      <c r="AR22" s="370">
        <v>2.22E-4</v>
      </c>
      <c r="AS22" s="371">
        <v>3.1E-4</v>
      </c>
      <c r="AT22" s="372">
        <f t="shared" si="16"/>
        <v>364.79999999999995</v>
      </c>
      <c r="AV22" s="373">
        <f t="shared" si="17"/>
        <v>47500</v>
      </c>
      <c r="AW22" s="374"/>
      <c r="AX22" s="375"/>
      <c r="AY22" s="376"/>
      <c r="AZ22" s="377"/>
      <c r="BA22" s="378"/>
      <c r="BB22" s="379"/>
      <c r="BC22" s="379"/>
      <c r="BD22" s="379"/>
      <c r="BE22" s="379"/>
      <c r="BF22" s="380"/>
      <c r="BG22" s="381"/>
    </row>
    <row r="23" spans="1:16383" x14ac:dyDescent="0.2">
      <c r="A23" s="382"/>
      <c r="B23" s="383">
        <v>19</v>
      </c>
      <c r="C23" s="359"/>
      <c r="D23" s="359"/>
      <c r="E23" s="671"/>
      <c r="F23" s="661" t="s">
        <v>662</v>
      </c>
      <c r="G23" s="883" t="s">
        <v>882</v>
      </c>
      <c r="H23" s="882" t="s">
        <v>866</v>
      </c>
      <c r="I23" s="882" t="s">
        <v>896</v>
      </c>
      <c r="J23" s="886">
        <v>51450</v>
      </c>
      <c r="K23" s="672">
        <v>0.03</v>
      </c>
      <c r="L23" s="663">
        <v>2000</v>
      </c>
      <c r="M23" s="664">
        <v>1200</v>
      </c>
      <c r="N23" s="1122">
        <f t="shared" si="30"/>
        <v>56193.5</v>
      </c>
      <c r="O23" s="1122"/>
      <c r="P23" s="1122"/>
      <c r="Q23" s="667">
        <v>0.05</v>
      </c>
      <c r="R23" s="666">
        <f t="shared" si="0"/>
        <v>2809.6750000000002</v>
      </c>
      <c r="S23" s="665">
        <f t="shared" si="1"/>
        <v>3309.7971499999999</v>
      </c>
      <c r="T23" s="665">
        <f t="shared" si="2"/>
        <v>774.06546249999997</v>
      </c>
      <c r="U23" s="666">
        <f t="shared" si="3"/>
        <v>42</v>
      </c>
      <c r="V23" s="666">
        <f t="shared" si="4"/>
        <v>100.8</v>
      </c>
      <c r="W23" s="665">
        <f t="shared" si="5"/>
        <v>395.13599999999997</v>
      </c>
      <c r="X23" s="665">
        <f t="shared" si="28"/>
        <v>11622.960000000001</v>
      </c>
      <c r="Y23" s="665">
        <f t="shared" si="31"/>
        <v>11622.960000000001</v>
      </c>
      <c r="Z23" s="361">
        <f t="shared" si="6"/>
        <v>86870.943612500021</v>
      </c>
      <c r="AB23" s="362"/>
      <c r="AC23" s="1181" t="str">
        <f t="shared" si="7"/>
        <v>Jennifer Miller</v>
      </c>
      <c r="AD23" s="668" t="s">
        <v>516</v>
      </c>
      <c r="AE23" s="669">
        <f t="shared" si="8"/>
        <v>637.86</v>
      </c>
      <c r="AF23" s="670" t="s">
        <v>557</v>
      </c>
      <c r="AG23" s="669">
        <f t="shared" si="9"/>
        <v>72.36</v>
      </c>
      <c r="AH23" s="670" t="s">
        <v>519</v>
      </c>
      <c r="AI23" s="364">
        <f t="shared" si="10"/>
        <v>7.96</v>
      </c>
      <c r="AJ23" s="364">
        <f t="shared" si="11"/>
        <v>1863.54</v>
      </c>
      <c r="AK23" s="364">
        <f t="shared" si="12"/>
        <v>65.63000000000001</v>
      </c>
      <c r="AL23" s="364">
        <f t="shared" si="13"/>
        <v>7.9899999999999993</v>
      </c>
      <c r="AM23" s="365">
        <f t="shared" si="14"/>
        <v>718.18000000000006</v>
      </c>
      <c r="AN23" s="366">
        <f t="shared" si="15"/>
        <v>1937.16</v>
      </c>
      <c r="AO23" s="367">
        <f t="shared" si="29"/>
        <v>2655.34</v>
      </c>
      <c r="AP23" s="368">
        <v>8.7999999999999998E-5</v>
      </c>
      <c r="AQ23" s="369">
        <v>2.0000000000000002E-5</v>
      </c>
      <c r="AR23" s="370">
        <v>2.22E-4</v>
      </c>
      <c r="AS23" s="371">
        <v>3.1E-4</v>
      </c>
      <c r="AT23" s="372">
        <f t="shared" si="16"/>
        <v>395.13599999999997</v>
      </c>
      <c r="AV23" s="373">
        <f t="shared" si="17"/>
        <v>51450</v>
      </c>
      <c r="AW23" s="374">
        <f t="shared" ref="AW23:AW34" si="33">NETWORKDAYS(C23,D23)</f>
        <v>0</v>
      </c>
      <c r="AX23" s="375" t="str">
        <f t="shared" ref="AX23:AX47" si="34">IF(ISERROR(AV23/AW23),"",(AV23/AW23))</f>
        <v/>
      </c>
      <c r="AY23" s="376">
        <v>41820</v>
      </c>
      <c r="AZ23" s="377">
        <f t="shared" ref="AZ23:AZ34" si="35">NETWORKDAYS(AY23,D23)</f>
        <v>-29871</v>
      </c>
      <c r="BA23" s="378">
        <f t="shared" ref="BA23:BA47" si="36">AW23-AZ23</f>
        <v>29871</v>
      </c>
      <c r="BB23" s="379" t="str">
        <f t="shared" ref="BB23:BB47" si="37">IF(ISERROR(BA23*AX23),"",(BA23*AX23))</f>
        <v/>
      </c>
      <c r="BC23" s="379" t="str">
        <f t="shared" ref="BC23:BC47" si="38">IF(ISERROR(AZ23*AX23),"",(AZ23*AX23))</f>
        <v/>
      </c>
      <c r="BD23" s="379">
        <f t="shared" ref="BD23:BD47" si="39">IF(ISERROR(SUM(BB23:BC23)),"",((SUM(BB23:BC23))))</f>
        <v>0</v>
      </c>
      <c r="BE23" s="379" t="str">
        <f t="shared" ref="BE23:BE47" si="40">IF(ISERROR(BC23*7.65%),"",((BC23*7.65%)))</f>
        <v/>
      </c>
      <c r="BF23" s="380" t="str">
        <f t="shared" ref="BF23:BF47" si="41">IF(ISERROR(BC23*21.17%),"",((BC23*21.17%)))</f>
        <v/>
      </c>
      <c r="BG23" s="381" t="e">
        <f t="shared" ref="BG23:BG47" si="42">SUM(BE23:BF23)+BC23</f>
        <v>#VALUE!</v>
      </c>
    </row>
    <row r="24" spans="1:16383" x14ac:dyDescent="0.2">
      <c r="A24" s="382"/>
      <c r="B24" s="385">
        <v>20</v>
      </c>
      <c r="C24" s="359"/>
      <c r="D24" s="359"/>
      <c r="E24" s="671"/>
      <c r="F24" s="661" t="s">
        <v>662</v>
      </c>
      <c r="G24" s="882" t="s">
        <v>663</v>
      </c>
      <c r="H24" s="882" t="s">
        <v>867</v>
      </c>
      <c r="I24" s="882" t="s">
        <v>872</v>
      </c>
      <c r="J24" s="886">
        <v>50985</v>
      </c>
      <c r="K24" s="672">
        <v>0.03</v>
      </c>
      <c r="L24" s="663">
        <v>2000</v>
      </c>
      <c r="M24" s="664">
        <v>1200</v>
      </c>
      <c r="N24" s="1122">
        <f t="shared" si="30"/>
        <v>55714.55</v>
      </c>
      <c r="O24" s="1122"/>
      <c r="P24" s="1122"/>
      <c r="Q24" s="667">
        <v>0.05</v>
      </c>
      <c r="R24" s="666">
        <f t="shared" si="0"/>
        <v>2785.7275000000004</v>
      </c>
      <c r="S24" s="665">
        <f t="shared" si="1"/>
        <v>3281.5869950000001</v>
      </c>
      <c r="T24" s="665">
        <f t="shared" si="2"/>
        <v>767.46792625000012</v>
      </c>
      <c r="U24" s="666">
        <f t="shared" si="3"/>
        <v>42</v>
      </c>
      <c r="V24" s="666">
        <f t="shared" si="4"/>
        <v>100.8</v>
      </c>
      <c r="W24" s="665">
        <f t="shared" si="5"/>
        <v>391.56479999999999</v>
      </c>
      <c r="X24" s="665">
        <f t="shared" si="28"/>
        <v>11622.960000000001</v>
      </c>
      <c r="Y24" s="665">
        <f t="shared" si="31"/>
        <v>11622.960000000001</v>
      </c>
      <c r="Z24" s="361">
        <f t="shared" si="6"/>
        <v>86329.667221250013</v>
      </c>
      <c r="AB24" s="362"/>
      <c r="AC24" s="1181" t="str">
        <f t="shared" si="7"/>
        <v>Lisa Daily</v>
      </c>
      <c r="AD24" s="668" t="s">
        <v>516</v>
      </c>
      <c r="AE24" s="669">
        <f t="shared" si="8"/>
        <v>637.86</v>
      </c>
      <c r="AF24" s="670" t="s">
        <v>557</v>
      </c>
      <c r="AG24" s="669">
        <f t="shared" si="9"/>
        <v>72.36</v>
      </c>
      <c r="AH24" s="670" t="s">
        <v>519</v>
      </c>
      <c r="AI24" s="364">
        <f t="shared" si="10"/>
        <v>7.96</v>
      </c>
      <c r="AJ24" s="364">
        <f t="shared" si="11"/>
        <v>1863.54</v>
      </c>
      <c r="AK24" s="364">
        <f t="shared" si="12"/>
        <v>65.63000000000001</v>
      </c>
      <c r="AL24" s="364">
        <f t="shared" si="13"/>
        <v>7.9899999999999993</v>
      </c>
      <c r="AM24" s="365">
        <f t="shared" si="14"/>
        <v>718.18000000000006</v>
      </c>
      <c r="AN24" s="366">
        <f t="shared" si="15"/>
        <v>1937.16</v>
      </c>
      <c r="AO24" s="367">
        <f t="shared" si="29"/>
        <v>2655.34</v>
      </c>
      <c r="AP24" s="368">
        <v>8.7999999999999998E-5</v>
      </c>
      <c r="AQ24" s="369">
        <v>2.0000000000000002E-5</v>
      </c>
      <c r="AR24" s="370">
        <v>2.22E-4</v>
      </c>
      <c r="AS24" s="371">
        <v>3.1E-4</v>
      </c>
      <c r="AT24" s="372">
        <f t="shared" si="16"/>
        <v>391.56479999999999</v>
      </c>
      <c r="AV24" s="373">
        <f t="shared" si="17"/>
        <v>50985</v>
      </c>
      <c r="AW24" s="374">
        <f t="shared" si="33"/>
        <v>0</v>
      </c>
      <c r="AX24" s="375" t="str">
        <f t="shared" si="34"/>
        <v/>
      </c>
      <c r="AY24" s="376">
        <v>41820</v>
      </c>
      <c r="AZ24" s="377">
        <f t="shared" si="35"/>
        <v>-29871</v>
      </c>
      <c r="BA24" s="378">
        <f t="shared" si="36"/>
        <v>29871</v>
      </c>
      <c r="BB24" s="379" t="str">
        <f t="shared" si="37"/>
        <v/>
      </c>
      <c r="BC24" s="379" t="str">
        <f t="shared" si="38"/>
        <v/>
      </c>
      <c r="BD24" s="379">
        <f t="shared" si="39"/>
        <v>0</v>
      </c>
      <c r="BE24" s="379" t="str">
        <f t="shared" si="40"/>
        <v/>
      </c>
      <c r="BF24" s="380" t="str">
        <f t="shared" si="41"/>
        <v/>
      </c>
      <c r="BG24" s="381" t="e">
        <f t="shared" si="42"/>
        <v>#VALUE!</v>
      </c>
    </row>
    <row r="25" spans="1:16383" x14ac:dyDescent="0.2">
      <c r="A25" s="382"/>
      <c r="B25" s="358">
        <v>21</v>
      </c>
      <c r="C25" s="359"/>
      <c r="D25" s="359"/>
      <c r="E25" s="671"/>
      <c r="F25" s="661" t="s">
        <v>662</v>
      </c>
      <c r="G25" s="882" t="s">
        <v>664</v>
      </c>
      <c r="H25" s="882" t="s">
        <v>873</v>
      </c>
      <c r="I25" s="882" t="s">
        <v>874</v>
      </c>
      <c r="J25" s="920">
        <v>47500</v>
      </c>
      <c r="K25" s="672">
        <v>0.03</v>
      </c>
      <c r="L25" s="663">
        <v>2000</v>
      </c>
      <c r="M25" s="664">
        <v>1200</v>
      </c>
      <c r="N25" s="1122">
        <f t="shared" si="30"/>
        <v>52125</v>
      </c>
      <c r="O25" s="1122"/>
      <c r="P25" s="1122"/>
      <c r="Q25" s="673">
        <v>0.05</v>
      </c>
      <c r="R25" s="666">
        <f t="shared" si="0"/>
        <v>2606.25</v>
      </c>
      <c r="S25" s="665">
        <f t="shared" si="1"/>
        <v>3070.1624999999999</v>
      </c>
      <c r="T25" s="665">
        <f t="shared" si="2"/>
        <v>718.02187500000002</v>
      </c>
      <c r="U25" s="666">
        <f t="shared" si="3"/>
        <v>42</v>
      </c>
      <c r="V25" s="666">
        <f t="shared" si="4"/>
        <v>100.8</v>
      </c>
      <c r="W25" s="665">
        <f t="shared" si="5"/>
        <v>364.79999999999995</v>
      </c>
      <c r="X25" s="665">
        <f t="shared" si="28"/>
        <v>0</v>
      </c>
      <c r="Y25" s="665">
        <f t="shared" si="31"/>
        <v>0</v>
      </c>
      <c r="Z25" s="361">
        <f t="shared" si="6"/>
        <v>59027.084375000006</v>
      </c>
      <c r="AB25" s="362"/>
      <c r="AC25" s="1181" t="str">
        <f t="shared" si="7"/>
        <v>Nancy Foster</v>
      </c>
      <c r="AD25" s="668" t="s">
        <v>526</v>
      </c>
      <c r="AE25" s="669">
        <f t="shared" si="8"/>
        <v>0</v>
      </c>
      <c r="AF25" s="670" t="s">
        <v>526</v>
      </c>
      <c r="AG25" s="669">
        <f t="shared" si="9"/>
        <v>0</v>
      </c>
      <c r="AH25" s="670" t="s">
        <v>526</v>
      </c>
      <c r="AI25" s="364">
        <f t="shared" si="10"/>
        <v>0</v>
      </c>
      <c r="AJ25" s="364">
        <f t="shared" si="11"/>
        <v>0</v>
      </c>
      <c r="AK25" s="364">
        <f t="shared" si="12"/>
        <v>0</v>
      </c>
      <c r="AL25" s="364">
        <f t="shared" si="13"/>
        <v>0</v>
      </c>
      <c r="AM25" s="365">
        <f t="shared" si="14"/>
        <v>0</v>
      </c>
      <c r="AN25" s="366">
        <f t="shared" si="15"/>
        <v>0</v>
      </c>
      <c r="AO25" s="367">
        <f t="shared" si="29"/>
        <v>0</v>
      </c>
      <c r="AP25" s="368">
        <v>8.7999999999999998E-5</v>
      </c>
      <c r="AQ25" s="369">
        <v>2.0000000000000002E-5</v>
      </c>
      <c r="AR25" s="370">
        <v>2.22E-4</v>
      </c>
      <c r="AS25" s="371">
        <v>3.1E-4</v>
      </c>
      <c r="AT25" s="372">
        <f t="shared" si="16"/>
        <v>364.79999999999995</v>
      </c>
      <c r="AV25" s="373">
        <f t="shared" si="17"/>
        <v>47500</v>
      </c>
      <c r="AW25" s="374">
        <f t="shared" si="33"/>
        <v>0</v>
      </c>
      <c r="AX25" s="375" t="str">
        <f t="shared" si="34"/>
        <v/>
      </c>
      <c r="AY25" s="376">
        <v>41820</v>
      </c>
      <c r="AZ25" s="377">
        <f t="shared" si="35"/>
        <v>-29871</v>
      </c>
      <c r="BA25" s="378">
        <f t="shared" si="36"/>
        <v>29871</v>
      </c>
      <c r="BB25" s="379" t="str">
        <f t="shared" si="37"/>
        <v/>
      </c>
      <c r="BC25" s="379" t="str">
        <f t="shared" si="38"/>
        <v/>
      </c>
      <c r="BD25" s="379">
        <f t="shared" si="39"/>
        <v>0</v>
      </c>
      <c r="BE25" s="379" t="str">
        <f t="shared" si="40"/>
        <v/>
      </c>
      <c r="BF25" s="380" t="str">
        <f t="shared" si="41"/>
        <v/>
      </c>
      <c r="BG25" s="381" t="e">
        <f t="shared" si="42"/>
        <v>#VALUE!</v>
      </c>
    </row>
    <row r="26" spans="1:16383" x14ac:dyDescent="0.2">
      <c r="A26" s="382"/>
      <c r="B26" s="383">
        <v>22</v>
      </c>
      <c r="C26" s="359"/>
      <c r="D26" s="359"/>
      <c r="E26" s="671"/>
      <c r="F26" s="661" t="s">
        <v>662</v>
      </c>
      <c r="G26" s="882" t="s">
        <v>660</v>
      </c>
      <c r="H26" s="882" t="s">
        <v>870</v>
      </c>
      <c r="I26" s="882" t="s">
        <v>871</v>
      </c>
      <c r="J26" s="920">
        <v>52615</v>
      </c>
      <c r="K26" s="672">
        <v>0.03</v>
      </c>
      <c r="L26" s="663">
        <v>2000</v>
      </c>
      <c r="M26" s="664">
        <v>1200</v>
      </c>
      <c r="N26" s="1122">
        <f t="shared" si="30"/>
        <v>57393.450000000004</v>
      </c>
      <c r="O26" s="1122"/>
      <c r="P26" s="1122"/>
      <c r="Q26" s="667">
        <v>0</v>
      </c>
      <c r="R26" s="666">
        <f t="shared" si="0"/>
        <v>0</v>
      </c>
      <c r="S26" s="665">
        <f t="shared" si="1"/>
        <v>3558.3939</v>
      </c>
      <c r="T26" s="665">
        <f t="shared" si="2"/>
        <v>832.20502500000009</v>
      </c>
      <c r="U26" s="666">
        <f t="shared" si="3"/>
        <v>42</v>
      </c>
      <c r="V26" s="666">
        <f t="shared" si="4"/>
        <v>100.8</v>
      </c>
      <c r="W26" s="665">
        <f t="shared" si="5"/>
        <v>404.08320000000003</v>
      </c>
      <c r="X26" s="665">
        <f t="shared" si="28"/>
        <v>8664.18</v>
      </c>
      <c r="Y26" s="665">
        <f t="shared" si="31"/>
        <v>8664.18</v>
      </c>
      <c r="Z26" s="361">
        <f t="shared" si="6"/>
        <v>79659.292125000007</v>
      </c>
      <c r="AB26" s="362"/>
      <c r="AC26" s="1181" t="str">
        <f t="shared" si="7"/>
        <v>Aimee Wynacht</v>
      </c>
      <c r="AD26" s="668" t="s">
        <v>513</v>
      </c>
      <c r="AE26" s="669">
        <f t="shared" si="8"/>
        <v>339.32</v>
      </c>
      <c r="AF26" s="670" t="s">
        <v>555</v>
      </c>
      <c r="AG26" s="669">
        <f t="shared" si="9"/>
        <v>38.93</v>
      </c>
      <c r="AH26" s="670" t="s">
        <v>526</v>
      </c>
      <c r="AI26" s="364">
        <f t="shared" si="10"/>
        <v>0</v>
      </c>
      <c r="AJ26" s="364">
        <f t="shared" si="11"/>
        <v>1400.78</v>
      </c>
      <c r="AK26" s="364">
        <f t="shared" si="12"/>
        <v>43.250000000000007</v>
      </c>
      <c r="AL26" s="364">
        <f t="shared" si="13"/>
        <v>0</v>
      </c>
      <c r="AM26" s="365">
        <f t="shared" si="14"/>
        <v>378.25</v>
      </c>
      <c r="AN26" s="366">
        <f t="shared" si="15"/>
        <v>1444.03</v>
      </c>
      <c r="AO26" s="367">
        <f t="shared" si="29"/>
        <v>1822.28</v>
      </c>
      <c r="AP26" s="368">
        <v>8.7999999999999998E-5</v>
      </c>
      <c r="AQ26" s="369">
        <v>2.0000000000000002E-5</v>
      </c>
      <c r="AR26" s="370">
        <v>2.22E-4</v>
      </c>
      <c r="AS26" s="371">
        <v>3.1E-4</v>
      </c>
      <c r="AT26" s="372">
        <f t="shared" si="16"/>
        <v>404.08320000000003</v>
      </c>
      <c r="AV26" s="373">
        <f t="shared" si="17"/>
        <v>52615</v>
      </c>
      <c r="AW26" s="374">
        <f t="shared" si="33"/>
        <v>0</v>
      </c>
      <c r="AX26" s="375" t="str">
        <f t="shared" si="34"/>
        <v/>
      </c>
      <c r="AY26" s="376">
        <v>41820</v>
      </c>
      <c r="AZ26" s="377">
        <f t="shared" si="35"/>
        <v>-29871</v>
      </c>
      <c r="BA26" s="378">
        <f t="shared" si="36"/>
        <v>29871</v>
      </c>
      <c r="BB26" s="379" t="str">
        <f t="shared" si="37"/>
        <v/>
      </c>
      <c r="BC26" s="379" t="str">
        <f t="shared" si="38"/>
        <v/>
      </c>
      <c r="BD26" s="379">
        <f t="shared" si="39"/>
        <v>0</v>
      </c>
      <c r="BE26" s="379" t="str">
        <f t="shared" si="40"/>
        <v/>
      </c>
      <c r="BF26" s="380" t="str">
        <f t="shared" si="41"/>
        <v/>
      </c>
      <c r="BG26" s="381" t="e">
        <f t="shared" si="42"/>
        <v>#VALUE!</v>
      </c>
    </row>
    <row r="27" spans="1:16383" x14ac:dyDescent="0.2">
      <c r="A27" s="382"/>
      <c r="B27" s="358">
        <v>23</v>
      </c>
      <c r="C27" s="359"/>
      <c r="D27" s="359"/>
      <c r="E27" s="671"/>
      <c r="F27" s="661" t="s">
        <v>665</v>
      </c>
      <c r="G27" s="883" t="s">
        <v>1394</v>
      </c>
      <c r="H27" s="882" t="s">
        <v>866</v>
      </c>
      <c r="I27" s="882" t="s">
        <v>1393</v>
      </c>
      <c r="J27" s="920">
        <v>49095</v>
      </c>
      <c r="K27" s="672">
        <v>0.03</v>
      </c>
      <c r="L27" s="663">
        <v>0</v>
      </c>
      <c r="M27" s="664">
        <v>1200</v>
      </c>
      <c r="N27" s="1122">
        <f t="shared" si="30"/>
        <v>51767.85</v>
      </c>
      <c r="O27" s="1122"/>
      <c r="P27" s="1122"/>
      <c r="Q27" s="667">
        <v>0</v>
      </c>
      <c r="R27" s="666">
        <f t="shared" si="0"/>
        <v>0</v>
      </c>
      <c r="S27" s="665">
        <f t="shared" si="1"/>
        <v>3209.6066999999998</v>
      </c>
      <c r="T27" s="665">
        <f t="shared" si="2"/>
        <v>750.633825</v>
      </c>
      <c r="U27" s="666">
        <f t="shared" si="3"/>
        <v>42</v>
      </c>
      <c r="V27" s="666">
        <f t="shared" si="4"/>
        <v>100.8</v>
      </c>
      <c r="W27" s="665">
        <f t="shared" si="5"/>
        <v>377.0496</v>
      </c>
      <c r="X27" s="665">
        <f t="shared" si="28"/>
        <v>3924.6600000000008</v>
      </c>
      <c r="Y27" s="665">
        <f t="shared" si="31"/>
        <v>3924.6600000000008</v>
      </c>
      <c r="Z27" s="361">
        <f t="shared" si="6"/>
        <v>64097.260125000001</v>
      </c>
      <c r="AA27" s="787"/>
      <c r="AB27" s="362"/>
      <c r="AC27" s="1181" t="str">
        <f t="shared" si="7"/>
        <v>Jennifer Cornelius</v>
      </c>
      <c r="AD27" s="668" t="s">
        <v>510</v>
      </c>
      <c r="AE27" s="669">
        <f t="shared" si="8"/>
        <v>143.44</v>
      </c>
      <c r="AF27" s="670" t="s">
        <v>525</v>
      </c>
      <c r="AG27" s="669">
        <f t="shared" si="9"/>
        <v>10.25</v>
      </c>
      <c r="AH27" s="670" t="s">
        <v>526</v>
      </c>
      <c r="AI27" s="364">
        <f t="shared" si="10"/>
        <v>0</v>
      </c>
      <c r="AJ27" s="364">
        <f t="shared" si="11"/>
        <v>631.8900000000001</v>
      </c>
      <c r="AK27" s="364">
        <f t="shared" si="12"/>
        <v>22.22</v>
      </c>
      <c r="AL27" s="364">
        <f t="shared" si="13"/>
        <v>0</v>
      </c>
      <c r="AM27" s="365">
        <f t="shared" si="14"/>
        <v>153.69</v>
      </c>
      <c r="AN27" s="366">
        <f t="shared" si="15"/>
        <v>654.11000000000013</v>
      </c>
      <c r="AO27" s="367">
        <f t="shared" si="29"/>
        <v>807.80000000000018</v>
      </c>
      <c r="AP27" s="368">
        <v>8.7999999999999998E-5</v>
      </c>
      <c r="AQ27" s="369">
        <v>2.0000000000000002E-5</v>
      </c>
      <c r="AR27" s="370">
        <v>2.22E-4</v>
      </c>
      <c r="AS27" s="371">
        <v>3.1E-4</v>
      </c>
      <c r="AT27" s="372">
        <f t="shared" si="16"/>
        <v>377.0496</v>
      </c>
      <c r="AV27" s="373">
        <f t="shared" si="17"/>
        <v>49095</v>
      </c>
      <c r="AW27" s="374">
        <f t="shared" si="33"/>
        <v>0</v>
      </c>
      <c r="AX27" s="375" t="str">
        <f t="shared" si="34"/>
        <v/>
      </c>
      <c r="AY27" s="376">
        <v>41820</v>
      </c>
      <c r="AZ27" s="377">
        <f t="shared" si="35"/>
        <v>-29871</v>
      </c>
      <c r="BA27" s="378">
        <f t="shared" si="36"/>
        <v>29871</v>
      </c>
      <c r="BB27" s="379" t="str">
        <f t="shared" si="37"/>
        <v/>
      </c>
      <c r="BC27" s="379" t="str">
        <f t="shared" si="38"/>
        <v/>
      </c>
      <c r="BD27" s="379">
        <f t="shared" si="39"/>
        <v>0</v>
      </c>
      <c r="BE27" s="379" t="str">
        <f t="shared" si="40"/>
        <v/>
      </c>
      <c r="BF27" s="380" t="str">
        <f t="shared" si="41"/>
        <v/>
      </c>
      <c r="BG27" s="381" t="e">
        <f t="shared" si="42"/>
        <v>#VALUE!</v>
      </c>
    </row>
    <row r="28" spans="1:16383" x14ac:dyDescent="0.2">
      <c r="A28" s="331"/>
      <c r="B28" s="385">
        <v>24</v>
      </c>
      <c r="C28" s="359"/>
      <c r="D28" s="359"/>
      <c r="E28" s="671"/>
      <c r="F28" s="661" t="s">
        <v>665</v>
      </c>
      <c r="G28" s="882" t="s">
        <v>850</v>
      </c>
      <c r="H28" s="882" t="s">
        <v>867</v>
      </c>
      <c r="I28" s="882" t="s">
        <v>868</v>
      </c>
      <c r="J28" s="920">
        <v>47500</v>
      </c>
      <c r="K28" s="672">
        <v>0.03</v>
      </c>
      <c r="L28" s="663">
        <v>2000</v>
      </c>
      <c r="M28" s="664">
        <v>1200</v>
      </c>
      <c r="N28" s="1122">
        <f t="shared" si="30"/>
        <v>52125</v>
      </c>
      <c r="O28" s="1122"/>
      <c r="P28" s="1122"/>
      <c r="Q28" s="667"/>
      <c r="R28" s="666">
        <f t="shared" si="0"/>
        <v>0</v>
      </c>
      <c r="S28" s="665">
        <f t="shared" si="1"/>
        <v>3231.75</v>
      </c>
      <c r="T28" s="665">
        <f t="shared" si="2"/>
        <v>755.8125</v>
      </c>
      <c r="U28" s="666">
        <f t="shared" si="3"/>
        <v>42</v>
      </c>
      <c r="V28" s="666">
        <f t="shared" si="4"/>
        <v>100.8</v>
      </c>
      <c r="W28" s="665">
        <f t="shared" si="5"/>
        <v>364.79999999999995</v>
      </c>
      <c r="X28" s="665">
        <f t="shared" si="28"/>
        <v>11622.960000000001</v>
      </c>
      <c r="Y28" s="665">
        <f t="shared" si="31"/>
        <v>11622.960000000001</v>
      </c>
      <c r="Z28" s="361">
        <f t="shared" si="6"/>
        <v>79866.082500000019</v>
      </c>
      <c r="AB28" s="362"/>
      <c r="AC28" s="1181" t="str">
        <f t="shared" si="7"/>
        <v>Lisa Shorey</v>
      </c>
      <c r="AD28" s="668" t="s">
        <v>516</v>
      </c>
      <c r="AE28" s="669">
        <f t="shared" si="8"/>
        <v>637.86</v>
      </c>
      <c r="AF28" s="670" t="s">
        <v>557</v>
      </c>
      <c r="AG28" s="669">
        <f t="shared" si="9"/>
        <v>72.36</v>
      </c>
      <c r="AH28" s="670" t="s">
        <v>519</v>
      </c>
      <c r="AI28" s="364">
        <f t="shared" si="10"/>
        <v>7.96</v>
      </c>
      <c r="AJ28" s="364">
        <f t="shared" si="11"/>
        <v>1863.54</v>
      </c>
      <c r="AK28" s="364">
        <f t="shared" si="12"/>
        <v>65.63000000000001</v>
      </c>
      <c r="AL28" s="364">
        <f t="shared" si="13"/>
        <v>7.9899999999999993</v>
      </c>
      <c r="AM28" s="365">
        <f t="shared" si="14"/>
        <v>718.18000000000006</v>
      </c>
      <c r="AN28" s="366">
        <f t="shared" si="15"/>
        <v>1937.16</v>
      </c>
      <c r="AO28" s="367">
        <f t="shared" si="29"/>
        <v>2655.34</v>
      </c>
      <c r="AP28" s="368">
        <v>8.7999999999999998E-5</v>
      </c>
      <c r="AQ28" s="369">
        <v>2.0000000000000002E-5</v>
      </c>
      <c r="AR28" s="370">
        <v>2.22E-4</v>
      </c>
      <c r="AS28" s="371">
        <v>3.1E-4</v>
      </c>
      <c r="AT28" s="372">
        <f t="shared" si="16"/>
        <v>364.79999999999995</v>
      </c>
      <c r="AV28" s="373">
        <f t="shared" si="17"/>
        <v>47500</v>
      </c>
      <c r="AW28" s="374">
        <f t="shared" si="33"/>
        <v>0</v>
      </c>
      <c r="AX28" s="375" t="str">
        <f t="shared" si="34"/>
        <v/>
      </c>
      <c r="AY28" s="376">
        <v>41820</v>
      </c>
      <c r="AZ28" s="377">
        <f t="shared" si="35"/>
        <v>-29871</v>
      </c>
      <c r="BA28" s="378">
        <f t="shared" si="36"/>
        <v>29871</v>
      </c>
      <c r="BB28" s="379" t="str">
        <f t="shared" si="37"/>
        <v/>
      </c>
      <c r="BC28" s="379" t="str">
        <f t="shared" si="38"/>
        <v/>
      </c>
      <c r="BD28" s="379">
        <f t="shared" si="39"/>
        <v>0</v>
      </c>
      <c r="BE28" s="379" t="str">
        <f t="shared" si="40"/>
        <v/>
      </c>
      <c r="BF28" s="380" t="str">
        <f t="shared" si="41"/>
        <v/>
      </c>
      <c r="BG28" s="381" t="e">
        <f t="shared" si="42"/>
        <v>#VALUE!</v>
      </c>
    </row>
    <row r="29" spans="1:16383" x14ac:dyDescent="0.2">
      <c r="A29" s="382"/>
      <c r="B29" s="358">
        <v>17</v>
      </c>
      <c r="C29" s="359"/>
      <c r="D29" s="359"/>
      <c r="E29" s="671"/>
      <c r="F29" s="661" t="s">
        <v>665</v>
      </c>
      <c r="G29" s="882" t="s">
        <v>901</v>
      </c>
      <c r="H29" s="882" t="s">
        <v>902</v>
      </c>
      <c r="I29" s="882" t="s">
        <v>903</v>
      </c>
      <c r="J29" s="920">
        <v>47500</v>
      </c>
      <c r="K29" s="672">
        <v>0.03</v>
      </c>
      <c r="L29" s="663">
        <v>0</v>
      </c>
      <c r="M29" s="664">
        <v>1200</v>
      </c>
      <c r="N29" s="1122">
        <f t="shared" si="30"/>
        <v>50125</v>
      </c>
      <c r="O29" s="1122"/>
      <c r="P29" s="1122"/>
      <c r="Q29" s="667">
        <v>0.04</v>
      </c>
      <c r="R29" s="666">
        <f t="shared" si="0"/>
        <v>2005</v>
      </c>
      <c r="S29" s="665">
        <f t="shared" si="1"/>
        <v>2983.44</v>
      </c>
      <c r="T29" s="665">
        <f t="shared" si="2"/>
        <v>697.74</v>
      </c>
      <c r="U29" s="666">
        <f t="shared" si="3"/>
        <v>42</v>
      </c>
      <c r="V29" s="666">
        <f t="shared" si="4"/>
        <v>100.8</v>
      </c>
      <c r="W29" s="665">
        <f t="shared" si="5"/>
        <v>364.79999999999995</v>
      </c>
      <c r="X29" s="665">
        <f t="shared" si="28"/>
        <v>8793.18</v>
      </c>
      <c r="Y29" s="665">
        <f t="shared" si="31"/>
        <v>8793.18</v>
      </c>
      <c r="Z29" s="361">
        <f t="shared" si="6"/>
        <v>73905.180000000008</v>
      </c>
      <c r="AB29" s="362"/>
      <c r="AC29" s="1181" t="str">
        <f t="shared" si="7"/>
        <v>Hannah Gleason</v>
      </c>
      <c r="AD29" s="668" t="s">
        <v>513</v>
      </c>
      <c r="AE29" s="669">
        <f t="shared" si="8"/>
        <v>339.32</v>
      </c>
      <c r="AF29" s="670" t="s">
        <v>517</v>
      </c>
      <c r="AG29" s="669">
        <f t="shared" si="9"/>
        <v>52.91</v>
      </c>
      <c r="AH29" s="670" t="s">
        <v>521</v>
      </c>
      <c r="AI29" s="364">
        <f t="shared" si="10"/>
        <v>4.88</v>
      </c>
      <c r="AJ29" s="364">
        <f t="shared" si="11"/>
        <v>1400.78</v>
      </c>
      <c r="AK29" s="364">
        <f t="shared" si="12"/>
        <v>58.78</v>
      </c>
      <c r="AL29" s="364">
        <f t="shared" si="13"/>
        <v>5.97</v>
      </c>
      <c r="AM29" s="365">
        <f t="shared" si="14"/>
        <v>397.11</v>
      </c>
      <c r="AN29" s="366">
        <f t="shared" si="15"/>
        <v>1465.53</v>
      </c>
      <c r="AO29" s="367">
        <f>SUM(AM29:AN29)</f>
        <v>1862.6399999999999</v>
      </c>
      <c r="AP29" s="368">
        <v>8.7999999999999998E-5</v>
      </c>
      <c r="AQ29" s="369">
        <v>2.0000000000000002E-5</v>
      </c>
      <c r="AR29" s="370">
        <v>2.22E-4</v>
      </c>
      <c r="AS29" s="371">
        <v>3.1E-4</v>
      </c>
      <c r="AT29" s="372">
        <f t="shared" si="16"/>
        <v>364.79999999999995</v>
      </c>
      <c r="AV29" s="373">
        <f t="shared" si="17"/>
        <v>47500</v>
      </c>
      <c r="AW29" s="374">
        <f t="shared" si="33"/>
        <v>0</v>
      </c>
      <c r="AX29" s="375" t="str">
        <f t="shared" si="34"/>
        <v/>
      </c>
      <c r="AY29" s="376">
        <v>41820</v>
      </c>
      <c r="AZ29" s="377">
        <f t="shared" si="35"/>
        <v>-29871</v>
      </c>
      <c r="BA29" s="378">
        <f t="shared" si="36"/>
        <v>29871</v>
      </c>
      <c r="BB29" s="379" t="str">
        <f t="shared" si="37"/>
        <v/>
      </c>
      <c r="BC29" s="379" t="str">
        <f t="shared" si="38"/>
        <v/>
      </c>
      <c r="BD29" s="379">
        <f t="shared" si="39"/>
        <v>0</v>
      </c>
      <c r="BE29" s="379" t="str">
        <f t="shared" si="40"/>
        <v/>
      </c>
      <c r="BF29" s="380" t="str">
        <f t="shared" si="41"/>
        <v/>
      </c>
      <c r="BG29" s="381" t="e">
        <f t="shared" si="42"/>
        <v>#VALUE!</v>
      </c>
    </row>
    <row r="30" spans="1:16383" x14ac:dyDescent="0.2">
      <c r="A30" s="382"/>
      <c r="B30" s="383">
        <v>26</v>
      </c>
      <c r="C30" s="359"/>
      <c r="D30" s="359"/>
      <c r="E30" s="671"/>
      <c r="F30" s="661" t="s">
        <v>665</v>
      </c>
      <c r="G30" s="882" t="s">
        <v>905</v>
      </c>
      <c r="H30" s="882" t="s">
        <v>906</v>
      </c>
      <c r="I30" s="882" t="s">
        <v>907</v>
      </c>
      <c r="J30" s="920">
        <v>47500</v>
      </c>
      <c r="K30" s="672">
        <v>0.03</v>
      </c>
      <c r="L30" s="663">
        <v>0</v>
      </c>
      <c r="M30" s="664">
        <v>1200</v>
      </c>
      <c r="N30" s="1122">
        <f t="shared" si="30"/>
        <v>50125</v>
      </c>
      <c r="O30" s="1122"/>
      <c r="P30" s="1122"/>
      <c r="Q30" s="667">
        <v>0.05</v>
      </c>
      <c r="R30" s="666">
        <f t="shared" si="0"/>
        <v>2506.25</v>
      </c>
      <c r="S30" s="665">
        <f t="shared" si="1"/>
        <v>2952.3625000000002</v>
      </c>
      <c r="T30" s="665">
        <f t="shared" si="2"/>
        <v>690.47187500000007</v>
      </c>
      <c r="U30" s="666">
        <f t="shared" si="3"/>
        <v>42</v>
      </c>
      <c r="V30" s="666">
        <f t="shared" si="4"/>
        <v>100.8</v>
      </c>
      <c r="W30" s="665">
        <f t="shared" si="5"/>
        <v>364.79999999999995</v>
      </c>
      <c r="X30" s="665">
        <f t="shared" si="28"/>
        <v>8453.76</v>
      </c>
      <c r="Y30" s="665">
        <f t="shared" si="31"/>
        <v>8453.76</v>
      </c>
      <c r="Z30" s="361">
        <f t="shared" si="6"/>
        <v>73689.254375000019</v>
      </c>
      <c r="AB30" s="362"/>
      <c r="AC30" s="1181" t="str">
        <f t="shared" si="7"/>
        <v>Kali Jadusingh</v>
      </c>
      <c r="AD30" s="668" t="s">
        <v>515</v>
      </c>
      <c r="AE30" s="669">
        <f t="shared" si="8"/>
        <v>515.76</v>
      </c>
      <c r="AF30" s="670" t="s">
        <v>555</v>
      </c>
      <c r="AG30" s="669">
        <f t="shared" si="9"/>
        <v>38.93</v>
      </c>
      <c r="AH30" s="670" t="s">
        <v>521</v>
      </c>
      <c r="AI30" s="364">
        <f t="shared" si="10"/>
        <v>4.88</v>
      </c>
      <c r="AJ30" s="364">
        <f t="shared" si="11"/>
        <v>1359.74</v>
      </c>
      <c r="AK30" s="364">
        <f t="shared" si="12"/>
        <v>43.250000000000007</v>
      </c>
      <c r="AL30" s="364">
        <f t="shared" si="13"/>
        <v>5.97</v>
      </c>
      <c r="AM30" s="365">
        <f t="shared" si="14"/>
        <v>559.56999999999994</v>
      </c>
      <c r="AN30" s="366">
        <f t="shared" si="15"/>
        <v>1408.96</v>
      </c>
      <c r="AO30" s="367">
        <f t="shared" si="29"/>
        <v>1968.53</v>
      </c>
      <c r="AP30" s="368">
        <v>8.7999999999999998E-5</v>
      </c>
      <c r="AQ30" s="369">
        <v>2.0000000000000002E-5</v>
      </c>
      <c r="AR30" s="370">
        <v>2.22E-4</v>
      </c>
      <c r="AS30" s="371">
        <v>3.1E-4</v>
      </c>
      <c r="AT30" s="372">
        <f t="shared" si="16"/>
        <v>364.79999999999995</v>
      </c>
      <c r="AV30" s="373">
        <f t="shared" si="17"/>
        <v>47500</v>
      </c>
      <c r="AW30" s="374">
        <f t="shared" si="33"/>
        <v>0</v>
      </c>
      <c r="AX30" s="375" t="str">
        <f t="shared" si="34"/>
        <v/>
      </c>
      <c r="AY30" s="376">
        <v>41820</v>
      </c>
      <c r="AZ30" s="377">
        <f t="shared" si="35"/>
        <v>-29871</v>
      </c>
      <c r="BA30" s="378">
        <f t="shared" si="36"/>
        <v>29871</v>
      </c>
      <c r="BB30" s="379" t="str">
        <f t="shared" si="37"/>
        <v/>
      </c>
      <c r="BC30" s="379" t="str">
        <f t="shared" si="38"/>
        <v/>
      </c>
      <c r="BD30" s="379">
        <f t="shared" si="39"/>
        <v>0</v>
      </c>
      <c r="BE30" s="379" t="str">
        <f t="shared" si="40"/>
        <v/>
      </c>
      <c r="BF30" s="380" t="str">
        <f t="shared" si="41"/>
        <v/>
      </c>
      <c r="BG30" s="381" t="e">
        <f t="shared" si="42"/>
        <v>#VALUE!</v>
      </c>
    </row>
    <row r="31" spans="1:16383" x14ac:dyDescent="0.2">
      <c r="A31" s="385"/>
      <c r="B31" s="358">
        <v>27</v>
      </c>
      <c r="C31" s="359"/>
      <c r="D31" s="660"/>
      <c r="E31" s="671"/>
      <c r="F31" s="661" t="s">
        <v>666</v>
      </c>
      <c r="G31" s="882" t="s">
        <v>1025</v>
      </c>
      <c r="H31" s="882" t="s">
        <v>1024</v>
      </c>
      <c r="I31" s="882" t="s">
        <v>1026</v>
      </c>
      <c r="J31" s="920">
        <v>47500</v>
      </c>
      <c r="K31" s="672">
        <v>0.03</v>
      </c>
      <c r="L31" s="663">
        <v>1000</v>
      </c>
      <c r="M31" s="664">
        <v>1200</v>
      </c>
      <c r="N31" s="1122">
        <f t="shared" si="30"/>
        <v>51125</v>
      </c>
      <c r="O31" s="1122"/>
      <c r="P31" s="1122"/>
      <c r="Q31" s="667">
        <v>0.03</v>
      </c>
      <c r="R31" s="666">
        <f t="shared" si="0"/>
        <v>1533.75</v>
      </c>
      <c r="S31" s="665">
        <f t="shared" si="1"/>
        <v>3074.6574999999998</v>
      </c>
      <c r="T31" s="665">
        <f t="shared" si="2"/>
        <v>719.073125</v>
      </c>
      <c r="U31" s="666">
        <f t="shared" si="3"/>
        <v>42</v>
      </c>
      <c r="V31" s="666">
        <f t="shared" si="4"/>
        <v>100.8</v>
      </c>
      <c r="W31" s="665">
        <f t="shared" si="5"/>
        <v>364.79999999999995</v>
      </c>
      <c r="X31" s="665">
        <f t="shared" si="28"/>
        <v>11181.24</v>
      </c>
      <c r="Y31" s="665">
        <f t="shared" si="31"/>
        <v>11181.24</v>
      </c>
      <c r="Z31" s="361">
        <f t="shared" si="6"/>
        <v>79322.590625000012</v>
      </c>
      <c r="AB31" s="362"/>
      <c r="AC31" s="1181" t="str">
        <f t="shared" si="7"/>
        <v>Joshua Hoppock</v>
      </c>
      <c r="AD31" s="668" t="s">
        <v>516</v>
      </c>
      <c r="AE31" s="669">
        <f t="shared" si="8"/>
        <v>637.86</v>
      </c>
      <c r="AF31" s="670" t="s">
        <v>526</v>
      </c>
      <c r="AG31" s="669">
        <f t="shared" si="9"/>
        <v>0</v>
      </c>
      <c r="AH31" s="670" t="s">
        <v>526</v>
      </c>
      <c r="AI31" s="364">
        <f t="shared" si="10"/>
        <v>0</v>
      </c>
      <c r="AJ31" s="364">
        <f t="shared" si="11"/>
        <v>1863.54</v>
      </c>
      <c r="AK31" s="364">
        <f t="shared" si="12"/>
        <v>0</v>
      </c>
      <c r="AL31" s="364">
        <f t="shared" si="13"/>
        <v>0</v>
      </c>
      <c r="AM31" s="365">
        <f t="shared" si="14"/>
        <v>637.86</v>
      </c>
      <c r="AN31" s="366">
        <f t="shared" si="15"/>
        <v>1863.54</v>
      </c>
      <c r="AO31" s="367">
        <f t="shared" si="29"/>
        <v>2501.4</v>
      </c>
      <c r="AP31" s="368">
        <v>8.7999999999999998E-5</v>
      </c>
      <c r="AQ31" s="369">
        <v>2.0000000000000002E-5</v>
      </c>
      <c r="AR31" s="370">
        <v>2.22E-4</v>
      </c>
      <c r="AS31" s="371">
        <v>3.1E-4</v>
      </c>
      <c r="AT31" s="372">
        <f t="shared" si="16"/>
        <v>364.79999999999995</v>
      </c>
      <c r="AV31" s="373">
        <f t="shared" si="17"/>
        <v>47500</v>
      </c>
      <c r="AW31" s="374">
        <f t="shared" si="33"/>
        <v>0</v>
      </c>
      <c r="AX31" s="375" t="str">
        <f t="shared" si="34"/>
        <v/>
      </c>
      <c r="AY31" s="376">
        <v>41820</v>
      </c>
      <c r="AZ31" s="377">
        <f t="shared" si="35"/>
        <v>-29871</v>
      </c>
      <c r="BA31" s="378">
        <f t="shared" si="36"/>
        <v>29871</v>
      </c>
      <c r="BB31" s="379" t="str">
        <f t="shared" si="37"/>
        <v/>
      </c>
      <c r="BC31" s="379" t="str">
        <f t="shared" si="38"/>
        <v/>
      </c>
      <c r="BD31" s="379">
        <f t="shared" si="39"/>
        <v>0</v>
      </c>
      <c r="BE31" s="379" t="str">
        <f t="shared" si="40"/>
        <v/>
      </c>
      <c r="BF31" s="380" t="str">
        <f t="shared" si="41"/>
        <v/>
      </c>
      <c r="BG31" s="381" t="e">
        <f t="shared" si="42"/>
        <v>#VALUE!</v>
      </c>
    </row>
    <row r="32" spans="1:16383" x14ac:dyDescent="0.2">
      <c r="A32" s="382"/>
      <c r="B32" s="383">
        <v>28</v>
      </c>
      <c r="C32" s="359"/>
      <c r="D32" s="359"/>
      <c r="E32" s="671"/>
      <c r="F32" s="661" t="s">
        <v>666</v>
      </c>
      <c r="G32" s="1249" t="s">
        <v>1555</v>
      </c>
      <c r="H32" s="1249" t="s">
        <v>296</v>
      </c>
      <c r="I32" s="1249" t="s">
        <v>296</v>
      </c>
      <c r="J32" s="1250">
        <v>47500</v>
      </c>
      <c r="K32" s="672">
        <v>0</v>
      </c>
      <c r="L32" s="663">
        <v>0</v>
      </c>
      <c r="M32" s="664"/>
      <c r="N32" s="1122">
        <f t="shared" si="30"/>
        <v>47500</v>
      </c>
      <c r="O32" s="1122"/>
      <c r="P32" s="1122"/>
      <c r="Q32" s="667">
        <v>0.05</v>
      </c>
      <c r="R32" s="666">
        <f t="shared" si="0"/>
        <v>2375</v>
      </c>
      <c r="S32" s="665">
        <f t="shared" si="1"/>
        <v>2797.75</v>
      </c>
      <c r="T32" s="665">
        <f t="shared" si="2"/>
        <v>654.3125</v>
      </c>
      <c r="U32" s="666">
        <f t="shared" si="3"/>
        <v>42</v>
      </c>
      <c r="V32" s="666">
        <f t="shared" si="4"/>
        <v>100.8</v>
      </c>
      <c r="W32" s="665">
        <f t="shared" si="5"/>
        <v>364.79999999999995</v>
      </c>
      <c r="X32" s="665">
        <f t="shared" si="28"/>
        <v>10453.140000000001</v>
      </c>
      <c r="Y32" s="665">
        <f t="shared" si="31"/>
        <v>10453.140000000001</v>
      </c>
      <c r="Z32" s="361">
        <f t="shared" si="6"/>
        <v>74740.992500000008</v>
      </c>
      <c r="AB32" s="362"/>
      <c r="AC32" s="1181" t="str">
        <f t="shared" si="7"/>
        <v xml:space="preserve">tba (was Christie) </v>
      </c>
      <c r="AD32" s="668" t="s">
        <v>523</v>
      </c>
      <c r="AE32" s="669">
        <f t="shared" si="8"/>
        <v>984.05</v>
      </c>
      <c r="AF32" s="670" t="s">
        <v>525</v>
      </c>
      <c r="AG32" s="669">
        <f t="shared" si="9"/>
        <v>10.25</v>
      </c>
      <c r="AH32" s="670" t="s">
        <v>519</v>
      </c>
      <c r="AI32" s="364">
        <f t="shared" si="10"/>
        <v>7.96</v>
      </c>
      <c r="AJ32" s="364">
        <f t="shared" si="11"/>
        <v>1711.9800000000002</v>
      </c>
      <c r="AK32" s="364">
        <f t="shared" si="12"/>
        <v>22.22</v>
      </c>
      <c r="AL32" s="364">
        <f t="shared" si="13"/>
        <v>7.9899999999999993</v>
      </c>
      <c r="AM32" s="365">
        <f t="shared" si="14"/>
        <v>1002.26</v>
      </c>
      <c r="AN32" s="366">
        <f t="shared" si="15"/>
        <v>1742.1900000000003</v>
      </c>
      <c r="AO32" s="367">
        <f t="shared" si="29"/>
        <v>2744.4500000000003</v>
      </c>
      <c r="AP32" s="368">
        <v>8.7999999999999998E-5</v>
      </c>
      <c r="AQ32" s="369">
        <v>2.0000000000000002E-5</v>
      </c>
      <c r="AR32" s="370">
        <v>2.22E-4</v>
      </c>
      <c r="AS32" s="371">
        <v>3.1E-4</v>
      </c>
      <c r="AT32" s="372">
        <f t="shared" si="16"/>
        <v>364.79999999999995</v>
      </c>
      <c r="AV32" s="373">
        <f t="shared" si="17"/>
        <v>47500</v>
      </c>
      <c r="AW32" s="374">
        <f t="shared" si="33"/>
        <v>0</v>
      </c>
      <c r="AX32" s="375" t="str">
        <f t="shared" si="34"/>
        <v/>
      </c>
      <c r="AY32" s="376">
        <v>41820</v>
      </c>
      <c r="AZ32" s="377">
        <f t="shared" si="35"/>
        <v>-29871</v>
      </c>
      <c r="BA32" s="378">
        <f t="shared" si="36"/>
        <v>29871</v>
      </c>
      <c r="BB32" s="379" t="str">
        <f t="shared" si="37"/>
        <v/>
      </c>
      <c r="BC32" s="379" t="str">
        <f t="shared" si="38"/>
        <v/>
      </c>
      <c r="BD32" s="379">
        <f t="shared" si="39"/>
        <v>0</v>
      </c>
      <c r="BE32" s="379" t="str">
        <f t="shared" si="40"/>
        <v/>
      </c>
      <c r="BF32" s="380" t="str">
        <f t="shared" si="41"/>
        <v/>
      </c>
      <c r="BG32" s="381" t="e">
        <f t="shared" si="42"/>
        <v>#VALUE!</v>
      </c>
      <c r="BO32" s="340"/>
      <c r="BP32" s="340"/>
      <c r="BQ32" s="340"/>
      <c r="BR32" s="340"/>
      <c r="BS32" s="340"/>
      <c r="BT32" s="340"/>
      <c r="BU32" s="340"/>
      <c r="BV32" s="340"/>
      <c r="BW32" s="340"/>
      <c r="BX32" s="340"/>
      <c r="BY32" s="340"/>
      <c r="BZ32" s="340"/>
      <c r="CA32" s="340"/>
      <c r="CB32" s="340"/>
      <c r="CC32" s="340"/>
      <c r="CD32" s="340"/>
      <c r="CE32" s="340"/>
      <c r="CF32" s="340"/>
      <c r="CG32" s="340"/>
      <c r="CH32" s="340"/>
      <c r="CI32" s="340"/>
      <c r="CJ32" s="340"/>
      <c r="CK32" s="340"/>
      <c r="CL32" s="340"/>
      <c r="CM32" s="340"/>
      <c r="CN32" s="340"/>
      <c r="CO32" s="340"/>
      <c r="CP32" s="340"/>
      <c r="CQ32" s="340"/>
      <c r="CR32" s="340"/>
      <c r="CS32" s="340"/>
      <c r="CT32" s="340"/>
      <c r="CU32" s="340"/>
      <c r="CV32" s="340"/>
      <c r="CW32" s="340"/>
      <c r="CX32" s="340"/>
      <c r="CY32" s="340"/>
      <c r="CZ32" s="340"/>
      <c r="DA32" s="340"/>
      <c r="DB32" s="340"/>
      <c r="DC32" s="340"/>
      <c r="DD32" s="340"/>
      <c r="DE32" s="340"/>
      <c r="DF32" s="340"/>
      <c r="DG32" s="340"/>
      <c r="DH32" s="340"/>
      <c r="DI32" s="340"/>
      <c r="DJ32" s="340"/>
      <c r="DK32" s="340"/>
      <c r="DL32" s="340"/>
      <c r="DM32" s="340"/>
      <c r="DN32" s="340"/>
      <c r="DO32" s="340"/>
      <c r="DP32" s="340"/>
      <c r="DQ32" s="340"/>
      <c r="DR32" s="340"/>
      <c r="DS32" s="340"/>
      <c r="DT32" s="340"/>
      <c r="DU32" s="340"/>
      <c r="DV32" s="340"/>
      <c r="DW32" s="340"/>
      <c r="DX32" s="340"/>
      <c r="DY32" s="340"/>
      <c r="DZ32" s="340"/>
      <c r="EA32" s="340"/>
      <c r="EB32" s="340"/>
      <c r="EC32" s="340"/>
      <c r="ED32" s="340"/>
      <c r="EE32" s="340"/>
      <c r="EF32" s="340"/>
      <c r="EG32" s="340"/>
      <c r="EH32" s="340"/>
      <c r="EI32" s="340"/>
      <c r="EJ32" s="340"/>
      <c r="EK32" s="340"/>
      <c r="EL32" s="340"/>
      <c r="EM32" s="340"/>
      <c r="EN32" s="340"/>
      <c r="EO32" s="340"/>
      <c r="EP32" s="340"/>
      <c r="EQ32" s="340"/>
      <c r="ER32" s="340"/>
      <c r="ES32" s="340"/>
      <c r="ET32" s="340"/>
      <c r="EU32" s="340"/>
      <c r="EV32" s="340"/>
      <c r="EW32" s="340"/>
      <c r="EX32" s="340"/>
      <c r="EY32" s="340"/>
      <c r="EZ32" s="340"/>
      <c r="FA32" s="340"/>
      <c r="FB32" s="340"/>
      <c r="FC32" s="340"/>
      <c r="FD32" s="340"/>
      <c r="FE32" s="340"/>
      <c r="FF32" s="340"/>
      <c r="FG32" s="340"/>
      <c r="FH32" s="340"/>
      <c r="FI32" s="340"/>
      <c r="FJ32" s="340"/>
      <c r="FK32" s="340"/>
      <c r="FL32" s="340"/>
      <c r="FM32" s="340"/>
      <c r="FN32" s="340"/>
      <c r="FO32" s="340"/>
      <c r="FP32" s="340"/>
      <c r="FQ32" s="340"/>
      <c r="FR32" s="340"/>
      <c r="FS32" s="340"/>
      <c r="FT32" s="340"/>
      <c r="FU32" s="340"/>
      <c r="FV32" s="340"/>
      <c r="FW32" s="340"/>
      <c r="FX32" s="340"/>
      <c r="FY32" s="340"/>
      <c r="FZ32" s="340"/>
      <c r="GA32" s="340"/>
      <c r="GB32" s="340"/>
      <c r="GC32" s="340"/>
      <c r="GD32" s="340"/>
      <c r="GE32" s="340"/>
      <c r="GF32" s="340"/>
      <c r="GG32" s="340"/>
      <c r="GH32" s="340"/>
      <c r="GI32" s="340"/>
      <c r="GJ32" s="340"/>
      <c r="GK32" s="340"/>
      <c r="GL32" s="340"/>
      <c r="GM32" s="340"/>
      <c r="GN32" s="340"/>
      <c r="GO32" s="340"/>
      <c r="GP32" s="340"/>
      <c r="GQ32" s="340"/>
      <c r="GR32" s="340"/>
      <c r="GS32" s="340"/>
      <c r="GT32" s="340"/>
      <c r="GU32" s="340"/>
      <c r="GV32" s="340"/>
      <c r="GW32" s="340"/>
      <c r="GX32" s="340"/>
      <c r="GY32" s="340"/>
      <c r="GZ32" s="340"/>
      <c r="HA32" s="340"/>
      <c r="HB32" s="340"/>
      <c r="HC32" s="340"/>
      <c r="HD32" s="340"/>
      <c r="HE32" s="340"/>
      <c r="HF32" s="340"/>
      <c r="HG32" s="340"/>
      <c r="HH32" s="340"/>
      <c r="HI32" s="340"/>
      <c r="HJ32" s="340"/>
      <c r="HK32" s="340"/>
      <c r="HL32" s="340"/>
      <c r="HM32" s="340"/>
      <c r="HN32" s="340"/>
      <c r="HO32" s="340"/>
      <c r="HP32" s="340"/>
      <c r="HQ32" s="340"/>
      <c r="HR32" s="340"/>
      <c r="HS32" s="340"/>
      <c r="HT32" s="340"/>
      <c r="HU32" s="340"/>
      <c r="HV32" s="340"/>
      <c r="HW32" s="340"/>
      <c r="HX32" s="340"/>
      <c r="HY32" s="340"/>
      <c r="HZ32" s="340"/>
      <c r="IA32" s="340"/>
      <c r="IB32" s="340"/>
      <c r="IC32" s="340"/>
      <c r="ID32" s="340"/>
      <c r="IE32" s="340"/>
      <c r="IF32" s="340"/>
      <c r="IG32" s="340"/>
      <c r="IH32" s="340"/>
      <c r="II32" s="340"/>
      <c r="IJ32" s="340"/>
      <c r="IK32" s="340"/>
      <c r="IL32" s="340"/>
      <c r="IM32" s="340"/>
      <c r="IN32" s="340"/>
      <c r="IO32" s="340"/>
      <c r="IP32" s="340"/>
      <c r="IQ32" s="340"/>
      <c r="IR32" s="340"/>
      <c r="IS32" s="340"/>
      <c r="IT32" s="340"/>
      <c r="IU32" s="340"/>
      <c r="IV32" s="340"/>
      <c r="IW32" s="340"/>
      <c r="IX32" s="340"/>
      <c r="IY32" s="340"/>
      <c r="IZ32" s="340"/>
      <c r="JA32" s="340"/>
      <c r="JB32" s="340"/>
      <c r="JC32" s="340"/>
      <c r="JD32" s="340"/>
      <c r="JE32" s="340"/>
      <c r="JF32" s="340"/>
      <c r="JG32" s="340"/>
      <c r="JH32" s="340"/>
      <c r="JI32" s="340"/>
      <c r="JJ32" s="340"/>
      <c r="JK32" s="340"/>
      <c r="JL32" s="340"/>
      <c r="JM32" s="340"/>
      <c r="JN32" s="340"/>
      <c r="JO32" s="340"/>
      <c r="JP32" s="340"/>
      <c r="JQ32" s="340"/>
      <c r="JR32" s="340"/>
      <c r="JS32" s="340"/>
      <c r="JT32" s="340"/>
      <c r="JU32" s="340"/>
      <c r="JV32" s="340"/>
      <c r="JW32" s="340"/>
      <c r="JX32" s="340"/>
      <c r="JY32" s="340"/>
      <c r="JZ32" s="340"/>
      <c r="KA32" s="340"/>
      <c r="KB32" s="340"/>
      <c r="KC32" s="340"/>
      <c r="KD32" s="340"/>
      <c r="KE32" s="340"/>
      <c r="KF32" s="340"/>
      <c r="KG32" s="340"/>
      <c r="KH32" s="340"/>
      <c r="KI32" s="340"/>
      <c r="KJ32" s="340"/>
      <c r="KK32" s="340"/>
      <c r="KL32" s="340"/>
      <c r="KM32" s="340"/>
      <c r="KN32" s="340"/>
      <c r="KO32" s="340"/>
      <c r="KP32" s="340"/>
      <c r="KQ32" s="340"/>
      <c r="KR32" s="340"/>
      <c r="KS32" s="340"/>
      <c r="KT32" s="340"/>
      <c r="KU32" s="340"/>
      <c r="KV32" s="340"/>
      <c r="KW32" s="340"/>
      <c r="KX32" s="340"/>
      <c r="KY32" s="340"/>
      <c r="KZ32" s="340"/>
      <c r="LA32" s="340"/>
      <c r="LB32" s="340"/>
      <c r="LC32" s="340"/>
      <c r="LD32" s="340"/>
      <c r="LE32" s="340"/>
      <c r="LF32" s="340"/>
      <c r="LG32" s="340"/>
      <c r="LH32" s="340"/>
      <c r="LI32" s="340"/>
      <c r="LJ32" s="340"/>
      <c r="LK32" s="340"/>
      <c r="LL32" s="340"/>
      <c r="LM32" s="340"/>
      <c r="LN32" s="340"/>
      <c r="LO32" s="340"/>
      <c r="LP32" s="340"/>
      <c r="LQ32" s="340"/>
      <c r="LR32" s="340"/>
      <c r="LS32" s="340"/>
      <c r="LT32" s="340"/>
      <c r="LU32" s="340"/>
      <c r="LV32" s="340"/>
      <c r="LW32" s="340"/>
      <c r="LX32" s="340"/>
      <c r="LY32" s="340"/>
      <c r="LZ32" s="340"/>
      <c r="MA32" s="340"/>
      <c r="MB32" s="340"/>
      <c r="MC32" s="340"/>
      <c r="MD32" s="340"/>
      <c r="ME32" s="340"/>
      <c r="MF32" s="340"/>
      <c r="MG32" s="340"/>
      <c r="MH32" s="340"/>
      <c r="MI32" s="340"/>
      <c r="MJ32" s="340"/>
      <c r="MK32" s="340"/>
      <c r="ML32" s="340"/>
      <c r="MM32" s="340"/>
      <c r="MN32" s="340"/>
      <c r="MO32" s="340"/>
      <c r="MP32" s="340"/>
      <c r="MQ32" s="340"/>
      <c r="MR32" s="340"/>
      <c r="MS32" s="340"/>
      <c r="MT32" s="340"/>
      <c r="MU32" s="340"/>
      <c r="MV32" s="340"/>
      <c r="MW32" s="340"/>
      <c r="MX32" s="340"/>
      <c r="MY32" s="340"/>
      <c r="MZ32" s="340"/>
      <c r="NA32" s="340"/>
      <c r="NB32" s="340"/>
      <c r="NC32" s="340"/>
      <c r="ND32" s="340"/>
      <c r="NE32" s="340"/>
      <c r="NF32" s="340"/>
      <c r="NG32" s="340"/>
      <c r="NH32" s="340"/>
      <c r="NI32" s="340"/>
      <c r="NJ32" s="340"/>
      <c r="NK32" s="340"/>
      <c r="NL32" s="340"/>
      <c r="NM32" s="340"/>
      <c r="NN32" s="340"/>
      <c r="NO32" s="340"/>
      <c r="NP32" s="340"/>
      <c r="NQ32" s="340"/>
      <c r="NR32" s="340"/>
      <c r="NS32" s="340"/>
      <c r="NT32" s="340"/>
      <c r="NU32" s="340"/>
      <c r="NV32" s="340"/>
      <c r="NW32" s="340"/>
      <c r="NX32" s="340"/>
      <c r="NY32" s="340"/>
      <c r="NZ32" s="340"/>
      <c r="OA32" s="340"/>
      <c r="OB32" s="340"/>
      <c r="OC32" s="340"/>
      <c r="OD32" s="340"/>
      <c r="OE32" s="340"/>
      <c r="OF32" s="340"/>
      <c r="OG32" s="340"/>
      <c r="OH32" s="340"/>
      <c r="OI32" s="340"/>
      <c r="OJ32" s="340"/>
      <c r="OK32" s="340"/>
      <c r="OL32" s="340"/>
      <c r="OM32" s="340"/>
      <c r="ON32" s="340"/>
      <c r="OO32" s="340"/>
      <c r="OP32" s="340"/>
      <c r="OQ32" s="340"/>
      <c r="OR32" s="340"/>
      <c r="OS32" s="340"/>
      <c r="OT32" s="340"/>
      <c r="OU32" s="340"/>
      <c r="OV32" s="340"/>
      <c r="OW32" s="340"/>
      <c r="OX32" s="340"/>
      <c r="OY32" s="340"/>
      <c r="OZ32" s="340"/>
      <c r="PA32" s="340"/>
      <c r="PB32" s="340"/>
      <c r="PC32" s="340"/>
      <c r="PD32" s="340"/>
      <c r="PE32" s="340"/>
      <c r="PF32" s="340"/>
      <c r="PG32" s="340"/>
      <c r="PH32" s="340"/>
      <c r="PI32" s="340"/>
      <c r="PJ32" s="340"/>
      <c r="PK32" s="340"/>
      <c r="PL32" s="340"/>
      <c r="PM32" s="340"/>
      <c r="PN32" s="340"/>
      <c r="PO32" s="340"/>
      <c r="PP32" s="340"/>
      <c r="PQ32" s="340"/>
      <c r="PR32" s="340"/>
      <c r="PS32" s="340"/>
      <c r="PT32" s="340"/>
      <c r="PU32" s="340"/>
      <c r="PV32" s="340"/>
      <c r="PW32" s="340"/>
      <c r="PX32" s="340"/>
      <c r="PY32" s="340"/>
      <c r="PZ32" s="340"/>
      <c r="QA32" s="340"/>
      <c r="QB32" s="340"/>
      <c r="QC32" s="340"/>
      <c r="QD32" s="340"/>
      <c r="QE32" s="340"/>
      <c r="QF32" s="340"/>
      <c r="QG32" s="340"/>
      <c r="QH32" s="340"/>
      <c r="QI32" s="340"/>
      <c r="QJ32" s="340"/>
      <c r="QK32" s="340"/>
      <c r="QL32" s="340"/>
      <c r="QM32" s="340"/>
      <c r="QN32" s="340"/>
      <c r="QO32" s="340"/>
      <c r="QP32" s="340"/>
      <c r="QQ32" s="340"/>
      <c r="QR32" s="340"/>
      <c r="QS32" s="340"/>
      <c r="QT32" s="340"/>
      <c r="QU32" s="340"/>
      <c r="QV32" s="340"/>
      <c r="QW32" s="340"/>
      <c r="QX32" s="340"/>
      <c r="QY32" s="340"/>
      <c r="QZ32" s="340"/>
      <c r="RA32" s="340"/>
      <c r="RB32" s="340"/>
      <c r="RC32" s="340"/>
      <c r="RD32" s="340"/>
      <c r="RE32" s="340"/>
      <c r="RF32" s="340"/>
      <c r="RG32" s="340"/>
      <c r="RH32" s="340"/>
      <c r="RI32" s="340"/>
      <c r="RJ32" s="340"/>
      <c r="RK32" s="340"/>
      <c r="RL32" s="340"/>
      <c r="RM32" s="340"/>
      <c r="RN32" s="340"/>
      <c r="RO32" s="340"/>
      <c r="RP32" s="340"/>
      <c r="RQ32" s="340"/>
      <c r="RR32" s="340"/>
      <c r="RS32" s="340"/>
      <c r="RT32" s="340"/>
      <c r="RU32" s="340"/>
      <c r="RV32" s="340"/>
      <c r="RW32" s="340"/>
      <c r="RX32" s="340"/>
      <c r="RY32" s="340"/>
      <c r="RZ32" s="340"/>
      <c r="SA32" s="340"/>
      <c r="SB32" s="340"/>
      <c r="SC32" s="340"/>
      <c r="SD32" s="340"/>
      <c r="SE32" s="340"/>
      <c r="SF32" s="340"/>
      <c r="SG32" s="340"/>
      <c r="SH32" s="340"/>
      <c r="SI32" s="340"/>
      <c r="SJ32" s="340"/>
      <c r="SK32" s="340"/>
      <c r="SL32" s="340"/>
      <c r="SM32" s="340"/>
      <c r="SN32" s="340"/>
      <c r="SO32" s="340"/>
      <c r="SP32" s="340"/>
      <c r="SQ32" s="340"/>
      <c r="SR32" s="340"/>
      <c r="SS32" s="340"/>
      <c r="ST32" s="340"/>
      <c r="SU32" s="340"/>
      <c r="SV32" s="340"/>
      <c r="SW32" s="340"/>
      <c r="SX32" s="340"/>
      <c r="SY32" s="340"/>
      <c r="SZ32" s="340"/>
      <c r="TA32" s="340"/>
      <c r="TB32" s="340"/>
      <c r="TC32" s="340"/>
      <c r="TD32" s="340"/>
      <c r="TE32" s="340"/>
      <c r="TF32" s="340"/>
      <c r="TG32" s="340"/>
      <c r="TH32" s="340"/>
      <c r="TI32" s="340"/>
      <c r="TJ32" s="340"/>
      <c r="TK32" s="340"/>
      <c r="TL32" s="340"/>
      <c r="TM32" s="340"/>
      <c r="TN32" s="340"/>
      <c r="TO32" s="340"/>
      <c r="TP32" s="340"/>
      <c r="TQ32" s="340"/>
      <c r="TR32" s="340"/>
      <c r="TS32" s="340"/>
      <c r="TT32" s="340"/>
      <c r="TU32" s="340"/>
      <c r="TV32" s="340"/>
      <c r="TW32" s="340"/>
      <c r="TX32" s="340"/>
      <c r="TY32" s="340"/>
      <c r="TZ32" s="340"/>
      <c r="UA32" s="340"/>
      <c r="UB32" s="340"/>
      <c r="UC32" s="340"/>
      <c r="UD32" s="340"/>
      <c r="UE32" s="340"/>
      <c r="UF32" s="340"/>
      <c r="UG32" s="340"/>
      <c r="UH32" s="340"/>
      <c r="UI32" s="340"/>
      <c r="UJ32" s="340"/>
      <c r="UK32" s="340"/>
      <c r="UL32" s="340"/>
      <c r="UM32" s="340"/>
      <c r="UN32" s="340"/>
      <c r="UO32" s="340"/>
      <c r="UP32" s="340"/>
      <c r="UQ32" s="340"/>
      <c r="UR32" s="340"/>
      <c r="US32" s="340"/>
      <c r="UT32" s="340"/>
      <c r="UU32" s="340"/>
      <c r="UV32" s="340"/>
      <c r="UW32" s="340"/>
      <c r="UX32" s="340"/>
      <c r="UY32" s="340"/>
      <c r="UZ32" s="340"/>
      <c r="VA32" s="340"/>
      <c r="VB32" s="340"/>
      <c r="VC32" s="340"/>
      <c r="VD32" s="340"/>
      <c r="VE32" s="340"/>
      <c r="VF32" s="340"/>
      <c r="VG32" s="340"/>
      <c r="VH32" s="340"/>
      <c r="VI32" s="340"/>
      <c r="VJ32" s="340"/>
      <c r="VK32" s="340"/>
      <c r="VL32" s="340"/>
      <c r="VM32" s="340"/>
      <c r="VN32" s="340"/>
      <c r="VO32" s="340"/>
      <c r="VP32" s="340"/>
      <c r="VQ32" s="340"/>
      <c r="VR32" s="340"/>
      <c r="VS32" s="340"/>
      <c r="VT32" s="340"/>
      <c r="VU32" s="340"/>
      <c r="VV32" s="340"/>
      <c r="VW32" s="340"/>
      <c r="VX32" s="340"/>
      <c r="VY32" s="340"/>
      <c r="VZ32" s="340"/>
      <c r="WA32" s="340"/>
      <c r="WB32" s="340"/>
      <c r="WC32" s="340"/>
      <c r="WD32" s="340"/>
      <c r="WE32" s="340"/>
      <c r="WF32" s="340"/>
      <c r="WG32" s="340"/>
      <c r="WH32" s="340"/>
      <c r="WI32" s="340"/>
      <c r="WJ32" s="340"/>
      <c r="WK32" s="340"/>
      <c r="WL32" s="340"/>
      <c r="WM32" s="340"/>
      <c r="WN32" s="340"/>
      <c r="WO32" s="340"/>
      <c r="WP32" s="340"/>
      <c r="WQ32" s="340"/>
      <c r="WR32" s="340"/>
      <c r="WS32" s="340"/>
      <c r="WT32" s="340"/>
      <c r="WU32" s="340"/>
      <c r="WV32" s="340"/>
      <c r="WW32" s="340"/>
      <c r="WX32" s="340"/>
      <c r="WY32" s="340"/>
      <c r="WZ32" s="340"/>
      <c r="XA32" s="340"/>
      <c r="XB32" s="340"/>
      <c r="XC32" s="340"/>
      <c r="XD32" s="340"/>
      <c r="XE32" s="340"/>
      <c r="XF32" s="340"/>
      <c r="XG32" s="340"/>
      <c r="XH32" s="340"/>
      <c r="XI32" s="340"/>
      <c r="XJ32" s="340"/>
      <c r="XK32" s="340"/>
      <c r="XL32" s="340"/>
      <c r="XM32" s="340"/>
      <c r="XN32" s="340"/>
      <c r="XO32" s="340"/>
      <c r="XP32" s="340"/>
      <c r="XQ32" s="340"/>
      <c r="XR32" s="340"/>
      <c r="XS32" s="340"/>
      <c r="XT32" s="340"/>
      <c r="XU32" s="340"/>
      <c r="XV32" s="340"/>
      <c r="XW32" s="340"/>
      <c r="XX32" s="340"/>
      <c r="XY32" s="340"/>
      <c r="XZ32" s="340"/>
      <c r="YA32" s="340"/>
      <c r="YB32" s="340"/>
      <c r="YC32" s="340"/>
      <c r="YD32" s="340"/>
      <c r="YE32" s="340"/>
      <c r="YF32" s="340"/>
      <c r="YG32" s="340"/>
      <c r="YH32" s="340"/>
      <c r="YI32" s="340"/>
      <c r="YJ32" s="340"/>
      <c r="YK32" s="340"/>
      <c r="YL32" s="340"/>
      <c r="YM32" s="340"/>
      <c r="YN32" s="340"/>
      <c r="YO32" s="340"/>
      <c r="YP32" s="340"/>
      <c r="YQ32" s="340"/>
      <c r="YR32" s="340"/>
      <c r="YS32" s="340"/>
      <c r="YT32" s="340"/>
      <c r="YU32" s="340"/>
      <c r="YV32" s="340"/>
      <c r="YW32" s="340"/>
      <c r="YX32" s="340"/>
      <c r="YY32" s="340"/>
      <c r="YZ32" s="340"/>
      <c r="ZA32" s="340"/>
      <c r="ZB32" s="340"/>
      <c r="ZC32" s="340"/>
      <c r="ZD32" s="340"/>
      <c r="ZE32" s="340"/>
      <c r="ZF32" s="340"/>
      <c r="ZG32" s="340"/>
      <c r="ZH32" s="340"/>
      <c r="ZI32" s="340"/>
      <c r="ZJ32" s="340"/>
      <c r="ZK32" s="340"/>
      <c r="ZL32" s="340"/>
      <c r="ZM32" s="340"/>
      <c r="ZN32" s="340"/>
      <c r="ZO32" s="340"/>
      <c r="ZP32" s="340"/>
      <c r="ZQ32" s="340"/>
      <c r="ZR32" s="340"/>
      <c r="ZS32" s="340"/>
      <c r="ZT32" s="340"/>
      <c r="ZU32" s="340"/>
      <c r="ZV32" s="340"/>
      <c r="ZW32" s="340"/>
      <c r="ZX32" s="340"/>
      <c r="ZY32" s="340"/>
      <c r="ZZ32" s="340"/>
      <c r="AAA32" s="340"/>
      <c r="AAB32" s="340"/>
      <c r="AAC32" s="340"/>
      <c r="AAD32" s="340"/>
      <c r="AAE32" s="340"/>
      <c r="AAF32" s="340"/>
      <c r="AAG32" s="340"/>
      <c r="AAH32" s="340"/>
      <c r="AAI32" s="340"/>
      <c r="AAJ32" s="340"/>
      <c r="AAK32" s="340"/>
      <c r="AAL32" s="340"/>
      <c r="AAM32" s="340"/>
      <c r="AAN32" s="340"/>
      <c r="AAO32" s="340"/>
      <c r="AAP32" s="340"/>
      <c r="AAQ32" s="340"/>
      <c r="AAR32" s="340"/>
      <c r="AAS32" s="340"/>
      <c r="AAT32" s="340"/>
      <c r="AAU32" s="340"/>
      <c r="AAV32" s="340"/>
      <c r="AAW32" s="340"/>
      <c r="AAX32" s="340"/>
      <c r="AAY32" s="340"/>
      <c r="AAZ32" s="340"/>
      <c r="ABA32" s="340"/>
      <c r="ABB32" s="340"/>
      <c r="ABC32" s="340"/>
      <c r="ABD32" s="340"/>
      <c r="ABE32" s="340"/>
      <c r="ABF32" s="340"/>
      <c r="ABG32" s="340"/>
      <c r="ABH32" s="340"/>
      <c r="ABI32" s="340"/>
      <c r="ABJ32" s="340"/>
      <c r="ABK32" s="340"/>
      <c r="ABL32" s="340"/>
      <c r="ABM32" s="340"/>
      <c r="ABN32" s="340"/>
      <c r="ABO32" s="340"/>
      <c r="ABP32" s="340"/>
      <c r="ABQ32" s="340"/>
      <c r="ABR32" s="340"/>
      <c r="ABS32" s="340"/>
      <c r="ABT32" s="340"/>
      <c r="ABU32" s="340"/>
      <c r="ABV32" s="340"/>
      <c r="ABW32" s="340"/>
      <c r="ABX32" s="340"/>
      <c r="ABY32" s="340"/>
      <c r="ABZ32" s="340"/>
      <c r="ACA32" s="340"/>
      <c r="ACB32" s="340"/>
      <c r="ACC32" s="340"/>
      <c r="ACD32" s="340"/>
      <c r="ACE32" s="340"/>
      <c r="ACF32" s="340"/>
      <c r="ACG32" s="340"/>
      <c r="ACH32" s="340"/>
      <c r="ACI32" s="340"/>
      <c r="ACJ32" s="340"/>
      <c r="ACK32" s="340"/>
      <c r="ACL32" s="340"/>
      <c r="ACM32" s="340"/>
      <c r="ACN32" s="340"/>
      <c r="ACO32" s="340"/>
      <c r="ACP32" s="340"/>
      <c r="ACQ32" s="340"/>
      <c r="ACR32" s="340"/>
      <c r="ACS32" s="340"/>
      <c r="ACT32" s="340"/>
      <c r="ACU32" s="340"/>
      <c r="ACV32" s="340"/>
      <c r="ACW32" s="340"/>
      <c r="ACX32" s="340"/>
      <c r="ACY32" s="340"/>
      <c r="ACZ32" s="340"/>
      <c r="ADA32" s="340"/>
      <c r="ADB32" s="340"/>
      <c r="ADC32" s="340"/>
      <c r="ADD32" s="340"/>
      <c r="ADE32" s="340"/>
      <c r="ADF32" s="340"/>
      <c r="ADG32" s="340"/>
      <c r="ADH32" s="340"/>
      <c r="ADI32" s="340"/>
      <c r="ADJ32" s="340"/>
      <c r="ADK32" s="340"/>
      <c r="ADL32" s="340"/>
      <c r="ADM32" s="340"/>
      <c r="ADN32" s="340"/>
      <c r="ADO32" s="340"/>
      <c r="ADP32" s="340"/>
      <c r="ADQ32" s="340"/>
      <c r="ADR32" s="340"/>
      <c r="ADS32" s="340"/>
      <c r="ADT32" s="340"/>
      <c r="ADU32" s="340"/>
      <c r="ADV32" s="340"/>
      <c r="ADW32" s="340"/>
      <c r="ADX32" s="340"/>
      <c r="ADY32" s="340"/>
      <c r="ADZ32" s="340"/>
      <c r="AEA32" s="340"/>
      <c r="AEB32" s="340"/>
      <c r="AEC32" s="340"/>
      <c r="AED32" s="340"/>
      <c r="AEE32" s="340"/>
      <c r="AEF32" s="340"/>
      <c r="AEG32" s="340"/>
      <c r="AEH32" s="340"/>
      <c r="AEI32" s="340"/>
      <c r="AEJ32" s="340"/>
      <c r="AEK32" s="340"/>
      <c r="AEL32" s="340"/>
      <c r="AEM32" s="340"/>
      <c r="AEN32" s="340"/>
      <c r="AEO32" s="340"/>
      <c r="AEP32" s="340"/>
      <c r="AEQ32" s="340"/>
      <c r="AER32" s="340"/>
      <c r="AES32" s="340"/>
      <c r="AET32" s="340"/>
      <c r="AEU32" s="340"/>
      <c r="AEV32" s="340"/>
      <c r="AEW32" s="340"/>
      <c r="AEX32" s="340"/>
      <c r="AEY32" s="340"/>
      <c r="AEZ32" s="340"/>
      <c r="AFA32" s="340"/>
      <c r="AFB32" s="340"/>
      <c r="AFC32" s="340"/>
      <c r="AFD32" s="340"/>
      <c r="AFE32" s="340"/>
      <c r="AFF32" s="340"/>
      <c r="AFG32" s="340"/>
      <c r="AFH32" s="340"/>
      <c r="AFI32" s="340"/>
      <c r="AFJ32" s="340"/>
      <c r="AFK32" s="340"/>
      <c r="AFL32" s="340"/>
      <c r="AFM32" s="340"/>
      <c r="AFN32" s="340"/>
      <c r="AFO32" s="340"/>
      <c r="AFP32" s="340"/>
      <c r="AFQ32" s="340"/>
      <c r="AFR32" s="340"/>
      <c r="AFS32" s="340"/>
      <c r="AFT32" s="340"/>
      <c r="AFU32" s="340"/>
      <c r="AFV32" s="340"/>
      <c r="AFW32" s="340"/>
      <c r="AFX32" s="340"/>
      <c r="AFY32" s="340"/>
      <c r="AFZ32" s="340"/>
      <c r="AGA32" s="340"/>
      <c r="AGB32" s="340"/>
      <c r="AGC32" s="340"/>
      <c r="AGD32" s="340"/>
      <c r="AGE32" s="340"/>
      <c r="AGF32" s="340"/>
      <c r="AGG32" s="340"/>
      <c r="AGH32" s="340"/>
      <c r="AGI32" s="340"/>
      <c r="AGJ32" s="340"/>
      <c r="AGK32" s="340"/>
      <c r="AGL32" s="340"/>
      <c r="AGM32" s="340"/>
      <c r="AGN32" s="340"/>
      <c r="AGO32" s="340"/>
      <c r="AGP32" s="340"/>
      <c r="AGQ32" s="340"/>
      <c r="AGR32" s="340"/>
      <c r="AGS32" s="340"/>
      <c r="AGT32" s="340"/>
      <c r="AGU32" s="340"/>
      <c r="AGV32" s="340"/>
      <c r="AGW32" s="340"/>
      <c r="AGX32" s="340"/>
      <c r="AGY32" s="340"/>
      <c r="AGZ32" s="340"/>
      <c r="AHA32" s="340"/>
      <c r="AHB32" s="340"/>
      <c r="AHC32" s="340"/>
      <c r="AHD32" s="340"/>
      <c r="AHE32" s="340"/>
      <c r="AHF32" s="340"/>
      <c r="AHG32" s="340"/>
      <c r="AHH32" s="340"/>
      <c r="AHI32" s="340"/>
      <c r="AHJ32" s="340"/>
      <c r="AHK32" s="340"/>
      <c r="AHL32" s="340"/>
      <c r="AHM32" s="340"/>
      <c r="AHN32" s="340"/>
      <c r="AHO32" s="340"/>
      <c r="AHP32" s="340"/>
      <c r="AHQ32" s="340"/>
      <c r="AHR32" s="340"/>
      <c r="AHS32" s="340"/>
      <c r="AHT32" s="340"/>
      <c r="AHU32" s="340"/>
      <c r="AHV32" s="340"/>
      <c r="AHW32" s="340"/>
      <c r="AHX32" s="340"/>
      <c r="AHY32" s="340"/>
      <c r="AHZ32" s="340"/>
      <c r="AIA32" s="340"/>
      <c r="AIB32" s="340"/>
      <c r="AIC32" s="340"/>
      <c r="AID32" s="340"/>
      <c r="AIE32" s="340"/>
      <c r="AIF32" s="340"/>
      <c r="AIG32" s="340"/>
      <c r="AIH32" s="340"/>
      <c r="AII32" s="340"/>
      <c r="AIJ32" s="340"/>
      <c r="AIK32" s="340"/>
      <c r="AIL32" s="340"/>
      <c r="AIM32" s="340"/>
      <c r="AIN32" s="340"/>
      <c r="AIO32" s="340"/>
      <c r="AIP32" s="340"/>
      <c r="AIQ32" s="340"/>
      <c r="AIR32" s="340"/>
      <c r="AIS32" s="340"/>
      <c r="AIT32" s="340"/>
      <c r="AIU32" s="340"/>
      <c r="AIV32" s="340"/>
      <c r="AIW32" s="340"/>
      <c r="AIX32" s="340"/>
      <c r="AIY32" s="340"/>
      <c r="AIZ32" s="340"/>
      <c r="AJA32" s="340"/>
      <c r="AJB32" s="340"/>
      <c r="AJC32" s="340"/>
      <c r="AJD32" s="340"/>
      <c r="AJE32" s="340"/>
      <c r="AJF32" s="340"/>
      <c r="AJG32" s="340"/>
      <c r="AJH32" s="340"/>
      <c r="AJI32" s="340"/>
      <c r="AJJ32" s="340"/>
      <c r="AJK32" s="340"/>
      <c r="AJL32" s="340"/>
      <c r="AJM32" s="340"/>
      <c r="AJN32" s="340"/>
      <c r="AJO32" s="340"/>
      <c r="AJP32" s="340"/>
      <c r="AJQ32" s="340"/>
      <c r="AJR32" s="340"/>
      <c r="AJS32" s="340"/>
      <c r="AJT32" s="340"/>
      <c r="AJU32" s="340"/>
      <c r="AJV32" s="340"/>
      <c r="AJW32" s="340"/>
      <c r="AJX32" s="340"/>
      <c r="AJY32" s="340"/>
      <c r="AJZ32" s="340"/>
      <c r="AKA32" s="340"/>
      <c r="AKB32" s="340"/>
      <c r="AKC32" s="340"/>
      <c r="AKD32" s="340"/>
      <c r="AKE32" s="340"/>
      <c r="AKF32" s="340"/>
      <c r="AKG32" s="340"/>
      <c r="AKH32" s="340"/>
      <c r="AKI32" s="340"/>
      <c r="AKJ32" s="340"/>
      <c r="AKK32" s="340"/>
      <c r="AKL32" s="340"/>
      <c r="AKM32" s="340"/>
      <c r="AKN32" s="340"/>
      <c r="AKO32" s="340"/>
      <c r="AKP32" s="340"/>
      <c r="AKQ32" s="340"/>
      <c r="AKR32" s="340"/>
      <c r="AKS32" s="340"/>
      <c r="AKT32" s="340"/>
      <c r="AKU32" s="340"/>
      <c r="AKV32" s="340"/>
      <c r="AKW32" s="340"/>
      <c r="AKX32" s="340"/>
      <c r="AKY32" s="340"/>
      <c r="AKZ32" s="340"/>
      <c r="ALA32" s="340"/>
      <c r="ALB32" s="340"/>
      <c r="ALC32" s="340"/>
      <c r="ALD32" s="340"/>
      <c r="ALE32" s="340"/>
      <c r="ALF32" s="340"/>
      <c r="ALG32" s="340"/>
      <c r="ALH32" s="340"/>
      <c r="ALI32" s="340"/>
      <c r="ALJ32" s="340"/>
      <c r="ALK32" s="340"/>
      <c r="ALL32" s="340"/>
      <c r="ALM32" s="340"/>
      <c r="ALN32" s="340"/>
      <c r="ALO32" s="340"/>
      <c r="ALP32" s="340"/>
      <c r="ALQ32" s="340"/>
      <c r="ALR32" s="340"/>
      <c r="ALS32" s="340"/>
      <c r="ALT32" s="340"/>
      <c r="ALU32" s="340"/>
      <c r="ALV32" s="340"/>
      <c r="ALW32" s="340"/>
      <c r="ALX32" s="340"/>
      <c r="ALY32" s="340"/>
      <c r="ALZ32" s="340"/>
      <c r="AMA32" s="340"/>
      <c r="AMB32" s="340"/>
      <c r="AMC32" s="340"/>
      <c r="AMD32" s="340"/>
      <c r="AME32" s="340"/>
      <c r="AMF32" s="340"/>
      <c r="AMG32" s="340"/>
      <c r="AMH32" s="340"/>
      <c r="AMI32" s="340"/>
      <c r="AMJ32" s="340"/>
      <c r="AMK32" s="340"/>
      <c r="AML32" s="340"/>
      <c r="AMM32" s="340"/>
      <c r="AMN32" s="340"/>
      <c r="AMO32" s="340"/>
      <c r="AMP32" s="340"/>
      <c r="AMQ32" s="340"/>
      <c r="AMR32" s="340"/>
      <c r="AMS32" s="340"/>
      <c r="AMT32" s="340"/>
      <c r="AMU32" s="340"/>
      <c r="AMV32" s="340"/>
      <c r="AMW32" s="340"/>
      <c r="AMX32" s="340"/>
      <c r="AMY32" s="340"/>
      <c r="AMZ32" s="340"/>
      <c r="ANA32" s="340"/>
      <c r="ANB32" s="340"/>
      <c r="ANC32" s="340"/>
      <c r="AND32" s="340"/>
      <c r="ANE32" s="340"/>
      <c r="ANF32" s="340"/>
      <c r="ANG32" s="340"/>
      <c r="ANH32" s="340"/>
      <c r="ANI32" s="340"/>
      <c r="ANJ32" s="340"/>
      <c r="ANK32" s="340"/>
      <c r="ANL32" s="340"/>
      <c r="ANM32" s="340"/>
      <c r="ANN32" s="340"/>
      <c r="ANO32" s="340"/>
      <c r="ANP32" s="340"/>
      <c r="ANQ32" s="340"/>
      <c r="ANR32" s="340"/>
      <c r="ANS32" s="340"/>
      <c r="ANT32" s="340"/>
      <c r="ANU32" s="340"/>
      <c r="ANV32" s="340"/>
      <c r="ANW32" s="340"/>
      <c r="ANX32" s="340"/>
      <c r="ANY32" s="340"/>
      <c r="ANZ32" s="340"/>
      <c r="AOA32" s="340"/>
      <c r="AOB32" s="340"/>
      <c r="AOC32" s="340"/>
      <c r="AOD32" s="340"/>
      <c r="AOE32" s="340"/>
      <c r="AOF32" s="340"/>
      <c r="AOG32" s="340"/>
      <c r="AOH32" s="340"/>
      <c r="AOI32" s="340"/>
      <c r="AOJ32" s="340"/>
      <c r="AOK32" s="340"/>
      <c r="AOL32" s="340"/>
      <c r="AOM32" s="340"/>
      <c r="AON32" s="340"/>
      <c r="AOO32" s="340"/>
      <c r="AOP32" s="340"/>
      <c r="AOQ32" s="340"/>
      <c r="AOR32" s="340"/>
      <c r="AOS32" s="340"/>
      <c r="AOT32" s="340"/>
      <c r="AOU32" s="340"/>
      <c r="AOV32" s="340"/>
      <c r="AOW32" s="340"/>
      <c r="AOX32" s="340"/>
      <c r="AOY32" s="340"/>
      <c r="AOZ32" s="340"/>
      <c r="APA32" s="340"/>
      <c r="APB32" s="340"/>
      <c r="APC32" s="340"/>
      <c r="APD32" s="340"/>
      <c r="APE32" s="340"/>
      <c r="APF32" s="340"/>
      <c r="APG32" s="340"/>
      <c r="APH32" s="340"/>
      <c r="API32" s="340"/>
      <c r="APJ32" s="340"/>
      <c r="APK32" s="340"/>
      <c r="APL32" s="340"/>
      <c r="APM32" s="340"/>
      <c r="APN32" s="340"/>
      <c r="APO32" s="340"/>
      <c r="APP32" s="340"/>
      <c r="APQ32" s="340"/>
      <c r="APR32" s="340"/>
      <c r="APS32" s="340"/>
      <c r="APT32" s="340"/>
      <c r="APU32" s="340"/>
      <c r="APV32" s="340"/>
      <c r="APW32" s="340"/>
      <c r="APX32" s="340"/>
      <c r="APY32" s="340"/>
      <c r="APZ32" s="340"/>
      <c r="AQA32" s="340"/>
      <c r="AQB32" s="340"/>
      <c r="AQC32" s="340"/>
      <c r="AQD32" s="340"/>
      <c r="AQE32" s="340"/>
      <c r="AQF32" s="340"/>
      <c r="AQG32" s="340"/>
      <c r="AQH32" s="340"/>
      <c r="AQI32" s="340"/>
      <c r="AQJ32" s="340"/>
      <c r="AQK32" s="340"/>
      <c r="AQL32" s="340"/>
      <c r="AQM32" s="340"/>
      <c r="AQN32" s="340"/>
      <c r="AQO32" s="340"/>
      <c r="AQP32" s="340"/>
      <c r="AQQ32" s="340"/>
      <c r="AQR32" s="340"/>
      <c r="AQS32" s="340"/>
      <c r="AQT32" s="340"/>
      <c r="AQU32" s="340"/>
      <c r="AQV32" s="340"/>
      <c r="AQW32" s="340"/>
      <c r="AQX32" s="340"/>
      <c r="AQY32" s="340"/>
      <c r="AQZ32" s="340"/>
      <c r="ARA32" s="340"/>
      <c r="ARB32" s="340"/>
      <c r="ARC32" s="340"/>
      <c r="ARD32" s="340"/>
      <c r="ARE32" s="340"/>
      <c r="ARF32" s="340"/>
      <c r="ARG32" s="340"/>
      <c r="ARH32" s="340"/>
      <c r="ARI32" s="340"/>
      <c r="ARJ32" s="340"/>
      <c r="ARK32" s="340"/>
      <c r="ARL32" s="340"/>
      <c r="ARM32" s="340"/>
      <c r="ARN32" s="340"/>
      <c r="ARO32" s="340"/>
      <c r="ARP32" s="340"/>
      <c r="ARQ32" s="340"/>
      <c r="ARR32" s="340"/>
      <c r="ARS32" s="340"/>
      <c r="ART32" s="340"/>
      <c r="ARU32" s="340"/>
      <c r="ARV32" s="340"/>
      <c r="ARW32" s="340"/>
      <c r="ARX32" s="340"/>
      <c r="ARY32" s="340"/>
      <c r="ARZ32" s="340"/>
      <c r="ASA32" s="340"/>
      <c r="ASB32" s="340"/>
      <c r="ASC32" s="340"/>
      <c r="ASD32" s="340"/>
      <c r="ASE32" s="340"/>
      <c r="ASF32" s="340"/>
      <c r="ASG32" s="340"/>
      <c r="ASH32" s="340"/>
      <c r="ASI32" s="340"/>
      <c r="ASJ32" s="340"/>
      <c r="ASK32" s="340"/>
      <c r="ASL32" s="340"/>
      <c r="ASM32" s="340"/>
      <c r="ASN32" s="340"/>
      <c r="ASO32" s="340"/>
      <c r="ASP32" s="340"/>
      <c r="ASQ32" s="340"/>
      <c r="ASR32" s="340"/>
      <c r="ASS32" s="340"/>
      <c r="AST32" s="340"/>
      <c r="ASU32" s="340"/>
      <c r="ASV32" s="340"/>
      <c r="ASW32" s="340"/>
      <c r="ASX32" s="340"/>
      <c r="ASY32" s="340"/>
      <c r="ASZ32" s="340"/>
      <c r="ATA32" s="340"/>
      <c r="ATB32" s="340"/>
      <c r="ATC32" s="340"/>
      <c r="ATD32" s="340"/>
      <c r="ATE32" s="340"/>
      <c r="ATF32" s="340"/>
      <c r="ATG32" s="340"/>
      <c r="ATH32" s="340"/>
      <c r="ATI32" s="340"/>
      <c r="ATJ32" s="340"/>
      <c r="ATK32" s="340"/>
      <c r="ATL32" s="340"/>
      <c r="ATM32" s="340"/>
      <c r="ATN32" s="340"/>
      <c r="ATO32" s="340"/>
      <c r="ATP32" s="340"/>
      <c r="ATQ32" s="340"/>
      <c r="ATR32" s="340"/>
      <c r="ATS32" s="340"/>
      <c r="ATT32" s="340"/>
      <c r="ATU32" s="340"/>
      <c r="ATV32" s="340"/>
      <c r="ATW32" s="340"/>
      <c r="ATX32" s="340"/>
      <c r="ATY32" s="340"/>
      <c r="ATZ32" s="340"/>
      <c r="AUA32" s="340"/>
      <c r="AUB32" s="340"/>
      <c r="AUC32" s="340"/>
      <c r="AUD32" s="340"/>
      <c r="AUE32" s="340"/>
      <c r="AUF32" s="340"/>
      <c r="AUG32" s="340"/>
      <c r="AUH32" s="340"/>
      <c r="AUI32" s="340"/>
      <c r="AUJ32" s="340"/>
      <c r="AUK32" s="340"/>
      <c r="AUL32" s="340"/>
      <c r="AUM32" s="340"/>
      <c r="AUN32" s="340"/>
      <c r="AUO32" s="340"/>
      <c r="AUP32" s="340"/>
      <c r="AUQ32" s="340"/>
      <c r="AUR32" s="340"/>
      <c r="AUS32" s="340"/>
      <c r="AUT32" s="340"/>
      <c r="AUU32" s="340"/>
      <c r="AUV32" s="340"/>
      <c r="AUW32" s="340"/>
      <c r="AUX32" s="340"/>
      <c r="AUY32" s="340"/>
      <c r="AUZ32" s="340"/>
      <c r="AVA32" s="340"/>
      <c r="AVB32" s="340"/>
      <c r="AVC32" s="340"/>
      <c r="AVD32" s="340"/>
      <c r="AVE32" s="340"/>
      <c r="AVF32" s="340"/>
      <c r="AVG32" s="340"/>
      <c r="AVH32" s="340"/>
      <c r="AVI32" s="340"/>
      <c r="AVJ32" s="340"/>
      <c r="AVK32" s="340"/>
      <c r="AVL32" s="340"/>
      <c r="AVM32" s="340"/>
      <c r="AVN32" s="340"/>
      <c r="AVO32" s="340"/>
      <c r="AVP32" s="340"/>
      <c r="AVQ32" s="340"/>
      <c r="AVR32" s="340"/>
      <c r="AVS32" s="340"/>
      <c r="AVT32" s="340"/>
      <c r="AVU32" s="340"/>
      <c r="AVV32" s="340"/>
      <c r="AVW32" s="340"/>
      <c r="AVX32" s="340"/>
      <c r="AVY32" s="340"/>
      <c r="AVZ32" s="340"/>
      <c r="AWA32" s="340"/>
      <c r="AWB32" s="340"/>
      <c r="AWC32" s="340"/>
      <c r="AWD32" s="340"/>
      <c r="AWE32" s="340"/>
      <c r="AWF32" s="340"/>
      <c r="AWG32" s="340"/>
      <c r="AWH32" s="340"/>
      <c r="AWI32" s="340"/>
      <c r="AWJ32" s="340"/>
      <c r="AWK32" s="340"/>
      <c r="AWL32" s="340"/>
      <c r="AWM32" s="340"/>
      <c r="AWN32" s="340"/>
      <c r="AWO32" s="340"/>
      <c r="AWP32" s="340"/>
      <c r="AWQ32" s="340"/>
      <c r="AWR32" s="340"/>
      <c r="AWS32" s="340"/>
      <c r="AWT32" s="340"/>
      <c r="AWU32" s="340"/>
      <c r="AWV32" s="340"/>
      <c r="AWW32" s="340"/>
      <c r="AWX32" s="340"/>
      <c r="AWY32" s="340"/>
      <c r="AWZ32" s="340"/>
      <c r="AXA32" s="340"/>
      <c r="AXB32" s="340"/>
      <c r="AXC32" s="340"/>
      <c r="AXD32" s="340"/>
      <c r="AXE32" s="340"/>
      <c r="AXF32" s="340"/>
      <c r="AXG32" s="340"/>
      <c r="AXH32" s="340"/>
      <c r="AXI32" s="340"/>
      <c r="AXJ32" s="340"/>
      <c r="AXK32" s="340"/>
      <c r="AXL32" s="340"/>
      <c r="AXM32" s="340"/>
      <c r="AXN32" s="340"/>
      <c r="AXO32" s="340"/>
      <c r="AXP32" s="340"/>
      <c r="AXQ32" s="340"/>
      <c r="AXR32" s="340"/>
      <c r="AXS32" s="340"/>
      <c r="AXT32" s="340"/>
      <c r="AXU32" s="340"/>
      <c r="AXV32" s="340"/>
      <c r="AXW32" s="340"/>
      <c r="AXX32" s="340"/>
      <c r="AXY32" s="340"/>
      <c r="AXZ32" s="340"/>
      <c r="AYA32" s="340"/>
      <c r="AYB32" s="340"/>
      <c r="AYC32" s="340"/>
      <c r="AYD32" s="340"/>
      <c r="AYE32" s="340"/>
      <c r="AYF32" s="340"/>
      <c r="AYG32" s="340"/>
      <c r="AYH32" s="340"/>
      <c r="AYI32" s="340"/>
      <c r="AYJ32" s="340"/>
      <c r="AYK32" s="340"/>
      <c r="AYL32" s="340"/>
      <c r="AYM32" s="340"/>
      <c r="AYN32" s="340"/>
      <c r="AYO32" s="340"/>
      <c r="AYP32" s="340"/>
      <c r="AYQ32" s="340"/>
      <c r="AYR32" s="340"/>
      <c r="AYS32" s="340"/>
      <c r="AYT32" s="340"/>
      <c r="AYU32" s="340"/>
      <c r="AYV32" s="340"/>
      <c r="AYW32" s="340"/>
      <c r="AYX32" s="340"/>
      <c r="AYY32" s="340"/>
      <c r="AYZ32" s="340"/>
      <c r="AZA32" s="340"/>
      <c r="AZB32" s="340"/>
      <c r="AZC32" s="340"/>
      <c r="AZD32" s="340"/>
      <c r="AZE32" s="340"/>
      <c r="AZF32" s="340"/>
      <c r="AZG32" s="340"/>
      <c r="AZH32" s="340"/>
      <c r="AZI32" s="340"/>
      <c r="AZJ32" s="340"/>
      <c r="AZK32" s="340"/>
      <c r="AZL32" s="340"/>
      <c r="AZM32" s="340"/>
      <c r="AZN32" s="340"/>
      <c r="AZO32" s="340"/>
      <c r="AZP32" s="340"/>
      <c r="AZQ32" s="340"/>
      <c r="AZR32" s="340"/>
      <c r="AZS32" s="340"/>
      <c r="AZT32" s="340"/>
      <c r="AZU32" s="340"/>
      <c r="AZV32" s="340"/>
      <c r="AZW32" s="340"/>
      <c r="AZX32" s="340"/>
      <c r="AZY32" s="340"/>
      <c r="AZZ32" s="340"/>
      <c r="BAA32" s="340"/>
      <c r="BAB32" s="340"/>
      <c r="BAC32" s="340"/>
      <c r="BAD32" s="340"/>
      <c r="BAE32" s="340"/>
      <c r="BAF32" s="340"/>
      <c r="BAG32" s="340"/>
      <c r="BAH32" s="340"/>
      <c r="BAI32" s="340"/>
      <c r="BAJ32" s="340"/>
      <c r="BAK32" s="340"/>
      <c r="BAL32" s="340"/>
      <c r="BAM32" s="340"/>
      <c r="BAN32" s="340"/>
      <c r="BAO32" s="340"/>
      <c r="BAP32" s="340"/>
      <c r="BAQ32" s="340"/>
      <c r="BAR32" s="340"/>
      <c r="BAS32" s="340"/>
      <c r="BAT32" s="340"/>
      <c r="BAU32" s="340"/>
      <c r="BAV32" s="340"/>
      <c r="BAW32" s="340"/>
      <c r="BAX32" s="340"/>
      <c r="BAY32" s="340"/>
      <c r="BAZ32" s="340"/>
      <c r="BBA32" s="340"/>
      <c r="BBB32" s="340"/>
      <c r="BBC32" s="340"/>
      <c r="BBD32" s="340"/>
      <c r="BBE32" s="340"/>
      <c r="BBF32" s="340"/>
      <c r="BBG32" s="340"/>
      <c r="BBH32" s="340"/>
      <c r="BBI32" s="340"/>
      <c r="BBJ32" s="340"/>
      <c r="BBK32" s="340"/>
      <c r="BBL32" s="340"/>
      <c r="BBM32" s="340"/>
      <c r="BBN32" s="340"/>
      <c r="BBO32" s="340"/>
      <c r="BBP32" s="340"/>
      <c r="BBQ32" s="340"/>
      <c r="BBR32" s="340"/>
      <c r="BBS32" s="340"/>
      <c r="BBT32" s="340"/>
      <c r="BBU32" s="340"/>
      <c r="BBV32" s="340"/>
      <c r="BBW32" s="340"/>
      <c r="BBX32" s="340"/>
      <c r="BBY32" s="340"/>
      <c r="BBZ32" s="340"/>
      <c r="BCA32" s="340"/>
      <c r="BCB32" s="340"/>
      <c r="BCC32" s="340"/>
      <c r="BCD32" s="340"/>
      <c r="BCE32" s="340"/>
      <c r="BCF32" s="340"/>
      <c r="BCG32" s="340"/>
      <c r="BCH32" s="340"/>
      <c r="BCI32" s="340"/>
      <c r="BCJ32" s="340"/>
      <c r="BCK32" s="340"/>
      <c r="BCL32" s="340"/>
      <c r="BCM32" s="340"/>
      <c r="BCN32" s="340"/>
      <c r="BCO32" s="340"/>
      <c r="BCP32" s="340"/>
      <c r="BCQ32" s="340"/>
      <c r="BCR32" s="340"/>
      <c r="BCS32" s="340"/>
      <c r="BCT32" s="340"/>
      <c r="BCU32" s="340"/>
      <c r="BCV32" s="340"/>
      <c r="BCW32" s="340"/>
      <c r="BCX32" s="340"/>
      <c r="BCY32" s="340"/>
      <c r="BCZ32" s="340"/>
      <c r="BDA32" s="340"/>
      <c r="BDB32" s="340"/>
      <c r="BDC32" s="340"/>
      <c r="BDD32" s="340"/>
      <c r="BDE32" s="340"/>
      <c r="BDF32" s="340"/>
      <c r="BDG32" s="340"/>
      <c r="BDH32" s="340"/>
      <c r="BDI32" s="340"/>
      <c r="BDJ32" s="340"/>
      <c r="BDK32" s="340"/>
      <c r="BDL32" s="340"/>
      <c r="BDM32" s="340"/>
      <c r="BDN32" s="340"/>
      <c r="BDO32" s="340"/>
      <c r="BDP32" s="340"/>
      <c r="BDQ32" s="340"/>
      <c r="BDR32" s="340"/>
      <c r="BDS32" s="340"/>
      <c r="BDT32" s="340"/>
      <c r="BDU32" s="340"/>
      <c r="BDV32" s="340"/>
      <c r="BDW32" s="340"/>
      <c r="BDX32" s="340"/>
      <c r="BDY32" s="340"/>
      <c r="BDZ32" s="340"/>
      <c r="BEA32" s="340"/>
      <c r="BEB32" s="340"/>
      <c r="BEC32" s="340"/>
      <c r="BED32" s="340"/>
      <c r="BEE32" s="340"/>
      <c r="BEF32" s="340"/>
      <c r="BEG32" s="340"/>
      <c r="BEH32" s="340"/>
      <c r="BEI32" s="340"/>
      <c r="BEJ32" s="340"/>
      <c r="BEK32" s="340"/>
      <c r="BEL32" s="340"/>
      <c r="BEM32" s="340"/>
      <c r="BEN32" s="340"/>
      <c r="BEO32" s="340"/>
      <c r="BEP32" s="340"/>
      <c r="BEQ32" s="340"/>
      <c r="BER32" s="340"/>
      <c r="BES32" s="340"/>
      <c r="BET32" s="340"/>
      <c r="BEU32" s="340"/>
      <c r="BEV32" s="340"/>
      <c r="BEW32" s="340"/>
      <c r="BEX32" s="340"/>
      <c r="BEY32" s="340"/>
      <c r="BEZ32" s="340"/>
      <c r="BFA32" s="340"/>
      <c r="BFB32" s="340"/>
      <c r="BFC32" s="340"/>
      <c r="BFD32" s="340"/>
      <c r="BFE32" s="340"/>
      <c r="BFF32" s="340"/>
      <c r="BFG32" s="340"/>
      <c r="BFH32" s="340"/>
      <c r="BFI32" s="340"/>
      <c r="BFJ32" s="340"/>
      <c r="BFK32" s="340"/>
      <c r="BFL32" s="340"/>
      <c r="BFM32" s="340"/>
      <c r="BFN32" s="340"/>
      <c r="BFO32" s="340"/>
      <c r="BFP32" s="340"/>
      <c r="BFQ32" s="340"/>
      <c r="BFR32" s="340"/>
      <c r="BFS32" s="340"/>
      <c r="BFT32" s="340"/>
      <c r="BFU32" s="340"/>
      <c r="BFV32" s="340"/>
      <c r="BFW32" s="340"/>
      <c r="BFX32" s="340"/>
      <c r="BFY32" s="340"/>
      <c r="BFZ32" s="340"/>
      <c r="BGA32" s="340"/>
      <c r="BGB32" s="340"/>
      <c r="BGC32" s="340"/>
      <c r="BGD32" s="340"/>
      <c r="BGE32" s="340"/>
      <c r="BGF32" s="340"/>
      <c r="BGG32" s="340"/>
      <c r="BGH32" s="340"/>
      <c r="BGI32" s="340"/>
      <c r="BGJ32" s="340"/>
      <c r="BGK32" s="340"/>
      <c r="BGL32" s="340"/>
      <c r="BGM32" s="340"/>
      <c r="BGN32" s="340"/>
      <c r="BGO32" s="340"/>
      <c r="BGP32" s="340"/>
      <c r="BGQ32" s="340"/>
      <c r="BGR32" s="340"/>
      <c r="BGS32" s="340"/>
      <c r="BGT32" s="340"/>
      <c r="BGU32" s="340"/>
      <c r="BGV32" s="340"/>
      <c r="BGW32" s="340"/>
      <c r="BGX32" s="340"/>
      <c r="BGY32" s="340"/>
      <c r="BGZ32" s="340"/>
      <c r="BHA32" s="340"/>
      <c r="BHB32" s="340"/>
      <c r="BHC32" s="340"/>
      <c r="BHD32" s="340"/>
      <c r="BHE32" s="340"/>
      <c r="BHF32" s="340"/>
      <c r="BHG32" s="340"/>
      <c r="BHH32" s="340"/>
      <c r="BHI32" s="340"/>
      <c r="BHJ32" s="340"/>
      <c r="BHK32" s="340"/>
      <c r="BHL32" s="340"/>
      <c r="BHM32" s="340"/>
      <c r="BHN32" s="340"/>
      <c r="BHO32" s="340"/>
      <c r="BHP32" s="340"/>
      <c r="BHQ32" s="340"/>
      <c r="BHR32" s="340"/>
      <c r="BHS32" s="340"/>
      <c r="BHT32" s="340"/>
      <c r="BHU32" s="340"/>
      <c r="BHV32" s="340"/>
      <c r="BHW32" s="340"/>
      <c r="BHX32" s="340"/>
      <c r="BHY32" s="340"/>
      <c r="BHZ32" s="340"/>
      <c r="BIA32" s="340"/>
      <c r="BIB32" s="340"/>
      <c r="BIC32" s="340"/>
      <c r="BID32" s="340"/>
      <c r="BIE32" s="340"/>
      <c r="BIF32" s="340"/>
      <c r="BIG32" s="340"/>
      <c r="BIH32" s="340"/>
      <c r="BII32" s="340"/>
      <c r="BIJ32" s="340"/>
      <c r="BIK32" s="340"/>
      <c r="BIL32" s="340"/>
      <c r="BIM32" s="340"/>
      <c r="BIN32" s="340"/>
      <c r="BIO32" s="340"/>
      <c r="BIP32" s="340"/>
      <c r="BIQ32" s="340"/>
      <c r="BIR32" s="340"/>
      <c r="BIS32" s="340"/>
      <c r="BIT32" s="340"/>
      <c r="BIU32" s="340"/>
      <c r="BIV32" s="340"/>
      <c r="BIW32" s="340"/>
      <c r="BIX32" s="340"/>
      <c r="BIY32" s="340"/>
      <c r="BIZ32" s="340"/>
      <c r="BJA32" s="340"/>
      <c r="BJB32" s="340"/>
      <c r="BJC32" s="340"/>
      <c r="BJD32" s="340"/>
      <c r="BJE32" s="340"/>
      <c r="BJF32" s="340"/>
      <c r="BJG32" s="340"/>
      <c r="BJH32" s="340"/>
      <c r="BJI32" s="340"/>
      <c r="BJJ32" s="340"/>
      <c r="BJK32" s="340"/>
      <c r="BJL32" s="340"/>
      <c r="BJM32" s="340"/>
      <c r="BJN32" s="340"/>
      <c r="BJO32" s="340"/>
      <c r="BJP32" s="340"/>
      <c r="BJQ32" s="340"/>
      <c r="BJR32" s="340"/>
      <c r="BJS32" s="340"/>
      <c r="BJT32" s="340"/>
      <c r="BJU32" s="340"/>
      <c r="BJV32" s="340"/>
      <c r="BJW32" s="340"/>
      <c r="BJX32" s="340"/>
      <c r="BJY32" s="340"/>
      <c r="BJZ32" s="340"/>
      <c r="BKA32" s="340"/>
      <c r="BKB32" s="340"/>
      <c r="BKC32" s="340"/>
      <c r="BKD32" s="340"/>
      <c r="BKE32" s="340"/>
      <c r="BKF32" s="340"/>
      <c r="BKG32" s="340"/>
      <c r="BKH32" s="340"/>
      <c r="BKI32" s="340"/>
      <c r="BKJ32" s="340"/>
      <c r="BKK32" s="340"/>
      <c r="BKL32" s="340"/>
      <c r="BKM32" s="340"/>
      <c r="BKN32" s="340"/>
      <c r="BKO32" s="340"/>
      <c r="BKP32" s="340"/>
      <c r="BKQ32" s="340"/>
      <c r="BKR32" s="340"/>
      <c r="BKS32" s="340"/>
      <c r="BKT32" s="340"/>
      <c r="BKU32" s="340"/>
      <c r="BKV32" s="340"/>
      <c r="BKW32" s="340"/>
      <c r="BKX32" s="340"/>
      <c r="BKY32" s="340"/>
      <c r="BKZ32" s="340"/>
      <c r="BLA32" s="340"/>
      <c r="BLB32" s="340"/>
      <c r="BLC32" s="340"/>
      <c r="BLD32" s="340"/>
      <c r="BLE32" s="340"/>
      <c r="BLF32" s="340"/>
      <c r="BLG32" s="340"/>
      <c r="BLH32" s="340"/>
      <c r="BLI32" s="340"/>
      <c r="BLJ32" s="340"/>
      <c r="BLK32" s="340"/>
      <c r="BLL32" s="340"/>
      <c r="BLM32" s="340"/>
      <c r="BLN32" s="340"/>
      <c r="BLO32" s="340"/>
      <c r="BLP32" s="340"/>
      <c r="BLQ32" s="340"/>
      <c r="BLR32" s="340"/>
      <c r="BLS32" s="340"/>
      <c r="BLT32" s="340"/>
      <c r="BLU32" s="340"/>
      <c r="BLV32" s="340"/>
      <c r="BLW32" s="340"/>
      <c r="BLX32" s="340"/>
      <c r="BLY32" s="340"/>
      <c r="BLZ32" s="340"/>
      <c r="BMA32" s="340"/>
      <c r="BMB32" s="340"/>
      <c r="BMC32" s="340"/>
      <c r="BMD32" s="340"/>
      <c r="BME32" s="340"/>
      <c r="BMF32" s="340"/>
      <c r="BMG32" s="340"/>
      <c r="BMH32" s="340"/>
      <c r="BMI32" s="340"/>
      <c r="BMJ32" s="340"/>
      <c r="BMK32" s="340"/>
      <c r="BML32" s="340"/>
      <c r="BMM32" s="340"/>
      <c r="BMN32" s="340"/>
      <c r="BMO32" s="340"/>
      <c r="BMP32" s="340"/>
      <c r="BMQ32" s="340"/>
      <c r="BMR32" s="340"/>
      <c r="BMS32" s="340"/>
      <c r="BMT32" s="340"/>
      <c r="BMU32" s="340"/>
      <c r="BMV32" s="340"/>
      <c r="BMW32" s="340"/>
      <c r="BMX32" s="340"/>
      <c r="BMY32" s="340"/>
      <c r="BMZ32" s="340"/>
      <c r="BNA32" s="340"/>
      <c r="BNB32" s="340"/>
      <c r="BNC32" s="340"/>
      <c r="BND32" s="340"/>
      <c r="BNE32" s="340"/>
      <c r="BNF32" s="340"/>
      <c r="BNG32" s="340"/>
      <c r="BNH32" s="340"/>
      <c r="BNI32" s="340"/>
      <c r="BNJ32" s="340"/>
      <c r="BNK32" s="340"/>
      <c r="BNL32" s="340"/>
      <c r="BNM32" s="340"/>
      <c r="BNN32" s="340"/>
      <c r="BNO32" s="340"/>
      <c r="BNP32" s="340"/>
      <c r="BNQ32" s="340"/>
      <c r="BNR32" s="340"/>
      <c r="BNS32" s="340"/>
      <c r="BNT32" s="340"/>
      <c r="BNU32" s="340"/>
      <c r="BNV32" s="340"/>
      <c r="BNW32" s="340"/>
      <c r="BNX32" s="340"/>
      <c r="BNY32" s="340"/>
      <c r="BNZ32" s="340"/>
      <c r="BOA32" s="340"/>
      <c r="BOB32" s="340"/>
      <c r="BOC32" s="340"/>
      <c r="BOD32" s="340"/>
      <c r="BOE32" s="340"/>
      <c r="BOF32" s="340"/>
      <c r="BOG32" s="340"/>
      <c r="BOH32" s="340"/>
      <c r="BOI32" s="340"/>
      <c r="BOJ32" s="340"/>
      <c r="BOK32" s="340"/>
      <c r="BOL32" s="340"/>
      <c r="BOM32" s="340"/>
      <c r="BON32" s="340"/>
      <c r="BOO32" s="340"/>
      <c r="BOP32" s="340"/>
      <c r="BOQ32" s="340"/>
      <c r="BOR32" s="340"/>
      <c r="BOS32" s="340"/>
      <c r="BOT32" s="340"/>
      <c r="BOU32" s="340"/>
      <c r="BOV32" s="340"/>
      <c r="BOW32" s="340"/>
      <c r="BOX32" s="340"/>
      <c r="BOY32" s="340"/>
      <c r="BOZ32" s="340"/>
      <c r="BPA32" s="340"/>
      <c r="BPB32" s="340"/>
      <c r="BPC32" s="340"/>
      <c r="BPD32" s="340"/>
      <c r="BPE32" s="340"/>
      <c r="BPF32" s="340"/>
      <c r="BPG32" s="340"/>
      <c r="BPH32" s="340"/>
      <c r="BPI32" s="340"/>
      <c r="BPJ32" s="340"/>
      <c r="BPK32" s="340"/>
      <c r="BPL32" s="340"/>
      <c r="BPM32" s="340"/>
      <c r="BPN32" s="340"/>
      <c r="BPO32" s="340"/>
      <c r="BPP32" s="340"/>
      <c r="BPQ32" s="340"/>
      <c r="BPR32" s="340"/>
      <c r="BPS32" s="340"/>
      <c r="BPT32" s="340"/>
      <c r="BPU32" s="340"/>
      <c r="BPV32" s="340"/>
      <c r="BPW32" s="340"/>
      <c r="BPX32" s="340"/>
      <c r="BPY32" s="340"/>
      <c r="BPZ32" s="340"/>
      <c r="BQA32" s="340"/>
      <c r="BQB32" s="340"/>
      <c r="BQC32" s="340"/>
      <c r="BQD32" s="340"/>
      <c r="BQE32" s="340"/>
      <c r="BQF32" s="340"/>
      <c r="BQG32" s="340"/>
      <c r="BQH32" s="340"/>
      <c r="BQI32" s="340"/>
      <c r="BQJ32" s="340"/>
      <c r="BQK32" s="340"/>
      <c r="BQL32" s="340"/>
      <c r="BQM32" s="340"/>
      <c r="BQN32" s="340"/>
      <c r="BQO32" s="340"/>
      <c r="BQP32" s="340"/>
      <c r="BQQ32" s="340"/>
      <c r="BQR32" s="340"/>
      <c r="BQS32" s="340"/>
      <c r="BQT32" s="340"/>
      <c r="BQU32" s="340"/>
      <c r="BQV32" s="340"/>
      <c r="BQW32" s="340"/>
      <c r="BQX32" s="340"/>
      <c r="BQY32" s="340"/>
      <c r="BQZ32" s="340"/>
      <c r="BRA32" s="340"/>
      <c r="BRB32" s="340"/>
      <c r="BRC32" s="340"/>
      <c r="BRD32" s="340"/>
      <c r="BRE32" s="340"/>
      <c r="BRF32" s="340"/>
      <c r="BRG32" s="340"/>
      <c r="BRH32" s="340"/>
      <c r="BRI32" s="340"/>
      <c r="BRJ32" s="340"/>
      <c r="BRK32" s="340"/>
      <c r="BRL32" s="340"/>
      <c r="BRM32" s="340"/>
      <c r="BRN32" s="340"/>
      <c r="BRO32" s="340"/>
      <c r="BRP32" s="340"/>
      <c r="BRQ32" s="340"/>
      <c r="BRR32" s="340"/>
      <c r="BRS32" s="340"/>
      <c r="BRT32" s="340"/>
      <c r="BRU32" s="340"/>
      <c r="BRV32" s="340"/>
      <c r="BRW32" s="340"/>
      <c r="BRX32" s="340"/>
      <c r="BRY32" s="340"/>
      <c r="BRZ32" s="340"/>
      <c r="BSA32" s="340"/>
      <c r="BSB32" s="340"/>
      <c r="BSC32" s="340"/>
      <c r="BSD32" s="340"/>
      <c r="BSE32" s="340"/>
      <c r="BSF32" s="340"/>
      <c r="BSG32" s="340"/>
      <c r="BSH32" s="340"/>
      <c r="BSI32" s="340"/>
      <c r="BSJ32" s="340"/>
      <c r="BSK32" s="340"/>
      <c r="BSL32" s="340"/>
      <c r="BSM32" s="340"/>
      <c r="BSN32" s="340"/>
      <c r="BSO32" s="340"/>
      <c r="BSP32" s="340"/>
      <c r="BSQ32" s="340"/>
      <c r="BSR32" s="340"/>
      <c r="BSS32" s="340"/>
      <c r="BST32" s="340"/>
      <c r="BSU32" s="340"/>
      <c r="BSV32" s="340"/>
      <c r="BSW32" s="340"/>
      <c r="BSX32" s="340"/>
      <c r="BSY32" s="340"/>
      <c r="BSZ32" s="340"/>
      <c r="BTA32" s="340"/>
      <c r="BTB32" s="340"/>
      <c r="BTC32" s="340"/>
      <c r="BTD32" s="340"/>
      <c r="BTE32" s="340"/>
      <c r="BTF32" s="340"/>
      <c r="BTG32" s="340"/>
      <c r="BTH32" s="340"/>
      <c r="BTI32" s="340"/>
      <c r="BTJ32" s="340"/>
      <c r="BTK32" s="340"/>
      <c r="BTL32" s="340"/>
      <c r="BTM32" s="340"/>
      <c r="BTN32" s="340"/>
      <c r="BTO32" s="340"/>
      <c r="BTP32" s="340"/>
      <c r="BTQ32" s="340"/>
      <c r="BTR32" s="340"/>
      <c r="BTS32" s="340"/>
      <c r="BTT32" s="340"/>
      <c r="BTU32" s="340"/>
      <c r="BTV32" s="340"/>
      <c r="BTW32" s="340"/>
      <c r="BTX32" s="340"/>
      <c r="BTY32" s="340"/>
      <c r="BTZ32" s="340"/>
      <c r="BUA32" s="340"/>
      <c r="BUB32" s="340"/>
      <c r="BUC32" s="340"/>
      <c r="BUD32" s="340"/>
      <c r="BUE32" s="340"/>
      <c r="BUF32" s="340"/>
      <c r="BUG32" s="340"/>
      <c r="BUH32" s="340"/>
      <c r="BUI32" s="340"/>
      <c r="BUJ32" s="340"/>
      <c r="BUK32" s="340"/>
      <c r="BUL32" s="340"/>
      <c r="BUM32" s="340"/>
      <c r="BUN32" s="340"/>
      <c r="BUO32" s="340"/>
      <c r="BUP32" s="340"/>
      <c r="BUQ32" s="340"/>
      <c r="BUR32" s="340"/>
      <c r="BUS32" s="340"/>
      <c r="BUT32" s="340"/>
      <c r="BUU32" s="340"/>
      <c r="BUV32" s="340"/>
      <c r="BUW32" s="340"/>
      <c r="BUX32" s="340"/>
      <c r="BUY32" s="340"/>
      <c r="BUZ32" s="340"/>
      <c r="BVA32" s="340"/>
      <c r="BVB32" s="340"/>
      <c r="BVC32" s="340"/>
      <c r="BVD32" s="340"/>
      <c r="BVE32" s="340"/>
      <c r="BVF32" s="340"/>
      <c r="BVG32" s="340"/>
      <c r="BVH32" s="340"/>
      <c r="BVI32" s="340"/>
      <c r="BVJ32" s="340"/>
      <c r="BVK32" s="340"/>
      <c r="BVL32" s="340"/>
      <c r="BVM32" s="340"/>
      <c r="BVN32" s="340"/>
      <c r="BVO32" s="340"/>
      <c r="BVP32" s="340"/>
      <c r="BVQ32" s="340"/>
      <c r="BVR32" s="340"/>
      <c r="BVS32" s="340"/>
      <c r="BVT32" s="340"/>
      <c r="BVU32" s="340"/>
      <c r="BVV32" s="340"/>
      <c r="BVW32" s="340"/>
      <c r="BVX32" s="340"/>
      <c r="BVY32" s="340"/>
      <c r="BVZ32" s="340"/>
      <c r="BWA32" s="340"/>
      <c r="BWB32" s="340"/>
      <c r="BWC32" s="340"/>
      <c r="BWD32" s="340"/>
      <c r="BWE32" s="340"/>
      <c r="BWF32" s="340"/>
      <c r="BWG32" s="340"/>
      <c r="BWH32" s="340"/>
      <c r="BWI32" s="340"/>
      <c r="BWJ32" s="340"/>
      <c r="BWK32" s="340"/>
      <c r="BWL32" s="340"/>
      <c r="BWM32" s="340"/>
      <c r="BWN32" s="340"/>
      <c r="BWO32" s="340"/>
      <c r="BWP32" s="340"/>
      <c r="BWQ32" s="340"/>
      <c r="BWR32" s="340"/>
      <c r="BWS32" s="340"/>
      <c r="BWT32" s="340"/>
      <c r="BWU32" s="340"/>
      <c r="BWV32" s="340"/>
      <c r="BWW32" s="340"/>
      <c r="BWX32" s="340"/>
      <c r="BWY32" s="340"/>
      <c r="BWZ32" s="340"/>
      <c r="BXA32" s="340"/>
      <c r="BXB32" s="340"/>
      <c r="BXC32" s="340"/>
      <c r="BXD32" s="340"/>
      <c r="BXE32" s="340"/>
      <c r="BXF32" s="340"/>
      <c r="BXG32" s="340"/>
      <c r="BXH32" s="340"/>
      <c r="BXI32" s="340"/>
      <c r="BXJ32" s="340"/>
      <c r="BXK32" s="340"/>
      <c r="BXL32" s="340"/>
      <c r="BXM32" s="340"/>
      <c r="BXN32" s="340"/>
      <c r="BXO32" s="340"/>
      <c r="BXP32" s="340"/>
      <c r="BXQ32" s="340"/>
      <c r="BXR32" s="340"/>
      <c r="BXS32" s="340"/>
      <c r="BXT32" s="340"/>
      <c r="BXU32" s="340"/>
      <c r="BXV32" s="340"/>
      <c r="BXW32" s="340"/>
      <c r="BXX32" s="340"/>
      <c r="BXY32" s="340"/>
      <c r="BXZ32" s="340"/>
      <c r="BYA32" s="340"/>
      <c r="BYB32" s="340"/>
      <c r="BYC32" s="340"/>
      <c r="BYD32" s="340"/>
      <c r="BYE32" s="340"/>
      <c r="BYF32" s="340"/>
      <c r="BYG32" s="340"/>
      <c r="BYH32" s="340"/>
      <c r="BYI32" s="340"/>
      <c r="BYJ32" s="340"/>
      <c r="BYK32" s="340"/>
      <c r="BYL32" s="340"/>
      <c r="BYM32" s="340"/>
      <c r="BYN32" s="340"/>
      <c r="BYO32" s="340"/>
      <c r="BYP32" s="340"/>
      <c r="BYQ32" s="340"/>
      <c r="BYR32" s="340"/>
      <c r="BYS32" s="340"/>
      <c r="BYT32" s="340"/>
      <c r="BYU32" s="340"/>
      <c r="BYV32" s="340"/>
      <c r="BYW32" s="340"/>
      <c r="BYX32" s="340"/>
      <c r="BYY32" s="340"/>
      <c r="BYZ32" s="340"/>
      <c r="BZA32" s="340"/>
      <c r="BZB32" s="340"/>
      <c r="BZC32" s="340"/>
      <c r="BZD32" s="340"/>
      <c r="BZE32" s="340"/>
      <c r="BZF32" s="340"/>
      <c r="BZG32" s="340"/>
      <c r="BZH32" s="340"/>
      <c r="BZI32" s="340"/>
      <c r="BZJ32" s="340"/>
      <c r="BZK32" s="340"/>
      <c r="BZL32" s="340"/>
      <c r="BZM32" s="340"/>
      <c r="BZN32" s="340"/>
      <c r="BZO32" s="340"/>
      <c r="BZP32" s="340"/>
      <c r="BZQ32" s="340"/>
      <c r="BZR32" s="340"/>
      <c r="BZS32" s="340"/>
      <c r="BZT32" s="340"/>
      <c r="BZU32" s="340"/>
      <c r="BZV32" s="340"/>
      <c r="BZW32" s="340"/>
      <c r="BZX32" s="340"/>
      <c r="BZY32" s="340"/>
      <c r="BZZ32" s="340"/>
      <c r="CAA32" s="340"/>
      <c r="CAB32" s="340"/>
      <c r="CAC32" s="340"/>
      <c r="CAD32" s="340"/>
      <c r="CAE32" s="340"/>
      <c r="CAF32" s="340"/>
      <c r="CAG32" s="340"/>
      <c r="CAH32" s="340"/>
      <c r="CAI32" s="340"/>
      <c r="CAJ32" s="340"/>
      <c r="CAK32" s="340"/>
      <c r="CAL32" s="340"/>
      <c r="CAM32" s="340"/>
      <c r="CAN32" s="340"/>
      <c r="CAO32" s="340"/>
      <c r="CAP32" s="340"/>
      <c r="CAQ32" s="340"/>
      <c r="CAR32" s="340"/>
      <c r="CAS32" s="340"/>
      <c r="CAT32" s="340"/>
      <c r="CAU32" s="340"/>
      <c r="CAV32" s="340"/>
      <c r="CAW32" s="340"/>
      <c r="CAX32" s="340"/>
      <c r="CAY32" s="340"/>
      <c r="CAZ32" s="340"/>
      <c r="CBA32" s="340"/>
      <c r="CBB32" s="340"/>
      <c r="CBC32" s="340"/>
      <c r="CBD32" s="340"/>
      <c r="CBE32" s="340"/>
      <c r="CBF32" s="340"/>
      <c r="CBG32" s="340"/>
      <c r="CBH32" s="340"/>
      <c r="CBI32" s="340"/>
      <c r="CBJ32" s="340"/>
      <c r="CBK32" s="340"/>
      <c r="CBL32" s="340"/>
      <c r="CBM32" s="340"/>
      <c r="CBN32" s="340"/>
      <c r="CBO32" s="340"/>
      <c r="CBP32" s="340"/>
      <c r="CBQ32" s="340"/>
      <c r="CBR32" s="340"/>
      <c r="CBS32" s="340"/>
      <c r="CBT32" s="340"/>
      <c r="CBU32" s="340"/>
      <c r="CBV32" s="340"/>
      <c r="CBW32" s="340"/>
      <c r="CBX32" s="340"/>
      <c r="CBY32" s="340"/>
      <c r="CBZ32" s="340"/>
      <c r="CCA32" s="340"/>
      <c r="CCB32" s="340"/>
      <c r="CCC32" s="340"/>
      <c r="CCD32" s="340"/>
      <c r="CCE32" s="340"/>
      <c r="CCF32" s="340"/>
      <c r="CCG32" s="340"/>
      <c r="CCH32" s="340"/>
      <c r="CCI32" s="340"/>
      <c r="CCJ32" s="340"/>
      <c r="CCK32" s="340"/>
      <c r="CCL32" s="340"/>
      <c r="CCM32" s="340"/>
      <c r="CCN32" s="340"/>
      <c r="CCO32" s="340"/>
      <c r="CCP32" s="340"/>
      <c r="CCQ32" s="340"/>
      <c r="CCR32" s="340"/>
      <c r="CCS32" s="340"/>
      <c r="CCT32" s="340"/>
      <c r="CCU32" s="340"/>
      <c r="CCV32" s="340"/>
      <c r="CCW32" s="340"/>
      <c r="CCX32" s="340"/>
      <c r="CCY32" s="340"/>
      <c r="CCZ32" s="340"/>
      <c r="CDA32" s="340"/>
      <c r="CDB32" s="340"/>
      <c r="CDC32" s="340"/>
      <c r="CDD32" s="340"/>
      <c r="CDE32" s="340"/>
      <c r="CDF32" s="340"/>
      <c r="CDG32" s="340"/>
      <c r="CDH32" s="340"/>
      <c r="CDI32" s="340"/>
      <c r="CDJ32" s="340"/>
      <c r="CDK32" s="340"/>
      <c r="CDL32" s="340"/>
      <c r="CDM32" s="340"/>
      <c r="CDN32" s="340"/>
      <c r="CDO32" s="340"/>
      <c r="CDP32" s="340"/>
      <c r="CDQ32" s="340"/>
      <c r="CDR32" s="340"/>
      <c r="CDS32" s="340"/>
      <c r="CDT32" s="340"/>
      <c r="CDU32" s="340"/>
      <c r="CDV32" s="340"/>
      <c r="CDW32" s="340"/>
      <c r="CDX32" s="340"/>
      <c r="CDY32" s="340"/>
      <c r="CDZ32" s="340"/>
      <c r="CEA32" s="340"/>
      <c r="CEB32" s="340"/>
      <c r="CEC32" s="340"/>
      <c r="CED32" s="340"/>
      <c r="CEE32" s="340"/>
      <c r="CEF32" s="340"/>
      <c r="CEG32" s="340"/>
      <c r="CEH32" s="340"/>
      <c r="CEI32" s="340"/>
      <c r="CEJ32" s="340"/>
      <c r="CEK32" s="340"/>
      <c r="CEL32" s="340"/>
      <c r="CEM32" s="340"/>
      <c r="CEN32" s="340"/>
      <c r="CEO32" s="340"/>
      <c r="CEP32" s="340"/>
      <c r="CEQ32" s="340"/>
      <c r="CER32" s="340"/>
      <c r="CES32" s="340"/>
      <c r="CET32" s="340"/>
      <c r="CEU32" s="340"/>
      <c r="CEV32" s="340"/>
      <c r="CEW32" s="340"/>
      <c r="CEX32" s="340"/>
      <c r="CEY32" s="340"/>
      <c r="CEZ32" s="340"/>
      <c r="CFA32" s="340"/>
      <c r="CFB32" s="340"/>
      <c r="CFC32" s="340"/>
      <c r="CFD32" s="340"/>
      <c r="CFE32" s="340"/>
      <c r="CFF32" s="340"/>
      <c r="CFG32" s="340"/>
      <c r="CFH32" s="340"/>
      <c r="CFI32" s="340"/>
      <c r="CFJ32" s="340"/>
      <c r="CFK32" s="340"/>
      <c r="CFL32" s="340"/>
      <c r="CFM32" s="340"/>
      <c r="CFN32" s="340"/>
      <c r="CFO32" s="340"/>
      <c r="CFP32" s="340"/>
      <c r="CFQ32" s="340"/>
      <c r="CFR32" s="340"/>
      <c r="CFS32" s="340"/>
      <c r="CFT32" s="340"/>
      <c r="CFU32" s="340"/>
      <c r="CFV32" s="340"/>
      <c r="CFW32" s="340"/>
      <c r="CFX32" s="340"/>
      <c r="CFY32" s="340"/>
      <c r="CFZ32" s="340"/>
      <c r="CGA32" s="340"/>
      <c r="CGB32" s="340"/>
      <c r="CGC32" s="340"/>
      <c r="CGD32" s="340"/>
      <c r="CGE32" s="340"/>
      <c r="CGF32" s="340"/>
      <c r="CGG32" s="340"/>
      <c r="CGH32" s="340"/>
      <c r="CGI32" s="340"/>
      <c r="CGJ32" s="340"/>
      <c r="CGK32" s="340"/>
      <c r="CGL32" s="340"/>
      <c r="CGM32" s="340"/>
      <c r="CGN32" s="340"/>
      <c r="CGO32" s="340"/>
      <c r="CGP32" s="340"/>
      <c r="CGQ32" s="340"/>
      <c r="CGR32" s="340"/>
      <c r="CGS32" s="340"/>
      <c r="CGT32" s="340"/>
      <c r="CGU32" s="340"/>
      <c r="CGV32" s="340"/>
      <c r="CGW32" s="340"/>
      <c r="CGX32" s="340"/>
      <c r="CGY32" s="340"/>
      <c r="CGZ32" s="340"/>
      <c r="CHA32" s="340"/>
      <c r="CHB32" s="340"/>
      <c r="CHC32" s="340"/>
      <c r="CHD32" s="340"/>
      <c r="CHE32" s="340"/>
      <c r="CHF32" s="340"/>
      <c r="CHG32" s="340"/>
      <c r="CHH32" s="340"/>
      <c r="CHI32" s="340"/>
      <c r="CHJ32" s="340"/>
      <c r="CHK32" s="340"/>
      <c r="CHL32" s="340"/>
      <c r="CHM32" s="340"/>
      <c r="CHN32" s="340"/>
      <c r="CHO32" s="340"/>
      <c r="CHP32" s="340"/>
      <c r="CHQ32" s="340"/>
      <c r="CHR32" s="340"/>
      <c r="CHS32" s="340"/>
      <c r="CHT32" s="340"/>
      <c r="CHU32" s="340"/>
      <c r="CHV32" s="340"/>
      <c r="CHW32" s="340"/>
      <c r="CHX32" s="340"/>
      <c r="CHY32" s="340"/>
      <c r="CHZ32" s="340"/>
      <c r="CIA32" s="340"/>
      <c r="CIB32" s="340"/>
      <c r="CIC32" s="340"/>
      <c r="CID32" s="340"/>
      <c r="CIE32" s="340"/>
      <c r="CIF32" s="340"/>
      <c r="CIG32" s="340"/>
      <c r="CIH32" s="340"/>
      <c r="CII32" s="340"/>
      <c r="CIJ32" s="340"/>
      <c r="CIK32" s="340"/>
      <c r="CIL32" s="340"/>
      <c r="CIM32" s="340"/>
      <c r="CIN32" s="340"/>
      <c r="CIO32" s="340"/>
      <c r="CIP32" s="340"/>
      <c r="CIQ32" s="340"/>
      <c r="CIR32" s="340"/>
      <c r="CIS32" s="340"/>
      <c r="CIT32" s="340"/>
      <c r="CIU32" s="340"/>
      <c r="CIV32" s="340"/>
      <c r="CIW32" s="340"/>
      <c r="CIX32" s="340"/>
      <c r="CIY32" s="340"/>
      <c r="CIZ32" s="340"/>
      <c r="CJA32" s="340"/>
      <c r="CJB32" s="340"/>
      <c r="CJC32" s="340"/>
      <c r="CJD32" s="340"/>
      <c r="CJE32" s="340"/>
      <c r="CJF32" s="340"/>
      <c r="CJG32" s="340"/>
      <c r="CJH32" s="340"/>
      <c r="CJI32" s="340"/>
      <c r="CJJ32" s="340"/>
      <c r="CJK32" s="340"/>
      <c r="CJL32" s="340"/>
      <c r="CJM32" s="340"/>
      <c r="CJN32" s="340"/>
      <c r="CJO32" s="340"/>
      <c r="CJP32" s="340"/>
      <c r="CJQ32" s="340"/>
      <c r="CJR32" s="340"/>
      <c r="CJS32" s="340"/>
      <c r="CJT32" s="340"/>
      <c r="CJU32" s="340"/>
      <c r="CJV32" s="340"/>
      <c r="CJW32" s="340"/>
      <c r="CJX32" s="340"/>
      <c r="CJY32" s="340"/>
      <c r="CJZ32" s="340"/>
      <c r="CKA32" s="340"/>
      <c r="CKB32" s="340"/>
      <c r="CKC32" s="340"/>
      <c r="CKD32" s="340"/>
      <c r="CKE32" s="340"/>
      <c r="CKF32" s="340"/>
      <c r="CKG32" s="340"/>
      <c r="CKH32" s="340"/>
      <c r="CKI32" s="340"/>
      <c r="CKJ32" s="340"/>
      <c r="CKK32" s="340"/>
      <c r="CKL32" s="340"/>
      <c r="CKM32" s="340"/>
      <c r="CKN32" s="340"/>
      <c r="CKO32" s="340"/>
      <c r="CKP32" s="340"/>
      <c r="CKQ32" s="340"/>
      <c r="CKR32" s="340"/>
      <c r="CKS32" s="340"/>
      <c r="CKT32" s="340"/>
      <c r="CKU32" s="340"/>
      <c r="CKV32" s="340"/>
      <c r="CKW32" s="340"/>
      <c r="CKX32" s="340"/>
      <c r="CKY32" s="340"/>
      <c r="CKZ32" s="340"/>
      <c r="CLA32" s="340"/>
      <c r="CLB32" s="340"/>
      <c r="CLC32" s="340"/>
      <c r="CLD32" s="340"/>
      <c r="CLE32" s="340"/>
      <c r="CLF32" s="340"/>
      <c r="CLG32" s="340"/>
      <c r="CLH32" s="340"/>
      <c r="CLI32" s="340"/>
      <c r="CLJ32" s="340"/>
      <c r="CLK32" s="340"/>
      <c r="CLL32" s="340"/>
      <c r="CLM32" s="340"/>
      <c r="CLN32" s="340"/>
      <c r="CLO32" s="340"/>
      <c r="CLP32" s="340"/>
      <c r="CLQ32" s="340"/>
      <c r="CLR32" s="340"/>
      <c r="CLS32" s="340"/>
      <c r="CLT32" s="340"/>
      <c r="CLU32" s="340"/>
      <c r="CLV32" s="340"/>
      <c r="CLW32" s="340"/>
      <c r="CLX32" s="340"/>
      <c r="CLY32" s="340"/>
      <c r="CLZ32" s="340"/>
      <c r="CMA32" s="340"/>
      <c r="CMB32" s="340"/>
      <c r="CMC32" s="340"/>
      <c r="CMD32" s="340"/>
      <c r="CME32" s="340"/>
      <c r="CMF32" s="340"/>
      <c r="CMG32" s="340"/>
      <c r="CMH32" s="340"/>
      <c r="CMI32" s="340"/>
      <c r="CMJ32" s="340"/>
      <c r="CMK32" s="340"/>
      <c r="CML32" s="340"/>
      <c r="CMM32" s="340"/>
      <c r="CMN32" s="340"/>
      <c r="CMO32" s="340"/>
      <c r="CMP32" s="340"/>
      <c r="CMQ32" s="340"/>
      <c r="CMR32" s="340"/>
      <c r="CMS32" s="340"/>
      <c r="CMT32" s="340"/>
      <c r="CMU32" s="340"/>
      <c r="CMV32" s="340"/>
      <c r="CMW32" s="340"/>
      <c r="CMX32" s="340"/>
      <c r="CMY32" s="340"/>
      <c r="CMZ32" s="340"/>
      <c r="CNA32" s="340"/>
      <c r="CNB32" s="340"/>
      <c r="CNC32" s="340"/>
      <c r="CND32" s="340"/>
      <c r="CNE32" s="340"/>
      <c r="CNF32" s="340"/>
      <c r="CNG32" s="340"/>
      <c r="CNH32" s="340"/>
      <c r="CNI32" s="340"/>
      <c r="CNJ32" s="340"/>
      <c r="CNK32" s="340"/>
      <c r="CNL32" s="340"/>
      <c r="CNM32" s="340"/>
      <c r="CNN32" s="340"/>
      <c r="CNO32" s="340"/>
      <c r="CNP32" s="340"/>
      <c r="CNQ32" s="340"/>
      <c r="CNR32" s="340"/>
      <c r="CNS32" s="340"/>
      <c r="CNT32" s="340"/>
      <c r="CNU32" s="340"/>
      <c r="CNV32" s="340"/>
      <c r="CNW32" s="340"/>
      <c r="CNX32" s="340"/>
      <c r="CNY32" s="340"/>
      <c r="CNZ32" s="340"/>
      <c r="COA32" s="340"/>
      <c r="COB32" s="340"/>
      <c r="COC32" s="340"/>
      <c r="COD32" s="340"/>
      <c r="COE32" s="340"/>
      <c r="COF32" s="340"/>
      <c r="COG32" s="340"/>
      <c r="COH32" s="340"/>
      <c r="COI32" s="340"/>
      <c r="COJ32" s="340"/>
      <c r="COK32" s="340"/>
      <c r="COL32" s="340"/>
      <c r="COM32" s="340"/>
      <c r="CON32" s="340"/>
      <c r="COO32" s="340"/>
      <c r="COP32" s="340"/>
      <c r="COQ32" s="340"/>
      <c r="COR32" s="340"/>
      <c r="COS32" s="340"/>
      <c r="COT32" s="340"/>
      <c r="COU32" s="340"/>
      <c r="COV32" s="340"/>
      <c r="COW32" s="340"/>
      <c r="COX32" s="340"/>
      <c r="COY32" s="340"/>
      <c r="COZ32" s="340"/>
      <c r="CPA32" s="340"/>
      <c r="CPB32" s="340"/>
      <c r="CPC32" s="340"/>
      <c r="CPD32" s="340"/>
      <c r="CPE32" s="340"/>
      <c r="CPF32" s="340"/>
      <c r="CPG32" s="340"/>
      <c r="CPH32" s="340"/>
      <c r="CPI32" s="340"/>
      <c r="CPJ32" s="340"/>
      <c r="CPK32" s="340"/>
      <c r="CPL32" s="340"/>
      <c r="CPM32" s="340"/>
      <c r="CPN32" s="340"/>
      <c r="CPO32" s="340"/>
      <c r="CPP32" s="340"/>
      <c r="CPQ32" s="340"/>
      <c r="CPR32" s="340"/>
      <c r="CPS32" s="340"/>
      <c r="CPT32" s="340"/>
      <c r="CPU32" s="340"/>
      <c r="CPV32" s="340"/>
      <c r="CPW32" s="340"/>
      <c r="CPX32" s="340"/>
      <c r="CPY32" s="340"/>
      <c r="CPZ32" s="340"/>
      <c r="CQA32" s="340"/>
      <c r="CQB32" s="340"/>
      <c r="CQC32" s="340"/>
      <c r="CQD32" s="340"/>
      <c r="CQE32" s="340"/>
      <c r="CQF32" s="340"/>
      <c r="CQG32" s="340"/>
      <c r="CQH32" s="340"/>
      <c r="CQI32" s="340"/>
      <c r="CQJ32" s="340"/>
      <c r="CQK32" s="340"/>
      <c r="CQL32" s="340"/>
      <c r="CQM32" s="340"/>
      <c r="CQN32" s="340"/>
      <c r="CQO32" s="340"/>
      <c r="CQP32" s="340"/>
      <c r="CQQ32" s="340"/>
      <c r="CQR32" s="340"/>
      <c r="CQS32" s="340"/>
      <c r="CQT32" s="340"/>
      <c r="CQU32" s="340"/>
      <c r="CQV32" s="340"/>
      <c r="CQW32" s="340"/>
      <c r="CQX32" s="340"/>
      <c r="CQY32" s="340"/>
      <c r="CQZ32" s="340"/>
      <c r="CRA32" s="340"/>
      <c r="CRB32" s="340"/>
      <c r="CRC32" s="340"/>
      <c r="CRD32" s="340"/>
      <c r="CRE32" s="340"/>
      <c r="CRF32" s="340"/>
      <c r="CRG32" s="340"/>
      <c r="CRH32" s="340"/>
      <c r="CRI32" s="340"/>
      <c r="CRJ32" s="340"/>
      <c r="CRK32" s="340"/>
      <c r="CRL32" s="340"/>
      <c r="CRM32" s="340"/>
      <c r="CRN32" s="340"/>
      <c r="CRO32" s="340"/>
      <c r="CRP32" s="340"/>
      <c r="CRQ32" s="340"/>
      <c r="CRR32" s="340"/>
      <c r="CRS32" s="340"/>
      <c r="CRT32" s="340"/>
      <c r="CRU32" s="340"/>
      <c r="CRV32" s="340"/>
      <c r="CRW32" s="340"/>
      <c r="CRX32" s="340"/>
      <c r="CRY32" s="340"/>
      <c r="CRZ32" s="340"/>
      <c r="CSA32" s="340"/>
      <c r="CSB32" s="340"/>
      <c r="CSC32" s="340"/>
      <c r="CSD32" s="340"/>
      <c r="CSE32" s="340"/>
      <c r="CSF32" s="340"/>
      <c r="CSG32" s="340"/>
      <c r="CSH32" s="340"/>
      <c r="CSI32" s="340"/>
      <c r="CSJ32" s="340"/>
      <c r="CSK32" s="340"/>
      <c r="CSL32" s="340"/>
      <c r="CSM32" s="340"/>
      <c r="CSN32" s="340"/>
      <c r="CSO32" s="340"/>
      <c r="CSP32" s="340"/>
      <c r="CSQ32" s="340"/>
      <c r="CSR32" s="340"/>
      <c r="CSS32" s="340"/>
      <c r="CST32" s="340"/>
      <c r="CSU32" s="340"/>
      <c r="CSV32" s="340"/>
      <c r="CSW32" s="340"/>
      <c r="CSX32" s="340"/>
      <c r="CSY32" s="340"/>
      <c r="CSZ32" s="340"/>
      <c r="CTA32" s="340"/>
      <c r="CTB32" s="340"/>
      <c r="CTC32" s="340"/>
      <c r="CTD32" s="340"/>
      <c r="CTE32" s="340"/>
      <c r="CTF32" s="340"/>
      <c r="CTG32" s="340"/>
      <c r="CTH32" s="340"/>
      <c r="CTI32" s="340"/>
      <c r="CTJ32" s="340"/>
      <c r="CTK32" s="340"/>
      <c r="CTL32" s="340"/>
      <c r="CTM32" s="340"/>
      <c r="CTN32" s="340"/>
      <c r="CTO32" s="340"/>
      <c r="CTP32" s="340"/>
      <c r="CTQ32" s="340"/>
      <c r="CTR32" s="340"/>
      <c r="CTS32" s="340"/>
      <c r="CTT32" s="340"/>
      <c r="CTU32" s="340"/>
      <c r="CTV32" s="340"/>
      <c r="CTW32" s="340"/>
      <c r="CTX32" s="340"/>
      <c r="CTY32" s="340"/>
      <c r="CTZ32" s="340"/>
      <c r="CUA32" s="340"/>
      <c r="CUB32" s="340"/>
      <c r="CUC32" s="340"/>
      <c r="CUD32" s="340"/>
      <c r="CUE32" s="340"/>
      <c r="CUF32" s="340"/>
      <c r="CUG32" s="340"/>
      <c r="CUH32" s="340"/>
      <c r="CUI32" s="340"/>
      <c r="CUJ32" s="340"/>
      <c r="CUK32" s="340"/>
      <c r="CUL32" s="340"/>
      <c r="CUM32" s="340"/>
      <c r="CUN32" s="340"/>
      <c r="CUO32" s="340"/>
      <c r="CUP32" s="340"/>
      <c r="CUQ32" s="340"/>
      <c r="CUR32" s="340"/>
      <c r="CUS32" s="340"/>
      <c r="CUT32" s="340"/>
      <c r="CUU32" s="340"/>
      <c r="CUV32" s="340"/>
      <c r="CUW32" s="340"/>
      <c r="CUX32" s="340"/>
      <c r="CUY32" s="340"/>
      <c r="CUZ32" s="340"/>
      <c r="CVA32" s="340"/>
      <c r="CVB32" s="340"/>
      <c r="CVC32" s="340"/>
      <c r="CVD32" s="340"/>
      <c r="CVE32" s="340"/>
      <c r="CVF32" s="340"/>
      <c r="CVG32" s="340"/>
      <c r="CVH32" s="340"/>
      <c r="CVI32" s="340"/>
      <c r="CVJ32" s="340"/>
      <c r="CVK32" s="340"/>
      <c r="CVL32" s="340"/>
      <c r="CVM32" s="340"/>
      <c r="CVN32" s="340"/>
      <c r="CVO32" s="340"/>
      <c r="CVP32" s="340"/>
      <c r="CVQ32" s="340"/>
      <c r="CVR32" s="340"/>
      <c r="CVS32" s="340"/>
      <c r="CVT32" s="340"/>
      <c r="CVU32" s="340"/>
      <c r="CVV32" s="340"/>
      <c r="CVW32" s="340"/>
      <c r="CVX32" s="340"/>
      <c r="CVY32" s="340"/>
      <c r="CVZ32" s="340"/>
      <c r="CWA32" s="340"/>
      <c r="CWB32" s="340"/>
      <c r="CWC32" s="340"/>
      <c r="CWD32" s="340"/>
      <c r="CWE32" s="340"/>
      <c r="CWF32" s="340"/>
      <c r="CWG32" s="340"/>
      <c r="CWH32" s="340"/>
      <c r="CWI32" s="340"/>
      <c r="CWJ32" s="340"/>
      <c r="CWK32" s="340"/>
      <c r="CWL32" s="340"/>
      <c r="CWM32" s="340"/>
      <c r="CWN32" s="340"/>
      <c r="CWO32" s="340"/>
      <c r="CWP32" s="340"/>
      <c r="CWQ32" s="340"/>
      <c r="CWR32" s="340"/>
      <c r="CWS32" s="340"/>
      <c r="CWT32" s="340"/>
      <c r="CWU32" s="340"/>
      <c r="CWV32" s="340"/>
      <c r="CWW32" s="340"/>
      <c r="CWX32" s="340"/>
      <c r="CWY32" s="340"/>
      <c r="CWZ32" s="340"/>
      <c r="CXA32" s="340"/>
      <c r="CXB32" s="340"/>
      <c r="CXC32" s="340"/>
      <c r="CXD32" s="340"/>
      <c r="CXE32" s="340"/>
      <c r="CXF32" s="340"/>
      <c r="CXG32" s="340"/>
      <c r="CXH32" s="340"/>
      <c r="CXI32" s="340"/>
      <c r="CXJ32" s="340"/>
      <c r="CXK32" s="340"/>
      <c r="CXL32" s="340"/>
      <c r="CXM32" s="340"/>
      <c r="CXN32" s="340"/>
      <c r="CXO32" s="340"/>
      <c r="CXP32" s="340"/>
      <c r="CXQ32" s="340"/>
      <c r="CXR32" s="340"/>
      <c r="CXS32" s="340"/>
      <c r="CXT32" s="340"/>
      <c r="CXU32" s="340"/>
      <c r="CXV32" s="340"/>
      <c r="CXW32" s="340"/>
      <c r="CXX32" s="340"/>
      <c r="CXY32" s="340"/>
      <c r="CXZ32" s="340"/>
      <c r="CYA32" s="340"/>
      <c r="CYB32" s="340"/>
      <c r="CYC32" s="340"/>
      <c r="CYD32" s="340"/>
      <c r="CYE32" s="340"/>
      <c r="CYF32" s="340"/>
      <c r="CYG32" s="340"/>
      <c r="CYH32" s="340"/>
      <c r="CYI32" s="340"/>
      <c r="CYJ32" s="340"/>
      <c r="CYK32" s="340"/>
      <c r="CYL32" s="340"/>
      <c r="CYM32" s="340"/>
      <c r="CYN32" s="340"/>
      <c r="CYO32" s="340"/>
      <c r="CYP32" s="340"/>
      <c r="CYQ32" s="340"/>
      <c r="CYR32" s="340"/>
      <c r="CYS32" s="340"/>
      <c r="CYT32" s="340"/>
      <c r="CYU32" s="340"/>
      <c r="CYV32" s="340"/>
      <c r="CYW32" s="340"/>
      <c r="CYX32" s="340"/>
      <c r="CYY32" s="340"/>
      <c r="CYZ32" s="340"/>
      <c r="CZA32" s="340"/>
      <c r="CZB32" s="340"/>
      <c r="CZC32" s="340"/>
      <c r="CZD32" s="340"/>
      <c r="CZE32" s="340"/>
      <c r="CZF32" s="340"/>
      <c r="CZG32" s="340"/>
      <c r="CZH32" s="340"/>
      <c r="CZI32" s="340"/>
      <c r="CZJ32" s="340"/>
      <c r="CZK32" s="340"/>
      <c r="CZL32" s="340"/>
      <c r="CZM32" s="340"/>
      <c r="CZN32" s="340"/>
      <c r="CZO32" s="340"/>
      <c r="CZP32" s="340"/>
      <c r="CZQ32" s="340"/>
      <c r="CZR32" s="340"/>
      <c r="CZS32" s="340"/>
      <c r="CZT32" s="340"/>
      <c r="CZU32" s="340"/>
      <c r="CZV32" s="340"/>
      <c r="CZW32" s="340"/>
      <c r="CZX32" s="340"/>
      <c r="CZY32" s="340"/>
      <c r="CZZ32" s="340"/>
      <c r="DAA32" s="340"/>
      <c r="DAB32" s="340"/>
      <c r="DAC32" s="340"/>
      <c r="DAD32" s="340"/>
      <c r="DAE32" s="340"/>
      <c r="DAF32" s="340"/>
      <c r="DAG32" s="340"/>
      <c r="DAH32" s="340"/>
      <c r="DAI32" s="340"/>
      <c r="DAJ32" s="340"/>
      <c r="DAK32" s="340"/>
      <c r="DAL32" s="340"/>
      <c r="DAM32" s="340"/>
      <c r="DAN32" s="340"/>
      <c r="DAO32" s="340"/>
      <c r="DAP32" s="340"/>
      <c r="DAQ32" s="340"/>
      <c r="DAR32" s="340"/>
      <c r="DAS32" s="340"/>
      <c r="DAT32" s="340"/>
      <c r="DAU32" s="340"/>
      <c r="DAV32" s="340"/>
      <c r="DAW32" s="340"/>
      <c r="DAX32" s="340"/>
      <c r="DAY32" s="340"/>
      <c r="DAZ32" s="340"/>
      <c r="DBA32" s="340"/>
      <c r="DBB32" s="340"/>
      <c r="DBC32" s="340"/>
      <c r="DBD32" s="340"/>
      <c r="DBE32" s="340"/>
      <c r="DBF32" s="340"/>
      <c r="DBG32" s="340"/>
      <c r="DBH32" s="340"/>
      <c r="DBI32" s="340"/>
      <c r="DBJ32" s="340"/>
      <c r="DBK32" s="340"/>
      <c r="DBL32" s="340"/>
      <c r="DBM32" s="340"/>
      <c r="DBN32" s="340"/>
      <c r="DBO32" s="340"/>
      <c r="DBP32" s="340"/>
      <c r="DBQ32" s="340"/>
      <c r="DBR32" s="340"/>
      <c r="DBS32" s="340"/>
      <c r="DBT32" s="340"/>
      <c r="DBU32" s="340"/>
      <c r="DBV32" s="340"/>
      <c r="DBW32" s="340"/>
      <c r="DBX32" s="340"/>
      <c r="DBY32" s="340"/>
      <c r="DBZ32" s="340"/>
      <c r="DCA32" s="340"/>
      <c r="DCB32" s="340"/>
      <c r="DCC32" s="340"/>
      <c r="DCD32" s="340"/>
      <c r="DCE32" s="340"/>
      <c r="DCF32" s="340"/>
      <c r="DCG32" s="340"/>
      <c r="DCH32" s="340"/>
      <c r="DCI32" s="340"/>
      <c r="DCJ32" s="340"/>
      <c r="DCK32" s="340"/>
      <c r="DCL32" s="340"/>
      <c r="DCM32" s="340"/>
      <c r="DCN32" s="340"/>
      <c r="DCO32" s="340"/>
      <c r="DCP32" s="340"/>
      <c r="DCQ32" s="340"/>
      <c r="DCR32" s="340"/>
      <c r="DCS32" s="340"/>
      <c r="DCT32" s="340"/>
      <c r="DCU32" s="340"/>
      <c r="DCV32" s="340"/>
      <c r="DCW32" s="340"/>
      <c r="DCX32" s="340"/>
      <c r="DCY32" s="340"/>
      <c r="DCZ32" s="340"/>
      <c r="DDA32" s="340"/>
      <c r="DDB32" s="340"/>
      <c r="DDC32" s="340"/>
      <c r="DDD32" s="340"/>
      <c r="DDE32" s="340"/>
      <c r="DDF32" s="340"/>
      <c r="DDG32" s="340"/>
      <c r="DDH32" s="340"/>
      <c r="DDI32" s="340"/>
      <c r="DDJ32" s="340"/>
      <c r="DDK32" s="340"/>
      <c r="DDL32" s="340"/>
      <c r="DDM32" s="340"/>
      <c r="DDN32" s="340"/>
      <c r="DDO32" s="340"/>
      <c r="DDP32" s="340"/>
      <c r="DDQ32" s="340"/>
      <c r="DDR32" s="340"/>
      <c r="DDS32" s="340"/>
      <c r="DDT32" s="340"/>
      <c r="DDU32" s="340"/>
      <c r="DDV32" s="340"/>
      <c r="DDW32" s="340"/>
      <c r="DDX32" s="340"/>
      <c r="DDY32" s="340"/>
      <c r="DDZ32" s="340"/>
      <c r="DEA32" s="340"/>
      <c r="DEB32" s="340"/>
      <c r="DEC32" s="340"/>
      <c r="DED32" s="340"/>
      <c r="DEE32" s="340"/>
      <c r="DEF32" s="340"/>
      <c r="DEG32" s="340"/>
      <c r="DEH32" s="340"/>
      <c r="DEI32" s="340"/>
      <c r="DEJ32" s="340"/>
      <c r="DEK32" s="340"/>
      <c r="DEL32" s="340"/>
      <c r="DEM32" s="340"/>
      <c r="DEN32" s="340"/>
      <c r="DEO32" s="340"/>
      <c r="DEP32" s="340"/>
      <c r="DEQ32" s="340"/>
      <c r="DER32" s="340"/>
      <c r="DES32" s="340"/>
      <c r="DET32" s="340"/>
      <c r="DEU32" s="340"/>
      <c r="DEV32" s="340"/>
      <c r="DEW32" s="340"/>
      <c r="DEX32" s="340"/>
      <c r="DEY32" s="340"/>
      <c r="DEZ32" s="340"/>
      <c r="DFA32" s="340"/>
      <c r="DFB32" s="340"/>
      <c r="DFC32" s="340"/>
      <c r="DFD32" s="340"/>
      <c r="DFE32" s="340"/>
      <c r="DFF32" s="340"/>
      <c r="DFG32" s="340"/>
      <c r="DFH32" s="340"/>
      <c r="DFI32" s="340"/>
      <c r="DFJ32" s="340"/>
      <c r="DFK32" s="340"/>
      <c r="DFL32" s="340"/>
      <c r="DFM32" s="340"/>
      <c r="DFN32" s="340"/>
      <c r="DFO32" s="340"/>
      <c r="DFP32" s="340"/>
      <c r="DFQ32" s="340"/>
      <c r="DFR32" s="340"/>
      <c r="DFS32" s="340"/>
      <c r="DFT32" s="340"/>
      <c r="DFU32" s="340"/>
      <c r="DFV32" s="340"/>
      <c r="DFW32" s="340"/>
      <c r="DFX32" s="340"/>
      <c r="DFY32" s="340"/>
      <c r="DFZ32" s="340"/>
      <c r="DGA32" s="340"/>
      <c r="DGB32" s="340"/>
      <c r="DGC32" s="340"/>
      <c r="DGD32" s="340"/>
      <c r="DGE32" s="340"/>
      <c r="DGF32" s="340"/>
      <c r="DGG32" s="340"/>
      <c r="DGH32" s="340"/>
      <c r="DGI32" s="340"/>
      <c r="DGJ32" s="340"/>
      <c r="DGK32" s="340"/>
      <c r="DGL32" s="340"/>
      <c r="DGM32" s="340"/>
      <c r="DGN32" s="340"/>
      <c r="DGO32" s="340"/>
      <c r="DGP32" s="340"/>
      <c r="DGQ32" s="340"/>
      <c r="DGR32" s="340"/>
      <c r="DGS32" s="340"/>
      <c r="DGT32" s="340"/>
      <c r="DGU32" s="340"/>
      <c r="DGV32" s="340"/>
      <c r="DGW32" s="340"/>
      <c r="DGX32" s="340"/>
      <c r="DGY32" s="340"/>
      <c r="DGZ32" s="340"/>
      <c r="DHA32" s="340"/>
      <c r="DHB32" s="340"/>
      <c r="DHC32" s="340"/>
      <c r="DHD32" s="340"/>
      <c r="DHE32" s="340"/>
      <c r="DHF32" s="340"/>
      <c r="DHG32" s="340"/>
      <c r="DHH32" s="340"/>
      <c r="DHI32" s="340"/>
      <c r="DHJ32" s="340"/>
      <c r="DHK32" s="340"/>
      <c r="DHL32" s="340"/>
      <c r="DHM32" s="340"/>
      <c r="DHN32" s="340"/>
      <c r="DHO32" s="340"/>
      <c r="DHP32" s="340"/>
      <c r="DHQ32" s="340"/>
      <c r="DHR32" s="340"/>
      <c r="DHS32" s="340"/>
      <c r="DHT32" s="340"/>
      <c r="DHU32" s="340"/>
      <c r="DHV32" s="340"/>
      <c r="DHW32" s="340"/>
      <c r="DHX32" s="340"/>
      <c r="DHY32" s="340"/>
      <c r="DHZ32" s="340"/>
      <c r="DIA32" s="340"/>
      <c r="DIB32" s="340"/>
      <c r="DIC32" s="340"/>
      <c r="DID32" s="340"/>
      <c r="DIE32" s="340"/>
      <c r="DIF32" s="340"/>
      <c r="DIG32" s="340"/>
      <c r="DIH32" s="340"/>
      <c r="DII32" s="340"/>
      <c r="DIJ32" s="340"/>
      <c r="DIK32" s="340"/>
      <c r="DIL32" s="340"/>
      <c r="DIM32" s="340"/>
      <c r="DIN32" s="340"/>
      <c r="DIO32" s="340"/>
      <c r="DIP32" s="340"/>
      <c r="DIQ32" s="340"/>
      <c r="DIR32" s="340"/>
      <c r="DIS32" s="340"/>
      <c r="DIT32" s="340"/>
      <c r="DIU32" s="340"/>
      <c r="DIV32" s="340"/>
      <c r="DIW32" s="340"/>
      <c r="DIX32" s="340"/>
      <c r="DIY32" s="340"/>
      <c r="DIZ32" s="340"/>
      <c r="DJA32" s="340"/>
      <c r="DJB32" s="340"/>
      <c r="DJC32" s="340"/>
      <c r="DJD32" s="340"/>
      <c r="DJE32" s="340"/>
      <c r="DJF32" s="340"/>
      <c r="DJG32" s="340"/>
      <c r="DJH32" s="340"/>
      <c r="DJI32" s="340"/>
      <c r="DJJ32" s="340"/>
      <c r="DJK32" s="340"/>
      <c r="DJL32" s="340"/>
      <c r="DJM32" s="340"/>
      <c r="DJN32" s="340"/>
      <c r="DJO32" s="340"/>
      <c r="DJP32" s="340"/>
      <c r="DJQ32" s="340"/>
      <c r="DJR32" s="340"/>
      <c r="DJS32" s="340"/>
      <c r="DJT32" s="340"/>
      <c r="DJU32" s="340"/>
      <c r="DJV32" s="340"/>
      <c r="DJW32" s="340"/>
      <c r="DJX32" s="340"/>
      <c r="DJY32" s="340"/>
      <c r="DJZ32" s="340"/>
      <c r="DKA32" s="340"/>
      <c r="DKB32" s="340"/>
      <c r="DKC32" s="340"/>
      <c r="DKD32" s="340"/>
      <c r="DKE32" s="340"/>
      <c r="DKF32" s="340"/>
      <c r="DKG32" s="340"/>
      <c r="DKH32" s="340"/>
      <c r="DKI32" s="340"/>
      <c r="DKJ32" s="340"/>
      <c r="DKK32" s="340"/>
      <c r="DKL32" s="340"/>
      <c r="DKM32" s="340"/>
      <c r="DKN32" s="340"/>
      <c r="DKO32" s="340"/>
      <c r="DKP32" s="340"/>
      <c r="DKQ32" s="340"/>
      <c r="DKR32" s="340"/>
      <c r="DKS32" s="340"/>
      <c r="DKT32" s="340"/>
      <c r="DKU32" s="340"/>
      <c r="DKV32" s="340"/>
      <c r="DKW32" s="340"/>
      <c r="DKX32" s="340"/>
      <c r="DKY32" s="340"/>
      <c r="DKZ32" s="340"/>
      <c r="DLA32" s="340"/>
      <c r="DLB32" s="340"/>
      <c r="DLC32" s="340"/>
      <c r="DLD32" s="340"/>
      <c r="DLE32" s="340"/>
      <c r="DLF32" s="340"/>
      <c r="DLG32" s="340"/>
      <c r="DLH32" s="340"/>
      <c r="DLI32" s="340"/>
      <c r="DLJ32" s="340"/>
      <c r="DLK32" s="340"/>
      <c r="DLL32" s="340"/>
      <c r="DLM32" s="340"/>
      <c r="DLN32" s="340"/>
      <c r="DLO32" s="340"/>
      <c r="DLP32" s="340"/>
      <c r="DLQ32" s="340"/>
      <c r="DLR32" s="340"/>
      <c r="DLS32" s="340"/>
      <c r="DLT32" s="340"/>
      <c r="DLU32" s="340"/>
      <c r="DLV32" s="340"/>
      <c r="DLW32" s="340"/>
      <c r="DLX32" s="340"/>
      <c r="DLY32" s="340"/>
      <c r="DLZ32" s="340"/>
      <c r="DMA32" s="340"/>
      <c r="DMB32" s="340"/>
      <c r="DMC32" s="340"/>
      <c r="DMD32" s="340"/>
      <c r="DME32" s="340"/>
      <c r="DMF32" s="340"/>
      <c r="DMG32" s="340"/>
      <c r="DMH32" s="340"/>
      <c r="DMI32" s="340"/>
      <c r="DMJ32" s="340"/>
      <c r="DMK32" s="340"/>
      <c r="DML32" s="340"/>
      <c r="DMM32" s="340"/>
      <c r="DMN32" s="340"/>
      <c r="DMO32" s="340"/>
      <c r="DMP32" s="340"/>
      <c r="DMQ32" s="340"/>
      <c r="DMR32" s="340"/>
      <c r="DMS32" s="340"/>
      <c r="DMT32" s="340"/>
      <c r="DMU32" s="340"/>
      <c r="DMV32" s="340"/>
      <c r="DMW32" s="340"/>
      <c r="DMX32" s="340"/>
      <c r="DMY32" s="340"/>
      <c r="DMZ32" s="340"/>
      <c r="DNA32" s="340"/>
      <c r="DNB32" s="340"/>
      <c r="DNC32" s="340"/>
      <c r="DND32" s="340"/>
      <c r="DNE32" s="340"/>
      <c r="DNF32" s="340"/>
      <c r="DNG32" s="340"/>
      <c r="DNH32" s="340"/>
      <c r="DNI32" s="340"/>
      <c r="DNJ32" s="340"/>
      <c r="DNK32" s="340"/>
      <c r="DNL32" s="340"/>
      <c r="DNM32" s="340"/>
      <c r="DNN32" s="340"/>
      <c r="DNO32" s="340"/>
      <c r="DNP32" s="340"/>
      <c r="DNQ32" s="340"/>
      <c r="DNR32" s="340"/>
      <c r="DNS32" s="340"/>
      <c r="DNT32" s="340"/>
      <c r="DNU32" s="340"/>
      <c r="DNV32" s="340"/>
      <c r="DNW32" s="340"/>
      <c r="DNX32" s="340"/>
      <c r="DNY32" s="340"/>
      <c r="DNZ32" s="340"/>
      <c r="DOA32" s="340"/>
      <c r="DOB32" s="340"/>
      <c r="DOC32" s="340"/>
      <c r="DOD32" s="340"/>
      <c r="DOE32" s="340"/>
      <c r="DOF32" s="340"/>
      <c r="DOG32" s="340"/>
      <c r="DOH32" s="340"/>
      <c r="DOI32" s="340"/>
      <c r="DOJ32" s="340"/>
      <c r="DOK32" s="340"/>
      <c r="DOL32" s="340"/>
      <c r="DOM32" s="340"/>
      <c r="DON32" s="340"/>
      <c r="DOO32" s="340"/>
      <c r="DOP32" s="340"/>
      <c r="DOQ32" s="340"/>
      <c r="DOR32" s="340"/>
      <c r="DOS32" s="340"/>
      <c r="DOT32" s="340"/>
      <c r="DOU32" s="340"/>
      <c r="DOV32" s="340"/>
      <c r="DOW32" s="340"/>
      <c r="DOX32" s="340"/>
      <c r="DOY32" s="340"/>
      <c r="DOZ32" s="340"/>
      <c r="DPA32" s="340"/>
      <c r="DPB32" s="340"/>
      <c r="DPC32" s="340"/>
      <c r="DPD32" s="340"/>
      <c r="DPE32" s="340"/>
      <c r="DPF32" s="340"/>
      <c r="DPG32" s="340"/>
      <c r="DPH32" s="340"/>
      <c r="DPI32" s="340"/>
      <c r="DPJ32" s="340"/>
      <c r="DPK32" s="340"/>
      <c r="DPL32" s="340"/>
      <c r="DPM32" s="340"/>
      <c r="DPN32" s="340"/>
      <c r="DPO32" s="340"/>
      <c r="DPP32" s="340"/>
      <c r="DPQ32" s="340"/>
      <c r="DPR32" s="340"/>
      <c r="DPS32" s="340"/>
      <c r="DPT32" s="340"/>
      <c r="DPU32" s="340"/>
      <c r="DPV32" s="340"/>
      <c r="DPW32" s="340"/>
      <c r="DPX32" s="340"/>
      <c r="DPY32" s="340"/>
      <c r="DPZ32" s="340"/>
      <c r="DQA32" s="340"/>
      <c r="DQB32" s="340"/>
      <c r="DQC32" s="340"/>
      <c r="DQD32" s="340"/>
      <c r="DQE32" s="340"/>
      <c r="DQF32" s="340"/>
      <c r="DQG32" s="340"/>
      <c r="DQH32" s="340"/>
      <c r="DQI32" s="340"/>
      <c r="DQJ32" s="340"/>
      <c r="DQK32" s="340"/>
      <c r="DQL32" s="340"/>
      <c r="DQM32" s="340"/>
      <c r="DQN32" s="340"/>
      <c r="DQO32" s="340"/>
      <c r="DQP32" s="340"/>
      <c r="DQQ32" s="340"/>
      <c r="DQR32" s="340"/>
      <c r="DQS32" s="340"/>
      <c r="DQT32" s="340"/>
      <c r="DQU32" s="340"/>
      <c r="DQV32" s="340"/>
      <c r="DQW32" s="340"/>
      <c r="DQX32" s="340"/>
      <c r="DQY32" s="340"/>
      <c r="DQZ32" s="340"/>
      <c r="DRA32" s="340"/>
      <c r="DRB32" s="340"/>
      <c r="DRC32" s="340"/>
      <c r="DRD32" s="340"/>
      <c r="DRE32" s="340"/>
      <c r="DRF32" s="340"/>
      <c r="DRG32" s="340"/>
      <c r="DRH32" s="340"/>
      <c r="DRI32" s="340"/>
      <c r="DRJ32" s="340"/>
      <c r="DRK32" s="340"/>
      <c r="DRL32" s="340"/>
      <c r="DRM32" s="340"/>
      <c r="DRN32" s="340"/>
      <c r="DRO32" s="340"/>
      <c r="DRP32" s="340"/>
      <c r="DRQ32" s="340"/>
      <c r="DRR32" s="340"/>
      <c r="DRS32" s="340"/>
      <c r="DRT32" s="340"/>
      <c r="DRU32" s="340"/>
      <c r="DRV32" s="340"/>
      <c r="DRW32" s="340"/>
      <c r="DRX32" s="340"/>
      <c r="DRY32" s="340"/>
      <c r="DRZ32" s="340"/>
      <c r="DSA32" s="340"/>
      <c r="DSB32" s="340"/>
      <c r="DSC32" s="340"/>
      <c r="DSD32" s="340"/>
      <c r="DSE32" s="340"/>
      <c r="DSF32" s="340"/>
      <c r="DSG32" s="340"/>
      <c r="DSH32" s="340"/>
      <c r="DSI32" s="340"/>
      <c r="DSJ32" s="340"/>
      <c r="DSK32" s="340"/>
      <c r="DSL32" s="340"/>
      <c r="DSM32" s="340"/>
      <c r="DSN32" s="340"/>
      <c r="DSO32" s="340"/>
      <c r="DSP32" s="340"/>
      <c r="DSQ32" s="340"/>
      <c r="DSR32" s="340"/>
      <c r="DSS32" s="340"/>
      <c r="DST32" s="340"/>
      <c r="DSU32" s="340"/>
      <c r="DSV32" s="340"/>
      <c r="DSW32" s="340"/>
      <c r="DSX32" s="340"/>
      <c r="DSY32" s="340"/>
      <c r="DSZ32" s="340"/>
      <c r="DTA32" s="340"/>
      <c r="DTB32" s="340"/>
      <c r="DTC32" s="340"/>
      <c r="DTD32" s="340"/>
      <c r="DTE32" s="340"/>
      <c r="DTF32" s="340"/>
      <c r="DTG32" s="340"/>
      <c r="DTH32" s="340"/>
      <c r="DTI32" s="340"/>
      <c r="DTJ32" s="340"/>
      <c r="DTK32" s="340"/>
      <c r="DTL32" s="340"/>
      <c r="DTM32" s="340"/>
      <c r="DTN32" s="340"/>
      <c r="DTO32" s="340"/>
      <c r="DTP32" s="340"/>
      <c r="DTQ32" s="340"/>
      <c r="DTR32" s="340"/>
      <c r="DTS32" s="340"/>
      <c r="DTT32" s="340"/>
      <c r="DTU32" s="340"/>
      <c r="DTV32" s="340"/>
      <c r="DTW32" s="340"/>
      <c r="DTX32" s="340"/>
      <c r="DTY32" s="340"/>
      <c r="DTZ32" s="340"/>
      <c r="DUA32" s="340"/>
      <c r="DUB32" s="340"/>
      <c r="DUC32" s="340"/>
      <c r="DUD32" s="340"/>
      <c r="DUE32" s="340"/>
      <c r="DUF32" s="340"/>
      <c r="DUG32" s="340"/>
      <c r="DUH32" s="340"/>
      <c r="DUI32" s="340"/>
      <c r="DUJ32" s="340"/>
      <c r="DUK32" s="340"/>
      <c r="DUL32" s="340"/>
      <c r="DUM32" s="340"/>
      <c r="DUN32" s="340"/>
      <c r="DUO32" s="340"/>
      <c r="DUP32" s="340"/>
      <c r="DUQ32" s="340"/>
      <c r="DUR32" s="340"/>
      <c r="DUS32" s="340"/>
      <c r="DUT32" s="340"/>
      <c r="DUU32" s="340"/>
      <c r="DUV32" s="340"/>
      <c r="DUW32" s="340"/>
      <c r="DUX32" s="340"/>
      <c r="DUY32" s="340"/>
      <c r="DUZ32" s="340"/>
      <c r="DVA32" s="340"/>
      <c r="DVB32" s="340"/>
      <c r="DVC32" s="340"/>
      <c r="DVD32" s="340"/>
      <c r="DVE32" s="340"/>
      <c r="DVF32" s="340"/>
      <c r="DVG32" s="340"/>
      <c r="DVH32" s="340"/>
      <c r="DVI32" s="340"/>
      <c r="DVJ32" s="340"/>
      <c r="DVK32" s="340"/>
      <c r="DVL32" s="340"/>
      <c r="DVM32" s="340"/>
      <c r="DVN32" s="340"/>
      <c r="DVO32" s="340"/>
      <c r="DVP32" s="340"/>
      <c r="DVQ32" s="340"/>
      <c r="DVR32" s="340"/>
      <c r="DVS32" s="340"/>
      <c r="DVT32" s="340"/>
      <c r="DVU32" s="340"/>
      <c r="DVV32" s="340"/>
      <c r="DVW32" s="340"/>
      <c r="DVX32" s="340"/>
      <c r="DVY32" s="340"/>
      <c r="DVZ32" s="340"/>
      <c r="DWA32" s="340"/>
      <c r="DWB32" s="340"/>
      <c r="DWC32" s="340"/>
      <c r="DWD32" s="340"/>
      <c r="DWE32" s="340"/>
      <c r="DWF32" s="340"/>
      <c r="DWG32" s="340"/>
      <c r="DWH32" s="340"/>
      <c r="DWI32" s="340"/>
      <c r="DWJ32" s="340"/>
      <c r="DWK32" s="340"/>
      <c r="DWL32" s="340"/>
      <c r="DWM32" s="340"/>
      <c r="DWN32" s="340"/>
      <c r="DWO32" s="340"/>
      <c r="DWP32" s="340"/>
      <c r="DWQ32" s="340"/>
      <c r="DWR32" s="340"/>
      <c r="DWS32" s="340"/>
      <c r="DWT32" s="340"/>
      <c r="DWU32" s="340"/>
      <c r="DWV32" s="340"/>
      <c r="DWW32" s="340"/>
      <c r="DWX32" s="340"/>
      <c r="DWY32" s="340"/>
      <c r="DWZ32" s="340"/>
      <c r="DXA32" s="340"/>
      <c r="DXB32" s="340"/>
      <c r="DXC32" s="340"/>
      <c r="DXD32" s="340"/>
      <c r="DXE32" s="340"/>
      <c r="DXF32" s="340"/>
      <c r="DXG32" s="340"/>
      <c r="DXH32" s="340"/>
      <c r="DXI32" s="340"/>
      <c r="DXJ32" s="340"/>
      <c r="DXK32" s="340"/>
      <c r="DXL32" s="340"/>
      <c r="DXM32" s="340"/>
      <c r="DXN32" s="340"/>
      <c r="DXO32" s="340"/>
      <c r="DXP32" s="340"/>
      <c r="DXQ32" s="340"/>
      <c r="DXR32" s="340"/>
      <c r="DXS32" s="340"/>
      <c r="DXT32" s="340"/>
      <c r="DXU32" s="340"/>
      <c r="DXV32" s="340"/>
      <c r="DXW32" s="340"/>
      <c r="DXX32" s="340"/>
      <c r="DXY32" s="340"/>
      <c r="DXZ32" s="340"/>
      <c r="DYA32" s="340"/>
      <c r="DYB32" s="340"/>
      <c r="DYC32" s="340"/>
      <c r="DYD32" s="340"/>
      <c r="DYE32" s="340"/>
      <c r="DYF32" s="340"/>
      <c r="DYG32" s="340"/>
      <c r="DYH32" s="340"/>
      <c r="DYI32" s="340"/>
      <c r="DYJ32" s="340"/>
      <c r="DYK32" s="340"/>
      <c r="DYL32" s="340"/>
      <c r="DYM32" s="340"/>
      <c r="DYN32" s="340"/>
      <c r="DYO32" s="340"/>
      <c r="DYP32" s="340"/>
      <c r="DYQ32" s="340"/>
      <c r="DYR32" s="340"/>
      <c r="DYS32" s="340"/>
      <c r="DYT32" s="340"/>
      <c r="DYU32" s="340"/>
      <c r="DYV32" s="340"/>
      <c r="DYW32" s="340"/>
      <c r="DYX32" s="340"/>
      <c r="DYY32" s="340"/>
      <c r="DYZ32" s="340"/>
      <c r="DZA32" s="340"/>
      <c r="DZB32" s="340"/>
      <c r="DZC32" s="340"/>
      <c r="DZD32" s="340"/>
      <c r="DZE32" s="340"/>
      <c r="DZF32" s="340"/>
      <c r="DZG32" s="340"/>
      <c r="DZH32" s="340"/>
      <c r="DZI32" s="340"/>
      <c r="DZJ32" s="340"/>
      <c r="DZK32" s="340"/>
      <c r="DZL32" s="340"/>
      <c r="DZM32" s="340"/>
      <c r="DZN32" s="340"/>
      <c r="DZO32" s="340"/>
      <c r="DZP32" s="340"/>
      <c r="DZQ32" s="340"/>
      <c r="DZR32" s="340"/>
      <c r="DZS32" s="340"/>
      <c r="DZT32" s="340"/>
      <c r="DZU32" s="340"/>
      <c r="DZV32" s="340"/>
      <c r="DZW32" s="340"/>
      <c r="DZX32" s="340"/>
      <c r="DZY32" s="340"/>
      <c r="DZZ32" s="340"/>
      <c r="EAA32" s="340"/>
      <c r="EAB32" s="340"/>
      <c r="EAC32" s="340"/>
      <c r="EAD32" s="340"/>
      <c r="EAE32" s="340"/>
      <c r="EAF32" s="340"/>
      <c r="EAG32" s="340"/>
      <c r="EAH32" s="340"/>
      <c r="EAI32" s="340"/>
      <c r="EAJ32" s="340"/>
      <c r="EAK32" s="340"/>
      <c r="EAL32" s="340"/>
      <c r="EAM32" s="340"/>
      <c r="EAN32" s="340"/>
      <c r="EAO32" s="340"/>
      <c r="EAP32" s="340"/>
      <c r="EAQ32" s="340"/>
      <c r="EAR32" s="340"/>
      <c r="EAS32" s="340"/>
      <c r="EAT32" s="340"/>
      <c r="EAU32" s="340"/>
      <c r="EAV32" s="340"/>
      <c r="EAW32" s="340"/>
      <c r="EAX32" s="340"/>
      <c r="EAY32" s="340"/>
      <c r="EAZ32" s="340"/>
      <c r="EBA32" s="340"/>
      <c r="EBB32" s="340"/>
      <c r="EBC32" s="340"/>
      <c r="EBD32" s="340"/>
      <c r="EBE32" s="340"/>
      <c r="EBF32" s="340"/>
      <c r="EBG32" s="340"/>
      <c r="EBH32" s="340"/>
      <c r="EBI32" s="340"/>
      <c r="EBJ32" s="340"/>
      <c r="EBK32" s="340"/>
      <c r="EBL32" s="340"/>
      <c r="EBM32" s="340"/>
      <c r="EBN32" s="340"/>
      <c r="EBO32" s="340"/>
      <c r="EBP32" s="340"/>
      <c r="EBQ32" s="340"/>
      <c r="EBR32" s="340"/>
      <c r="EBS32" s="340"/>
      <c r="EBT32" s="340"/>
      <c r="EBU32" s="340"/>
      <c r="EBV32" s="340"/>
      <c r="EBW32" s="340"/>
      <c r="EBX32" s="340"/>
      <c r="EBY32" s="340"/>
      <c r="EBZ32" s="340"/>
      <c r="ECA32" s="340"/>
      <c r="ECB32" s="340"/>
      <c r="ECC32" s="340"/>
      <c r="ECD32" s="340"/>
      <c r="ECE32" s="340"/>
      <c r="ECF32" s="340"/>
      <c r="ECG32" s="340"/>
      <c r="ECH32" s="340"/>
      <c r="ECI32" s="340"/>
      <c r="ECJ32" s="340"/>
      <c r="ECK32" s="340"/>
      <c r="ECL32" s="340"/>
      <c r="ECM32" s="340"/>
      <c r="ECN32" s="340"/>
      <c r="ECO32" s="340"/>
      <c r="ECP32" s="340"/>
      <c r="ECQ32" s="340"/>
      <c r="ECR32" s="340"/>
      <c r="ECS32" s="340"/>
      <c r="ECT32" s="340"/>
      <c r="ECU32" s="340"/>
      <c r="ECV32" s="340"/>
      <c r="ECW32" s="340"/>
      <c r="ECX32" s="340"/>
      <c r="ECY32" s="340"/>
      <c r="ECZ32" s="340"/>
      <c r="EDA32" s="340"/>
      <c r="EDB32" s="340"/>
      <c r="EDC32" s="340"/>
      <c r="EDD32" s="340"/>
      <c r="EDE32" s="340"/>
      <c r="EDF32" s="340"/>
      <c r="EDG32" s="340"/>
      <c r="EDH32" s="340"/>
      <c r="EDI32" s="340"/>
      <c r="EDJ32" s="340"/>
      <c r="EDK32" s="340"/>
      <c r="EDL32" s="340"/>
      <c r="EDM32" s="340"/>
      <c r="EDN32" s="340"/>
      <c r="EDO32" s="340"/>
      <c r="EDP32" s="340"/>
      <c r="EDQ32" s="340"/>
      <c r="EDR32" s="340"/>
      <c r="EDS32" s="340"/>
      <c r="EDT32" s="340"/>
      <c r="EDU32" s="340"/>
      <c r="EDV32" s="340"/>
      <c r="EDW32" s="340"/>
      <c r="EDX32" s="340"/>
      <c r="EDY32" s="340"/>
      <c r="EDZ32" s="340"/>
      <c r="EEA32" s="340"/>
      <c r="EEB32" s="340"/>
      <c r="EEC32" s="340"/>
      <c r="EED32" s="340"/>
      <c r="EEE32" s="340"/>
      <c r="EEF32" s="340"/>
      <c r="EEG32" s="340"/>
      <c r="EEH32" s="340"/>
      <c r="EEI32" s="340"/>
      <c r="EEJ32" s="340"/>
      <c r="EEK32" s="340"/>
      <c r="EEL32" s="340"/>
      <c r="EEM32" s="340"/>
      <c r="EEN32" s="340"/>
      <c r="EEO32" s="340"/>
      <c r="EEP32" s="340"/>
      <c r="EEQ32" s="340"/>
      <c r="EER32" s="340"/>
      <c r="EES32" s="340"/>
      <c r="EET32" s="340"/>
      <c r="EEU32" s="340"/>
      <c r="EEV32" s="340"/>
      <c r="EEW32" s="340"/>
      <c r="EEX32" s="340"/>
      <c r="EEY32" s="340"/>
      <c r="EEZ32" s="340"/>
      <c r="EFA32" s="340"/>
      <c r="EFB32" s="340"/>
      <c r="EFC32" s="340"/>
      <c r="EFD32" s="340"/>
      <c r="EFE32" s="340"/>
      <c r="EFF32" s="340"/>
      <c r="EFG32" s="340"/>
      <c r="EFH32" s="340"/>
      <c r="EFI32" s="340"/>
      <c r="EFJ32" s="340"/>
      <c r="EFK32" s="340"/>
      <c r="EFL32" s="340"/>
      <c r="EFM32" s="340"/>
      <c r="EFN32" s="340"/>
      <c r="EFO32" s="340"/>
      <c r="EFP32" s="340"/>
      <c r="EFQ32" s="340"/>
      <c r="EFR32" s="340"/>
      <c r="EFS32" s="340"/>
      <c r="EFT32" s="340"/>
      <c r="EFU32" s="340"/>
      <c r="EFV32" s="340"/>
      <c r="EFW32" s="340"/>
      <c r="EFX32" s="340"/>
      <c r="EFY32" s="340"/>
      <c r="EFZ32" s="340"/>
      <c r="EGA32" s="340"/>
      <c r="EGB32" s="340"/>
      <c r="EGC32" s="340"/>
      <c r="EGD32" s="340"/>
      <c r="EGE32" s="340"/>
      <c r="EGF32" s="340"/>
      <c r="EGG32" s="340"/>
      <c r="EGH32" s="340"/>
      <c r="EGI32" s="340"/>
      <c r="EGJ32" s="340"/>
      <c r="EGK32" s="340"/>
      <c r="EGL32" s="340"/>
      <c r="EGM32" s="340"/>
      <c r="EGN32" s="340"/>
      <c r="EGO32" s="340"/>
      <c r="EGP32" s="340"/>
      <c r="EGQ32" s="340"/>
      <c r="EGR32" s="340"/>
      <c r="EGS32" s="340"/>
      <c r="EGT32" s="340"/>
      <c r="EGU32" s="340"/>
      <c r="EGV32" s="340"/>
      <c r="EGW32" s="340"/>
      <c r="EGX32" s="340"/>
      <c r="EGY32" s="340"/>
      <c r="EGZ32" s="340"/>
      <c r="EHA32" s="340"/>
      <c r="EHB32" s="340"/>
      <c r="EHC32" s="340"/>
      <c r="EHD32" s="340"/>
      <c r="EHE32" s="340"/>
      <c r="EHF32" s="340"/>
      <c r="EHG32" s="340"/>
      <c r="EHH32" s="340"/>
      <c r="EHI32" s="340"/>
      <c r="EHJ32" s="340"/>
      <c r="EHK32" s="340"/>
      <c r="EHL32" s="340"/>
      <c r="EHM32" s="340"/>
      <c r="EHN32" s="340"/>
      <c r="EHO32" s="340"/>
      <c r="EHP32" s="340"/>
      <c r="EHQ32" s="340"/>
      <c r="EHR32" s="340"/>
      <c r="EHS32" s="340"/>
      <c r="EHT32" s="340"/>
      <c r="EHU32" s="340"/>
      <c r="EHV32" s="340"/>
      <c r="EHW32" s="340"/>
      <c r="EHX32" s="340"/>
      <c r="EHY32" s="340"/>
      <c r="EHZ32" s="340"/>
      <c r="EIA32" s="340"/>
      <c r="EIB32" s="340"/>
      <c r="EIC32" s="340"/>
      <c r="EID32" s="340"/>
      <c r="EIE32" s="340"/>
      <c r="EIF32" s="340"/>
      <c r="EIG32" s="340"/>
      <c r="EIH32" s="340"/>
      <c r="EII32" s="340"/>
      <c r="EIJ32" s="340"/>
      <c r="EIK32" s="340"/>
      <c r="EIL32" s="340"/>
      <c r="EIM32" s="340"/>
      <c r="EIN32" s="340"/>
      <c r="EIO32" s="340"/>
      <c r="EIP32" s="340"/>
      <c r="EIQ32" s="340"/>
      <c r="EIR32" s="340"/>
      <c r="EIS32" s="340"/>
      <c r="EIT32" s="340"/>
      <c r="EIU32" s="340"/>
      <c r="EIV32" s="340"/>
      <c r="EIW32" s="340"/>
      <c r="EIX32" s="340"/>
      <c r="EIY32" s="340"/>
      <c r="EIZ32" s="340"/>
      <c r="EJA32" s="340"/>
      <c r="EJB32" s="340"/>
      <c r="EJC32" s="340"/>
      <c r="EJD32" s="340"/>
      <c r="EJE32" s="340"/>
      <c r="EJF32" s="340"/>
      <c r="EJG32" s="340"/>
      <c r="EJH32" s="340"/>
      <c r="EJI32" s="340"/>
      <c r="EJJ32" s="340"/>
      <c r="EJK32" s="340"/>
      <c r="EJL32" s="340"/>
      <c r="EJM32" s="340"/>
      <c r="EJN32" s="340"/>
      <c r="EJO32" s="340"/>
      <c r="EJP32" s="340"/>
      <c r="EJQ32" s="340"/>
      <c r="EJR32" s="340"/>
      <c r="EJS32" s="340"/>
      <c r="EJT32" s="340"/>
      <c r="EJU32" s="340"/>
      <c r="EJV32" s="340"/>
      <c r="EJW32" s="340"/>
      <c r="EJX32" s="340"/>
      <c r="EJY32" s="340"/>
      <c r="EJZ32" s="340"/>
      <c r="EKA32" s="340"/>
      <c r="EKB32" s="340"/>
      <c r="EKC32" s="340"/>
      <c r="EKD32" s="340"/>
      <c r="EKE32" s="340"/>
      <c r="EKF32" s="340"/>
      <c r="EKG32" s="340"/>
      <c r="EKH32" s="340"/>
      <c r="EKI32" s="340"/>
      <c r="EKJ32" s="340"/>
      <c r="EKK32" s="340"/>
      <c r="EKL32" s="340"/>
      <c r="EKM32" s="340"/>
      <c r="EKN32" s="340"/>
      <c r="EKO32" s="340"/>
      <c r="EKP32" s="340"/>
      <c r="EKQ32" s="340"/>
      <c r="EKR32" s="340"/>
      <c r="EKS32" s="340"/>
      <c r="EKT32" s="340"/>
      <c r="EKU32" s="340"/>
      <c r="EKV32" s="340"/>
      <c r="EKW32" s="340"/>
      <c r="EKX32" s="340"/>
      <c r="EKY32" s="340"/>
      <c r="EKZ32" s="340"/>
      <c r="ELA32" s="340"/>
      <c r="ELB32" s="340"/>
      <c r="ELC32" s="340"/>
      <c r="ELD32" s="340"/>
      <c r="ELE32" s="340"/>
      <c r="ELF32" s="340"/>
      <c r="ELG32" s="340"/>
      <c r="ELH32" s="340"/>
      <c r="ELI32" s="340"/>
      <c r="ELJ32" s="340"/>
      <c r="ELK32" s="340"/>
      <c r="ELL32" s="340"/>
      <c r="ELM32" s="340"/>
      <c r="ELN32" s="340"/>
      <c r="ELO32" s="340"/>
      <c r="ELP32" s="340"/>
      <c r="ELQ32" s="340"/>
      <c r="ELR32" s="340"/>
      <c r="ELS32" s="340"/>
      <c r="ELT32" s="340"/>
      <c r="ELU32" s="340"/>
      <c r="ELV32" s="340"/>
      <c r="ELW32" s="340"/>
      <c r="ELX32" s="340"/>
      <c r="ELY32" s="340"/>
      <c r="ELZ32" s="340"/>
      <c r="EMA32" s="340"/>
      <c r="EMB32" s="340"/>
      <c r="EMC32" s="340"/>
      <c r="EMD32" s="340"/>
      <c r="EME32" s="340"/>
      <c r="EMF32" s="340"/>
      <c r="EMG32" s="340"/>
      <c r="EMH32" s="340"/>
      <c r="EMI32" s="340"/>
      <c r="EMJ32" s="340"/>
      <c r="EMK32" s="340"/>
      <c r="EML32" s="340"/>
      <c r="EMM32" s="340"/>
      <c r="EMN32" s="340"/>
      <c r="EMO32" s="340"/>
      <c r="EMP32" s="340"/>
      <c r="EMQ32" s="340"/>
      <c r="EMR32" s="340"/>
      <c r="EMS32" s="340"/>
      <c r="EMT32" s="340"/>
      <c r="EMU32" s="340"/>
      <c r="EMV32" s="340"/>
      <c r="EMW32" s="340"/>
      <c r="EMX32" s="340"/>
      <c r="EMY32" s="340"/>
      <c r="EMZ32" s="340"/>
      <c r="ENA32" s="340"/>
      <c r="ENB32" s="340"/>
      <c r="ENC32" s="340"/>
      <c r="END32" s="340"/>
      <c r="ENE32" s="340"/>
      <c r="ENF32" s="340"/>
      <c r="ENG32" s="340"/>
      <c r="ENH32" s="340"/>
      <c r="ENI32" s="340"/>
      <c r="ENJ32" s="340"/>
      <c r="ENK32" s="340"/>
      <c r="ENL32" s="340"/>
      <c r="ENM32" s="340"/>
      <c r="ENN32" s="340"/>
      <c r="ENO32" s="340"/>
      <c r="ENP32" s="340"/>
      <c r="ENQ32" s="340"/>
      <c r="ENR32" s="340"/>
      <c r="ENS32" s="340"/>
      <c r="ENT32" s="340"/>
      <c r="ENU32" s="340"/>
      <c r="ENV32" s="340"/>
      <c r="ENW32" s="340"/>
      <c r="ENX32" s="340"/>
      <c r="ENY32" s="340"/>
      <c r="ENZ32" s="340"/>
      <c r="EOA32" s="340"/>
      <c r="EOB32" s="340"/>
      <c r="EOC32" s="340"/>
      <c r="EOD32" s="340"/>
      <c r="EOE32" s="340"/>
      <c r="EOF32" s="340"/>
      <c r="EOG32" s="340"/>
      <c r="EOH32" s="340"/>
      <c r="EOI32" s="340"/>
      <c r="EOJ32" s="340"/>
      <c r="EOK32" s="340"/>
      <c r="EOL32" s="340"/>
      <c r="EOM32" s="340"/>
      <c r="EON32" s="340"/>
      <c r="EOO32" s="340"/>
      <c r="EOP32" s="340"/>
      <c r="EOQ32" s="340"/>
      <c r="EOR32" s="340"/>
      <c r="EOS32" s="340"/>
      <c r="EOT32" s="340"/>
      <c r="EOU32" s="340"/>
      <c r="EOV32" s="340"/>
      <c r="EOW32" s="340"/>
      <c r="EOX32" s="340"/>
      <c r="EOY32" s="340"/>
      <c r="EOZ32" s="340"/>
      <c r="EPA32" s="340"/>
      <c r="EPB32" s="340"/>
      <c r="EPC32" s="340"/>
      <c r="EPD32" s="340"/>
      <c r="EPE32" s="340"/>
      <c r="EPF32" s="340"/>
      <c r="EPG32" s="340"/>
      <c r="EPH32" s="340"/>
      <c r="EPI32" s="340"/>
      <c r="EPJ32" s="340"/>
      <c r="EPK32" s="340"/>
      <c r="EPL32" s="340"/>
      <c r="EPM32" s="340"/>
      <c r="EPN32" s="340"/>
      <c r="EPO32" s="340"/>
      <c r="EPP32" s="340"/>
      <c r="EPQ32" s="340"/>
      <c r="EPR32" s="340"/>
      <c r="EPS32" s="340"/>
      <c r="EPT32" s="340"/>
      <c r="EPU32" s="340"/>
      <c r="EPV32" s="340"/>
      <c r="EPW32" s="340"/>
      <c r="EPX32" s="340"/>
      <c r="EPY32" s="340"/>
      <c r="EPZ32" s="340"/>
      <c r="EQA32" s="340"/>
      <c r="EQB32" s="340"/>
      <c r="EQC32" s="340"/>
      <c r="EQD32" s="340"/>
      <c r="EQE32" s="340"/>
      <c r="EQF32" s="340"/>
      <c r="EQG32" s="340"/>
      <c r="EQH32" s="340"/>
      <c r="EQI32" s="340"/>
      <c r="EQJ32" s="340"/>
      <c r="EQK32" s="340"/>
      <c r="EQL32" s="340"/>
      <c r="EQM32" s="340"/>
      <c r="EQN32" s="340"/>
      <c r="EQO32" s="340"/>
      <c r="EQP32" s="340"/>
      <c r="EQQ32" s="340"/>
      <c r="EQR32" s="340"/>
      <c r="EQS32" s="340"/>
      <c r="EQT32" s="340"/>
      <c r="EQU32" s="340"/>
      <c r="EQV32" s="340"/>
      <c r="EQW32" s="340"/>
      <c r="EQX32" s="340"/>
      <c r="EQY32" s="340"/>
      <c r="EQZ32" s="340"/>
      <c r="ERA32" s="340"/>
      <c r="ERB32" s="340"/>
      <c r="ERC32" s="340"/>
      <c r="ERD32" s="340"/>
      <c r="ERE32" s="340"/>
      <c r="ERF32" s="340"/>
      <c r="ERG32" s="340"/>
      <c r="ERH32" s="340"/>
      <c r="ERI32" s="340"/>
      <c r="ERJ32" s="340"/>
      <c r="ERK32" s="340"/>
      <c r="ERL32" s="340"/>
      <c r="ERM32" s="340"/>
      <c r="ERN32" s="340"/>
      <c r="ERO32" s="340"/>
      <c r="ERP32" s="340"/>
      <c r="ERQ32" s="340"/>
      <c r="ERR32" s="340"/>
      <c r="ERS32" s="340"/>
      <c r="ERT32" s="340"/>
      <c r="ERU32" s="340"/>
      <c r="ERV32" s="340"/>
      <c r="ERW32" s="340"/>
      <c r="ERX32" s="340"/>
      <c r="ERY32" s="340"/>
      <c r="ERZ32" s="340"/>
      <c r="ESA32" s="340"/>
      <c r="ESB32" s="340"/>
      <c r="ESC32" s="340"/>
      <c r="ESD32" s="340"/>
      <c r="ESE32" s="340"/>
      <c r="ESF32" s="340"/>
      <c r="ESG32" s="340"/>
      <c r="ESH32" s="340"/>
      <c r="ESI32" s="340"/>
      <c r="ESJ32" s="340"/>
      <c r="ESK32" s="340"/>
      <c r="ESL32" s="340"/>
      <c r="ESM32" s="340"/>
      <c r="ESN32" s="340"/>
      <c r="ESO32" s="340"/>
      <c r="ESP32" s="340"/>
      <c r="ESQ32" s="340"/>
      <c r="ESR32" s="340"/>
      <c r="ESS32" s="340"/>
      <c r="EST32" s="340"/>
      <c r="ESU32" s="340"/>
      <c r="ESV32" s="340"/>
      <c r="ESW32" s="340"/>
      <c r="ESX32" s="340"/>
      <c r="ESY32" s="340"/>
      <c r="ESZ32" s="340"/>
      <c r="ETA32" s="340"/>
      <c r="ETB32" s="340"/>
      <c r="ETC32" s="340"/>
      <c r="ETD32" s="340"/>
      <c r="ETE32" s="340"/>
      <c r="ETF32" s="340"/>
      <c r="ETG32" s="340"/>
      <c r="ETH32" s="340"/>
      <c r="ETI32" s="340"/>
      <c r="ETJ32" s="340"/>
      <c r="ETK32" s="340"/>
      <c r="ETL32" s="340"/>
      <c r="ETM32" s="340"/>
      <c r="ETN32" s="340"/>
      <c r="ETO32" s="340"/>
      <c r="ETP32" s="340"/>
      <c r="ETQ32" s="340"/>
      <c r="ETR32" s="340"/>
      <c r="ETS32" s="340"/>
      <c r="ETT32" s="340"/>
      <c r="ETU32" s="340"/>
      <c r="ETV32" s="340"/>
      <c r="ETW32" s="340"/>
      <c r="ETX32" s="340"/>
      <c r="ETY32" s="340"/>
      <c r="ETZ32" s="340"/>
      <c r="EUA32" s="340"/>
      <c r="EUB32" s="340"/>
      <c r="EUC32" s="340"/>
      <c r="EUD32" s="340"/>
      <c r="EUE32" s="340"/>
      <c r="EUF32" s="340"/>
      <c r="EUG32" s="340"/>
      <c r="EUH32" s="340"/>
      <c r="EUI32" s="340"/>
      <c r="EUJ32" s="340"/>
      <c r="EUK32" s="340"/>
      <c r="EUL32" s="340"/>
      <c r="EUM32" s="340"/>
      <c r="EUN32" s="340"/>
      <c r="EUO32" s="340"/>
      <c r="EUP32" s="340"/>
      <c r="EUQ32" s="340"/>
      <c r="EUR32" s="340"/>
      <c r="EUS32" s="340"/>
      <c r="EUT32" s="340"/>
      <c r="EUU32" s="340"/>
      <c r="EUV32" s="340"/>
      <c r="EUW32" s="340"/>
      <c r="EUX32" s="340"/>
      <c r="EUY32" s="340"/>
      <c r="EUZ32" s="340"/>
      <c r="EVA32" s="340"/>
      <c r="EVB32" s="340"/>
      <c r="EVC32" s="340"/>
      <c r="EVD32" s="340"/>
      <c r="EVE32" s="340"/>
      <c r="EVF32" s="340"/>
      <c r="EVG32" s="340"/>
      <c r="EVH32" s="340"/>
      <c r="EVI32" s="340"/>
      <c r="EVJ32" s="340"/>
      <c r="EVK32" s="340"/>
      <c r="EVL32" s="340"/>
      <c r="EVM32" s="340"/>
      <c r="EVN32" s="340"/>
      <c r="EVO32" s="340"/>
      <c r="EVP32" s="340"/>
      <c r="EVQ32" s="340"/>
      <c r="EVR32" s="340"/>
      <c r="EVS32" s="340"/>
      <c r="EVT32" s="340"/>
      <c r="EVU32" s="340"/>
      <c r="EVV32" s="340"/>
      <c r="EVW32" s="340"/>
      <c r="EVX32" s="340"/>
      <c r="EVY32" s="340"/>
      <c r="EVZ32" s="340"/>
      <c r="EWA32" s="340"/>
      <c r="EWB32" s="340"/>
      <c r="EWC32" s="340"/>
      <c r="EWD32" s="340"/>
      <c r="EWE32" s="340"/>
      <c r="EWF32" s="340"/>
      <c r="EWG32" s="340"/>
      <c r="EWH32" s="340"/>
      <c r="EWI32" s="340"/>
      <c r="EWJ32" s="340"/>
      <c r="EWK32" s="340"/>
      <c r="EWL32" s="340"/>
      <c r="EWM32" s="340"/>
      <c r="EWN32" s="340"/>
      <c r="EWO32" s="340"/>
      <c r="EWP32" s="340"/>
      <c r="EWQ32" s="340"/>
      <c r="EWR32" s="340"/>
      <c r="EWS32" s="340"/>
      <c r="EWT32" s="340"/>
      <c r="EWU32" s="340"/>
      <c r="EWV32" s="340"/>
      <c r="EWW32" s="340"/>
      <c r="EWX32" s="340"/>
      <c r="EWY32" s="340"/>
      <c r="EWZ32" s="340"/>
      <c r="EXA32" s="340"/>
      <c r="EXB32" s="340"/>
      <c r="EXC32" s="340"/>
      <c r="EXD32" s="340"/>
      <c r="EXE32" s="340"/>
      <c r="EXF32" s="340"/>
      <c r="EXG32" s="340"/>
      <c r="EXH32" s="340"/>
      <c r="EXI32" s="340"/>
      <c r="EXJ32" s="340"/>
      <c r="EXK32" s="340"/>
      <c r="EXL32" s="340"/>
      <c r="EXM32" s="340"/>
      <c r="EXN32" s="340"/>
      <c r="EXO32" s="340"/>
      <c r="EXP32" s="340"/>
      <c r="EXQ32" s="340"/>
      <c r="EXR32" s="340"/>
      <c r="EXS32" s="340"/>
      <c r="EXT32" s="340"/>
      <c r="EXU32" s="340"/>
      <c r="EXV32" s="340"/>
      <c r="EXW32" s="340"/>
      <c r="EXX32" s="340"/>
      <c r="EXY32" s="340"/>
      <c r="EXZ32" s="340"/>
      <c r="EYA32" s="340"/>
      <c r="EYB32" s="340"/>
      <c r="EYC32" s="340"/>
      <c r="EYD32" s="340"/>
      <c r="EYE32" s="340"/>
      <c r="EYF32" s="340"/>
      <c r="EYG32" s="340"/>
      <c r="EYH32" s="340"/>
      <c r="EYI32" s="340"/>
      <c r="EYJ32" s="340"/>
      <c r="EYK32" s="340"/>
      <c r="EYL32" s="340"/>
      <c r="EYM32" s="340"/>
      <c r="EYN32" s="340"/>
      <c r="EYO32" s="340"/>
      <c r="EYP32" s="340"/>
      <c r="EYQ32" s="340"/>
      <c r="EYR32" s="340"/>
      <c r="EYS32" s="340"/>
      <c r="EYT32" s="340"/>
      <c r="EYU32" s="340"/>
      <c r="EYV32" s="340"/>
      <c r="EYW32" s="340"/>
      <c r="EYX32" s="340"/>
      <c r="EYY32" s="340"/>
      <c r="EYZ32" s="340"/>
      <c r="EZA32" s="340"/>
      <c r="EZB32" s="340"/>
      <c r="EZC32" s="340"/>
      <c r="EZD32" s="340"/>
      <c r="EZE32" s="340"/>
      <c r="EZF32" s="340"/>
      <c r="EZG32" s="340"/>
      <c r="EZH32" s="340"/>
      <c r="EZI32" s="340"/>
      <c r="EZJ32" s="340"/>
      <c r="EZK32" s="340"/>
      <c r="EZL32" s="340"/>
      <c r="EZM32" s="340"/>
      <c r="EZN32" s="340"/>
      <c r="EZO32" s="340"/>
      <c r="EZP32" s="340"/>
      <c r="EZQ32" s="340"/>
      <c r="EZR32" s="340"/>
      <c r="EZS32" s="340"/>
      <c r="EZT32" s="340"/>
      <c r="EZU32" s="340"/>
      <c r="EZV32" s="340"/>
      <c r="EZW32" s="340"/>
      <c r="EZX32" s="340"/>
      <c r="EZY32" s="340"/>
      <c r="EZZ32" s="340"/>
      <c r="FAA32" s="340"/>
      <c r="FAB32" s="340"/>
      <c r="FAC32" s="340"/>
      <c r="FAD32" s="340"/>
      <c r="FAE32" s="340"/>
      <c r="FAF32" s="340"/>
      <c r="FAG32" s="340"/>
      <c r="FAH32" s="340"/>
      <c r="FAI32" s="340"/>
      <c r="FAJ32" s="340"/>
      <c r="FAK32" s="340"/>
      <c r="FAL32" s="340"/>
      <c r="FAM32" s="340"/>
      <c r="FAN32" s="340"/>
      <c r="FAO32" s="340"/>
      <c r="FAP32" s="340"/>
      <c r="FAQ32" s="340"/>
      <c r="FAR32" s="340"/>
      <c r="FAS32" s="340"/>
      <c r="FAT32" s="340"/>
      <c r="FAU32" s="340"/>
      <c r="FAV32" s="340"/>
      <c r="FAW32" s="340"/>
      <c r="FAX32" s="340"/>
      <c r="FAY32" s="340"/>
      <c r="FAZ32" s="340"/>
      <c r="FBA32" s="340"/>
      <c r="FBB32" s="340"/>
      <c r="FBC32" s="340"/>
      <c r="FBD32" s="340"/>
      <c r="FBE32" s="340"/>
      <c r="FBF32" s="340"/>
      <c r="FBG32" s="340"/>
      <c r="FBH32" s="340"/>
      <c r="FBI32" s="340"/>
      <c r="FBJ32" s="340"/>
      <c r="FBK32" s="340"/>
      <c r="FBL32" s="340"/>
      <c r="FBM32" s="340"/>
      <c r="FBN32" s="340"/>
      <c r="FBO32" s="340"/>
      <c r="FBP32" s="340"/>
      <c r="FBQ32" s="340"/>
      <c r="FBR32" s="340"/>
      <c r="FBS32" s="340"/>
      <c r="FBT32" s="340"/>
      <c r="FBU32" s="340"/>
      <c r="FBV32" s="340"/>
      <c r="FBW32" s="340"/>
      <c r="FBX32" s="340"/>
      <c r="FBY32" s="340"/>
      <c r="FBZ32" s="340"/>
      <c r="FCA32" s="340"/>
      <c r="FCB32" s="340"/>
      <c r="FCC32" s="340"/>
      <c r="FCD32" s="340"/>
      <c r="FCE32" s="340"/>
      <c r="FCF32" s="340"/>
      <c r="FCG32" s="340"/>
      <c r="FCH32" s="340"/>
      <c r="FCI32" s="340"/>
      <c r="FCJ32" s="340"/>
      <c r="FCK32" s="340"/>
      <c r="FCL32" s="340"/>
      <c r="FCM32" s="340"/>
      <c r="FCN32" s="340"/>
      <c r="FCO32" s="340"/>
      <c r="FCP32" s="340"/>
      <c r="FCQ32" s="340"/>
      <c r="FCR32" s="340"/>
      <c r="FCS32" s="340"/>
      <c r="FCT32" s="340"/>
      <c r="FCU32" s="340"/>
      <c r="FCV32" s="340"/>
      <c r="FCW32" s="340"/>
      <c r="FCX32" s="340"/>
      <c r="FCY32" s="340"/>
      <c r="FCZ32" s="340"/>
      <c r="FDA32" s="340"/>
      <c r="FDB32" s="340"/>
      <c r="FDC32" s="340"/>
      <c r="FDD32" s="340"/>
      <c r="FDE32" s="340"/>
      <c r="FDF32" s="340"/>
      <c r="FDG32" s="340"/>
      <c r="FDH32" s="340"/>
      <c r="FDI32" s="340"/>
      <c r="FDJ32" s="340"/>
      <c r="FDK32" s="340"/>
      <c r="FDL32" s="340"/>
      <c r="FDM32" s="340"/>
      <c r="FDN32" s="340"/>
      <c r="FDO32" s="340"/>
      <c r="FDP32" s="340"/>
      <c r="FDQ32" s="340"/>
      <c r="FDR32" s="340"/>
      <c r="FDS32" s="340"/>
      <c r="FDT32" s="340"/>
      <c r="FDU32" s="340"/>
      <c r="FDV32" s="340"/>
      <c r="FDW32" s="340"/>
      <c r="FDX32" s="340"/>
      <c r="FDY32" s="340"/>
      <c r="FDZ32" s="340"/>
      <c r="FEA32" s="340"/>
      <c r="FEB32" s="340"/>
      <c r="FEC32" s="340"/>
      <c r="FED32" s="340"/>
      <c r="FEE32" s="340"/>
      <c r="FEF32" s="340"/>
      <c r="FEG32" s="340"/>
      <c r="FEH32" s="340"/>
      <c r="FEI32" s="340"/>
      <c r="FEJ32" s="340"/>
      <c r="FEK32" s="340"/>
      <c r="FEL32" s="340"/>
      <c r="FEM32" s="340"/>
      <c r="FEN32" s="340"/>
      <c r="FEO32" s="340"/>
      <c r="FEP32" s="340"/>
      <c r="FEQ32" s="340"/>
      <c r="FER32" s="340"/>
      <c r="FES32" s="340"/>
      <c r="FET32" s="340"/>
      <c r="FEU32" s="340"/>
      <c r="FEV32" s="340"/>
      <c r="FEW32" s="340"/>
      <c r="FEX32" s="340"/>
      <c r="FEY32" s="340"/>
      <c r="FEZ32" s="340"/>
      <c r="FFA32" s="340"/>
      <c r="FFB32" s="340"/>
      <c r="FFC32" s="340"/>
      <c r="FFD32" s="340"/>
      <c r="FFE32" s="340"/>
      <c r="FFF32" s="340"/>
      <c r="FFG32" s="340"/>
      <c r="FFH32" s="340"/>
      <c r="FFI32" s="340"/>
      <c r="FFJ32" s="340"/>
      <c r="FFK32" s="340"/>
      <c r="FFL32" s="340"/>
      <c r="FFM32" s="340"/>
      <c r="FFN32" s="340"/>
      <c r="FFO32" s="340"/>
      <c r="FFP32" s="340"/>
      <c r="FFQ32" s="340"/>
      <c r="FFR32" s="340"/>
      <c r="FFS32" s="340"/>
      <c r="FFT32" s="340"/>
      <c r="FFU32" s="340"/>
      <c r="FFV32" s="340"/>
      <c r="FFW32" s="340"/>
      <c r="FFX32" s="340"/>
      <c r="FFY32" s="340"/>
      <c r="FFZ32" s="340"/>
      <c r="FGA32" s="340"/>
      <c r="FGB32" s="340"/>
      <c r="FGC32" s="340"/>
      <c r="FGD32" s="340"/>
      <c r="FGE32" s="340"/>
      <c r="FGF32" s="340"/>
      <c r="FGG32" s="340"/>
      <c r="FGH32" s="340"/>
      <c r="FGI32" s="340"/>
      <c r="FGJ32" s="340"/>
      <c r="FGK32" s="340"/>
      <c r="FGL32" s="340"/>
      <c r="FGM32" s="340"/>
      <c r="FGN32" s="340"/>
      <c r="FGO32" s="340"/>
      <c r="FGP32" s="340"/>
      <c r="FGQ32" s="340"/>
      <c r="FGR32" s="340"/>
      <c r="FGS32" s="340"/>
      <c r="FGT32" s="340"/>
      <c r="FGU32" s="340"/>
      <c r="FGV32" s="340"/>
      <c r="FGW32" s="340"/>
      <c r="FGX32" s="340"/>
      <c r="FGY32" s="340"/>
      <c r="FGZ32" s="340"/>
      <c r="FHA32" s="340"/>
      <c r="FHB32" s="340"/>
      <c r="FHC32" s="340"/>
      <c r="FHD32" s="340"/>
      <c r="FHE32" s="340"/>
      <c r="FHF32" s="340"/>
      <c r="FHG32" s="340"/>
      <c r="FHH32" s="340"/>
      <c r="FHI32" s="340"/>
      <c r="FHJ32" s="340"/>
      <c r="FHK32" s="340"/>
      <c r="FHL32" s="340"/>
      <c r="FHM32" s="340"/>
      <c r="FHN32" s="340"/>
      <c r="FHO32" s="340"/>
      <c r="FHP32" s="340"/>
      <c r="FHQ32" s="340"/>
      <c r="FHR32" s="340"/>
      <c r="FHS32" s="340"/>
      <c r="FHT32" s="340"/>
      <c r="FHU32" s="340"/>
      <c r="FHV32" s="340"/>
      <c r="FHW32" s="340"/>
      <c r="FHX32" s="340"/>
      <c r="FHY32" s="340"/>
      <c r="FHZ32" s="340"/>
      <c r="FIA32" s="340"/>
      <c r="FIB32" s="340"/>
      <c r="FIC32" s="340"/>
      <c r="FID32" s="340"/>
      <c r="FIE32" s="340"/>
      <c r="FIF32" s="340"/>
      <c r="FIG32" s="340"/>
      <c r="FIH32" s="340"/>
      <c r="FII32" s="340"/>
      <c r="FIJ32" s="340"/>
      <c r="FIK32" s="340"/>
      <c r="FIL32" s="340"/>
      <c r="FIM32" s="340"/>
      <c r="FIN32" s="340"/>
      <c r="FIO32" s="340"/>
      <c r="FIP32" s="340"/>
      <c r="FIQ32" s="340"/>
      <c r="FIR32" s="340"/>
      <c r="FIS32" s="340"/>
      <c r="FIT32" s="340"/>
      <c r="FIU32" s="340"/>
      <c r="FIV32" s="340"/>
      <c r="FIW32" s="340"/>
      <c r="FIX32" s="340"/>
      <c r="FIY32" s="340"/>
      <c r="FIZ32" s="340"/>
      <c r="FJA32" s="340"/>
      <c r="FJB32" s="340"/>
      <c r="FJC32" s="340"/>
      <c r="FJD32" s="340"/>
      <c r="FJE32" s="340"/>
      <c r="FJF32" s="340"/>
      <c r="FJG32" s="340"/>
      <c r="FJH32" s="340"/>
      <c r="FJI32" s="340"/>
      <c r="FJJ32" s="340"/>
      <c r="FJK32" s="340"/>
      <c r="FJL32" s="340"/>
      <c r="FJM32" s="340"/>
      <c r="FJN32" s="340"/>
      <c r="FJO32" s="340"/>
      <c r="FJP32" s="340"/>
      <c r="FJQ32" s="340"/>
      <c r="FJR32" s="340"/>
      <c r="FJS32" s="340"/>
      <c r="FJT32" s="340"/>
      <c r="FJU32" s="340"/>
      <c r="FJV32" s="340"/>
      <c r="FJW32" s="340"/>
      <c r="FJX32" s="340"/>
      <c r="FJY32" s="340"/>
      <c r="FJZ32" s="340"/>
      <c r="FKA32" s="340"/>
      <c r="FKB32" s="340"/>
      <c r="FKC32" s="340"/>
      <c r="FKD32" s="340"/>
      <c r="FKE32" s="340"/>
      <c r="FKF32" s="340"/>
      <c r="FKG32" s="340"/>
      <c r="FKH32" s="340"/>
      <c r="FKI32" s="340"/>
      <c r="FKJ32" s="340"/>
      <c r="FKK32" s="340"/>
      <c r="FKL32" s="340"/>
      <c r="FKM32" s="340"/>
      <c r="FKN32" s="340"/>
      <c r="FKO32" s="340"/>
      <c r="FKP32" s="340"/>
      <c r="FKQ32" s="340"/>
      <c r="FKR32" s="340"/>
      <c r="FKS32" s="340"/>
      <c r="FKT32" s="340"/>
      <c r="FKU32" s="340"/>
      <c r="FKV32" s="340"/>
      <c r="FKW32" s="340"/>
      <c r="FKX32" s="340"/>
      <c r="FKY32" s="340"/>
      <c r="FKZ32" s="340"/>
      <c r="FLA32" s="340"/>
      <c r="FLB32" s="340"/>
      <c r="FLC32" s="340"/>
      <c r="FLD32" s="340"/>
      <c r="FLE32" s="340"/>
      <c r="FLF32" s="340"/>
      <c r="FLG32" s="340"/>
      <c r="FLH32" s="340"/>
      <c r="FLI32" s="340"/>
      <c r="FLJ32" s="340"/>
      <c r="FLK32" s="340"/>
      <c r="FLL32" s="340"/>
      <c r="FLM32" s="340"/>
      <c r="FLN32" s="340"/>
      <c r="FLO32" s="340"/>
      <c r="FLP32" s="340"/>
      <c r="FLQ32" s="340"/>
      <c r="FLR32" s="340"/>
      <c r="FLS32" s="340"/>
      <c r="FLT32" s="340"/>
      <c r="FLU32" s="340"/>
      <c r="FLV32" s="340"/>
      <c r="FLW32" s="340"/>
      <c r="FLX32" s="340"/>
      <c r="FLY32" s="340"/>
      <c r="FLZ32" s="340"/>
      <c r="FMA32" s="340"/>
      <c r="FMB32" s="340"/>
      <c r="FMC32" s="340"/>
      <c r="FMD32" s="340"/>
      <c r="FME32" s="340"/>
      <c r="FMF32" s="340"/>
      <c r="FMG32" s="340"/>
      <c r="FMH32" s="340"/>
      <c r="FMI32" s="340"/>
      <c r="FMJ32" s="340"/>
      <c r="FMK32" s="340"/>
      <c r="FML32" s="340"/>
      <c r="FMM32" s="340"/>
      <c r="FMN32" s="340"/>
      <c r="FMO32" s="340"/>
      <c r="FMP32" s="340"/>
      <c r="FMQ32" s="340"/>
      <c r="FMR32" s="340"/>
      <c r="FMS32" s="340"/>
      <c r="FMT32" s="340"/>
      <c r="FMU32" s="340"/>
      <c r="FMV32" s="340"/>
      <c r="FMW32" s="340"/>
      <c r="FMX32" s="340"/>
      <c r="FMY32" s="340"/>
      <c r="FMZ32" s="340"/>
      <c r="FNA32" s="340"/>
      <c r="FNB32" s="340"/>
      <c r="FNC32" s="340"/>
      <c r="FND32" s="340"/>
      <c r="FNE32" s="340"/>
      <c r="FNF32" s="340"/>
      <c r="FNG32" s="340"/>
      <c r="FNH32" s="340"/>
      <c r="FNI32" s="340"/>
      <c r="FNJ32" s="340"/>
      <c r="FNK32" s="340"/>
      <c r="FNL32" s="340"/>
      <c r="FNM32" s="340"/>
      <c r="FNN32" s="340"/>
      <c r="FNO32" s="340"/>
      <c r="FNP32" s="340"/>
      <c r="FNQ32" s="340"/>
      <c r="FNR32" s="340"/>
      <c r="FNS32" s="340"/>
      <c r="FNT32" s="340"/>
      <c r="FNU32" s="340"/>
      <c r="FNV32" s="340"/>
      <c r="FNW32" s="340"/>
      <c r="FNX32" s="340"/>
      <c r="FNY32" s="340"/>
      <c r="FNZ32" s="340"/>
      <c r="FOA32" s="340"/>
      <c r="FOB32" s="340"/>
      <c r="FOC32" s="340"/>
      <c r="FOD32" s="340"/>
      <c r="FOE32" s="340"/>
      <c r="FOF32" s="340"/>
      <c r="FOG32" s="340"/>
      <c r="FOH32" s="340"/>
      <c r="FOI32" s="340"/>
      <c r="FOJ32" s="340"/>
      <c r="FOK32" s="340"/>
      <c r="FOL32" s="340"/>
      <c r="FOM32" s="340"/>
      <c r="FON32" s="340"/>
      <c r="FOO32" s="340"/>
      <c r="FOP32" s="340"/>
      <c r="FOQ32" s="340"/>
      <c r="FOR32" s="340"/>
      <c r="FOS32" s="340"/>
      <c r="FOT32" s="340"/>
      <c r="FOU32" s="340"/>
      <c r="FOV32" s="340"/>
      <c r="FOW32" s="340"/>
      <c r="FOX32" s="340"/>
      <c r="FOY32" s="340"/>
      <c r="FOZ32" s="340"/>
      <c r="FPA32" s="340"/>
      <c r="FPB32" s="340"/>
      <c r="FPC32" s="340"/>
      <c r="FPD32" s="340"/>
      <c r="FPE32" s="340"/>
      <c r="FPF32" s="340"/>
      <c r="FPG32" s="340"/>
      <c r="FPH32" s="340"/>
      <c r="FPI32" s="340"/>
      <c r="FPJ32" s="340"/>
      <c r="FPK32" s="340"/>
      <c r="FPL32" s="340"/>
      <c r="FPM32" s="340"/>
      <c r="FPN32" s="340"/>
      <c r="FPO32" s="340"/>
      <c r="FPP32" s="340"/>
      <c r="FPQ32" s="340"/>
      <c r="FPR32" s="340"/>
      <c r="FPS32" s="340"/>
      <c r="FPT32" s="340"/>
      <c r="FPU32" s="340"/>
      <c r="FPV32" s="340"/>
      <c r="FPW32" s="340"/>
      <c r="FPX32" s="340"/>
      <c r="FPY32" s="340"/>
      <c r="FPZ32" s="340"/>
      <c r="FQA32" s="340"/>
      <c r="FQB32" s="340"/>
      <c r="FQC32" s="340"/>
      <c r="FQD32" s="340"/>
      <c r="FQE32" s="340"/>
      <c r="FQF32" s="340"/>
      <c r="FQG32" s="340"/>
      <c r="FQH32" s="340"/>
      <c r="FQI32" s="340"/>
      <c r="FQJ32" s="340"/>
      <c r="FQK32" s="340"/>
      <c r="FQL32" s="340"/>
      <c r="FQM32" s="340"/>
      <c r="FQN32" s="340"/>
      <c r="FQO32" s="340"/>
      <c r="FQP32" s="340"/>
      <c r="FQQ32" s="340"/>
      <c r="FQR32" s="340"/>
      <c r="FQS32" s="340"/>
      <c r="FQT32" s="340"/>
      <c r="FQU32" s="340"/>
      <c r="FQV32" s="340"/>
      <c r="FQW32" s="340"/>
      <c r="FQX32" s="340"/>
      <c r="FQY32" s="340"/>
      <c r="FQZ32" s="340"/>
      <c r="FRA32" s="340"/>
      <c r="FRB32" s="340"/>
      <c r="FRC32" s="340"/>
      <c r="FRD32" s="340"/>
      <c r="FRE32" s="340"/>
      <c r="FRF32" s="340"/>
      <c r="FRG32" s="340"/>
      <c r="FRH32" s="340"/>
      <c r="FRI32" s="340"/>
      <c r="FRJ32" s="340"/>
      <c r="FRK32" s="340"/>
      <c r="FRL32" s="340"/>
      <c r="FRM32" s="340"/>
      <c r="FRN32" s="340"/>
      <c r="FRO32" s="340"/>
      <c r="FRP32" s="340"/>
      <c r="FRQ32" s="340"/>
      <c r="FRR32" s="340"/>
      <c r="FRS32" s="340"/>
      <c r="FRT32" s="340"/>
      <c r="FRU32" s="340"/>
      <c r="FRV32" s="340"/>
      <c r="FRW32" s="340"/>
      <c r="FRX32" s="340"/>
      <c r="FRY32" s="340"/>
      <c r="FRZ32" s="340"/>
      <c r="FSA32" s="340"/>
      <c r="FSB32" s="340"/>
      <c r="FSC32" s="340"/>
      <c r="FSD32" s="340"/>
      <c r="FSE32" s="340"/>
      <c r="FSF32" s="340"/>
      <c r="FSG32" s="340"/>
      <c r="FSH32" s="340"/>
      <c r="FSI32" s="340"/>
      <c r="FSJ32" s="340"/>
      <c r="FSK32" s="340"/>
      <c r="FSL32" s="340"/>
      <c r="FSM32" s="340"/>
      <c r="FSN32" s="340"/>
      <c r="FSO32" s="340"/>
      <c r="FSP32" s="340"/>
      <c r="FSQ32" s="340"/>
      <c r="FSR32" s="340"/>
      <c r="FSS32" s="340"/>
      <c r="FST32" s="340"/>
      <c r="FSU32" s="340"/>
      <c r="FSV32" s="340"/>
      <c r="FSW32" s="340"/>
      <c r="FSX32" s="340"/>
      <c r="FSY32" s="340"/>
      <c r="FSZ32" s="340"/>
      <c r="FTA32" s="340"/>
      <c r="FTB32" s="340"/>
      <c r="FTC32" s="340"/>
      <c r="FTD32" s="340"/>
      <c r="FTE32" s="340"/>
      <c r="FTF32" s="340"/>
      <c r="FTG32" s="340"/>
      <c r="FTH32" s="340"/>
      <c r="FTI32" s="340"/>
      <c r="FTJ32" s="340"/>
      <c r="FTK32" s="340"/>
      <c r="FTL32" s="340"/>
      <c r="FTM32" s="340"/>
      <c r="FTN32" s="340"/>
      <c r="FTO32" s="340"/>
      <c r="FTP32" s="340"/>
      <c r="FTQ32" s="340"/>
      <c r="FTR32" s="340"/>
      <c r="FTS32" s="340"/>
      <c r="FTT32" s="340"/>
      <c r="FTU32" s="340"/>
      <c r="FTV32" s="340"/>
      <c r="FTW32" s="340"/>
      <c r="FTX32" s="340"/>
      <c r="FTY32" s="340"/>
      <c r="FTZ32" s="340"/>
      <c r="FUA32" s="340"/>
      <c r="FUB32" s="340"/>
      <c r="FUC32" s="340"/>
      <c r="FUD32" s="340"/>
      <c r="FUE32" s="340"/>
      <c r="FUF32" s="340"/>
      <c r="FUG32" s="340"/>
      <c r="FUH32" s="340"/>
      <c r="FUI32" s="340"/>
      <c r="FUJ32" s="340"/>
      <c r="FUK32" s="340"/>
      <c r="FUL32" s="340"/>
      <c r="FUM32" s="340"/>
      <c r="FUN32" s="340"/>
      <c r="FUO32" s="340"/>
      <c r="FUP32" s="340"/>
      <c r="FUQ32" s="340"/>
      <c r="FUR32" s="340"/>
      <c r="FUS32" s="340"/>
      <c r="FUT32" s="340"/>
      <c r="FUU32" s="340"/>
      <c r="FUV32" s="340"/>
      <c r="FUW32" s="340"/>
      <c r="FUX32" s="340"/>
      <c r="FUY32" s="340"/>
      <c r="FUZ32" s="340"/>
      <c r="FVA32" s="340"/>
      <c r="FVB32" s="340"/>
      <c r="FVC32" s="340"/>
      <c r="FVD32" s="340"/>
      <c r="FVE32" s="340"/>
      <c r="FVF32" s="340"/>
      <c r="FVG32" s="340"/>
      <c r="FVH32" s="340"/>
      <c r="FVI32" s="340"/>
      <c r="FVJ32" s="340"/>
      <c r="FVK32" s="340"/>
      <c r="FVL32" s="340"/>
      <c r="FVM32" s="340"/>
      <c r="FVN32" s="340"/>
      <c r="FVO32" s="340"/>
      <c r="FVP32" s="340"/>
      <c r="FVQ32" s="340"/>
      <c r="FVR32" s="340"/>
      <c r="FVS32" s="340"/>
      <c r="FVT32" s="340"/>
      <c r="FVU32" s="340"/>
      <c r="FVV32" s="340"/>
      <c r="FVW32" s="340"/>
      <c r="FVX32" s="340"/>
      <c r="FVY32" s="340"/>
      <c r="FVZ32" s="340"/>
      <c r="FWA32" s="340"/>
      <c r="FWB32" s="340"/>
      <c r="FWC32" s="340"/>
      <c r="FWD32" s="340"/>
      <c r="FWE32" s="340"/>
      <c r="FWF32" s="340"/>
      <c r="FWG32" s="340"/>
      <c r="FWH32" s="340"/>
      <c r="FWI32" s="340"/>
      <c r="FWJ32" s="340"/>
      <c r="FWK32" s="340"/>
      <c r="FWL32" s="340"/>
      <c r="FWM32" s="340"/>
      <c r="FWN32" s="340"/>
      <c r="FWO32" s="340"/>
      <c r="FWP32" s="340"/>
      <c r="FWQ32" s="340"/>
      <c r="FWR32" s="340"/>
      <c r="FWS32" s="340"/>
      <c r="FWT32" s="340"/>
      <c r="FWU32" s="340"/>
      <c r="FWV32" s="340"/>
      <c r="FWW32" s="340"/>
      <c r="FWX32" s="340"/>
      <c r="FWY32" s="340"/>
      <c r="FWZ32" s="340"/>
      <c r="FXA32" s="340"/>
      <c r="FXB32" s="340"/>
      <c r="FXC32" s="340"/>
      <c r="FXD32" s="340"/>
      <c r="FXE32" s="340"/>
      <c r="FXF32" s="340"/>
      <c r="FXG32" s="340"/>
      <c r="FXH32" s="340"/>
      <c r="FXI32" s="340"/>
      <c r="FXJ32" s="340"/>
      <c r="FXK32" s="340"/>
      <c r="FXL32" s="340"/>
      <c r="FXM32" s="340"/>
      <c r="FXN32" s="340"/>
      <c r="FXO32" s="340"/>
      <c r="FXP32" s="340"/>
      <c r="FXQ32" s="340"/>
      <c r="FXR32" s="340"/>
      <c r="FXS32" s="340"/>
      <c r="FXT32" s="340"/>
      <c r="FXU32" s="340"/>
      <c r="FXV32" s="340"/>
      <c r="FXW32" s="340"/>
      <c r="FXX32" s="340"/>
      <c r="FXY32" s="340"/>
      <c r="FXZ32" s="340"/>
      <c r="FYA32" s="340"/>
      <c r="FYB32" s="340"/>
      <c r="FYC32" s="340"/>
      <c r="FYD32" s="340"/>
      <c r="FYE32" s="340"/>
      <c r="FYF32" s="340"/>
      <c r="FYG32" s="340"/>
      <c r="FYH32" s="340"/>
      <c r="FYI32" s="340"/>
      <c r="FYJ32" s="340"/>
      <c r="FYK32" s="340"/>
      <c r="FYL32" s="340"/>
      <c r="FYM32" s="340"/>
      <c r="FYN32" s="340"/>
      <c r="FYO32" s="340"/>
      <c r="FYP32" s="340"/>
      <c r="FYQ32" s="340"/>
      <c r="FYR32" s="340"/>
      <c r="FYS32" s="340"/>
      <c r="FYT32" s="340"/>
      <c r="FYU32" s="340"/>
      <c r="FYV32" s="340"/>
      <c r="FYW32" s="340"/>
      <c r="FYX32" s="340"/>
      <c r="FYY32" s="340"/>
      <c r="FYZ32" s="340"/>
      <c r="FZA32" s="340"/>
      <c r="FZB32" s="340"/>
      <c r="FZC32" s="340"/>
      <c r="FZD32" s="340"/>
      <c r="FZE32" s="340"/>
      <c r="FZF32" s="340"/>
      <c r="FZG32" s="340"/>
      <c r="FZH32" s="340"/>
      <c r="FZI32" s="340"/>
      <c r="FZJ32" s="340"/>
      <c r="FZK32" s="340"/>
      <c r="FZL32" s="340"/>
      <c r="FZM32" s="340"/>
      <c r="FZN32" s="340"/>
      <c r="FZO32" s="340"/>
      <c r="FZP32" s="340"/>
      <c r="FZQ32" s="340"/>
      <c r="FZR32" s="340"/>
      <c r="FZS32" s="340"/>
      <c r="FZT32" s="340"/>
      <c r="FZU32" s="340"/>
      <c r="FZV32" s="340"/>
      <c r="FZW32" s="340"/>
      <c r="FZX32" s="340"/>
      <c r="FZY32" s="340"/>
      <c r="FZZ32" s="340"/>
      <c r="GAA32" s="340"/>
      <c r="GAB32" s="340"/>
      <c r="GAC32" s="340"/>
      <c r="GAD32" s="340"/>
      <c r="GAE32" s="340"/>
      <c r="GAF32" s="340"/>
      <c r="GAG32" s="340"/>
      <c r="GAH32" s="340"/>
      <c r="GAI32" s="340"/>
      <c r="GAJ32" s="340"/>
      <c r="GAK32" s="340"/>
      <c r="GAL32" s="340"/>
      <c r="GAM32" s="340"/>
      <c r="GAN32" s="340"/>
      <c r="GAO32" s="340"/>
      <c r="GAP32" s="340"/>
      <c r="GAQ32" s="340"/>
      <c r="GAR32" s="340"/>
      <c r="GAS32" s="340"/>
      <c r="GAT32" s="340"/>
      <c r="GAU32" s="340"/>
      <c r="GAV32" s="340"/>
      <c r="GAW32" s="340"/>
      <c r="GAX32" s="340"/>
      <c r="GAY32" s="340"/>
      <c r="GAZ32" s="340"/>
      <c r="GBA32" s="340"/>
      <c r="GBB32" s="340"/>
      <c r="GBC32" s="340"/>
      <c r="GBD32" s="340"/>
      <c r="GBE32" s="340"/>
      <c r="GBF32" s="340"/>
      <c r="GBG32" s="340"/>
      <c r="GBH32" s="340"/>
      <c r="GBI32" s="340"/>
      <c r="GBJ32" s="340"/>
      <c r="GBK32" s="340"/>
      <c r="GBL32" s="340"/>
      <c r="GBM32" s="340"/>
      <c r="GBN32" s="340"/>
      <c r="GBO32" s="340"/>
      <c r="GBP32" s="340"/>
      <c r="GBQ32" s="340"/>
      <c r="GBR32" s="340"/>
      <c r="GBS32" s="340"/>
      <c r="GBT32" s="340"/>
      <c r="GBU32" s="340"/>
      <c r="GBV32" s="340"/>
      <c r="GBW32" s="340"/>
      <c r="GBX32" s="340"/>
      <c r="GBY32" s="340"/>
      <c r="GBZ32" s="340"/>
      <c r="GCA32" s="340"/>
      <c r="GCB32" s="340"/>
      <c r="GCC32" s="340"/>
      <c r="GCD32" s="340"/>
      <c r="GCE32" s="340"/>
      <c r="GCF32" s="340"/>
      <c r="GCG32" s="340"/>
      <c r="GCH32" s="340"/>
      <c r="GCI32" s="340"/>
      <c r="GCJ32" s="340"/>
      <c r="GCK32" s="340"/>
      <c r="GCL32" s="340"/>
      <c r="GCM32" s="340"/>
      <c r="GCN32" s="340"/>
      <c r="GCO32" s="340"/>
      <c r="GCP32" s="340"/>
      <c r="GCQ32" s="340"/>
      <c r="GCR32" s="340"/>
      <c r="GCS32" s="340"/>
      <c r="GCT32" s="340"/>
      <c r="GCU32" s="340"/>
      <c r="GCV32" s="340"/>
      <c r="GCW32" s="340"/>
      <c r="GCX32" s="340"/>
      <c r="GCY32" s="340"/>
      <c r="GCZ32" s="340"/>
      <c r="GDA32" s="340"/>
      <c r="GDB32" s="340"/>
      <c r="GDC32" s="340"/>
      <c r="GDD32" s="340"/>
      <c r="GDE32" s="340"/>
      <c r="GDF32" s="340"/>
      <c r="GDG32" s="340"/>
      <c r="GDH32" s="340"/>
      <c r="GDI32" s="340"/>
      <c r="GDJ32" s="340"/>
      <c r="GDK32" s="340"/>
      <c r="GDL32" s="340"/>
      <c r="GDM32" s="340"/>
      <c r="GDN32" s="340"/>
      <c r="GDO32" s="340"/>
      <c r="GDP32" s="340"/>
      <c r="GDQ32" s="340"/>
      <c r="GDR32" s="340"/>
      <c r="GDS32" s="340"/>
      <c r="GDT32" s="340"/>
      <c r="GDU32" s="340"/>
      <c r="GDV32" s="340"/>
      <c r="GDW32" s="340"/>
      <c r="GDX32" s="340"/>
      <c r="GDY32" s="340"/>
      <c r="GDZ32" s="340"/>
      <c r="GEA32" s="340"/>
      <c r="GEB32" s="340"/>
      <c r="GEC32" s="340"/>
      <c r="GED32" s="340"/>
      <c r="GEE32" s="340"/>
      <c r="GEF32" s="340"/>
      <c r="GEG32" s="340"/>
      <c r="GEH32" s="340"/>
      <c r="GEI32" s="340"/>
      <c r="GEJ32" s="340"/>
      <c r="GEK32" s="340"/>
      <c r="GEL32" s="340"/>
      <c r="GEM32" s="340"/>
      <c r="GEN32" s="340"/>
      <c r="GEO32" s="340"/>
      <c r="GEP32" s="340"/>
      <c r="GEQ32" s="340"/>
      <c r="GER32" s="340"/>
      <c r="GES32" s="340"/>
      <c r="GET32" s="340"/>
      <c r="GEU32" s="340"/>
      <c r="GEV32" s="340"/>
      <c r="GEW32" s="340"/>
      <c r="GEX32" s="340"/>
      <c r="GEY32" s="340"/>
      <c r="GEZ32" s="340"/>
      <c r="GFA32" s="340"/>
      <c r="GFB32" s="340"/>
      <c r="GFC32" s="340"/>
      <c r="GFD32" s="340"/>
      <c r="GFE32" s="340"/>
      <c r="GFF32" s="340"/>
      <c r="GFG32" s="340"/>
      <c r="GFH32" s="340"/>
      <c r="GFI32" s="340"/>
      <c r="GFJ32" s="340"/>
      <c r="GFK32" s="340"/>
      <c r="GFL32" s="340"/>
      <c r="GFM32" s="340"/>
      <c r="GFN32" s="340"/>
      <c r="GFO32" s="340"/>
      <c r="GFP32" s="340"/>
      <c r="GFQ32" s="340"/>
      <c r="GFR32" s="340"/>
      <c r="GFS32" s="340"/>
      <c r="GFT32" s="340"/>
      <c r="GFU32" s="340"/>
      <c r="GFV32" s="340"/>
      <c r="GFW32" s="340"/>
      <c r="GFX32" s="340"/>
      <c r="GFY32" s="340"/>
      <c r="GFZ32" s="340"/>
      <c r="GGA32" s="340"/>
      <c r="GGB32" s="340"/>
      <c r="GGC32" s="340"/>
      <c r="GGD32" s="340"/>
      <c r="GGE32" s="340"/>
      <c r="GGF32" s="340"/>
      <c r="GGG32" s="340"/>
      <c r="GGH32" s="340"/>
      <c r="GGI32" s="340"/>
      <c r="GGJ32" s="340"/>
      <c r="GGK32" s="340"/>
      <c r="GGL32" s="340"/>
      <c r="GGM32" s="340"/>
      <c r="GGN32" s="340"/>
      <c r="GGO32" s="340"/>
      <c r="GGP32" s="340"/>
      <c r="GGQ32" s="340"/>
      <c r="GGR32" s="340"/>
      <c r="GGS32" s="340"/>
      <c r="GGT32" s="340"/>
      <c r="GGU32" s="340"/>
      <c r="GGV32" s="340"/>
      <c r="GGW32" s="340"/>
      <c r="GGX32" s="340"/>
      <c r="GGY32" s="340"/>
      <c r="GGZ32" s="340"/>
      <c r="GHA32" s="340"/>
      <c r="GHB32" s="340"/>
      <c r="GHC32" s="340"/>
      <c r="GHD32" s="340"/>
      <c r="GHE32" s="340"/>
      <c r="GHF32" s="340"/>
      <c r="GHG32" s="340"/>
      <c r="GHH32" s="340"/>
      <c r="GHI32" s="340"/>
      <c r="GHJ32" s="340"/>
      <c r="GHK32" s="340"/>
      <c r="GHL32" s="340"/>
      <c r="GHM32" s="340"/>
      <c r="GHN32" s="340"/>
      <c r="GHO32" s="340"/>
      <c r="GHP32" s="340"/>
      <c r="GHQ32" s="340"/>
      <c r="GHR32" s="340"/>
      <c r="GHS32" s="340"/>
      <c r="GHT32" s="340"/>
      <c r="GHU32" s="340"/>
      <c r="GHV32" s="340"/>
      <c r="GHW32" s="340"/>
      <c r="GHX32" s="340"/>
      <c r="GHY32" s="340"/>
      <c r="GHZ32" s="340"/>
      <c r="GIA32" s="340"/>
      <c r="GIB32" s="340"/>
      <c r="GIC32" s="340"/>
      <c r="GID32" s="340"/>
      <c r="GIE32" s="340"/>
      <c r="GIF32" s="340"/>
      <c r="GIG32" s="340"/>
      <c r="GIH32" s="340"/>
      <c r="GII32" s="340"/>
      <c r="GIJ32" s="340"/>
      <c r="GIK32" s="340"/>
      <c r="GIL32" s="340"/>
      <c r="GIM32" s="340"/>
      <c r="GIN32" s="340"/>
      <c r="GIO32" s="340"/>
      <c r="GIP32" s="340"/>
      <c r="GIQ32" s="340"/>
      <c r="GIR32" s="340"/>
      <c r="GIS32" s="340"/>
      <c r="GIT32" s="340"/>
      <c r="GIU32" s="340"/>
      <c r="GIV32" s="340"/>
      <c r="GIW32" s="340"/>
      <c r="GIX32" s="340"/>
      <c r="GIY32" s="340"/>
      <c r="GIZ32" s="340"/>
      <c r="GJA32" s="340"/>
      <c r="GJB32" s="340"/>
      <c r="GJC32" s="340"/>
      <c r="GJD32" s="340"/>
      <c r="GJE32" s="340"/>
      <c r="GJF32" s="340"/>
      <c r="GJG32" s="340"/>
      <c r="GJH32" s="340"/>
      <c r="GJI32" s="340"/>
      <c r="GJJ32" s="340"/>
      <c r="GJK32" s="340"/>
      <c r="GJL32" s="340"/>
      <c r="GJM32" s="340"/>
      <c r="GJN32" s="340"/>
      <c r="GJO32" s="340"/>
      <c r="GJP32" s="340"/>
      <c r="GJQ32" s="340"/>
      <c r="GJR32" s="340"/>
      <c r="GJS32" s="340"/>
      <c r="GJT32" s="340"/>
      <c r="GJU32" s="340"/>
      <c r="GJV32" s="340"/>
      <c r="GJW32" s="340"/>
      <c r="GJX32" s="340"/>
      <c r="GJY32" s="340"/>
      <c r="GJZ32" s="340"/>
      <c r="GKA32" s="340"/>
      <c r="GKB32" s="340"/>
      <c r="GKC32" s="340"/>
      <c r="GKD32" s="340"/>
      <c r="GKE32" s="340"/>
      <c r="GKF32" s="340"/>
      <c r="GKG32" s="340"/>
      <c r="GKH32" s="340"/>
      <c r="GKI32" s="340"/>
      <c r="GKJ32" s="340"/>
      <c r="GKK32" s="340"/>
      <c r="GKL32" s="340"/>
      <c r="GKM32" s="340"/>
      <c r="GKN32" s="340"/>
      <c r="GKO32" s="340"/>
      <c r="GKP32" s="340"/>
      <c r="GKQ32" s="340"/>
      <c r="GKR32" s="340"/>
      <c r="GKS32" s="340"/>
      <c r="GKT32" s="340"/>
      <c r="GKU32" s="340"/>
      <c r="GKV32" s="340"/>
      <c r="GKW32" s="340"/>
      <c r="GKX32" s="340"/>
      <c r="GKY32" s="340"/>
      <c r="GKZ32" s="340"/>
      <c r="GLA32" s="340"/>
      <c r="GLB32" s="340"/>
      <c r="GLC32" s="340"/>
      <c r="GLD32" s="340"/>
      <c r="GLE32" s="340"/>
      <c r="GLF32" s="340"/>
      <c r="GLG32" s="340"/>
      <c r="GLH32" s="340"/>
      <c r="GLI32" s="340"/>
      <c r="GLJ32" s="340"/>
      <c r="GLK32" s="340"/>
      <c r="GLL32" s="340"/>
      <c r="GLM32" s="340"/>
      <c r="GLN32" s="340"/>
      <c r="GLO32" s="340"/>
      <c r="GLP32" s="340"/>
      <c r="GLQ32" s="340"/>
      <c r="GLR32" s="340"/>
      <c r="GLS32" s="340"/>
      <c r="GLT32" s="340"/>
      <c r="GLU32" s="340"/>
      <c r="GLV32" s="340"/>
      <c r="GLW32" s="340"/>
      <c r="GLX32" s="340"/>
      <c r="GLY32" s="340"/>
      <c r="GLZ32" s="340"/>
      <c r="GMA32" s="340"/>
      <c r="GMB32" s="340"/>
      <c r="GMC32" s="340"/>
      <c r="GMD32" s="340"/>
      <c r="GME32" s="340"/>
      <c r="GMF32" s="340"/>
      <c r="GMG32" s="340"/>
      <c r="GMH32" s="340"/>
      <c r="GMI32" s="340"/>
      <c r="GMJ32" s="340"/>
      <c r="GMK32" s="340"/>
      <c r="GML32" s="340"/>
      <c r="GMM32" s="340"/>
      <c r="GMN32" s="340"/>
      <c r="GMO32" s="340"/>
      <c r="GMP32" s="340"/>
      <c r="GMQ32" s="340"/>
      <c r="GMR32" s="340"/>
      <c r="GMS32" s="340"/>
      <c r="GMT32" s="340"/>
      <c r="GMU32" s="340"/>
      <c r="GMV32" s="340"/>
      <c r="GMW32" s="340"/>
      <c r="GMX32" s="340"/>
      <c r="GMY32" s="340"/>
      <c r="GMZ32" s="340"/>
      <c r="GNA32" s="340"/>
      <c r="GNB32" s="340"/>
      <c r="GNC32" s="340"/>
      <c r="GND32" s="340"/>
      <c r="GNE32" s="340"/>
      <c r="GNF32" s="340"/>
      <c r="GNG32" s="340"/>
      <c r="GNH32" s="340"/>
      <c r="GNI32" s="340"/>
      <c r="GNJ32" s="340"/>
      <c r="GNK32" s="340"/>
      <c r="GNL32" s="340"/>
      <c r="GNM32" s="340"/>
      <c r="GNN32" s="340"/>
      <c r="GNO32" s="340"/>
      <c r="GNP32" s="340"/>
      <c r="GNQ32" s="340"/>
      <c r="GNR32" s="340"/>
      <c r="GNS32" s="340"/>
      <c r="GNT32" s="340"/>
      <c r="GNU32" s="340"/>
      <c r="GNV32" s="340"/>
      <c r="GNW32" s="340"/>
      <c r="GNX32" s="340"/>
      <c r="GNY32" s="340"/>
      <c r="GNZ32" s="340"/>
      <c r="GOA32" s="340"/>
      <c r="GOB32" s="340"/>
      <c r="GOC32" s="340"/>
      <c r="GOD32" s="340"/>
      <c r="GOE32" s="340"/>
      <c r="GOF32" s="340"/>
      <c r="GOG32" s="340"/>
      <c r="GOH32" s="340"/>
      <c r="GOI32" s="340"/>
      <c r="GOJ32" s="340"/>
      <c r="GOK32" s="340"/>
      <c r="GOL32" s="340"/>
      <c r="GOM32" s="340"/>
      <c r="GON32" s="340"/>
      <c r="GOO32" s="340"/>
      <c r="GOP32" s="340"/>
      <c r="GOQ32" s="340"/>
      <c r="GOR32" s="340"/>
      <c r="GOS32" s="340"/>
      <c r="GOT32" s="340"/>
      <c r="GOU32" s="340"/>
      <c r="GOV32" s="340"/>
      <c r="GOW32" s="340"/>
      <c r="GOX32" s="340"/>
      <c r="GOY32" s="340"/>
      <c r="GOZ32" s="340"/>
      <c r="GPA32" s="340"/>
      <c r="GPB32" s="340"/>
      <c r="GPC32" s="340"/>
      <c r="GPD32" s="340"/>
      <c r="GPE32" s="340"/>
      <c r="GPF32" s="340"/>
      <c r="GPG32" s="340"/>
      <c r="GPH32" s="340"/>
      <c r="GPI32" s="340"/>
      <c r="GPJ32" s="340"/>
      <c r="GPK32" s="340"/>
      <c r="GPL32" s="340"/>
      <c r="GPM32" s="340"/>
      <c r="GPN32" s="340"/>
      <c r="GPO32" s="340"/>
      <c r="GPP32" s="340"/>
      <c r="GPQ32" s="340"/>
      <c r="GPR32" s="340"/>
      <c r="GPS32" s="340"/>
      <c r="GPT32" s="340"/>
      <c r="GPU32" s="340"/>
      <c r="GPV32" s="340"/>
      <c r="GPW32" s="340"/>
      <c r="GPX32" s="340"/>
      <c r="GPY32" s="340"/>
      <c r="GPZ32" s="340"/>
      <c r="GQA32" s="340"/>
      <c r="GQB32" s="340"/>
      <c r="GQC32" s="340"/>
      <c r="GQD32" s="340"/>
      <c r="GQE32" s="340"/>
      <c r="GQF32" s="340"/>
      <c r="GQG32" s="340"/>
      <c r="GQH32" s="340"/>
      <c r="GQI32" s="340"/>
      <c r="GQJ32" s="340"/>
      <c r="GQK32" s="340"/>
      <c r="GQL32" s="340"/>
      <c r="GQM32" s="340"/>
      <c r="GQN32" s="340"/>
      <c r="GQO32" s="340"/>
      <c r="GQP32" s="340"/>
      <c r="GQQ32" s="340"/>
      <c r="GQR32" s="340"/>
      <c r="GQS32" s="340"/>
      <c r="GQT32" s="340"/>
      <c r="GQU32" s="340"/>
      <c r="GQV32" s="340"/>
      <c r="GQW32" s="340"/>
      <c r="GQX32" s="340"/>
      <c r="GQY32" s="340"/>
      <c r="GQZ32" s="340"/>
      <c r="GRA32" s="340"/>
      <c r="GRB32" s="340"/>
      <c r="GRC32" s="340"/>
      <c r="GRD32" s="340"/>
      <c r="GRE32" s="340"/>
      <c r="GRF32" s="340"/>
      <c r="GRG32" s="340"/>
      <c r="GRH32" s="340"/>
      <c r="GRI32" s="340"/>
      <c r="GRJ32" s="340"/>
      <c r="GRK32" s="340"/>
      <c r="GRL32" s="340"/>
      <c r="GRM32" s="340"/>
      <c r="GRN32" s="340"/>
      <c r="GRO32" s="340"/>
      <c r="GRP32" s="340"/>
      <c r="GRQ32" s="340"/>
      <c r="GRR32" s="340"/>
      <c r="GRS32" s="340"/>
      <c r="GRT32" s="340"/>
      <c r="GRU32" s="340"/>
      <c r="GRV32" s="340"/>
      <c r="GRW32" s="340"/>
      <c r="GRX32" s="340"/>
      <c r="GRY32" s="340"/>
      <c r="GRZ32" s="340"/>
      <c r="GSA32" s="340"/>
      <c r="GSB32" s="340"/>
      <c r="GSC32" s="340"/>
      <c r="GSD32" s="340"/>
      <c r="GSE32" s="340"/>
      <c r="GSF32" s="340"/>
      <c r="GSG32" s="340"/>
      <c r="GSH32" s="340"/>
      <c r="GSI32" s="340"/>
      <c r="GSJ32" s="340"/>
      <c r="GSK32" s="340"/>
      <c r="GSL32" s="340"/>
      <c r="GSM32" s="340"/>
      <c r="GSN32" s="340"/>
      <c r="GSO32" s="340"/>
      <c r="GSP32" s="340"/>
      <c r="GSQ32" s="340"/>
      <c r="GSR32" s="340"/>
      <c r="GSS32" s="340"/>
      <c r="GST32" s="340"/>
      <c r="GSU32" s="340"/>
      <c r="GSV32" s="340"/>
      <c r="GSW32" s="340"/>
      <c r="GSX32" s="340"/>
      <c r="GSY32" s="340"/>
      <c r="GSZ32" s="340"/>
      <c r="GTA32" s="340"/>
      <c r="GTB32" s="340"/>
      <c r="GTC32" s="340"/>
      <c r="GTD32" s="340"/>
      <c r="GTE32" s="340"/>
      <c r="GTF32" s="340"/>
      <c r="GTG32" s="340"/>
      <c r="GTH32" s="340"/>
      <c r="GTI32" s="340"/>
      <c r="GTJ32" s="340"/>
      <c r="GTK32" s="340"/>
      <c r="GTL32" s="340"/>
      <c r="GTM32" s="340"/>
      <c r="GTN32" s="340"/>
      <c r="GTO32" s="340"/>
      <c r="GTP32" s="340"/>
      <c r="GTQ32" s="340"/>
      <c r="GTR32" s="340"/>
      <c r="GTS32" s="340"/>
      <c r="GTT32" s="340"/>
      <c r="GTU32" s="340"/>
      <c r="GTV32" s="340"/>
      <c r="GTW32" s="340"/>
      <c r="GTX32" s="340"/>
      <c r="GTY32" s="340"/>
      <c r="GTZ32" s="340"/>
      <c r="GUA32" s="340"/>
      <c r="GUB32" s="340"/>
      <c r="GUC32" s="340"/>
      <c r="GUD32" s="340"/>
      <c r="GUE32" s="340"/>
      <c r="GUF32" s="340"/>
      <c r="GUG32" s="340"/>
      <c r="GUH32" s="340"/>
      <c r="GUI32" s="340"/>
      <c r="GUJ32" s="340"/>
      <c r="GUK32" s="340"/>
      <c r="GUL32" s="340"/>
      <c r="GUM32" s="340"/>
      <c r="GUN32" s="340"/>
      <c r="GUO32" s="340"/>
      <c r="GUP32" s="340"/>
      <c r="GUQ32" s="340"/>
      <c r="GUR32" s="340"/>
      <c r="GUS32" s="340"/>
      <c r="GUT32" s="340"/>
      <c r="GUU32" s="340"/>
      <c r="GUV32" s="340"/>
      <c r="GUW32" s="340"/>
      <c r="GUX32" s="340"/>
      <c r="GUY32" s="340"/>
      <c r="GUZ32" s="340"/>
      <c r="GVA32" s="340"/>
      <c r="GVB32" s="340"/>
      <c r="GVC32" s="340"/>
      <c r="GVD32" s="340"/>
      <c r="GVE32" s="340"/>
      <c r="GVF32" s="340"/>
      <c r="GVG32" s="340"/>
      <c r="GVH32" s="340"/>
      <c r="GVI32" s="340"/>
      <c r="GVJ32" s="340"/>
      <c r="GVK32" s="340"/>
      <c r="GVL32" s="340"/>
      <c r="GVM32" s="340"/>
      <c r="GVN32" s="340"/>
      <c r="GVO32" s="340"/>
      <c r="GVP32" s="340"/>
      <c r="GVQ32" s="340"/>
      <c r="GVR32" s="340"/>
      <c r="GVS32" s="340"/>
      <c r="GVT32" s="340"/>
      <c r="GVU32" s="340"/>
      <c r="GVV32" s="340"/>
      <c r="GVW32" s="340"/>
      <c r="GVX32" s="340"/>
      <c r="GVY32" s="340"/>
      <c r="GVZ32" s="340"/>
      <c r="GWA32" s="340"/>
      <c r="GWB32" s="340"/>
      <c r="GWC32" s="340"/>
      <c r="GWD32" s="340"/>
      <c r="GWE32" s="340"/>
      <c r="GWF32" s="340"/>
      <c r="GWG32" s="340"/>
      <c r="GWH32" s="340"/>
      <c r="GWI32" s="340"/>
      <c r="GWJ32" s="340"/>
      <c r="GWK32" s="340"/>
      <c r="GWL32" s="340"/>
      <c r="GWM32" s="340"/>
      <c r="GWN32" s="340"/>
      <c r="GWO32" s="340"/>
      <c r="GWP32" s="340"/>
      <c r="GWQ32" s="340"/>
      <c r="GWR32" s="340"/>
      <c r="GWS32" s="340"/>
      <c r="GWT32" s="340"/>
      <c r="GWU32" s="340"/>
      <c r="GWV32" s="340"/>
      <c r="GWW32" s="340"/>
      <c r="GWX32" s="340"/>
      <c r="GWY32" s="340"/>
      <c r="GWZ32" s="340"/>
      <c r="GXA32" s="340"/>
      <c r="GXB32" s="340"/>
      <c r="GXC32" s="340"/>
      <c r="GXD32" s="340"/>
      <c r="GXE32" s="340"/>
      <c r="GXF32" s="340"/>
      <c r="GXG32" s="340"/>
      <c r="GXH32" s="340"/>
      <c r="GXI32" s="340"/>
      <c r="GXJ32" s="340"/>
      <c r="GXK32" s="340"/>
      <c r="GXL32" s="340"/>
      <c r="GXM32" s="340"/>
      <c r="GXN32" s="340"/>
      <c r="GXO32" s="340"/>
      <c r="GXP32" s="340"/>
      <c r="GXQ32" s="340"/>
      <c r="GXR32" s="340"/>
      <c r="GXS32" s="340"/>
      <c r="GXT32" s="340"/>
      <c r="GXU32" s="340"/>
      <c r="GXV32" s="340"/>
      <c r="GXW32" s="340"/>
      <c r="GXX32" s="340"/>
      <c r="GXY32" s="340"/>
      <c r="GXZ32" s="340"/>
      <c r="GYA32" s="340"/>
      <c r="GYB32" s="340"/>
      <c r="GYC32" s="340"/>
      <c r="GYD32" s="340"/>
      <c r="GYE32" s="340"/>
      <c r="GYF32" s="340"/>
      <c r="GYG32" s="340"/>
      <c r="GYH32" s="340"/>
      <c r="GYI32" s="340"/>
      <c r="GYJ32" s="340"/>
      <c r="GYK32" s="340"/>
      <c r="GYL32" s="340"/>
      <c r="GYM32" s="340"/>
      <c r="GYN32" s="340"/>
      <c r="GYO32" s="340"/>
      <c r="GYP32" s="340"/>
      <c r="GYQ32" s="340"/>
      <c r="GYR32" s="340"/>
      <c r="GYS32" s="340"/>
      <c r="GYT32" s="340"/>
      <c r="GYU32" s="340"/>
      <c r="GYV32" s="340"/>
      <c r="GYW32" s="340"/>
      <c r="GYX32" s="340"/>
      <c r="GYY32" s="340"/>
      <c r="GYZ32" s="340"/>
      <c r="GZA32" s="340"/>
      <c r="GZB32" s="340"/>
      <c r="GZC32" s="340"/>
      <c r="GZD32" s="340"/>
      <c r="GZE32" s="340"/>
      <c r="GZF32" s="340"/>
      <c r="GZG32" s="340"/>
      <c r="GZH32" s="340"/>
      <c r="GZI32" s="340"/>
      <c r="GZJ32" s="340"/>
      <c r="GZK32" s="340"/>
      <c r="GZL32" s="340"/>
      <c r="GZM32" s="340"/>
      <c r="GZN32" s="340"/>
      <c r="GZO32" s="340"/>
      <c r="GZP32" s="340"/>
      <c r="GZQ32" s="340"/>
      <c r="GZR32" s="340"/>
      <c r="GZS32" s="340"/>
      <c r="GZT32" s="340"/>
      <c r="GZU32" s="340"/>
      <c r="GZV32" s="340"/>
      <c r="GZW32" s="340"/>
      <c r="GZX32" s="340"/>
      <c r="GZY32" s="340"/>
      <c r="GZZ32" s="340"/>
      <c r="HAA32" s="340"/>
      <c r="HAB32" s="340"/>
      <c r="HAC32" s="340"/>
      <c r="HAD32" s="340"/>
      <c r="HAE32" s="340"/>
      <c r="HAF32" s="340"/>
      <c r="HAG32" s="340"/>
      <c r="HAH32" s="340"/>
      <c r="HAI32" s="340"/>
      <c r="HAJ32" s="340"/>
      <c r="HAK32" s="340"/>
      <c r="HAL32" s="340"/>
      <c r="HAM32" s="340"/>
      <c r="HAN32" s="340"/>
      <c r="HAO32" s="340"/>
      <c r="HAP32" s="340"/>
      <c r="HAQ32" s="340"/>
      <c r="HAR32" s="340"/>
      <c r="HAS32" s="340"/>
      <c r="HAT32" s="340"/>
      <c r="HAU32" s="340"/>
      <c r="HAV32" s="340"/>
      <c r="HAW32" s="340"/>
      <c r="HAX32" s="340"/>
      <c r="HAY32" s="340"/>
      <c r="HAZ32" s="340"/>
      <c r="HBA32" s="340"/>
      <c r="HBB32" s="340"/>
      <c r="HBC32" s="340"/>
      <c r="HBD32" s="340"/>
      <c r="HBE32" s="340"/>
      <c r="HBF32" s="340"/>
      <c r="HBG32" s="340"/>
      <c r="HBH32" s="340"/>
      <c r="HBI32" s="340"/>
      <c r="HBJ32" s="340"/>
      <c r="HBK32" s="340"/>
      <c r="HBL32" s="340"/>
      <c r="HBM32" s="340"/>
      <c r="HBN32" s="340"/>
      <c r="HBO32" s="340"/>
      <c r="HBP32" s="340"/>
      <c r="HBQ32" s="340"/>
      <c r="HBR32" s="340"/>
      <c r="HBS32" s="340"/>
      <c r="HBT32" s="340"/>
      <c r="HBU32" s="340"/>
      <c r="HBV32" s="340"/>
      <c r="HBW32" s="340"/>
      <c r="HBX32" s="340"/>
      <c r="HBY32" s="340"/>
      <c r="HBZ32" s="340"/>
      <c r="HCA32" s="340"/>
      <c r="HCB32" s="340"/>
      <c r="HCC32" s="340"/>
      <c r="HCD32" s="340"/>
      <c r="HCE32" s="340"/>
      <c r="HCF32" s="340"/>
      <c r="HCG32" s="340"/>
      <c r="HCH32" s="340"/>
      <c r="HCI32" s="340"/>
      <c r="HCJ32" s="340"/>
      <c r="HCK32" s="340"/>
      <c r="HCL32" s="340"/>
      <c r="HCM32" s="340"/>
      <c r="HCN32" s="340"/>
      <c r="HCO32" s="340"/>
      <c r="HCP32" s="340"/>
      <c r="HCQ32" s="340"/>
      <c r="HCR32" s="340"/>
      <c r="HCS32" s="340"/>
      <c r="HCT32" s="340"/>
      <c r="HCU32" s="340"/>
      <c r="HCV32" s="340"/>
      <c r="HCW32" s="340"/>
      <c r="HCX32" s="340"/>
      <c r="HCY32" s="340"/>
      <c r="HCZ32" s="340"/>
      <c r="HDA32" s="340"/>
      <c r="HDB32" s="340"/>
      <c r="HDC32" s="340"/>
      <c r="HDD32" s="340"/>
      <c r="HDE32" s="340"/>
      <c r="HDF32" s="340"/>
      <c r="HDG32" s="340"/>
      <c r="HDH32" s="340"/>
      <c r="HDI32" s="340"/>
      <c r="HDJ32" s="340"/>
      <c r="HDK32" s="340"/>
      <c r="HDL32" s="340"/>
      <c r="HDM32" s="340"/>
      <c r="HDN32" s="340"/>
      <c r="HDO32" s="340"/>
      <c r="HDP32" s="340"/>
      <c r="HDQ32" s="340"/>
      <c r="HDR32" s="340"/>
      <c r="HDS32" s="340"/>
      <c r="HDT32" s="340"/>
      <c r="HDU32" s="340"/>
      <c r="HDV32" s="340"/>
      <c r="HDW32" s="340"/>
      <c r="HDX32" s="340"/>
      <c r="HDY32" s="340"/>
      <c r="HDZ32" s="340"/>
      <c r="HEA32" s="340"/>
      <c r="HEB32" s="340"/>
      <c r="HEC32" s="340"/>
      <c r="HED32" s="340"/>
      <c r="HEE32" s="340"/>
      <c r="HEF32" s="340"/>
      <c r="HEG32" s="340"/>
      <c r="HEH32" s="340"/>
      <c r="HEI32" s="340"/>
      <c r="HEJ32" s="340"/>
      <c r="HEK32" s="340"/>
      <c r="HEL32" s="340"/>
      <c r="HEM32" s="340"/>
      <c r="HEN32" s="340"/>
      <c r="HEO32" s="340"/>
      <c r="HEP32" s="340"/>
      <c r="HEQ32" s="340"/>
      <c r="HER32" s="340"/>
      <c r="HES32" s="340"/>
      <c r="HET32" s="340"/>
      <c r="HEU32" s="340"/>
      <c r="HEV32" s="340"/>
      <c r="HEW32" s="340"/>
      <c r="HEX32" s="340"/>
      <c r="HEY32" s="340"/>
      <c r="HEZ32" s="340"/>
      <c r="HFA32" s="340"/>
      <c r="HFB32" s="340"/>
      <c r="HFC32" s="340"/>
      <c r="HFD32" s="340"/>
      <c r="HFE32" s="340"/>
      <c r="HFF32" s="340"/>
      <c r="HFG32" s="340"/>
      <c r="HFH32" s="340"/>
      <c r="HFI32" s="340"/>
      <c r="HFJ32" s="340"/>
      <c r="HFK32" s="340"/>
      <c r="HFL32" s="340"/>
      <c r="HFM32" s="340"/>
      <c r="HFN32" s="340"/>
      <c r="HFO32" s="340"/>
      <c r="HFP32" s="340"/>
      <c r="HFQ32" s="340"/>
      <c r="HFR32" s="340"/>
      <c r="HFS32" s="340"/>
      <c r="HFT32" s="340"/>
      <c r="HFU32" s="340"/>
      <c r="HFV32" s="340"/>
      <c r="HFW32" s="340"/>
      <c r="HFX32" s="340"/>
      <c r="HFY32" s="340"/>
      <c r="HFZ32" s="340"/>
      <c r="HGA32" s="340"/>
      <c r="HGB32" s="340"/>
      <c r="HGC32" s="340"/>
      <c r="HGD32" s="340"/>
      <c r="HGE32" s="340"/>
      <c r="HGF32" s="340"/>
      <c r="HGG32" s="340"/>
      <c r="HGH32" s="340"/>
      <c r="HGI32" s="340"/>
      <c r="HGJ32" s="340"/>
      <c r="HGK32" s="340"/>
      <c r="HGL32" s="340"/>
      <c r="HGM32" s="340"/>
      <c r="HGN32" s="340"/>
      <c r="HGO32" s="340"/>
      <c r="HGP32" s="340"/>
      <c r="HGQ32" s="340"/>
      <c r="HGR32" s="340"/>
      <c r="HGS32" s="340"/>
      <c r="HGT32" s="340"/>
      <c r="HGU32" s="340"/>
      <c r="HGV32" s="340"/>
      <c r="HGW32" s="340"/>
      <c r="HGX32" s="340"/>
      <c r="HGY32" s="340"/>
      <c r="HGZ32" s="340"/>
      <c r="HHA32" s="340"/>
      <c r="HHB32" s="340"/>
      <c r="HHC32" s="340"/>
      <c r="HHD32" s="340"/>
      <c r="HHE32" s="340"/>
      <c r="HHF32" s="340"/>
      <c r="HHG32" s="340"/>
      <c r="HHH32" s="340"/>
      <c r="HHI32" s="340"/>
      <c r="HHJ32" s="340"/>
      <c r="HHK32" s="340"/>
      <c r="HHL32" s="340"/>
      <c r="HHM32" s="340"/>
      <c r="HHN32" s="340"/>
      <c r="HHO32" s="340"/>
      <c r="HHP32" s="340"/>
      <c r="HHQ32" s="340"/>
      <c r="HHR32" s="340"/>
      <c r="HHS32" s="340"/>
      <c r="HHT32" s="340"/>
      <c r="HHU32" s="340"/>
      <c r="HHV32" s="340"/>
      <c r="HHW32" s="340"/>
      <c r="HHX32" s="340"/>
      <c r="HHY32" s="340"/>
      <c r="HHZ32" s="340"/>
      <c r="HIA32" s="340"/>
      <c r="HIB32" s="340"/>
      <c r="HIC32" s="340"/>
      <c r="HID32" s="340"/>
      <c r="HIE32" s="340"/>
      <c r="HIF32" s="340"/>
      <c r="HIG32" s="340"/>
      <c r="HIH32" s="340"/>
      <c r="HII32" s="340"/>
      <c r="HIJ32" s="340"/>
      <c r="HIK32" s="340"/>
      <c r="HIL32" s="340"/>
      <c r="HIM32" s="340"/>
      <c r="HIN32" s="340"/>
      <c r="HIO32" s="340"/>
      <c r="HIP32" s="340"/>
      <c r="HIQ32" s="340"/>
      <c r="HIR32" s="340"/>
      <c r="HIS32" s="340"/>
      <c r="HIT32" s="340"/>
      <c r="HIU32" s="340"/>
      <c r="HIV32" s="340"/>
      <c r="HIW32" s="340"/>
      <c r="HIX32" s="340"/>
      <c r="HIY32" s="340"/>
      <c r="HIZ32" s="340"/>
      <c r="HJA32" s="340"/>
      <c r="HJB32" s="340"/>
      <c r="HJC32" s="340"/>
      <c r="HJD32" s="340"/>
      <c r="HJE32" s="340"/>
      <c r="HJF32" s="340"/>
      <c r="HJG32" s="340"/>
      <c r="HJH32" s="340"/>
      <c r="HJI32" s="340"/>
      <c r="HJJ32" s="340"/>
      <c r="HJK32" s="340"/>
      <c r="HJL32" s="340"/>
      <c r="HJM32" s="340"/>
      <c r="HJN32" s="340"/>
      <c r="HJO32" s="340"/>
      <c r="HJP32" s="340"/>
      <c r="HJQ32" s="340"/>
      <c r="HJR32" s="340"/>
      <c r="HJS32" s="340"/>
      <c r="HJT32" s="340"/>
      <c r="HJU32" s="340"/>
      <c r="HJV32" s="340"/>
      <c r="HJW32" s="340"/>
      <c r="HJX32" s="340"/>
      <c r="HJY32" s="340"/>
      <c r="HJZ32" s="340"/>
      <c r="HKA32" s="340"/>
      <c r="HKB32" s="340"/>
      <c r="HKC32" s="340"/>
      <c r="HKD32" s="340"/>
      <c r="HKE32" s="340"/>
      <c r="HKF32" s="340"/>
      <c r="HKG32" s="340"/>
      <c r="HKH32" s="340"/>
      <c r="HKI32" s="340"/>
      <c r="HKJ32" s="340"/>
      <c r="HKK32" s="340"/>
      <c r="HKL32" s="340"/>
      <c r="HKM32" s="340"/>
      <c r="HKN32" s="340"/>
      <c r="HKO32" s="340"/>
      <c r="HKP32" s="340"/>
      <c r="HKQ32" s="340"/>
      <c r="HKR32" s="340"/>
      <c r="HKS32" s="340"/>
      <c r="HKT32" s="340"/>
      <c r="HKU32" s="340"/>
      <c r="HKV32" s="340"/>
      <c r="HKW32" s="340"/>
      <c r="HKX32" s="340"/>
      <c r="HKY32" s="340"/>
      <c r="HKZ32" s="340"/>
      <c r="HLA32" s="340"/>
      <c r="HLB32" s="340"/>
      <c r="HLC32" s="340"/>
      <c r="HLD32" s="340"/>
      <c r="HLE32" s="340"/>
      <c r="HLF32" s="340"/>
      <c r="HLG32" s="340"/>
      <c r="HLH32" s="340"/>
      <c r="HLI32" s="340"/>
      <c r="HLJ32" s="340"/>
      <c r="HLK32" s="340"/>
      <c r="HLL32" s="340"/>
      <c r="HLM32" s="340"/>
      <c r="HLN32" s="340"/>
      <c r="HLO32" s="340"/>
      <c r="HLP32" s="340"/>
      <c r="HLQ32" s="340"/>
      <c r="HLR32" s="340"/>
      <c r="HLS32" s="340"/>
      <c r="HLT32" s="340"/>
      <c r="HLU32" s="340"/>
      <c r="HLV32" s="340"/>
      <c r="HLW32" s="340"/>
      <c r="HLX32" s="340"/>
      <c r="HLY32" s="340"/>
      <c r="HLZ32" s="340"/>
      <c r="HMA32" s="340"/>
      <c r="HMB32" s="340"/>
      <c r="HMC32" s="340"/>
      <c r="HMD32" s="340"/>
      <c r="HME32" s="340"/>
      <c r="HMF32" s="340"/>
      <c r="HMG32" s="340"/>
      <c r="HMH32" s="340"/>
      <c r="HMI32" s="340"/>
      <c r="HMJ32" s="340"/>
      <c r="HMK32" s="340"/>
      <c r="HML32" s="340"/>
      <c r="HMM32" s="340"/>
      <c r="HMN32" s="340"/>
      <c r="HMO32" s="340"/>
      <c r="HMP32" s="340"/>
      <c r="HMQ32" s="340"/>
      <c r="HMR32" s="340"/>
      <c r="HMS32" s="340"/>
      <c r="HMT32" s="340"/>
      <c r="HMU32" s="340"/>
      <c r="HMV32" s="340"/>
      <c r="HMW32" s="340"/>
      <c r="HMX32" s="340"/>
      <c r="HMY32" s="340"/>
      <c r="HMZ32" s="340"/>
      <c r="HNA32" s="340"/>
      <c r="HNB32" s="340"/>
      <c r="HNC32" s="340"/>
      <c r="HND32" s="340"/>
      <c r="HNE32" s="340"/>
      <c r="HNF32" s="340"/>
      <c r="HNG32" s="340"/>
      <c r="HNH32" s="340"/>
      <c r="HNI32" s="340"/>
      <c r="HNJ32" s="340"/>
      <c r="HNK32" s="340"/>
      <c r="HNL32" s="340"/>
      <c r="HNM32" s="340"/>
      <c r="HNN32" s="340"/>
      <c r="HNO32" s="340"/>
      <c r="HNP32" s="340"/>
      <c r="HNQ32" s="340"/>
      <c r="HNR32" s="340"/>
      <c r="HNS32" s="340"/>
      <c r="HNT32" s="340"/>
      <c r="HNU32" s="340"/>
      <c r="HNV32" s="340"/>
      <c r="HNW32" s="340"/>
      <c r="HNX32" s="340"/>
      <c r="HNY32" s="340"/>
      <c r="HNZ32" s="340"/>
      <c r="HOA32" s="340"/>
      <c r="HOB32" s="340"/>
      <c r="HOC32" s="340"/>
      <c r="HOD32" s="340"/>
      <c r="HOE32" s="340"/>
      <c r="HOF32" s="340"/>
      <c r="HOG32" s="340"/>
      <c r="HOH32" s="340"/>
      <c r="HOI32" s="340"/>
      <c r="HOJ32" s="340"/>
      <c r="HOK32" s="340"/>
      <c r="HOL32" s="340"/>
      <c r="HOM32" s="340"/>
      <c r="HON32" s="340"/>
      <c r="HOO32" s="340"/>
      <c r="HOP32" s="340"/>
      <c r="HOQ32" s="340"/>
      <c r="HOR32" s="340"/>
      <c r="HOS32" s="340"/>
      <c r="HOT32" s="340"/>
      <c r="HOU32" s="340"/>
      <c r="HOV32" s="340"/>
      <c r="HOW32" s="340"/>
      <c r="HOX32" s="340"/>
      <c r="HOY32" s="340"/>
      <c r="HOZ32" s="340"/>
      <c r="HPA32" s="340"/>
      <c r="HPB32" s="340"/>
      <c r="HPC32" s="340"/>
      <c r="HPD32" s="340"/>
      <c r="HPE32" s="340"/>
      <c r="HPF32" s="340"/>
      <c r="HPG32" s="340"/>
      <c r="HPH32" s="340"/>
      <c r="HPI32" s="340"/>
      <c r="HPJ32" s="340"/>
      <c r="HPK32" s="340"/>
      <c r="HPL32" s="340"/>
      <c r="HPM32" s="340"/>
      <c r="HPN32" s="340"/>
      <c r="HPO32" s="340"/>
      <c r="HPP32" s="340"/>
      <c r="HPQ32" s="340"/>
      <c r="HPR32" s="340"/>
      <c r="HPS32" s="340"/>
      <c r="HPT32" s="340"/>
      <c r="HPU32" s="340"/>
      <c r="HPV32" s="340"/>
      <c r="HPW32" s="340"/>
      <c r="HPX32" s="340"/>
      <c r="HPY32" s="340"/>
      <c r="HPZ32" s="340"/>
      <c r="HQA32" s="340"/>
      <c r="HQB32" s="340"/>
      <c r="HQC32" s="340"/>
      <c r="HQD32" s="340"/>
      <c r="HQE32" s="340"/>
      <c r="HQF32" s="340"/>
      <c r="HQG32" s="340"/>
      <c r="HQH32" s="340"/>
      <c r="HQI32" s="340"/>
      <c r="HQJ32" s="340"/>
      <c r="HQK32" s="340"/>
      <c r="HQL32" s="340"/>
      <c r="HQM32" s="340"/>
      <c r="HQN32" s="340"/>
      <c r="HQO32" s="340"/>
      <c r="HQP32" s="340"/>
      <c r="HQQ32" s="340"/>
      <c r="HQR32" s="340"/>
      <c r="HQS32" s="340"/>
      <c r="HQT32" s="340"/>
      <c r="HQU32" s="340"/>
      <c r="HQV32" s="340"/>
      <c r="HQW32" s="340"/>
      <c r="HQX32" s="340"/>
      <c r="HQY32" s="340"/>
      <c r="HQZ32" s="340"/>
      <c r="HRA32" s="340"/>
      <c r="HRB32" s="340"/>
      <c r="HRC32" s="340"/>
      <c r="HRD32" s="340"/>
      <c r="HRE32" s="340"/>
      <c r="HRF32" s="340"/>
      <c r="HRG32" s="340"/>
      <c r="HRH32" s="340"/>
      <c r="HRI32" s="340"/>
      <c r="HRJ32" s="340"/>
      <c r="HRK32" s="340"/>
      <c r="HRL32" s="340"/>
      <c r="HRM32" s="340"/>
      <c r="HRN32" s="340"/>
      <c r="HRO32" s="340"/>
      <c r="HRP32" s="340"/>
      <c r="HRQ32" s="340"/>
      <c r="HRR32" s="340"/>
      <c r="HRS32" s="340"/>
      <c r="HRT32" s="340"/>
      <c r="HRU32" s="340"/>
      <c r="HRV32" s="340"/>
      <c r="HRW32" s="340"/>
      <c r="HRX32" s="340"/>
      <c r="HRY32" s="340"/>
      <c r="HRZ32" s="340"/>
      <c r="HSA32" s="340"/>
      <c r="HSB32" s="340"/>
      <c r="HSC32" s="340"/>
      <c r="HSD32" s="340"/>
      <c r="HSE32" s="340"/>
      <c r="HSF32" s="340"/>
      <c r="HSG32" s="340"/>
      <c r="HSH32" s="340"/>
      <c r="HSI32" s="340"/>
      <c r="HSJ32" s="340"/>
      <c r="HSK32" s="340"/>
      <c r="HSL32" s="340"/>
      <c r="HSM32" s="340"/>
      <c r="HSN32" s="340"/>
      <c r="HSO32" s="340"/>
      <c r="HSP32" s="340"/>
      <c r="HSQ32" s="340"/>
      <c r="HSR32" s="340"/>
      <c r="HSS32" s="340"/>
      <c r="HST32" s="340"/>
      <c r="HSU32" s="340"/>
      <c r="HSV32" s="340"/>
      <c r="HSW32" s="340"/>
      <c r="HSX32" s="340"/>
      <c r="HSY32" s="340"/>
      <c r="HSZ32" s="340"/>
      <c r="HTA32" s="340"/>
      <c r="HTB32" s="340"/>
      <c r="HTC32" s="340"/>
      <c r="HTD32" s="340"/>
      <c r="HTE32" s="340"/>
      <c r="HTF32" s="340"/>
      <c r="HTG32" s="340"/>
      <c r="HTH32" s="340"/>
      <c r="HTI32" s="340"/>
      <c r="HTJ32" s="340"/>
      <c r="HTK32" s="340"/>
      <c r="HTL32" s="340"/>
      <c r="HTM32" s="340"/>
      <c r="HTN32" s="340"/>
      <c r="HTO32" s="340"/>
      <c r="HTP32" s="340"/>
      <c r="HTQ32" s="340"/>
      <c r="HTR32" s="340"/>
      <c r="HTS32" s="340"/>
      <c r="HTT32" s="340"/>
      <c r="HTU32" s="340"/>
      <c r="HTV32" s="340"/>
      <c r="HTW32" s="340"/>
      <c r="HTX32" s="340"/>
      <c r="HTY32" s="340"/>
      <c r="HTZ32" s="340"/>
      <c r="HUA32" s="340"/>
      <c r="HUB32" s="340"/>
      <c r="HUC32" s="340"/>
      <c r="HUD32" s="340"/>
      <c r="HUE32" s="340"/>
      <c r="HUF32" s="340"/>
      <c r="HUG32" s="340"/>
      <c r="HUH32" s="340"/>
      <c r="HUI32" s="340"/>
      <c r="HUJ32" s="340"/>
      <c r="HUK32" s="340"/>
      <c r="HUL32" s="340"/>
      <c r="HUM32" s="340"/>
      <c r="HUN32" s="340"/>
      <c r="HUO32" s="340"/>
      <c r="HUP32" s="340"/>
      <c r="HUQ32" s="340"/>
      <c r="HUR32" s="340"/>
      <c r="HUS32" s="340"/>
      <c r="HUT32" s="340"/>
      <c r="HUU32" s="340"/>
      <c r="HUV32" s="340"/>
      <c r="HUW32" s="340"/>
      <c r="HUX32" s="340"/>
      <c r="HUY32" s="340"/>
      <c r="HUZ32" s="340"/>
      <c r="HVA32" s="340"/>
      <c r="HVB32" s="340"/>
      <c r="HVC32" s="340"/>
      <c r="HVD32" s="340"/>
      <c r="HVE32" s="340"/>
      <c r="HVF32" s="340"/>
      <c r="HVG32" s="340"/>
      <c r="HVH32" s="340"/>
      <c r="HVI32" s="340"/>
      <c r="HVJ32" s="340"/>
      <c r="HVK32" s="340"/>
      <c r="HVL32" s="340"/>
      <c r="HVM32" s="340"/>
      <c r="HVN32" s="340"/>
      <c r="HVO32" s="340"/>
      <c r="HVP32" s="340"/>
      <c r="HVQ32" s="340"/>
      <c r="HVR32" s="340"/>
      <c r="HVS32" s="340"/>
      <c r="HVT32" s="340"/>
      <c r="HVU32" s="340"/>
      <c r="HVV32" s="340"/>
      <c r="HVW32" s="340"/>
      <c r="HVX32" s="340"/>
      <c r="HVY32" s="340"/>
      <c r="HVZ32" s="340"/>
      <c r="HWA32" s="340"/>
      <c r="HWB32" s="340"/>
      <c r="HWC32" s="340"/>
      <c r="HWD32" s="340"/>
      <c r="HWE32" s="340"/>
      <c r="HWF32" s="340"/>
      <c r="HWG32" s="340"/>
      <c r="HWH32" s="340"/>
      <c r="HWI32" s="340"/>
      <c r="HWJ32" s="340"/>
      <c r="HWK32" s="340"/>
      <c r="HWL32" s="340"/>
      <c r="HWM32" s="340"/>
      <c r="HWN32" s="340"/>
      <c r="HWO32" s="340"/>
      <c r="HWP32" s="340"/>
      <c r="HWQ32" s="340"/>
      <c r="HWR32" s="340"/>
      <c r="HWS32" s="340"/>
      <c r="HWT32" s="340"/>
      <c r="HWU32" s="340"/>
      <c r="HWV32" s="340"/>
      <c r="HWW32" s="340"/>
      <c r="HWX32" s="340"/>
      <c r="HWY32" s="340"/>
      <c r="HWZ32" s="340"/>
      <c r="HXA32" s="340"/>
      <c r="HXB32" s="340"/>
      <c r="HXC32" s="340"/>
      <c r="HXD32" s="340"/>
      <c r="HXE32" s="340"/>
      <c r="HXF32" s="340"/>
      <c r="HXG32" s="340"/>
      <c r="HXH32" s="340"/>
      <c r="HXI32" s="340"/>
      <c r="HXJ32" s="340"/>
      <c r="HXK32" s="340"/>
      <c r="HXL32" s="340"/>
      <c r="HXM32" s="340"/>
      <c r="HXN32" s="340"/>
      <c r="HXO32" s="340"/>
      <c r="HXP32" s="340"/>
      <c r="HXQ32" s="340"/>
      <c r="HXR32" s="340"/>
      <c r="HXS32" s="340"/>
      <c r="HXT32" s="340"/>
      <c r="HXU32" s="340"/>
      <c r="HXV32" s="340"/>
      <c r="HXW32" s="340"/>
      <c r="HXX32" s="340"/>
      <c r="HXY32" s="340"/>
      <c r="HXZ32" s="340"/>
      <c r="HYA32" s="340"/>
      <c r="HYB32" s="340"/>
      <c r="HYC32" s="340"/>
      <c r="HYD32" s="340"/>
      <c r="HYE32" s="340"/>
      <c r="HYF32" s="340"/>
      <c r="HYG32" s="340"/>
      <c r="HYH32" s="340"/>
      <c r="HYI32" s="340"/>
      <c r="HYJ32" s="340"/>
      <c r="HYK32" s="340"/>
      <c r="HYL32" s="340"/>
      <c r="HYM32" s="340"/>
      <c r="HYN32" s="340"/>
      <c r="HYO32" s="340"/>
      <c r="HYP32" s="340"/>
      <c r="HYQ32" s="340"/>
      <c r="HYR32" s="340"/>
      <c r="HYS32" s="340"/>
      <c r="HYT32" s="340"/>
      <c r="HYU32" s="340"/>
      <c r="HYV32" s="340"/>
      <c r="HYW32" s="340"/>
      <c r="HYX32" s="340"/>
      <c r="HYY32" s="340"/>
      <c r="HYZ32" s="340"/>
      <c r="HZA32" s="340"/>
      <c r="HZB32" s="340"/>
      <c r="HZC32" s="340"/>
      <c r="HZD32" s="340"/>
      <c r="HZE32" s="340"/>
      <c r="HZF32" s="340"/>
      <c r="HZG32" s="340"/>
      <c r="HZH32" s="340"/>
      <c r="HZI32" s="340"/>
      <c r="HZJ32" s="340"/>
      <c r="HZK32" s="340"/>
      <c r="HZL32" s="340"/>
      <c r="HZM32" s="340"/>
      <c r="HZN32" s="340"/>
      <c r="HZO32" s="340"/>
      <c r="HZP32" s="340"/>
      <c r="HZQ32" s="340"/>
      <c r="HZR32" s="340"/>
      <c r="HZS32" s="340"/>
      <c r="HZT32" s="340"/>
      <c r="HZU32" s="340"/>
      <c r="HZV32" s="340"/>
      <c r="HZW32" s="340"/>
      <c r="HZX32" s="340"/>
      <c r="HZY32" s="340"/>
      <c r="HZZ32" s="340"/>
      <c r="IAA32" s="340"/>
      <c r="IAB32" s="340"/>
      <c r="IAC32" s="340"/>
      <c r="IAD32" s="340"/>
      <c r="IAE32" s="340"/>
      <c r="IAF32" s="340"/>
      <c r="IAG32" s="340"/>
      <c r="IAH32" s="340"/>
      <c r="IAI32" s="340"/>
      <c r="IAJ32" s="340"/>
      <c r="IAK32" s="340"/>
      <c r="IAL32" s="340"/>
      <c r="IAM32" s="340"/>
      <c r="IAN32" s="340"/>
      <c r="IAO32" s="340"/>
      <c r="IAP32" s="340"/>
      <c r="IAQ32" s="340"/>
      <c r="IAR32" s="340"/>
      <c r="IAS32" s="340"/>
      <c r="IAT32" s="340"/>
      <c r="IAU32" s="340"/>
      <c r="IAV32" s="340"/>
      <c r="IAW32" s="340"/>
      <c r="IAX32" s="340"/>
      <c r="IAY32" s="340"/>
      <c r="IAZ32" s="340"/>
      <c r="IBA32" s="340"/>
      <c r="IBB32" s="340"/>
      <c r="IBC32" s="340"/>
      <c r="IBD32" s="340"/>
      <c r="IBE32" s="340"/>
      <c r="IBF32" s="340"/>
      <c r="IBG32" s="340"/>
      <c r="IBH32" s="340"/>
      <c r="IBI32" s="340"/>
      <c r="IBJ32" s="340"/>
      <c r="IBK32" s="340"/>
      <c r="IBL32" s="340"/>
      <c r="IBM32" s="340"/>
      <c r="IBN32" s="340"/>
      <c r="IBO32" s="340"/>
      <c r="IBP32" s="340"/>
      <c r="IBQ32" s="340"/>
      <c r="IBR32" s="340"/>
      <c r="IBS32" s="340"/>
      <c r="IBT32" s="340"/>
      <c r="IBU32" s="340"/>
      <c r="IBV32" s="340"/>
      <c r="IBW32" s="340"/>
      <c r="IBX32" s="340"/>
      <c r="IBY32" s="340"/>
      <c r="IBZ32" s="340"/>
      <c r="ICA32" s="340"/>
      <c r="ICB32" s="340"/>
      <c r="ICC32" s="340"/>
      <c r="ICD32" s="340"/>
      <c r="ICE32" s="340"/>
      <c r="ICF32" s="340"/>
      <c r="ICG32" s="340"/>
      <c r="ICH32" s="340"/>
      <c r="ICI32" s="340"/>
      <c r="ICJ32" s="340"/>
      <c r="ICK32" s="340"/>
      <c r="ICL32" s="340"/>
      <c r="ICM32" s="340"/>
      <c r="ICN32" s="340"/>
      <c r="ICO32" s="340"/>
      <c r="ICP32" s="340"/>
      <c r="ICQ32" s="340"/>
      <c r="ICR32" s="340"/>
      <c r="ICS32" s="340"/>
      <c r="ICT32" s="340"/>
      <c r="ICU32" s="340"/>
      <c r="ICV32" s="340"/>
      <c r="ICW32" s="340"/>
      <c r="ICX32" s="340"/>
      <c r="ICY32" s="340"/>
      <c r="ICZ32" s="340"/>
      <c r="IDA32" s="340"/>
      <c r="IDB32" s="340"/>
      <c r="IDC32" s="340"/>
      <c r="IDD32" s="340"/>
      <c r="IDE32" s="340"/>
      <c r="IDF32" s="340"/>
      <c r="IDG32" s="340"/>
      <c r="IDH32" s="340"/>
      <c r="IDI32" s="340"/>
      <c r="IDJ32" s="340"/>
      <c r="IDK32" s="340"/>
      <c r="IDL32" s="340"/>
      <c r="IDM32" s="340"/>
      <c r="IDN32" s="340"/>
      <c r="IDO32" s="340"/>
      <c r="IDP32" s="340"/>
      <c r="IDQ32" s="340"/>
      <c r="IDR32" s="340"/>
      <c r="IDS32" s="340"/>
      <c r="IDT32" s="340"/>
      <c r="IDU32" s="340"/>
      <c r="IDV32" s="340"/>
      <c r="IDW32" s="340"/>
      <c r="IDX32" s="340"/>
      <c r="IDY32" s="340"/>
      <c r="IDZ32" s="340"/>
      <c r="IEA32" s="340"/>
      <c r="IEB32" s="340"/>
      <c r="IEC32" s="340"/>
      <c r="IED32" s="340"/>
      <c r="IEE32" s="340"/>
      <c r="IEF32" s="340"/>
      <c r="IEG32" s="340"/>
      <c r="IEH32" s="340"/>
      <c r="IEI32" s="340"/>
      <c r="IEJ32" s="340"/>
      <c r="IEK32" s="340"/>
      <c r="IEL32" s="340"/>
      <c r="IEM32" s="340"/>
      <c r="IEN32" s="340"/>
      <c r="IEO32" s="340"/>
      <c r="IEP32" s="340"/>
      <c r="IEQ32" s="340"/>
      <c r="IER32" s="340"/>
      <c r="IES32" s="340"/>
      <c r="IET32" s="340"/>
      <c r="IEU32" s="340"/>
      <c r="IEV32" s="340"/>
      <c r="IEW32" s="340"/>
      <c r="IEX32" s="340"/>
      <c r="IEY32" s="340"/>
      <c r="IEZ32" s="340"/>
      <c r="IFA32" s="340"/>
      <c r="IFB32" s="340"/>
      <c r="IFC32" s="340"/>
      <c r="IFD32" s="340"/>
      <c r="IFE32" s="340"/>
      <c r="IFF32" s="340"/>
      <c r="IFG32" s="340"/>
      <c r="IFH32" s="340"/>
      <c r="IFI32" s="340"/>
      <c r="IFJ32" s="340"/>
      <c r="IFK32" s="340"/>
      <c r="IFL32" s="340"/>
      <c r="IFM32" s="340"/>
      <c r="IFN32" s="340"/>
      <c r="IFO32" s="340"/>
      <c r="IFP32" s="340"/>
      <c r="IFQ32" s="340"/>
      <c r="IFR32" s="340"/>
      <c r="IFS32" s="340"/>
      <c r="IFT32" s="340"/>
      <c r="IFU32" s="340"/>
      <c r="IFV32" s="340"/>
      <c r="IFW32" s="340"/>
      <c r="IFX32" s="340"/>
      <c r="IFY32" s="340"/>
      <c r="IFZ32" s="340"/>
      <c r="IGA32" s="340"/>
      <c r="IGB32" s="340"/>
      <c r="IGC32" s="340"/>
      <c r="IGD32" s="340"/>
      <c r="IGE32" s="340"/>
      <c r="IGF32" s="340"/>
      <c r="IGG32" s="340"/>
      <c r="IGH32" s="340"/>
      <c r="IGI32" s="340"/>
      <c r="IGJ32" s="340"/>
      <c r="IGK32" s="340"/>
      <c r="IGL32" s="340"/>
      <c r="IGM32" s="340"/>
      <c r="IGN32" s="340"/>
      <c r="IGO32" s="340"/>
      <c r="IGP32" s="340"/>
      <c r="IGQ32" s="340"/>
      <c r="IGR32" s="340"/>
      <c r="IGS32" s="340"/>
      <c r="IGT32" s="340"/>
      <c r="IGU32" s="340"/>
      <c r="IGV32" s="340"/>
      <c r="IGW32" s="340"/>
      <c r="IGX32" s="340"/>
      <c r="IGY32" s="340"/>
      <c r="IGZ32" s="340"/>
      <c r="IHA32" s="340"/>
      <c r="IHB32" s="340"/>
      <c r="IHC32" s="340"/>
      <c r="IHD32" s="340"/>
      <c r="IHE32" s="340"/>
      <c r="IHF32" s="340"/>
      <c r="IHG32" s="340"/>
      <c r="IHH32" s="340"/>
      <c r="IHI32" s="340"/>
      <c r="IHJ32" s="340"/>
      <c r="IHK32" s="340"/>
      <c r="IHL32" s="340"/>
      <c r="IHM32" s="340"/>
      <c r="IHN32" s="340"/>
      <c r="IHO32" s="340"/>
      <c r="IHP32" s="340"/>
      <c r="IHQ32" s="340"/>
      <c r="IHR32" s="340"/>
      <c r="IHS32" s="340"/>
      <c r="IHT32" s="340"/>
      <c r="IHU32" s="340"/>
      <c r="IHV32" s="340"/>
      <c r="IHW32" s="340"/>
      <c r="IHX32" s="340"/>
      <c r="IHY32" s="340"/>
      <c r="IHZ32" s="340"/>
      <c r="IIA32" s="340"/>
      <c r="IIB32" s="340"/>
      <c r="IIC32" s="340"/>
      <c r="IID32" s="340"/>
      <c r="IIE32" s="340"/>
      <c r="IIF32" s="340"/>
      <c r="IIG32" s="340"/>
      <c r="IIH32" s="340"/>
      <c r="III32" s="340"/>
      <c r="IIJ32" s="340"/>
      <c r="IIK32" s="340"/>
      <c r="IIL32" s="340"/>
      <c r="IIM32" s="340"/>
      <c r="IIN32" s="340"/>
      <c r="IIO32" s="340"/>
      <c r="IIP32" s="340"/>
      <c r="IIQ32" s="340"/>
      <c r="IIR32" s="340"/>
      <c r="IIS32" s="340"/>
      <c r="IIT32" s="340"/>
      <c r="IIU32" s="340"/>
      <c r="IIV32" s="340"/>
      <c r="IIW32" s="340"/>
      <c r="IIX32" s="340"/>
      <c r="IIY32" s="340"/>
      <c r="IIZ32" s="340"/>
      <c r="IJA32" s="340"/>
      <c r="IJB32" s="340"/>
      <c r="IJC32" s="340"/>
      <c r="IJD32" s="340"/>
      <c r="IJE32" s="340"/>
      <c r="IJF32" s="340"/>
      <c r="IJG32" s="340"/>
      <c r="IJH32" s="340"/>
      <c r="IJI32" s="340"/>
      <c r="IJJ32" s="340"/>
      <c r="IJK32" s="340"/>
      <c r="IJL32" s="340"/>
      <c r="IJM32" s="340"/>
      <c r="IJN32" s="340"/>
      <c r="IJO32" s="340"/>
      <c r="IJP32" s="340"/>
      <c r="IJQ32" s="340"/>
      <c r="IJR32" s="340"/>
      <c r="IJS32" s="340"/>
      <c r="IJT32" s="340"/>
      <c r="IJU32" s="340"/>
      <c r="IJV32" s="340"/>
      <c r="IJW32" s="340"/>
      <c r="IJX32" s="340"/>
      <c r="IJY32" s="340"/>
      <c r="IJZ32" s="340"/>
      <c r="IKA32" s="340"/>
      <c r="IKB32" s="340"/>
      <c r="IKC32" s="340"/>
      <c r="IKD32" s="340"/>
      <c r="IKE32" s="340"/>
      <c r="IKF32" s="340"/>
      <c r="IKG32" s="340"/>
      <c r="IKH32" s="340"/>
      <c r="IKI32" s="340"/>
      <c r="IKJ32" s="340"/>
      <c r="IKK32" s="340"/>
      <c r="IKL32" s="340"/>
      <c r="IKM32" s="340"/>
      <c r="IKN32" s="340"/>
      <c r="IKO32" s="340"/>
      <c r="IKP32" s="340"/>
      <c r="IKQ32" s="340"/>
      <c r="IKR32" s="340"/>
      <c r="IKS32" s="340"/>
      <c r="IKT32" s="340"/>
      <c r="IKU32" s="340"/>
      <c r="IKV32" s="340"/>
      <c r="IKW32" s="340"/>
      <c r="IKX32" s="340"/>
      <c r="IKY32" s="340"/>
      <c r="IKZ32" s="340"/>
      <c r="ILA32" s="340"/>
      <c r="ILB32" s="340"/>
      <c r="ILC32" s="340"/>
      <c r="ILD32" s="340"/>
      <c r="ILE32" s="340"/>
      <c r="ILF32" s="340"/>
      <c r="ILG32" s="340"/>
      <c r="ILH32" s="340"/>
      <c r="ILI32" s="340"/>
      <c r="ILJ32" s="340"/>
      <c r="ILK32" s="340"/>
      <c r="ILL32" s="340"/>
      <c r="ILM32" s="340"/>
      <c r="ILN32" s="340"/>
      <c r="ILO32" s="340"/>
      <c r="ILP32" s="340"/>
      <c r="ILQ32" s="340"/>
      <c r="ILR32" s="340"/>
      <c r="ILS32" s="340"/>
      <c r="ILT32" s="340"/>
      <c r="ILU32" s="340"/>
      <c r="ILV32" s="340"/>
      <c r="ILW32" s="340"/>
      <c r="ILX32" s="340"/>
      <c r="ILY32" s="340"/>
      <c r="ILZ32" s="340"/>
      <c r="IMA32" s="340"/>
      <c r="IMB32" s="340"/>
      <c r="IMC32" s="340"/>
      <c r="IMD32" s="340"/>
      <c r="IME32" s="340"/>
      <c r="IMF32" s="340"/>
      <c r="IMG32" s="340"/>
      <c r="IMH32" s="340"/>
      <c r="IMI32" s="340"/>
      <c r="IMJ32" s="340"/>
      <c r="IMK32" s="340"/>
      <c r="IML32" s="340"/>
      <c r="IMM32" s="340"/>
      <c r="IMN32" s="340"/>
      <c r="IMO32" s="340"/>
      <c r="IMP32" s="340"/>
      <c r="IMQ32" s="340"/>
      <c r="IMR32" s="340"/>
      <c r="IMS32" s="340"/>
      <c r="IMT32" s="340"/>
      <c r="IMU32" s="340"/>
      <c r="IMV32" s="340"/>
      <c r="IMW32" s="340"/>
      <c r="IMX32" s="340"/>
      <c r="IMY32" s="340"/>
      <c r="IMZ32" s="340"/>
      <c r="INA32" s="340"/>
      <c r="INB32" s="340"/>
      <c r="INC32" s="340"/>
      <c r="IND32" s="340"/>
      <c r="INE32" s="340"/>
      <c r="INF32" s="340"/>
      <c r="ING32" s="340"/>
      <c r="INH32" s="340"/>
      <c r="INI32" s="340"/>
      <c r="INJ32" s="340"/>
      <c r="INK32" s="340"/>
      <c r="INL32" s="340"/>
      <c r="INM32" s="340"/>
      <c r="INN32" s="340"/>
      <c r="INO32" s="340"/>
      <c r="INP32" s="340"/>
      <c r="INQ32" s="340"/>
      <c r="INR32" s="340"/>
      <c r="INS32" s="340"/>
      <c r="INT32" s="340"/>
      <c r="INU32" s="340"/>
      <c r="INV32" s="340"/>
      <c r="INW32" s="340"/>
      <c r="INX32" s="340"/>
      <c r="INY32" s="340"/>
      <c r="INZ32" s="340"/>
      <c r="IOA32" s="340"/>
      <c r="IOB32" s="340"/>
      <c r="IOC32" s="340"/>
      <c r="IOD32" s="340"/>
      <c r="IOE32" s="340"/>
      <c r="IOF32" s="340"/>
      <c r="IOG32" s="340"/>
      <c r="IOH32" s="340"/>
      <c r="IOI32" s="340"/>
      <c r="IOJ32" s="340"/>
      <c r="IOK32" s="340"/>
      <c r="IOL32" s="340"/>
      <c r="IOM32" s="340"/>
      <c r="ION32" s="340"/>
      <c r="IOO32" s="340"/>
      <c r="IOP32" s="340"/>
      <c r="IOQ32" s="340"/>
      <c r="IOR32" s="340"/>
      <c r="IOS32" s="340"/>
      <c r="IOT32" s="340"/>
      <c r="IOU32" s="340"/>
      <c r="IOV32" s="340"/>
      <c r="IOW32" s="340"/>
      <c r="IOX32" s="340"/>
      <c r="IOY32" s="340"/>
      <c r="IOZ32" s="340"/>
      <c r="IPA32" s="340"/>
      <c r="IPB32" s="340"/>
      <c r="IPC32" s="340"/>
      <c r="IPD32" s="340"/>
      <c r="IPE32" s="340"/>
      <c r="IPF32" s="340"/>
      <c r="IPG32" s="340"/>
      <c r="IPH32" s="340"/>
      <c r="IPI32" s="340"/>
      <c r="IPJ32" s="340"/>
      <c r="IPK32" s="340"/>
      <c r="IPL32" s="340"/>
      <c r="IPM32" s="340"/>
      <c r="IPN32" s="340"/>
      <c r="IPO32" s="340"/>
      <c r="IPP32" s="340"/>
      <c r="IPQ32" s="340"/>
      <c r="IPR32" s="340"/>
      <c r="IPS32" s="340"/>
      <c r="IPT32" s="340"/>
      <c r="IPU32" s="340"/>
      <c r="IPV32" s="340"/>
      <c r="IPW32" s="340"/>
      <c r="IPX32" s="340"/>
      <c r="IPY32" s="340"/>
      <c r="IPZ32" s="340"/>
      <c r="IQA32" s="340"/>
      <c r="IQB32" s="340"/>
      <c r="IQC32" s="340"/>
      <c r="IQD32" s="340"/>
      <c r="IQE32" s="340"/>
      <c r="IQF32" s="340"/>
      <c r="IQG32" s="340"/>
      <c r="IQH32" s="340"/>
      <c r="IQI32" s="340"/>
      <c r="IQJ32" s="340"/>
      <c r="IQK32" s="340"/>
      <c r="IQL32" s="340"/>
      <c r="IQM32" s="340"/>
      <c r="IQN32" s="340"/>
      <c r="IQO32" s="340"/>
      <c r="IQP32" s="340"/>
      <c r="IQQ32" s="340"/>
      <c r="IQR32" s="340"/>
      <c r="IQS32" s="340"/>
      <c r="IQT32" s="340"/>
      <c r="IQU32" s="340"/>
      <c r="IQV32" s="340"/>
      <c r="IQW32" s="340"/>
      <c r="IQX32" s="340"/>
      <c r="IQY32" s="340"/>
      <c r="IQZ32" s="340"/>
      <c r="IRA32" s="340"/>
      <c r="IRB32" s="340"/>
      <c r="IRC32" s="340"/>
      <c r="IRD32" s="340"/>
      <c r="IRE32" s="340"/>
      <c r="IRF32" s="340"/>
      <c r="IRG32" s="340"/>
      <c r="IRH32" s="340"/>
      <c r="IRI32" s="340"/>
      <c r="IRJ32" s="340"/>
      <c r="IRK32" s="340"/>
      <c r="IRL32" s="340"/>
      <c r="IRM32" s="340"/>
      <c r="IRN32" s="340"/>
      <c r="IRO32" s="340"/>
      <c r="IRP32" s="340"/>
      <c r="IRQ32" s="340"/>
      <c r="IRR32" s="340"/>
      <c r="IRS32" s="340"/>
      <c r="IRT32" s="340"/>
      <c r="IRU32" s="340"/>
      <c r="IRV32" s="340"/>
      <c r="IRW32" s="340"/>
      <c r="IRX32" s="340"/>
      <c r="IRY32" s="340"/>
      <c r="IRZ32" s="340"/>
      <c r="ISA32" s="340"/>
      <c r="ISB32" s="340"/>
      <c r="ISC32" s="340"/>
      <c r="ISD32" s="340"/>
      <c r="ISE32" s="340"/>
      <c r="ISF32" s="340"/>
      <c r="ISG32" s="340"/>
      <c r="ISH32" s="340"/>
      <c r="ISI32" s="340"/>
      <c r="ISJ32" s="340"/>
      <c r="ISK32" s="340"/>
      <c r="ISL32" s="340"/>
      <c r="ISM32" s="340"/>
      <c r="ISN32" s="340"/>
      <c r="ISO32" s="340"/>
      <c r="ISP32" s="340"/>
      <c r="ISQ32" s="340"/>
      <c r="ISR32" s="340"/>
      <c r="ISS32" s="340"/>
      <c r="IST32" s="340"/>
      <c r="ISU32" s="340"/>
      <c r="ISV32" s="340"/>
      <c r="ISW32" s="340"/>
      <c r="ISX32" s="340"/>
      <c r="ISY32" s="340"/>
      <c r="ISZ32" s="340"/>
      <c r="ITA32" s="340"/>
      <c r="ITB32" s="340"/>
      <c r="ITC32" s="340"/>
      <c r="ITD32" s="340"/>
      <c r="ITE32" s="340"/>
      <c r="ITF32" s="340"/>
      <c r="ITG32" s="340"/>
      <c r="ITH32" s="340"/>
      <c r="ITI32" s="340"/>
      <c r="ITJ32" s="340"/>
      <c r="ITK32" s="340"/>
      <c r="ITL32" s="340"/>
      <c r="ITM32" s="340"/>
      <c r="ITN32" s="340"/>
      <c r="ITO32" s="340"/>
      <c r="ITP32" s="340"/>
      <c r="ITQ32" s="340"/>
      <c r="ITR32" s="340"/>
      <c r="ITS32" s="340"/>
      <c r="ITT32" s="340"/>
      <c r="ITU32" s="340"/>
      <c r="ITV32" s="340"/>
      <c r="ITW32" s="340"/>
      <c r="ITX32" s="340"/>
      <c r="ITY32" s="340"/>
      <c r="ITZ32" s="340"/>
      <c r="IUA32" s="340"/>
      <c r="IUB32" s="340"/>
      <c r="IUC32" s="340"/>
      <c r="IUD32" s="340"/>
      <c r="IUE32" s="340"/>
      <c r="IUF32" s="340"/>
      <c r="IUG32" s="340"/>
      <c r="IUH32" s="340"/>
      <c r="IUI32" s="340"/>
      <c r="IUJ32" s="340"/>
      <c r="IUK32" s="340"/>
      <c r="IUL32" s="340"/>
      <c r="IUM32" s="340"/>
      <c r="IUN32" s="340"/>
      <c r="IUO32" s="340"/>
      <c r="IUP32" s="340"/>
      <c r="IUQ32" s="340"/>
      <c r="IUR32" s="340"/>
      <c r="IUS32" s="340"/>
      <c r="IUT32" s="340"/>
      <c r="IUU32" s="340"/>
      <c r="IUV32" s="340"/>
      <c r="IUW32" s="340"/>
      <c r="IUX32" s="340"/>
      <c r="IUY32" s="340"/>
      <c r="IUZ32" s="340"/>
      <c r="IVA32" s="340"/>
      <c r="IVB32" s="340"/>
      <c r="IVC32" s="340"/>
      <c r="IVD32" s="340"/>
      <c r="IVE32" s="340"/>
      <c r="IVF32" s="340"/>
      <c r="IVG32" s="340"/>
      <c r="IVH32" s="340"/>
      <c r="IVI32" s="340"/>
      <c r="IVJ32" s="340"/>
      <c r="IVK32" s="340"/>
      <c r="IVL32" s="340"/>
      <c r="IVM32" s="340"/>
      <c r="IVN32" s="340"/>
      <c r="IVO32" s="340"/>
      <c r="IVP32" s="340"/>
      <c r="IVQ32" s="340"/>
      <c r="IVR32" s="340"/>
      <c r="IVS32" s="340"/>
      <c r="IVT32" s="340"/>
      <c r="IVU32" s="340"/>
      <c r="IVV32" s="340"/>
      <c r="IVW32" s="340"/>
      <c r="IVX32" s="340"/>
      <c r="IVY32" s="340"/>
      <c r="IVZ32" s="340"/>
      <c r="IWA32" s="340"/>
      <c r="IWB32" s="340"/>
      <c r="IWC32" s="340"/>
      <c r="IWD32" s="340"/>
      <c r="IWE32" s="340"/>
      <c r="IWF32" s="340"/>
      <c r="IWG32" s="340"/>
      <c r="IWH32" s="340"/>
      <c r="IWI32" s="340"/>
      <c r="IWJ32" s="340"/>
      <c r="IWK32" s="340"/>
      <c r="IWL32" s="340"/>
      <c r="IWM32" s="340"/>
      <c r="IWN32" s="340"/>
      <c r="IWO32" s="340"/>
      <c r="IWP32" s="340"/>
      <c r="IWQ32" s="340"/>
      <c r="IWR32" s="340"/>
      <c r="IWS32" s="340"/>
      <c r="IWT32" s="340"/>
      <c r="IWU32" s="340"/>
      <c r="IWV32" s="340"/>
      <c r="IWW32" s="340"/>
      <c r="IWX32" s="340"/>
      <c r="IWY32" s="340"/>
      <c r="IWZ32" s="340"/>
      <c r="IXA32" s="340"/>
      <c r="IXB32" s="340"/>
      <c r="IXC32" s="340"/>
      <c r="IXD32" s="340"/>
      <c r="IXE32" s="340"/>
      <c r="IXF32" s="340"/>
      <c r="IXG32" s="340"/>
      <c r="IXH32" s="340"/>
      <c r="IXI32" s="340"/>
      <c r="IXJ32" s="340"/>
      <c r="IXK32" s="340"/>
      <c r="IXL32" s="340"/>
      <c r="IXM32" s="340"/>
      <c r="IXN32" s="340"/>
      <c r="IXO32" s="340"/>
      <c r="IXP32" s="340"/>
      <c r="IXQ32" s="340"/>
      <c r="IXR32" s="340"/>
      <c r="IXS32" s="340"/>
      <c r="IXT32" s="340"/>
      <c r="IXU32" s="340"/>
      <c r="IXV32" s="340"/>
      <c r="IXW32" s="340"/>
      <c r="IXX32" s="340"/>
      <c r="IXY32" s="340"/>
      <c r="IXZ32" s="340"/>
      <c r="IYA32" s="340"/>
      <c r="IYB32" s="340"/>
      <c r="IYC32" s="340"/>
      <c r="IYD32" s="340"/>
      <c r="IYE32" s="340"/>
      <c r="IYF32" s="340"/>
      <c r="IYG32" s="340"/>
      <c r="IYH32" s="340"/>
      <c r="IYI32" s="340"/>
      <c r="IYJ32" s="340"/>
      <c r="IYK32" s="340"/>
      <c r="IYL32" s="340"/>
      <c r="IYM32" s="340"/>
      <c r="IYN32" s="340"/>
      <c r="IYO32" s="340"/>
      <c r="IYP32" s="340"/>
      <c r="IYQ32" s="340"/>
      <c r="IYR32" s="340"/>
      <c r="IYS32" s="340"/>
      <c r="IYT32" s="340"/>
      <c r="IYU32" s="340"/>
      <c r="IYV32" s="340"/>
      <c r="IYW32" s="340"/>
      <c r="IYX32" s="340"/>
      <c r="IYY32" s="340"/>
      <c r="IYZ32" s="340"/>
      <c r="IZA32" s="340"/>
      <c r="IZB32" s="340"/>
      <c r="IZC32" s="340"/>
      <c r="IZD32" s="340"/>
      <c r="IZE32" s="340"/>
      <c r="IZF32" s="340"/>
      <c r="IZG32" s="340"/>
      <c r="IZH32" s="340"/>
      <c r="IZI32" s="340"/>
      <c r="IZJ32" s="340"/>
      <c r="IZK32" s="340"/>
      <c r="IZL32" s="340"/>
      <c r="IZM32" s="340"/>
      <c r="IZN32" s="340"/>
      <c r="IZO32" s="340"/>
      <c r="IZP32" s="340"/>
      <c r="IZQ32" s="340"/>
      <c r="IZR32" s="340"/>
      <c r="IZS32" s="340"/>
      <c r="IZT32" s="340"/>
      <c r="IZU32" s="340"/>
      <c r="IZV32" s="340"/>
      <c r="IZW32" s="340"/>
      <c r="IZX32" s="340"/>
      <c r="IZY32" s="340"/>
      <c r="IZZ32" s="340"/>
      <c r="JAA32" s="340"/>
      <c r="JAB32" s="340"/>
      <c r="JAC32" s="340"/>
      <c r="JAD32" s="340"/>
      <c r="JAE32" s="340"/>
      <c r="JAF32" s="340"/>
      <c r="JAG32" s="340"/>
      <c r="JAH32" s="340"/>
      <c r="JAI32" s="340"/>
      <c r="JAJ32" s="340"/>
      <c r="JAK32" s="340"/>
      <c r="JAL32" s="340"/>
      <c r="JAM32" s="340"/>
      <c r="JAN32" s="340"/>
      <c r="JAO32" s="340"/>
      <c r="JAP32" s="340"/>
      <c r="JAQ32" s="340"/>
      <c r="JAR32" s="340"/>
      <c r="JAS32" s="340"/>
      <c r="JAT32" s="340"/>
      <c r="JAU32" s="340"/>
      <c r="JAV32" s="340"/>
      <c r="JAW32" s="340"/>
      <c r="JAX32" s="340"/>
      <c r="JAY32" s="340"/>
      <c r="JAZ32" s="340"/>
      <c r="JBA32" s="340"/>
      <c r="JBB32" s="340"/>
      <c r="JBC32" s="340"/>
      <c r="JBD32" s="340"/>
      <c r="JBE32" s="340"/>
      <c r="JBF32" s="340"/>
      <c r="JBG32" s="340"/>
      <c r="JBH32" s="340"/>
      <c r="JBI32" s="340"/>
      <c r="JBJ32" s="340"/>
      <c r="JBK32" s="340"/>
      <c r="JBL32" s="340"/>
      <c r="JBM32" s="340"/>
      <c r="JBN32" s="340"/>
      <c r="JBO32" s="340"/>
      <c r="JBP32" s="340"/>
      <c r="JBQ32" s="340"/>
      <c r="JBR32" s="340"/>
      <c r="JBS32" s="340"/>
      <c r="JBT32" s="340"/>
      <c r="JBU32" s="340"/>
      <c r="JBV32" s="340"/>
      <c r="JBW32" s="340"/>
      <c r="JBX32" s="340"/>
      <c r="JBY32" s="340"/>
      <c r="JBZ32" s="340"/>
      <c r="JCA32" s="340"/>
      <c r="JCB32" s="340"/>
      <c r="JCC32" s="340"/>
      <c r="JCD32" s="340"/>
      <c r="JCE32" s="340"/>
      <c r="JCF32" s="340"/>
      <c r="JCG32" s="340"/>
      <c r="JCH32" s="340"/>
      <c r="JCI32" s="340"/>
      <c r="JCJ32" s="340"/>
      <c r="JCK32" s="340"/>
      <c r="JCL32" s="340"/>
      <c r="JCM32" s="340"/>
      <c r="JCN32" s="340"/>
      <c r="JCO32" s="340"/>
      <c r="JCP32" s="340"/>
      <c r="JCQ32" s="340"/>
      <c r="JCR32" s="340"/>
      <c r="JCS32" s="340"/>
      <c r="JCT32" s="340"/>
      <c r="JCU32" s="340"/>
      <c r="JCV32" s="340"/>
      <c r="JCW32" s="340"/>
      <c r="JCX32" s="340"/>
      <c r="JCY32" s="340"/>
      <c r="JCZ32" s="340"/>
      <c r="JDA32" s="340"/>
      <c r="JDB32" s="340"/>
      <c r="JDC32" s="340"/>
      <c r="JDD32" s="340"/>
      <c r="JDE32" s="340"/>
      <c r="JDF32" s="340"/>
      <c r="JDG32" s="340"/>
      <c r="JDH32" s="340"/>
      <c r="JDI32" s="340"/>
      <c r="JDJ32" s="340"/>
      <c r="JDK32" s="340"/>
      <c r="JDL32" s="340"/>
      <c r="JDM32" s="340"/>
      <c r="JDN32" s="340"/>
      <c r="JDO32" s="340"/>
      <c r="JDP32" s="340"/>
      <c r="JDQ32" s="340"/>
      <c r="JDR32" s="340"/>
      <c r="JDS32" s="340"/>
      <c r="JDT32" s="340"/>
      <c r="JDU32" s="340"/>
      <c r="JDV32" s="340"/>
      <c r="JDW32" s="340"/>
      <c r="JDX32" s="340"/>
      <c r="JDY32" s="340"/>
      <c r="JDZ32" s="340"/>
      <c r="JEA32" s="340"/>
      <c r="JEB32" s="340"/>
      <c r="JEC32" s="340"/>
      <c r="JED32" s="340"/>
      <c r="JEE32" s="340"/>
      <c r="JEF32" s="340"/>
      <c r="JEG32" s="340"/>
      <c r="JEH32" s="340"/>
      <c r="JEI32" s="340"/>
      <c r="JEJ32" s="340"/>
      <c r="JEK32" s="340"/>
      <c r="JEL32" s="340"/>
      <c r="JEM32" s="340"/>
      <c r="JEN32" s="340"/>
      <c r="JEO32" s="340"/>
      <c r="JEP32" s="340"/>
      <c r="JEQ32" s="340"/>
      <c r="JER32" s="340"/>
      <c r="JES32" s="340"/>
      <c r="JET32" s="340"/>
      <c r="JEU32" s="340"/>
      <c r="JEV32" s="340"/>
      <c r="JEW32" s="340"/>
      <c r="JEX32" s="340"/>
      <c r="JEY32" s="340"/>
      <c r="JEZ32" s="340"/>
      <c r="JFA32" s="340"/>
      <c r="JFB32" s="340"/>
      <c r="JFC32" s="340"/>
      <c r="JFD32" s="340"/>
      <c r="JFE32" s="340"/>
      <c r="JFF32" s="340"/>
      <c r="JFG32" s="340"/>
      <c r="JFH32" s="340"/>
      <c r="JFI32" s="340"/>
      <c r="JFJ32" s="340"/>
      <c r="JFK32" s="340"/>
      <c r="JFL32" s="340"/>
      <c r="JFM32" s="340"/>
      <c r="JFN32" s="340"/>
      <c r="JFO32" s="340"/>
      <c r="JFP32" s="340"/>
      <c r="JFQ32" s="340"/>
      <c r="JFR32" s="340"/>
      <c r="JFS32" s="340"/>
      <c r="JFT32" s="340"/>
      <c r="JFU32" s="340"/>
      <c r="JFV32" s="340"/>
      <c r="JFW32" s="340"/>
      <c r="JFX32" s="340"/>
      <c r="JFY32" s="340"/>
      <c r="JFZ32" s="340"/>
      <c r="JGA32" s="340"/>
      <c r="JGB32" s="340"/>
      <c r="JGC32" s="340"/>
      <c r="JGD32" s="340"/>
      <c r="JGE32" s="340"/>
      <c r="JGF32" s="340"/>
      <c r="JGG32" s="340"/>
      <c r="JGH32" s="340"/>
      <c r="JGI32" s="340"/>
      <c r="JGJ32" s="340"/>
      <c r="JGK32" s="340"/>
      <c r="JGL32" s="340"/>
      <c r="JGM32" s="340"/>
      <c r="JGN32" s="340"/>
      <c r="JGO32" s="340"/>
      <c r="JGP32" s="340"/>
      <c r="JGQ32" s="340"/>
      <c r="JGR32" s="340"/>
      <c r="JGS32" s="340"/>
      <c r="JGT32" s="340"/>
      <c r="JGU32" s="340"/>
      <c r="JGV32" s="340"/>
      <c r="JGW32" s="340"/>
      <c r="JGX32" s="340"/>
      <c r="JGY32" s="340"/>
      <c r="JGZ32" s="340"/>
      <c r="JHA32" s="340"/>
      <c r="JHB32" s="340"/>
      <c r="JHC32" s="340"/>
      <c r="JHD32" s="340"/>
      <c r="JHE32" s="340"/>
      <c r="JHF32" s="340"/>
      <c r="JHG32" s="340"/>
      <c r="JHH32" s="340"/>
      <c r="JHI32" s="340"/>
      <c r="JHJ32" s="340"/>
      <c r="JHK32" s="340"/>
      <c r="JHL32" s="340"/>
      <c r="JHM32" s="340"/>
      <c r="JHN32" s="340"/>
      <c r="JHO32" s="340"/>
      <c r="JHP32" s="340"/>
      <c r="JHQ32" s="340"/>
      <c r="JHR32" s="340"/>
      <c r="JHS32" s="340"/>
      <c r="JHT32" s="340"/>
      <c r="JHU32" s="340"/>
      <c r="JHV32" s="340"/>
      <c r="JHW32" s="340"/>
      <c r="JHX32" s="340"/>
      <c r="JHY32" s="340"/>
      <c r="JHZ32" s="340"/>
      <c r="JIA32" s="340"/>
      <c r="JIB32" s="340"/>
      <c r="JIC32" s="340"/>
      <c r="JID32" s="340"/>
      <c r="JIE32" s="340"/>
      <c r="JIF32" s="340"/>
      <c r="JIG32" s="340"/>
      <c r="JIH32" s="340"/>
      <c r="JII32" s="340"/>
      <c r="JIJ32" s="340"/>
      <c r="JIK32" s="340"/>
      <c r="JIL32" s="340"/>
      <c r="JIM32" s="340"/>
      <c r="JIN32" s="340"/>
      <c r="JIO32" s="340"/>
      <c r="JIP32" s="340"/>
      <c r="JIQ32" s="340"/>
      <c r="JIR32" s="340"/>
      <c r="JIS32" s="340"/>
      <c r="JIT32" s="340"/>
      <c r="JIU32" s="340"/>
      <c r="JIV32" s="340"/>
      <c r="JIW32" s="340"/>
      <c r="JIX32" s="340"/>
      <c r="JIY32" s="340"/>
      <c r="JIZ32" s="340"/>
      <c r="JJA32" s="340"/>
      <c r="JJB32" s="340"/>
      <c r="JJC32" s="340"/>
      <c r="JJD32" s="340"/>
      <c r="JJE32" s="340"/>
      <c r="JJF32" s="340"/>
      <c r="JJG32" s="340"/>
      <c r="JJH32" s="340"/>
      <c r="JJI32" s="340"/>
      <c r="JJJ32" s="340"/>
      <c r="JJK32" s="340"/>
      <c r="JJL32" s="340"/>
      <c r="JJM32" s="340"/>
      <c r="JJN32" s="340"/>
      <c r="JJO32" s="340"/>
      <c r="JJP32" s="340"/>
      <c r="JJQ32" s="340"/>
      <c r="JJR32" s="340"/>
      <c r="JJS32" s="340"/>
      <c r="JJT32" s="340"/>
      <c r="JJU32" s="340"/>
      <c r="JJV32" s="340"/>
      <c r="JJW32" s="340"/>
      <c r="JJX32" s="340"/>
      <c r="JJY32" s="340"/>
      <c r="JJZ32" s="340"/>
      <c r="JKA32" s="340"/>
      <c r="JKB32" s="340"/>
      <c r="JKC32" s="340"/>
      <c r="JKD32" s="340"/>
      <c r="JKE32" s="340"/>
      <c r="JKF32" s="340"/>
      <c r="JKG32" s="340"/>
      <c r="JKH32" s="340"/>
      <c r="JKI32" s="340"/>
      <c r="JKJ32" s="340"/>
      <c r="JKK32" s="340"/>
      <c r="JKL32" s="340"/>
      <c r="JKM32" s="340"/>
      <c r="JKN32" s="340"/>
      <c r="JKO32" s="340"/>
      <c r="JKP32" s="340"/>
      <c r="JKQ32" s="340"/>
      <c r="JKR32" s="340"/>
      <c r="JKS32" s="340"/>
      <c r="JKT32" s="340"/>
      <c r="JKU32" s="340"/>
      <c r="JKV32" s="340"/>
      <c r="JKW32" s="340"/>
      <c r="JKX32" s="340"/>
      <c r="JKY32" s="340"/>
      <c r="JKZ32" s="340"/>
      <c r="JLA32" s="340"/>
      <c r="JLB32" s="340"/>
      <c r="JLC32" s="340"/>
      <c r="JLD32" s="340"/>
      <c r="JLE32" s="340"/>
      <c r="JLF32" s="340"/>
      <c r="JLG32" s="340"/>
      <c r="JLH32" s="340"/>
      <c r="JLI32" s="340"/>
      <c r="JLJ32" s="340"/>
      <c r="JLK32" s="340"/>
      <c r="JLL32" s="340"/>
      <c r="JLM32" s="340"/>
      <c r="JLN32" s="340"/>
      <c r="JLO32" s="340"/>
      <c r="JLP32" s="340"/>
      <c r="JLQ32" s="340"/>
      <c r="JLR32" s="340"/>
      <c r="JLS32" s="340"/>
      <c r="JLT32" s="340"/>
      <c r="JLU32" s="340"/>
      <c r="JLV32" s="340"/>
      <c r="JLW32" s="340"/>
      <c r="JLX32" s="340"/>
      <c r="JLY32" s="340"/>
      <c r="JLZ32" s="340"/>
      <c r="JMA32" s="340"/>
      <c r="JMB32" s="340"/>
      <c r="JMC32" s="340"/>
      <c r="JMD32" s="340"/>
      <c r="JME32" s="340"/>
      <c r="JMF32" s="340"/>
      <c r="JMG32" s="340"/>
      <c r="JMH32" s="340"/>
      <c r="JMI32" s="340"/>
      <c r="JMJ32" s="340"/>
      <c r="JMK32" s="340"/>
      <c r="JML32" s="340"/>
      <c r="JMM32" s="340"/>
      <c r="JMN32" s="340"/>
      <c r="JMO32" s="340"/>
      <c r="JMP32" s="340"/>
      <c r="JMQ32" s="340"/>
      <c r="JMR32" s="340"/>
      <c r="JMS32" s="340"/>
      <c r="JMT32" s="340"/>
      <c r="JMU32" s="340"/>
      <c r="JMV32" s="340"/>
      <c r="JMW32" s="340"/>
      <c r="JMX32" s="340"/>
      <c r="JMY32" s="340"/>
      <c r="JMZ32" s="340"/>
      <c r="JNA32" s="340"/>
      <c r="JNB32" s="340"/>
      <c r="JNC32" s="340"/>
      <c r="JND32" s="340"/>
      <c r="JNE32" s="340"/>
      <c r="JNF32" s="340"/>
      <c r="JNG32" s="340"/>
      <c r="JNH32" s="340"/>
      <c r="JNI32" s="340"/>
      <c r="JNJ32" s="340"/>
      <c r="JNK32" s="340"/>
      <c r="JNL32" s="340"/>
      <c r="JNM32" s="340"/>
      <c r="JNN32" s="340"/>
      <c r="JNO32" s="340"/>
      <c r="JNP32" s="340"/>
      <c r="JNQ32" s="340"/>
      <c r="JNR32" s="340"/>
      <c r="JNS32" s="340"/>
      <c r="JNT32" s="340"/>
      <c r="JNU32" s="340"/>
      <c r="JNV32" s="340"/>
      <c r="JNW32" s="340"/>
      <c r="JNX32" s="340"/>
      <c r="JNY32" s="340"/>
      <c r="JNZ32" s="340"/>
      <c r="JOA32" s="340"/>
      <c r="JOB32" s="340"/>
      <c r="JOC32" s="340"/>
      <c r="JOD32" s="340"/>
      <c r="JOE32" s="340"/>
      <c r="JOF32" s="340"/>
      <c r="JOG32" s="340"/>
      <c r="JOH32" s="340"/>
      <c r="JOI32" s="340"/>
      <c r="JOJ32" s="340"/>
      <c r="JOK32" s="340"/>
      <c r="JOL32" s="340"/>
      <c r="JOM32" s="340"/>
      <c r="JON32" s="340"/>
      <c r="JOO32" s="340"/>
      <c r="JOP32" s="340"/>
      <c r="JOQ32" s="340"/>
      <c r="JOR32" s="340"/>
      <c r="JOS32" s="340"/>
      <c r="JOT32" s="340"/>
      <c r="JOU32" s="340"/>
      <c r="JOV32" s="340"/>
      <c r="JOW32" s="340"/>
      <c r="JOX32" s="340"/>
      <c r="JOY32" s="340"/>
      <c r="JOZ32" s="340"/>
      <c r="JPA32" s="340"/>
      <c r="JPB32" s="340"/>
      <c r="JPC32" s="340"/>
      <c r="JPD32" s="340"/>
      <c r="JPE32" s="340"/>
      <c r="JPF32" s="340"/>
      <c r="JPG32" s="340"/>
      <c r="JPH32" s="340"/>
      <c r="JPI32" s="340"/>
      <c r="JPJ32" s="340"/>
      <c r="JPK32" s="340"/>
      <c r="JPL32" s="340"/>
      <c r="JPM32" s="340"/>
      <c r="JPN32" s="340"/>
      <c r="JPO32" s="340"/>
      <c r="JPP32" s="340"/>
      <c r="JPQ32" s="340"/>
      <c r="JPR32" s="340"/>
      <c r="JPS32" s="340"/>
      <c r="JPT32" s="340"/>
      <c r="JPU32" s="340"/>
      <c r="JPV32" s="340"/>
      <c r="JPW32" s="340"/>
      <c r="JPX32" s="340"/>
      <c r="JPY32" s="340"/>
      <c r="JPZ32" s="340"/>
      <c r="JQA32" s="340"/>
      <c r="JQB32" s="340"/>
      <c r="JQC32" s="340"/>
      <c r="JQD32" s="340"/>
      <c r="JQE32" s="340"/>
      <c r="JQF32" s="340"/>
      <c r="JQG32" s="340"/>
      <c r="JQH32" s="340"/>
      <c r="JQI32" s="340"/>
      <c r="JQJ32" s="340"/>
      <c r="JQK32" s="340"/>
      <c r="JQL32" s="340"/>
      <c r="JQM32" s="340"/>
      <c r="JQN32" s="340"/>
      <c r="JQO32" s="340"/>
      <c r="JQP32" s="340"/>
      <c r="JQQ32" s="340"/>
      <c r="JQR32" s="340"/>
      <c r="JQS32" s="340"/>
      <c r="JQT32" s="340"/>
      <c r="JQU32" s="340"/>
      <c r="JQV32" s="340"/>
      <c r="JQW32" s="340"/>
      <c r="JQX32" s="340"/>
      <c r="JQY32" s="340"/>
      <c r="JQZ32" s="340"/>
      <c r="JRA32" s="340"/>
      <c r="JRB32" s="340"/>
      <c r="JRC32" s="340"/>
      <c r="JRD32" s="340"/>
      <c r="JRE32" s="340"/>
      <c r="JRF32" s="340"/>
      <c r="JRG32" s="340"/>
      <c r="JRH32" s="340"/>
      <c r="JRI32" s="340"/>
      <c r="JRJ32" s="340"/>
      <c r="JRK32" s="340"/>
      <c r="JRL32" s="340"/>
      <c r="JRM32" s="340"/>
      <c r="JRN32" s="340"/>
      <c r="JRO32" s="340"/>
      <c r="JRP32" s="340"/>
      <c r="JRQ32" s="340"/>
      <c r="JRR32" s="340"/>
      <c r="JRS32" s="340"/>
      <c r="JRT32" s="340"/>
      <c r="JRU32" s="340"/>
      <c r="JRV32" s="340"/>
      <c r="JRW32" s="340"/>
      <c r="JRX32" s="340"/>
      <c r="JRY32" s="340"/>
      <c r="JRZ32" s="340"/>
      <c r="JSA32" s="340"/>
      <c r="JSB32" s="340"/>
      <c r="JSC32" s="340"/>
      <c r="JSD32" s="340"/>
      <c r="JSE32" s="340"/>
      <c r="JSF32" s="340"/>
      <c r="JSG32" s="340"/>
      <c r="JSH32" s="340"/>
      <c r="JSI32" s="340"/>
      <c r="JSJ32" s="340"/>
      <c r="JSK32" s="340"/>
      <c r="JSL32" s="340"/>
      <c r="JSM32" s="340"/>
      <c r="JSN32" s="340"/>
      <c r="JSO32" s="340"/>
      <c r="JSP32" s="340"/>
      <c r="JSQ32" s="340"/>
      <c r="JSR32" s="340"/>
      <c r="JSS32" s="340"/>
      <c r="JST32" s="340"/>
      <c r="JSU32" s="340"/>
      <c r="JSV32" s="340"/>
      <c r="JSW32" s="340"/>
      <c r="JSX32" s="340"/>
      <c r="JSY32" s="340"/>
      <c r="JSZ32" s="340"/>
      <c r="JTA32" s="340"/>
      <c r="JTB32" s="340"/>
      <c r="JTC32" s="340"/>
      <c r="JTD32" s="340"/>
      <c r="JTE32" s="340"/>
      <c r="JTF32" s="340"/>
      <c r="JTG32" s="340"/>
      <c r="JTH32" s="340"/>
      <c r="JTI32" s="340"/>
      <c r="JTJ32" s="340"/>
      <c r="JTK32" s="340"/>
      <c r="JTL32" s="340"/>
      <c r="JTM32" s="340"/>
      <c r="JTN32" s="340"/>
      <c r="JTO32" s="340"/>
      <c r="JTP32" s="340"/>
      <c r="JTQ32" s="340"/>
      <c r="JTR32" s="340"/>
      <c r="JTS32" s="340"/>
      <c r="JTT32" s="340"/>
      <c r="JTU32" s="340"/>
      <c r="JTV32" s="340"/>
      <c r="JTW32" s="340"/>
      <c r="JTX32" s="340"/>
      <c r="JTY32" s="340"/>
      <c r="JTZ32" s="340"/>
      <c r="JUA32" s="340"/>
      <c r="JUB32" s="340"/>
      <c r="JUC32" s="340"/>
      <c r="JUD32" s="340"/>
      <c r="JUE32" s="340"/>
      <c r="JUF32" s="340"/>
      <c r="JUG32" s="340"/>
      <c r="JUH32" s="340"/>
      <c r="JUI32" s="340"/>
      <c r="JUJ32" s="340"/>
      <c r="JUK32" s="340"/>
      <c r="JUL32" s="340"/>
      <c r="JUM32" s="340"/>
      <c r="JUN32" s="340"/>
      <c r="JUO32" s="340"/>
      <c r="JUP32" s="340"/>
      <c r="JUQ32" s="340"/>
      <c r="JUR32" s="340"/>
      <c r="JUS32" s="340"/>
      <c r="JUT32" s="340"/>
      <c r="JUU32" s="340"/>
      <c r="JUV32" s="340"/>
      <c r="JUW32" s="340"/>
      <c r="JUX32" s="340"/>
      <c r="JUY32" s="340"/>
      <c r="JUZ32" s="340"/>
      <c r="JVA32" s="340"/>
      <c r="JVB32" s="340"/>
      <c r="JVC32" s="340"/>
      <c r="JVD32" s="340"/>
      <c r="JVE32" s="340"/>
      <c r="JVF32" s="340"/>
      <c r="JVG32" s="340"/>
      <c r="JVH32" s="340"/>
      <c r="JVI32" s="340"/>
      <c r="JVJ32" s="340"/>
      <c r="JVK32" s="340"/>
      <c r="JVL32" s="340"/>
      <c r="JVM32" s="340"/>
      <c r="JVN32" s="340"/>
      <c r="JVO32" s="340"/>
      <c r="JVP32" s="340"/>
      <c r="JVQ32" s="340"/>
      <c r="JVR32" s="340"/>
      <c r="JVS32" s="340"/>
      <c r="JVT32" s="340"/>
      <c r="JVU32" s="340"/>
      <c r="JVV32" s="340"/>
      <c r="JVW32" s="340"/>
      <c r="JVX32" s="340"/>
      <c r="JVY32" s="340"/>
      <c r="JVZ32" s="340"/>
      <c r="JWA32" s="340"/>
      <c r="JWB32" s="340"/>
      <c r="JWC32" s="340"/>
      <c r="JWD32" s="340"/>
      <c r="JWE32" s="340"/>
      <c r="JWF32" s="340"/>
      <c r="JWG32" s="340"/>
      <c r="JWH32" s="340"/>
      <c r="JWI32" s="340"/>
      <c r="JWJ32" s="340"/>
      <c r="JWK32" s="340"/>
      <c r="JWL32" s="340"/>
      <c r="JWM32" s="340"/>
      <c r="JWN32" s="340"/>
      <c r="JWO32" s="340"/>
      <c r="JWP32" s="340"/>
      <c r="JWQ32" s="340"/>
      <c r="JWR32" s="340"/>
      <c r="JWS32" s="340"/>
      <c r="JWT32" s="340"/>
      <c r="JWU32" s="340"/>
      <c r="JWV32" s="340"/>
      <c r="JWW32" s="340"/>
      <c r="JWX32" s="340"/>
      <c r="JWY32" s="340"/>
      <c r="JWZ32" s="340"/>
      <c r="JXA32" s="340"/>
      <c r="JXB32" s="340"/>
      <c r="JXC32" s="340"/>
      <c r="JXD32" s="340"/>
      <c r="JXE32" s="340"/>
      <c r="JXF32" s="340"/>
      <c r="JXG32" s="340"/>
      <c r="JXH32" s="340"/>
      <c r="JXI32" s="340"/>
      <c r="JXJ32" s="340"/>
      <c r="JXK32" s="340"/>
      <c r="JXL32" s="340"/>
      <c r="JXM32" s="340"/>
      <c r="JXN32" s="340"/>
      <c r="JXO32" s="340"/>
      <c r="JXP32" s="340"/>
      <c r="JXQ32" s="340"/>
      <c r="JXR32" s="340"/>
      <c r="JXS32" s="340"/>
      <c r="JXT32" s="340"/>
      <c r="JXU32" s="340"/>
      <c r="JXV32" s="340"/>
      <c r="JXW32" s="340"/>
      <c r="JXX32" s="340"/>
      <c r="JXY32" s="340"/>
      <c r="JXZ32" s="340"/>
      <c r="JYA32" s="340"/>
      <c r="JYB32" s="340"/>
      <c r="JYC32" s="340"/>
      <c r="JYD32" s="340"/>
      <c r="JYE32" s="340"/>
      <c r="JYF32" s="340"/>
      <c r="JYG32" s="340"/>
      <c r="JYH32" s="340"/>
      <c r="JYI32" s="340"/>
      <c r="JYJ32" s="340"/>
      <c r="JYK32" s="340"/>
      <c r="JYL32" s="340"/>
      <c r="JYM32" s="340"/>
      <c r="JYN32" s="340"/>
      <c r="JYO32" s="340"/>
      <c r="JYP32" s="340"/>
      <c r="JYQ32" s="340"/>
      <c r="JYR32" s="340"/>
      <c r="JYS32" s="340"/>
      <c r="JYT32" s="340"/>
      <c r="JYU32" s="340"/>
      <c r="JYV32" s="340"/>
      <c r="JYW32" s="340"/>
      <c r="JYX32" s="340"/>
      <c r="JYY32" s="340"/>
      <c r="JYZ32" s="340"/>
      <c r="JZA32" s="340"/>
      <c r="JZB32" s="340"/>
      <c r="JZC32" s="340"/>
      <c r="JZD32" s="340"/>
      <c r="JZE32" s="340"/>
      <c r="JZF32" s="340"/>
      <c r="JZG32" s="340"/>
      <c r="JZH32" s="340"/>
      <c r="JZI32" s="340"/>
      <c r="JZJ32" s="340"/>
      <c r="JZK32" s="340"/>
      <c r="JZL32" s="340"/>
      <c r="JZM32" s="340"/>
      <c r="JZN32" s="340"/>
      <c r="JZO32" s="340"/>
      <c r="JZP32" s="340"/>
      <c r="JZQ32" s="340"/>
      <c r="JZR32" s="340"/>
      <c r="JZS32" s="340"/>
      <c r="JZT32" s="340"/>
      <c r="JZU32" s="340"/>
      <c r="JZV32" s="340"/>
      <c r="JZW32" s="340"/>
      <c r="JZX32" s="340"/>
      <c r="JZY32" s="340"/>
      <c r="JZZ32" s="340"/>
      <c r="KAA32" s="340"/>
      <c r="KAB32" s="340"/>
      <c r="KAC32" s="340"/>
      <c r="KAD32" s="340"/>
      <c r="KAE32" s="340"/>
      <c r="KAF32" s="340"/>
      <c r="KAG32" s="340"/>
      <c r="KAH32" s="340"/>
      <c r="KAI32" s="340"/>
      <c r="KAJ32" s="340"/>
      <c r="KAK32" s="340"/>
      <c r="KAL32" s="340"/>
      <c r="KAM32" s="340"/>
      <c r="KAN32" s="340"/>
      <c r="KAO32" s="340"/>
      <c r="KAP32" s="340"/>
      <c r="KAQ32" s="340"/>
      <c r="KAR32" s="340"/>
      <c r="KAS32" s="340"/>
      <c r="KAT32" s="340"/>
      <c r="KAU32" s="340"/>
      <c r="KAV32" s="340"/>
      <c r="KAW32" s="340"/>
      <c r="KAX32" s="340"/>
      <c r="KAY32" s="340"/>
      <c r="KAZ32" s="340"/>
      <c r="KBA32" s="340"/>
      <c r="KBB32" s="340"/>
      <c r="KBC32" s="340"/>
      <c r="KBD32" s="340"/>
      <c r="KBE32" s="340"/>
      <c r="KBF32" s="340"/>
      <c r="KBG32" s="340"/>
      <c r="KBH32" s="340"/>
      <c r="KBI32" s="340"/>
      <c r="KBJ32" s="340"/>
      <c r="KBK32" s="340"/>
      <c r="KBL32" s="340"/>
      <c r="KBM32" s="340"/>
      <c r="KBN32" s="340"/>
      <c r="KBO32" s="340"/>
      <c r="KBP32" s="340"/>
      <c r="KBQ32" s="340"/>
      <c r="KBR32" s="340"/>
      <c r="KBS32" s="340"/>
      <c r="KBT32" s="340"/>
      <c r="KBU32" s="340"/>
      <c r="KBV32" s="340"/>
      <c r="KBW32" s="340"/>
      <c r="KBX32" s="340"/>
      <c r="KBY32" s="340"/>
      <c r="KBZ32" s="340"/>
      <c r="KCA32" s="340"/>
      <c r="KCB32" s="340"/>
      <c r="KCC32" s="340"/>
      <c r="KCD32" s="340"/>
      <c r="KCE32" s="340"/>
      <c r="KCF32" s="340"/>
      <c r="KCG32" s="340"/>
      <c r="KCH32" s="340"/>
      <c r="KCI32" s="340"/>
      <c r="KCJ32" s="340"/>
      <c r="KCK32" s="340"/>
      <c r="KCL32" s="340"/>
      <c r="KCM32" s="340"/>
      <c r="KCN32" s="340"/>
      <c r="KCO32" s="340"/>
      <c r="KCP32" s="340"/>
      <c r="KCQ32" s="340"/>
      <c r="KCR32" s="340"/>
      <c r="KCS32" s="340"/>
      <c r="KCT32" s="340"/>
      <c r="KCU32" s="340"/>
      <c r="KCV32" s="340"/>
      <c r="KCW32" s="340"/>
      <c r="KCX32" s="340"/>
      <c r="KCY32" s="340"/>
      <c r="KCZ32" s="340"/>
      <c r="KDA32" s="340"/>
      <c r="KDB32" s="340"/>
      <c r="KDC32" s="340"/>
      <c r="KDD32" s="340"/>
      <c r="KDE32" s="340"/>
      <c r="KDF32" s="340"/>
      <c r="KDG32" s="340"/>
      <c r="KDH32" s="340"/>
      <c r="KDI32" s="340"/>
      <c r="KDJ32" s="340"/>
      <c r="KDK32" s="340"/>
      <c r="KDL32" s="340"/>
      <c r="KDM32" s="340"/>
      <c r="KDN32" s="340"/>
      <c r="KDO32" s="340"/>
      <c r="KDP32" s="340"/>
      <c r="KDQ32" s="340"/>
      <c r="KDR32" s="340"/>
      <c r="KDS32" s="340"/>
      <c r="KDT32" s="340"/>
      <c r="KDU32" s="340"/>
      <c r="KDV32" s="340"/>
      <c r="KDW32" s="340"/>
      <c r="KDX32" s="340"/>
      <c r="KDY32" s="340"/>
      <c r="KDZ32" s="340"/>
      <c r="KEA32" s="340"/>
      <c r="KEB32" s="340"/>
      <c r="KEC32" s="340"/>
      <c r="KED32" s="340"/>
      <c r="KEE32" s="340"/>
      <c r="KEF32" s="340"/>
      <c r="KEG32" s="340"/>
      <c r="KEH32" s="340"/>
      <c r="KEI32" s="340"/>
      <c r="KEJ32" s="340"/>
      <c r="KEK32" s="340"/>
      <c r="KEL32" s="340"/>
      <c r="KEM32" s="340"/>
      <c r="KEN32" s="340"/>
      <c r="KEO32" s="340"/>
      <c r="KEP32" s="340"/>
      <c r="KEQ32" s="340"/>
      <c r="KER32" s="340"/>
      <c r="KES32" s="340"/>
      <c r="KET32" s="340"/>
      <c r="KEU32" s="340"/>
      <c r="KEV32" s="340"/>
      <c r="KEW32" s="340"/>
      <c r="KEX32" s="340"/>
      <c r="KEY32" s="340"/>
      <c r="KEZ32" s="340"/>
      <c r="KFA32" s="340"/>
      <c r="KFB32" s="340"/>
      <c r="KFC32" s="340"/>
      <c r="KFD32" s="340"/>
      <c r="KFE32" s="340"/>
      <c r="KFF32" s="340"/>
      <c r="KFG32" s="340"/>
      <c r="KFH32" s="340"/>
      <c r="KFI32" s="340"/>
      <c r="KFJ32" s="340"/>
      <c r="KFK32" s="340"/>
      <c r="KFL32" s="340"/>
      <c r="KFM32" s="340"/>
      <c r="KFN32" s="340"/>
      <c r="KFO32" s="340"/>
      <c r="KFP32" s="340"/>
      <c r="KFQ32" s="340"/>
      <c r="KFR32" s="340"/>
      <c r="KFS32" s="340"/>
      <c r="KFT32" s="340"/>
      <c r="KFU32" s="340"/>
      <c r="KFV32" s="340"/>
      <c r="KFW32" s="340"/>
      <c r="KFX32" s="340"/>
      <c r="KFY32" s="340"/>
      <c r="KFZ32" s="340"/>
      <c r="KGA32" s="340"/>
      <c r="KGB32" s="340"/>
      <c r="KGC32" s="340"/>
      <c r="KGD32" s="340"/>
      <c r="KGE32" s="340"/>
      <c r="KGF32" s="340"/>
      <c r="KGG32" s="340"/>
      <c r="KGH32" s="340"/>
      <c r="KGI32" s="340"/>
      <c r="KGJ32" s="340"/>
      <c r="KGK32" s="340"/>
      <c r="KGL32" s="340"/>
      <c r="KGM32" s="340"/>
      <c r="KGN32" s="340"/>
      <c r="KGO32" s="340"/>
      <c r="KGP32" s="340"/>
      <c r="KGQ32" s="340"/>
      <c r="KGR32" s="340"/>
      <c r="KGS32" s="340"/>
      <c r="KGT32" s="340"/>
      <c r="KGU32" s="340"/>
      <c r="KGV32" s="340"/>
      <c r="KGW32" s="340"/>
      <c r="KGX32" s="340"/>
      <c r="KGY32" s="340"/>
      <c r="KGZ32" s="340"/>
      <c r="KHA32" s="340"/>
      <c r="KHB32" s="340"/>
      <c r="KHC32" s="340"/>
      <c r="KHD32" s="340"/>
      <c r="KHE32" s="340"/>
      <c r="KHF32" s="340"/>
      <c r="KHG32" s="340"/>
      <c r="KHH32" s="340"/>
      <c r="KHI32" s="340"/>
      <c r="KHJ32" s="340"/>
      <c r="KHK32" s="340"/>
      <c r="KHL32" s="340"/>
      <c r="KHM32" s="340"/>
      <c r="KHN32" s="340"/>
      <c r="KHO32" s="340"/>
      <c r="KHP32" s="340"/>
      <c r="KHQ32" s="340"/>
      <c r="KHR32" s="340"/>
      <c r="KHS32" s="340"/>
      <c r="KHT32" s="340"/>
      <c r="KHU32" s="340"/>
      <c r="KHV32" s="340"/>
      <c r="KHW32" s="340"/>
      <c r="KHX32" s="340"/>
      <c r="KHY32" s="340"/>
      <c r="KHZ32" s="340"/>
      <c r="KIA32" s="340"/>
      <c r="KIB32" s="340"/>
      <c r="KIC32" s="340"/>
      <c r="KID32" s="340"/>
      <c r="KIE32" s="340"/>
      <c r="KIF32" s="340"/>
      <c r="KIG32" s="340"/>
      <c r="KIH32" s="340"/>
      <c r="KII32" s="340"/>
      <c r="KIJ32" s="340"/>
      <c r="KIK32" s="340"/>
      <c r="KIL32" s="340"/>
      <c r="KIM32" s="340"/>
      <c r="KIN32" s="340"/>
      <c r="KIO32" s="340"/>
      <c r="KIP32" s="340"/>
      <c r="KIQ32" s="340"/>
      <c r="KIR32" s="340"/>
      <c r="KIS32" s="340"/>
      <c r="KIT32" s="340"/>
      <c r="KIU32" s="340"/>
      <c r="KIV32" s="340"/>
      <c r="KIW32" s="340"/>
      <c r="KIX32" s="340"/>
      <c r="KIY32" s="340"/>
      <c r="KIZ32" s="340"/>
      <c r="KJA32" s="340"/>
      <c r="KJB32" s="340"/>
      <c r="KJC32" s="340"/>
      <c r="KJD32" s="340"/>
      <c r="KJE32" s="340"/>
      <c r="KJF32" s="340"/>
      <c r="KJG32" s="340"/>
      <c r="KJH32" s="340"/>
      <c r="KJI32" s="340"/>
      <c r="KJJ32" s="340"/>
      <c r="KJK32" s="340"/>
      <c r="KJL32" s="340"/>
      <c r="KJM32" s="340"/>
      <c r="KJN32" s="340"/>
      <c r="KJO32" s="340"/>
      <c r="KJP32" s="340"/>
      <c r="KJQ32" s="340"/>
      <c r="KJR32" s="340"/>
      <c r="KJS32" s="340"/>
      <c r="KJT32" s="340"/>
      <c r="KJU32" s="340"/>
      <c r="KJV32" s="340"/>
      <c r="KJW32" s="340"/>
      <c r="KJX32" s="340"/>
      <c r="KJY32" s="340"/>
      <c r="KJZ32" s="340"/>
      <c r="KKA32" s="340"/>
      <c r="KKB32" s="340"/>
      <c r="KKC32" s="340"/>
      <c r="KKD32" s="340"/>
      <c r="KKE32" s="340"/>
      <c r="KKF32" s="340"/>
      <c r="KKG32" s="340"/>
      <c r="KKH32" s="340"/>
      <c r="KKI32" s="340"/>
      <c r="KKJ32" s="340"/>
      <c r="KKK32" s="340"/>
      <c r="KKL32" s="340"/>
      <c r="KKM32" s="340"/>
      <c r="KKN32" s="340"/>
      <c r="KKO32" s="340"/>
      <c r="KKP32" s="340"/>
      <c r="KKQ32" s="340"/>
      <c r="KKR32" s="340"/>
      <c r="KKS32" s="340"/>
      <c r="KKT32" s="340"/>
      <c r="KKU32" s="340"/>
      <c r="KKV32" s="340"/>
      <c r="KKW32" s="340"/>
      <c r="KKX32" s="340"/>
      <c r="KKY32" s="340"/>
      <c r="KKZ32" s="340"/>
      <c r="KLA32" s="340"/>
      <c r="KLB32" s="340"/>
      <c r="KLC32" s="340"/>
      <c r="KLD32" s="340"/>
      <c r="KLE32" s="340"/>
      <c r="KLF32" s="340"/>
      <c r="KLG32" s="340"/>
      <c r="KLH32" s="340"/>
      <c r="KLI32" s="340"/>
      <c r="KLJ32" s="340"/>
      <c r="KLK32" s="340"/>
      <c r="KLL32" s="340"/>
      <c r="KLM32" s="340"/>
      <c r="KLN32" s="340"/>
      <c r="KLO32" s="340"/>
      <c r="KLP32" s="340"/>
      <c r="KLQ32" s="340"/>
      <c r="KLR32" s="340"/>
      <c r="KLS32" s="340"/>
      <c r="KLT32" s="340"/>
      <c r="KLU32" s="340"/>
      <c r="KLV32" s="340"/>
      <c r="KLW32" s="340"/>
      <c r="KLX32" s="340"/>
      <c r="KLY32" s="340"/>
      <c r="KLZ32" s="340"/>
      <c r="KMA32" s="340"/>
      <c r="KMB32" s="340"/>
      <c r="KMC32" s="340"/>
      <c r="KMD32" s="340"/>
      <c r="KME32" s="340"/>
      <c r="KMF32" s="340"/>
      <c r="KMG32" s="340"/>
      <c r="KMH32" s="340"/>
      <c r="KMI32" s="340"/>
      <c r="KMJ32" s="340"/>
      <c r="KMK32" s="340"/>
      <c r="KML32" s="340"/>
      <c r="KMM32" s="340"/>
      <c r="KMN32" s="340"/>
      <c r="KMO32" s="340"/>
      <c r="KMP32" s="340"/>
      <c r="KMQ32" s="340"/>
      <c r="KMR32" s="340"/>
      <c r="KMS32" s="340"/>
      <c r="KMT32" s="340"/>
      <c r="KMU32" s="340"/>
      <c r="KMV32" s="340"/>
      <c r="KMW32" s="340"/>
      <c r="KMX32" s="340"/>
      <c r="KMY32" s="340"/>
      <c r="KMZ32" s="340"/>
      <c r="KNA32" s="340"/>
      <c r="KNB32" s="340"/>
      <c r="KNC32" s="340"/>
      <c r="KND32" s="340"/>
      <c r="KNE32" s="340"/>
      <c r="KNF32" s="340"/>
      <c r="KNG32" s="340"/>
      <c r="KNH32" s="340"/>
      <c r="KNI32" s="340"/>
      <c r="KNJ32" s="340"/>
      <c r="KNK32" s="340"/>
      <c r="KNL32" s="340"/>
      <c r="KNM32" s="340"/>
      <c r="KNN32" s="340"/>
      <c r="KNO32" s="340"/>
      <c r="KNP32" s="340"/>
      <c r="KNQ32" s="340"/>
      <c r="KNR32" s="340"/>
      <c r="KNS32" s="340"/>
      <c r="KNT32" s="340"/>
      <c r="KNU32" s="340"/>
      <c r="KNV32" s="340"/>
      <c r="KNW32" s="340"/>
      <c r="KNX32" s="340"/>
      <c r="KNY32" s="340"/>
      <c r="KNZ32" s="340"/>
      <c r="KOA32" s="340"/>
      <c r="KOB32" s="340"/>
      <c r="KOC32" s="340"/>
      <c r="KOD32" s="340"/>
      <c r="KOE32" s="340"/>
      <c r="KOF32" s="340"/>
      <c r="KOG32" s="340"/>
      <c r="KOH32" s="340"/>
      <c r="KOI32" s="340"/>
      <c r="KOJ32" s="340"/>
      <c r="KOK32" s="340"/>
      <c r="KOL32" s="340"/>
      <c r="KOM32" s="340"/>
      <c r="KON32" s="340"/>
      <c r="KOO32" s="340"/>
      <c r="KOP32" s="340"/>
      <c r="KOQ32" s="340"/>
      <c r="KOR32" s="340"/>
      <c r="KOS32" s="340"/>
      <c r="KOT32" s="340"/>
      <c r="KOU32" s="340"/>
      <c r="KOV32" s="340"/>
      <c r="KOW32" s="340"/>
      <c r="KOX32" s="340"/>
      <c r="KOY32" s="340"/>
      <c r="KOZ32" s="340"/>
      <c r="KPA32" s="340"/>
      <c r="KPB32" s="340"/>
      <c r="KPC32" s="340"/>
      <c r="KPD32" s="340"/>
      <c r="KPE32" s="340"/>
      <c r="KPF32" s="340"/>
      <c r="KPG32" s="340"/>
      <c r="KPH32" s="340"/>
      <c r="KPI32" s="340"/>
      <c r="KPJ32" s="340"/>
      <c r="KPK32" s="340"/>
      <c r="KPL32" s="340"/>
      <c r="KPM32" s="340"/>
      <c r="KPN32" s="340"/>
      <c r="KPO32" s="340"/>
      <c r="KPP32" s="340"/>
      <c r="KPQ32" s="340"/>
      <c r="KPR32" s="340"/>
      <c r="KPS32" s="340"/>
      <c r="KPT32" s="340"/>
      <c r="KPU32" s="340"/>
      <c r="KPV32" s="340"/>
      <c r="KPW32" s="340"/>
      <c r="KPX32" s="340"/>
      <c r="KPY32" s="340"/>
      <c r="KPZ32" s="340"/>
      <c r="KQA32" s="340"/>
      <c r="KQB32" s="340"/>
      <c r="KQC32" s="340"/>
      <c r="KQD32" s="340"/>
      <c r="KQE32" s="340"/>
      <c r="KQF32" s="340"/>
      <c r="KQG32" s="340"/>
      <c r="KQH32" s="340"/>
      <c r="KQI32" s="340"/>
      <c r="KQJ32" s="340"/>
      <c r="KQK32" s="340"/>
      <c r="KQL32" s="340"/>
      <c r="KQM32" s="340"/>
      <c r="KQN32" s="340"/>
      <c r="KQO32" s="340"/>
      <c r="KQP32" s="340"/>
      <c r="KQQ32" s="340"/>
      <c r="KQR32" s="340"/>
      <c r="KQS32" s="340"/>
      <c r="KQT32" s="340"/>
      <c r="KQU32" s="340"/>
      <c r="KQV32" s="340"/>
      <c r="KQW32" s="340"/>
      <c r="KQX32" s="340"/>
      <c r="KQY32" s="340"/>
      <c r="KQZ32" s="340"/>
      <c r="KRA32" s="340"/>
      <c r="KRB32" s="340"/>
      <c r="KRC32" s="340"/>
      <c r="KRD32" s="340"/>
      <c r="KRE32" s="340"/>
      <c r="KRF32" s="340"/>
      <c r="KRG32" s="340"/>
      <c r="KRH32" s="340"/>
      <c r="KRI32" s="340"/>
      <c r="KRJ32" s="340"/>
      <c r="KRK32" s="340"/>
      <c r="KRL32" s="340"/>
      <c r="KRM32" s="340"/>
      <c r="KRN32" s="340"/>
      <c r="KRO32" s="340"/>
      <c r="KRP32" s="340"/>
      <c r="KRQ32" s="340"/>
      <c r="KRR32" s="340"/>
      <c r="KRS32" s="340"/>
      <c r="KRT32" s="340"/>
      <c r="KRU32" s="340"/>
      <c r="KRV32" s="340"/>
      <c r="KRW32" s="340"/>
      <c r="KRX32" s="340"/>
      <c r="KRY32" s="340"/>
      <c r="KRZ32" s="340"/>
      <c r="KSA32" s="340"/>
      <c r="KSB32" s="340"/>
      <c r="KSC32" s="340"/>
      <c r="KSD32" s="340"/>
      <c r="KSE32" s="340"/>
      <c r="KSF32" s="340"/>
      <c r="KSG32" s="340"/>
      <c r="KSH32" s="340"/>
      <c r="KSI32" s="340"/>
      <c r="KSJ32" s="340"/>
      <c r="KSK32" s="340"/>
      <c r="KSL32" s="340"/>
      <c r="KSM32" s="340"/>
      <c r="KSN32" s="340"/>
      <c r="KSO32" s="340"/>
      <c r="KSP32" s="340"/>
      <c r="KSQ32" s="340"/>
      <c r="KSR32" s="340"/>
      <c r="KSS32" s="340"/>
      <c r="KST32" s="340"/>
      <c r="KSU32" s="340"/>
      <c r="KSV32" s="340"/>
      <c r="KSW32" s="340"/>
      <c r="KSX32" s="340"/>
      <c r="KSY32" s="340"/>
      <c r="KSZ32" s="340"/>
      <c r="KTA32" s="340"/>
      <c r="KTB32" s="340"/>
      <c r="KTC32" s="340"/>
      <c r="KTD32" s="340"/>
      <c r="KTE32" s="340"/>
      <c r="KTF32" s="340"/>
      <c r="KTG32" s="340"/>
      <c r="KTH32" s="340"/>
      <c r="KTI32" s="340"/>
      <c r="KTJ32" s="340"/>
      <c r="KTK32" s="340"/>
      <c r="KTL32" s="340"/>
      <c r="KTM32" s="340"/>
      <c r="KTN32" s="340"/>
      <c r="KTO32" s="340"/>
      <c r="KTP32" s="340"/>
      <c r="KTQ32" s="340"/>
      <c r="KTR32" s="340"/>
      <c r="KTS32" s="340"/>
      <c r="KTT32" s="340"/>
      <c r="KTU32" s="340"/>
      <c r="KTV32" s="340"/>
      <c r="KTW32" s="340"/>
      <c r="KTX32" s="340"/>
      <c r="KTY32" s="340"/>
      <c r="KTZ32" s="340"/>
      <c r="KUA32" s="340"/>
      <c r="KUB32" s="340"/>
      <c r="KUC32" s="340"/>
      <c r="KUD32" s="340"/>
      <c r="KUE32" s="340"/>
      <c r="KUF32" s="340"/>
      <c r="KUG32" s="340"/>
      <c r="KUH32" s="340"/>
      <c r="KUI32" s="340"/>
      <c r="KUJ32" s="340"/>
      <c r="KUK32" s="340"/>
      <c r="KUL32" s="340"/>
      <c r="KUM32" s="340"/>
      <c r="KUN32" s="340"/>
      <c r="KUO32" s="340"/>
      <c r="KUP32" s="340"/>
      <c r="KUQ32" s="340"/>
      <c r="KUR32" s="340"/>
      <c r="KUS32" s="340"/>
      <c r="KUT32" s="340"/>
      <c r="KUU32" s="340"/>
      <c r="KUV32" s="340"/>
      <c r="KUW32" s="340"/>
      <c r="KUX32" s="340"/>
      <c r="KUY32" s="340"/>
      <c r="KUZ32" s="340"/>
      <c r="KVA32" s="340"/>
      <c r="KVB32" s="340"/>
      <c r="KVC32" s="340"/>
      <c r="KVD32" s="340"/>
      <c r="KVE32" s="340"/>
      <c r="KVF32" s="340"/>
      <c r="KVG32" s="340"/>
      <c r="KVH32" s="340"/>
      <c r="KVI32" s="340"/>
      <c r="KVJ32" s="340"/>
      <c r="KVK32" s="340"/>
      <c r="KVL32" s="340"/>
      <c r="KVM32" s="340"/>
      <c r="KVN32" s="340"/>
      <c r="KVO32" s="340"/>
      <c r="KVP32" s="340"/>
      <c r="KVQ32" s="340"/>
      <c r="KVR32" s="340"/>
      <c r="KVS32" s="340"/>
      <c r="KVT32" s="340"/>
      <c r="KVU32" s="340"/>
      <c r="KVV32" s="340"/>
      <c r="KVW32" s="340"/>
      <c r="KVX32" s="340"/>
      <c r="KVY32" s="340"/>
      <c r="KVZ32" s="340"/>
      <c r="KWA32" s="340"/>
      <c r="KWB32" s="340"/>
      <c r="KWC32" s="340"/>
      <c r="KWD32" s="340"/>
      <c r="KWE32" s="340"/>
      <c r="KWF32" s="340"/>
      <c r="KWG32" s="340"/>
      <c r="KWH32" s="340"/>
      <c r="KWI32" s="340"/>
      <c r="KWJ32" s="340"/>
      <c r="KWK32" s="340"/>
      <c r="KWL32" s="340"/>
      <c r="KWM32" s="340"/>
      <c r="KWN32" s="340"/>
      <c r="KWO32" s="340"/>
      <c r="KWP32" s="340"/>
      <c r="KWQ32" s="340"/>
      <c r="KWR32" s="340"/>
      <c r="KWS32" s="340"/>
      <c r="KWT32" s="340"/>
      <c r="KWU32" s="340"/>
      <c r="KWV32" s="340"/>
      <c r="KWW32" s="340"/>
      <c r="KWX32" s="340"/>
      <c r="KWY32" s="340"/>
      <c r="KWZ32" s="340"/>
      <c r="KXA32" s="340"/>
      <c r="KXB32" s="340"/>
      <c r="KXC32" s="340"/>
      <c r="KXD32" s="340"/>
      <c r="KXE32" s="340"/>
      <c r="KXF32" s="340"/>
      <c r="KXG32" s="340"/>
      <c r="KXH32" s="340"/>
      <c r="KXI32" s="340"/>
      <c r="KXJ32" s="340"/>
      <c r="KXK32" s="340"/>
      <c r="KXL32" s="340"/>
      <c r="KXM32" s="340"/>
      <c r="KXN32" s="340"/>
      <c r="KXO32" s="340"/>
      <c r="KXP32" s="340"/>
      <c r="KXQ32" s="340"/>
      <c r="KXR32" s="340"/>
      <c r="KXS32" s="340"/>
      <c r="KXT32" s="340"/>
      <c r="KXU32" s="340"/>
      <c r="KXV32" s="340"/>
      <c r="KXW32" s="340"/>
      <c r="KXX32" s="340"/>
      <c r="KXY32" s="340"/>
      <c r="KXZ32" s="340"/>
      <c r="KYA32" s="340"/>
      <c r="KYB32" s="340"/>
      <c r="KYC32" s="340"/>
      <c r="KYD32" s="340"/>
      <c r="KYE32" s="340"/>
      <c r="KYF32" s="340"/>
      <c r="KYG32" s="340"/>
      <c r="KYH32" s="340"/>
      <c r="KYI32" s="340"/>
      <c r="KYJ32" s="340"/>
      <c r="KYK32" s="340"/>
      <c r="KYL32" s="340"/>
      <c r="KYM32" s="340"/>
      <c r="KYN32" s="340"/>
      <c r="KYO32" s="340"/>
      <c r="KYP32" s="340"/>
      <c r="KYQ32" s="340"/>
      <c r="KYR32" s="340"/>
      <c r="KYS32" s="340"/>
      <c r="KYT32" s="340"/>
      <c r="KYU32" s="340"/>
      <c r="KYV32" s="340"/>
      <c r="KYW32" s="340"/>
      <c r="KYX32" s="340"/>
      <c r="KYY32" s="340"/>
      <c r="KYZ32" s="340"/>
      <c r="KZA32" s="340"/>
      <c r="KZB32" s="340"/>
      <c r="KZC32" s="340"/>
      <c r="KZD32" s="340"/>
      <c r="KZE32" s="340"/>
      <c r="KZF32" s="340"/>
      <c r="KZG32" s="340"/>
      <c r="KZH32" s="340"/>
      <c r="KZI32" s="340"/>
      <c r="KZJ32" s="340"/>
      <c r="KZK32" s="340"/>
      <c r="KZL32" s="340"/>
      <c r="KZM32" s="340"/>
      <c r="KZN32" s="340"/>
      <c r="KZO32" s="340"/>
      <c r="KZP32" s="340"/>
      <c r="KZQ32" s="340"/>
      <c r="KZR32" s="340"/>
      <c r="KZS32" s="340"/>
      <c r="KZT32" s="340"/>
      <c r="KZU32" s="340"/>
      <c r="KZV32" s="340"/>
      <c r="KZW32" s="340"/>
      <c r="KZX32" s="340"/>
      <c r="KZY32" s="340"/>
      <c r="KZZ32" s="340"/>
      <c r="LAA32" s="340"/>
      <c r="LAB32" s="340"/>
      <c r="LAC32" s="340"/>
      <c r="LAD32" s="340"/>
      <c r="LAE32" s="340"/>
      <c r="LAF32" s="340"/>
      <c r="LAG32" s="340"/>
      <c r="LAH32" s="340"/>
      <c r="LAI32" s="340"/>
      <c r="LAJ32" s="340"/>
      <c r="LAK32" s="340"/>
      <c r="LAL32" s="340"/>
      <c r="LAM32" s="340"/>
      <c r="LAN32" s="340"/>
      <c r="LAO32" s="340"/>
      <c r="LAP32" s="340"/>
      <c r="LAQ32" s="340"/>
      <c r="LAR32" s="340"/>
      <c r="LAS32" s="340"/>
      <c r="LAT32" s="340"/>
      <c r="LAU32" s="340"/>
      <c r="LAV32" s="340"/>
      <c r="LAW32" s="340"/>
      <c r="LAX32" s="340"/>
      <c r="LAY32" s="340"/>
      <c r="LAZ32" s="340"/>
      <c r="LBA32" s="340"/>
      <c r="LBB32" s="340"/>
      <c r="LBC32" s="340"/>
      <c r="LBD32" s="340"/>
      <c r="LBE32" s="340"/>
      <c r="LBF32" s="340"/>
      <c r="LBG32" s="340"/>
      <c r="LBH32" s="340"/>
      <c r="LBI32" s="340"/>
      <c r="LBJ32" s="340"/>
      <c r="LBK32" s="340"/>
      <c r="LBL32" s="340"/>
      <c r="LBM32" s="340"/>
      <c r="LBN32" s="340"/>
      <c r="LBO32" s="340"/>
      <c r="LBP32" s="340"/>
      <c r="LBQ32" s="340"/>
      <c r="LBR32" s="340"/>
      <c r="LBS32" s="340"/>
      <c r="LBT32" s="340"/>
      <c r="LBU32" s="340"/>
      <c r="LBV32" s="340"/>
      <c r="LBW32" s="340"/>
      <c r="LBX32" s="340"/>
      <c r="LBY32" s="340"/>
      <c r="LBZ32" s="340"/>
      <c r="LCA32" s="340"/>
      <c r="LCB32" s="340"/>
      <c r="LCC32" s="340"/>
      <c r="LCD32" s="340"/>
      <c r="LCE32" s="340"/>
      <c r="LCF32" s="340"/>
      <c r="LCG32" s="340"/>
      <c r="LCH32" s="340"/>
      <c r="LCI32" s="340"/>
      <c r="LCJ32" s="340"/>
      <c r="LCK32" s="340"/>
      <c r="LCL32" s="340"/>
      <c r="LCM32" s="340"/>
      <c r="LCN32" s="340"/>
      <c r="LCO32" s="340"/>
      <c r="LCP32" s="340"/>
      <c r="LCQ32" s="340"/>
      <c r="LCR32" s="340"/>
      <c r="LCS32" s="340"/>
      <c r="LCT32" s="340"/>
      <c r="LCU32" s="340"/>
      <c r="LCV32" s="340"/>
      <c r="LCW32" s="340"/>
      <c r="LCX32" s="340"/>
      <c r="LCY32" s="340"/>
      <c r="LCZ32" s="340"/>
      <c r="LDA32" s="340"/>
      <c r="LDB32" s="340"/>
      <c r="LDC32" s="340"/>
      <c r="LDD32" s="340"/>
      <c r="LDE32" s="340"/>
      <c r="LDF32" s="340"/>
      <c r="LDG32" s="340"/>
      <c r="LDH32" s="340"/>
      <c r="LDI32" s="340"/>
      <c r="LDJ32" s="340"/>
      <c r="LDK32" s="340"/>
      <c r="LDL32" s="340"/>
      <c r="LDM32" s="340"/>
      <c r="LDN32" s="340"/>
      <c r="LDO32" s="340"/>
      <c r="LDP32" s="340"/>
      <c r="LDQ32" s="340"/>
      <c r="LDR32" s="340"/>
      <c r="LDS32" s="340"/>
      <c r="LDT32" s="340"/>
      <c r="LDU32" s="340"/>
      <c r="LDV32" s="340"/>
      <c r="LDW32" s="340"/>
      <c r="LDX32" s="340"/>
      <c r="LDY32" s="340"/>
      <c r="LDZ32" s="340"/>
      <c r="LEA32" s="340"/>
      <c r="LEB32" s="340"/>
      <c r="LEC32" s="340"/>
      <c r="LED32" s="340"/>
      <c r="LEE32" s="340"/>
      <c r="LEF32" s="340"/>
      <c r="LEG32" s="340"/>
      <c r="LEH32" s="340"/>
      <c r="LEI32" s="340"/>
      <c r="LEJ32" s="340"/>
      <c r="LEK32" s="340"/>
      <c r="LEL32" s="340"/>
      <c r="LEM32" s="340"/>
      <c r="LEN32" s="340"/>
      <c r="LEO32" s="340"/>
      <c r="LEP32" s="340"/>
      <c r="LEQ32" s="340"/>
      <c r="LER32" s="340"/>
      <c r="LES32" s="340"/>
      <c r="LET32" s="340"/>
      <c r="LEU32" s="340"/>
      <c r="LEV32" s="340"/>
      <c r="LEW32" s="340"/>
      <c r="LEX32" s="340"/>
      <c r="LEY32" s="340"/>
      <c r="LEZ32" s="340"/>
      <c r="LFA32" s="340"/>
      <c r="LFB32" s="340"/>
      <c r="LFC32" s="340"/>
      <c r="LFD32" s="340"/>
      <c r="LFE32" s="340"/>
      <c r="LFF32" s="340"/>
      <c r="LFG32" s="340"/>
      <c r="LFH32" s="340"/>
      <c r="LFI32" s="340"/>
      <c r="LFJ32" s="340"/>
      <c r="LFK32" s="340"/>
      <c r="LFL32" s="340"/>
      <c r="LFM32" s="340"/>
      <c r="LFN32" s="340"/>
      <c r="LFO32" s="340"/>
      <c r="LFP32" s="340"/>
      <c r="LFQ32" s="340"/>
      <c r="LFR32" s="340"/>
      <c r="LFS32" s="340"/>
      <c r="LFT32" s="340"/>
      <c r="LFU32" s="340"/>
      <c r="LFV32" s="340"/>
      <c r="LFW32" s="340"/>
      <c r="LFX32" s="340"/>
      <c r="LFY32" s="340"/>
      <c r="LFZ32" s="340"/>
      <c r="LGA32" s="340"/>
      <c r="LGB32" s="340"/>
      <c r="LGC32" s="340"/>
      <c r="LGD32" s="340"/>
      <c r="LGE32" s="340"/>
      <c r="LGF32" s="340"/>
      <c r="LGG32" s="340"/>
      <c r="LGH32" s="340"/>
      <c r="LGI32" s="340"/>
      <c r="LGJ32" s="340"/>
      <c r="LGK32" s="340"/>
      <c r="LGL32" s="340"/>
      <c r="LGM32" s="340"/>
      <c r="LGN32" s="340"/>
      <c r="LGO32" s="340"/>
      <c r="LGP32" s="340"/>
      <c r="LGQ32" s="340"/>
      <c r="LGR32" s="340"/>
      <c r="LGS32" s="340"/>
      <c r="LGT32" s="340"/>
      <c r="LGU32" s="340"/>
      <c r="LGV32" s="340"/>
      <c r="LGW32" s="340"/>
      <c r="LGX32" s="340"/>
      <c r="LGY32" s="340"/>
      <c r="LGZ32" s="340"/>
      <c r="LHA32" s="340"/>
      <c r="LHB32" s="340"/>
      <c r="LHC32" s="340"/>
      <c r="LHD32" s="340"/>
      <c r="LHE32" s="340"/>
      <c r="LHF32" s="340"/>
      <c r="LHG32" s="340"/>
      <c r="LHH32" s="340"/>
      <c r="LHI32" s="340"/>
      <c r="LHJ32" s="340"/>
      <c r="LHK32" s="340"/>
      <c r="LHL32" s="340"/>
      <c r="LHM32" s="340"/>
      <c r="LHN32" s="340"/>
      <c r="LHO32" s="340"/>
      <c r="LHP32" s="340"/>
      <c r="LHQ32" s="340"/>
      <c r="LHR32" s="340"/>
      <c r="LHS32" s="340"/>
      <c r="LHT32" s="340"/>
      <c r="LHU32" s="340"/>
      <c r="LHV32" s="340"/>
      <c r="LHW32" s="340"/>
      <c r="LHX32" s="340"/>
      <c r="LHY32" s="340"/>
      <c r="LHZ32" s="340"/>
      <c r="LIA32" s="340"/>
      <c r="LIB32" s="340"/>
      <c r="LIC32" s="340"/>
      <c r="LID32" s="340"/>
      <c r="LIE32" s="340"/>
      <c r="LIF32" s="340"/>
      <c r="LIG32" s="340"/>
      <c r="LIH32" s="340"/>
      <c r="LII32" s="340"/>
      <c r="LIJ32" s="340"/>
      <c r="LIK32" s="340"/>
      <c r="LIL32" s="340"/>
      <c r="LIM32" s="340"/>
      <c r="LIN32" s="340"/>
      <c r="LIO32" s="340"/>
      <c r="LIP32" s="340"/>
      <c r="LIQ32" s="340"/>
      <c r="LIR32" s="340"/>
      <c r="LIS32" s="340"/>
      <c r="LIT32" s="340"/>
      <c r="LIU32" s="340"/>
      <c r="LIV32" s="340"/>
      <c r="LIW32" s="340"/>
      <c r="LIX32" s="340"/>
      <c r="LIY32" s="340"/>
      <c r="LIZ32" s="340"/>
      <c r="LJA32" s="340"/>
      <c r="LJB32" s="340"/>
      <c r="LJC32" s="340"/>
      <c r="LJD32" s="340"/>
      <c r="LJE32" s="340"/>
      <c r="LJF32" s="340"/>
      <c r="LJG32" s="340"/>
      <c r="LJH32" s="340"/>
      <c r="LJI32" s="340"/>
      <c r="LJJ32" s="340"/>
      <c r="LJK32" s="340"/>
      <c r="LJL32" s="340"/>
      <c r="LJM32" s="340"/>
      <c r="LJN32" s="340"/>
      <c r="LJO32" s="340"/>
      <c r="LJP32" s="340"/>
      <c r="LJQ32" s="340"/>
      <c r="LJR32" s="340"/>
      <c r="LJS32" s="340"/>
      <c r="LJT32" s="340"/>
      <c r="LJU32" s="340"/>
      <c r="LJV32" s="340"/>
      <c r="LJW32" s="340"/>
      <c r="LJX32" s="340"/>
      <c r="LJY32" s="340"/>
      <c r="LJZ32" s="340"/>
      <c r="LKA32" s="340"/>
      <c r="LKB32" s="340"/>
      <c r="LKC32" s="340"/>
      <c r="LKD32" s="340"/>
      <c r="LKE32" s="340"/>
      <c r="LKF32" s="340"/>
      <c r="LKG32" s="340"/>
      <c r="LKH32" s="340"/>
      <c r="LKI32" s="340"/>
      <c r="LKJ32" s="340"/>
      <c r="LKK32" s="340"/>
      <c r="LKL32" s="340"/>
      <c r="LKM32" s="340"/>
      <c r="LKN32" s="340"/>
      <c r="LKO32" s="340"/>
      <c r="LKP32" s="340"/>
      <c r="LKQ32" s="340"/>
      <c r="LKR32" s="340"/>
      <c r="LKS32" s="340"/>
      <c r="LKT32" s="340"/>
      <c r="LKU32" s="340"/>
      <c r="LKV32" s="340"/>
      <c r="LKW32" s="340"/>
      <c r="LKX32" s="340"/>
      <c r="LKY32" s="340"/>
      <c r="LKZ32" s="340"/>
      <c r="LLA32" s="340"/>
      <c r="LLB32" s="340"/>
      <c r="LLC32" s="340"/>
      <c r="LLD32" s="340"/>
      <c r="LLE32" s="340"/>
      <c r="LLF32" s="340"/>
      <c r="LLG32" s="340"/>
      <c r="LLH32" s="340"/>
      <c r="LLI32" s="340"/>
      <c r="LLJ32" s="340"/>
      <c r="LLK32" s="340"/>
      <c r="LLL32" s="340"/>
      <c r="LLM32" s="340"/>
      <c r="LLN32" s="340"/>
      <c r="LLO32" s="340"/>
      <c r="LLP32" s="340"/>
      <c r="LLQ32" s="340"/>
      <c r="LLR32" s="340"/>
      <c r="LLS32" s="340"/>
      <c r="LLT32" s="340"/>
      <c r="LLU32" s="340"/>
      <c r="LLV32" s="340"/>
      <c r="LLW32" s="340"/>
      <c r="LLX32" s="340"/>
      <c r="LLY32" s="340"/>
      <c r="LLZ32" s="340"/>
      <c r="LMA32" s="340"/>
      <c r="LMB32" s="340"/>
      <c r="LMC32" s="340"/>
      <c r="LMD32" s="340"/>
      <c r="LME32" s="340"/>
      <c r="LMF32" s="340"/>
      <c r="LMG32" s="340"/>
      <c r="LMH32" s="340"/>
      <c r="LMI32" s="340"/>
      <c r="LMJ32" s="340"/>
      <c r="LMK32" s="340"/>
      <c r="LML32" s="340"/>
      <c r="LMM32" s="340"/>
      <c r="LMN32" s="340"/>
      <c r="LMO32" s="340"/>
      <c r="LMP32" s="340"/>
      <c r="LMQ32" s="340"/>
      <c r="LMR32" s="340"/>
      <c r="LMS32" s="340"/>
      <c r="LMT32" s="340"/>
      <c r="LMU32" s="340"/>
      <c r="LMV32" s="340"/>
      <c r="LMW32" s="340"/>
      <c r="LMX32" s="340"/>
      <c r="LMY32" s="340"/>
      <c r="LMZ32" s="340"/>
      <c r="LNA32" s="340"/>
      <c r="LNB32" s="340"/>
      <c r="LNC32" s="340"/>
      <c r="LND32" s="340"/>
      <c r="LNE32" s="340"/>
      <c r="LNF32" s="340"/>
      <c r="LNG32" s="340"/>
      <c r="LNH32" s="340"/>
      <c r="LNI32" s="340"/>
      <c r="LNJ32" s="340"/>
      <c r="LNK32" s="340"/>
      <c r="LNL32" s="340"/>
      <c r="LNM32" s="340"/>
      <c r="LNN32" s="340"/>
      <c r="LNO32" s="340"/>
      <c r="LNP32" s="340"/>
      <c r="LNQ32" s="340"/>
      <c r="LNR32" s="340"/>
      <c r="LNS32" s="340"/>
      <c r="LNT32" s="340"/>
      <c r="LNU32" s="340"/>
      <c r="LNV32" s="340"/>
      <c r="LNW32" s="340"/>
      <c r="LNX32" s="340"/>
      <c r="LNY32" s="340"/>
      <c r="LNZ32" s="340"/>
      <c r="LOA32" s="340"/>
      <c r="LOB32" s="340"/>
      <c r="LOC32" s="340"/>
      <c r="LOD32" s="340"/>
      <c r="LOE32" s="340"/>
      <c r="LOF32" s="340"/>
      <c r="LOG32" s="340"/>
      <c r="LOH32" s="340"/>
      <c r="LOI32" s="340"/>
      <c r="LOJ32" s="340"/>
      <c r="LOK32" s="340"/>
      <c r="LOL32" s="340"/>
      <c r="LOM32" s="340"/>
      <c r="LON32" s="340"/>
      <c r="LOO32" s="340"/>
      <c r="LOP32" s="340"/>
      <c r="LOQ32" s="340"/>
      <c r="LOR32" s="340"/>
      <c r="LOS32" s="340"/>
      <c r="LOT32" s="340"/>
      <c r="LOU32" s="340"/>
      <c r="LOV32" s="340"/>
      <c r="LOW32" s="340"/>
      <c r="LOX32" s="340"/>
      <c r="LOY32" s="340"/>
      <c r="LOZ32" s="340"/>
      <c r="LPA32" s="340"/>
      <c r="LPB32" s="340"/>
      <c r="LPC32" s="340"/>
      <c r="LPD32" s="340"/>
      <c r="LPE32" s="340"/>
      <c r="LPF32" s="340"/>
      <c r="LPG32" s="340"/>
      <c r="LPH32" s="340"/>
      <c r="LPI32" s="340"/>
      <c r="LPJ32" s="340"/>
      <c r="LPK32" s="340"/>
      <c r="LPL32" s="340"/>
      <c r="LPM32" s="340"/>
      <c r="LPN32" s="340"/>
      <c r="LPO32" s="340"/>
      <c r="LPP32" s="340"/>
      <c r="LPQ32" s="340"/>
      <c r="LPR32" s="340"/>
      <c r="LPS32" s="340"/>
      <c r="LPT32" s="340"/>
      <c r="LPU32" s="340"/>
      <c r="LPV32" s="340"/>
      <c r="LPW32" s="340"/>
      <c r="LPX32" s="340"/>
      <c r="LPY32" s="340"/>
      <c r="LPZ32" s="340"/>
      <c r="LQA32" s="340"/>
      <c r="LQB32" s="340"/>
      <c r="LQC32" s="340"/>
      <c r="LQD32" s="340"/>
      <c r="LQE32" s="340"/>
      <c r="LQF32" s="340"/>
      <c r="LQG32" s="340"/>
      <c r="LQH32" s="340"/>
      <c r="LQI32" s="340"/>
      <c r="LQJ32" s="340"/>
      <c r="LQK32" s="340"/>
      <c r="LQL32" s="340"/>
      <c r="LQM32" s="340"/>
      <c r="LQN32" s="340"/>
      <c r="LQO32" s="340"/>
      <c r="LQP32" s="340"/>
      <c r="LQQ32" s="340"/>
      <c r="LQR32" s="340"/>
      <c r="LQS32" s="340"/>
      <c r="LQT32" s="340"/>
      <c r="LQU32" s="340"/>
      <c r="LQV32" s="340"/>
      <c r="LQW32" s="340"/>
      <c r="LQX32" s="340"/>
      <c r="LQY32" s="340"/>
      <c r="LQZ32" s="340"/>
      <c r="LRA32" s="340"/>
      <c r="LRB32" s="340"/>
      <c r="LRC32" s="340"/>
      <c r="LRD32" s="340"/>
      <c r="LRE32" s="340"/>
      <c r="LRF32" s="340"/>
      <c r="LRG32" s="340"/>
      <c r="LRH32" s="340"/>
      <c r="LRI32" s="340"/>
      <c r="LRJ32" s="340"/>
      <c r="LRK32" s="340"/>
      <c r="LRL32" s="340"/>
      <c r="LRM32" s="340"/>
      <c r="LRN32" s="340"/>
      <c r="LRO32" s="340"/>
      <c r="LRP32" s="340"/>
      <c r="LRQ32" s="340"/>
      <c r="LRR32" s="340"/>
      <c r="LRS32" s="340"/>
      <c r="LRT32" s="340"/>
      <c r="LRU32" s="340"/>
      <c r="LRV32" s="340"/>
      <c r="LRW32" s="340"/>
      <c r="LRX32" s="340"/>
      <c r="LRY32" s="340"/>
      <c r="LRZ32" s="340"/>
      <c r="LSA32" s="340"/>
      <c r="LSB32" s="340"/>
      <c r="LSC32" s="340"/>
      <c r="LSD32" s="340"/>
      <c r="LSE32" s="340"/>
      <c r="LSF32" s="340"/>
      <c r="LSG32" s="340"/>
      <c r="LSH32" s="340"/>
      <c r="LSI32" s="340"/>
      <c r="LSJ32" s="340"/>
      <c r="LSK32" s="340"/>
      <c r="LSL32" s="340"/>
      <c r="LSM32" s="340"/>
      <c r="LSN32" s="340"/>
      <c r="LSO32" s="340"/>
      <c r="LSP32" s="340"/>
      <c r="LSQ32" s="340"/>
      <c r="LSR32" s="340"/>
      <c r="LSS32" s="340"/>
      <c r="LST32" s="340"/>
      <c r="LSU32" s="340"/>
      <c r="LSV32" s="340"/>
      <c r="LSW32" s="340"/>
      <c r="LSX32" s="340"/>
      <c r="LSY32" s="340"/>
      <c r="LSZ32" s="340"/>
      <c r="LTA32" s="340"/>
      <c r="LTB32" s="340"/>
      <c r="LTC32" s="340"/>
      <c r="LTD32" s="340"/>
      <c r="LTE32" s="340"/>
      <c r="LTF32" s="340"/>
      <c r="LTG32" s="340"/>
      <c r="LTH32" s="340"/>
      <c r="LTI32" s="340"/>
      <c r="LTJ32" s="340"/>
      <c r="LTK32" s="340"/>
      <c r="LTL32" s="340"/>
      <c r="LTM32" s="340"/>
      <c r="LTN32" s="340"/>
      <c r="LTO32" s="340"/>
      <c r="LTP32" s="340"/>
      <c r="LTQ32" s="340"/>
      <c r="LTR32" s="340"/>
      <c r="LTS32" s="340"/>
      <c r="LTT32" s="340"/>
      <c r="LTU32" s="340"/>
      <c r="LTV32" s="340"/>
      <c r="LTW32" s="340"/>
      <c r="LTX32" s="340"/>
      <c r="LTY32" s="340"/>
      <c r="LTZ32" s="340"/>
      <c r="LUA32" s="340"/>
      <c r="LUB32" s="340"/>
      <c r="LUC32" s="340"/>
      <c r="LUD32" s="340"/>
      <c r="LUE32" s="340"/>
      <c r="LUF32" s="340"/>
      <c r="LUG32" s="340"/>
      <c r="LUH32" s="340"/>
      <c r="LUI32" s="340"/>
      <c r="LUJ32" s="340"/>
      <c r="LUK32" s="340"/>
      <c r="LUL32" s="340"/>
      <c r="LUM32" s="340"/>
      <c r="LUN32" s="340"/>
      <c r="LUO32" s="340"/>
      <c r="LUP32" s="340"/>
      <c r="LUQ32" s="340"/>
      <c r="LUR32" s="340"/>
      <c r="LUS32" s="340"/>
      <c r="LUT32" s="340"/>
      <c r="LUU32" s="340"/>
      <c r="LUV32" s="340"/>
      <c r="LUW32" s="340"/>
      <c r="LUX32" s="340"/>
      <c r="LUY32" s="340"/>
      <c r="LUZ32" s="340"/>
      <c r="LVA32" s="340"/>
      <c r="LVB32" s="340"/>
      <c r="LVC32" s="340"/>
      <c r="LVD32" s="340"/>
      <c r="LVE32" s="340"/>
      <c r="LVF32" s="340"/>
      <c r="LVG32" s="340"/>
      <c r="LVH32" s="340"/>
      <c r="LVI32" s="340"/>
      <c r="LVJ32" s="340"/>
      <c r="LVK32" s="340"/>
      <c r="LVL32" s="340"/>
      <c r="LVM32" s="340"/>
      <c r="LVN32" s="340"/>
      <c r="LVO32" s="340"/>
      <c r="LVP32" s="340"/>
      <c r="LVQ32" s="340"/>
      <c r="LVR32" s="340"/>
      <c r="LVS32" s="340"/>
      <c r="LVT32" s="340"/>
      <c r="LVU32" s="340"/>
      <c r="LVV32" s="340"/>
      <c r="LVW32" s="340"/>
      <c r="LVX32" s="340"/>
      <c r="LVY32" s="340"/>
      <c r="LVZ32" s="340"/>
      <c r="LWA32" s="340"/>
      <c r="LWB32" s="340"/>
      <c r="LWC32" s="340"/>
      <c r="LWD32" s="340"/>
      <c r="LWE32" s="340"/>
      <c r="LWF32" s="340"/>
      <c r="LWG32" s="340"/>
      <c r="LWH32" s="340"/>
      <c r="LWI32" s="340"/>
      <c r="LWJ32" s="340"/>
      <c r="LWK32" s="340"/>
      <c r="LWL32" s="340"/>
      <c r="LWM32" s="340"/>
      <c r="LWN32" s="340"/>
      <c r="LWO32" s="340"/>
      <c r="LWP32" s="340"/>
      <c r="LWQ32" s="340"/>
      <c r="LWR32" s="340"/>
      <c r="LWS32" s="340"/>
      <c r="LWT32" s="340"/>
      <c r="LWU32" s="340"/>
      <c r="LWV32" s="340"/>
      <c r="LWW32" s="340"/>
      <c r="LWX32" s="340"/>
      <c r="LWY32" s="340"/>
      <c r="LWZ32" s="340"/>
      <c r="LXA32" s="340"/>
      <c r="LXB32" s="340"/>
      <c r="LXC32" s="340"/>
      <c r="LXD32" s="340"/>
      <c r="LXE32" s="340"/>
      <c r="LXF32" s="340"/>
      <c r="LXG32" s="340"/>
      <c r="LXH32" s="340"/>
      <c r="LXI32" s="340"/>
      <c r="LXJ32" s="340"/>
      <c r="LXK32" s="340"/>
      <c r="LXL32" s="340"/>
      <c r="LXM32" s="340"/>
      <c r="LXN32" s="340"/>
      <c r="LXO32" s="340"/>
      <c r="LXP32" s="340"/>
      <c r="LXQ32" s="340"/>
      <c r="LXR32" s="340"/>
      <c r="LXS32" s="340"/>
      <c r="LXT32" s="340"/>
      <c r="LXU32" s="340"/>
      <c r="LXV32" s="340"/>
      <c r="LXW32" s="340"/>
      <c r="LXX32" s="340"/>
      <c r="LXY32" s="340"/>
      <c r="LXZ32" s="340"/>
      <c r="LYA32" s="340"/>
      <c r="LYB32" s="340"/>
      <c r="LYC32" s="340"/>
      <c r="LYD32" s="340"/>
      <c r="LYE32" s="340"/>
      <c r="LYF32" s="340"/>
      <c r="LYG32" s="340"/>
      <c r="LYH32" s="340"/>
      <c r="LYI32" s="340"/>
      <c r="LYJ32" s="340"/>
      <c r="LYK32" s="340"/>
      <c r="LYL32" s="340"/>
      <c r="LYM32" s="340"/>
      <c r="LYN32" s="340"/>
      <c r="LYO32" s="340"/>
      <c r="LYP32" s="340"/>
      <c r="LYQ32" s="340"/>
      <c r="LYR32" s="340"/>
      <c r="LYS32" s="340"/>
      <c r="LYT32" s="340"/>
      <c r="LYU32" s="340"/>
      <c r="LYV32" s="340"/>
      <c r="LYW32" s="340"/>
      <c r="LYX32" s="340"/>
      <c r="LYY32" s="340"/>
      <c r="LYZ32" s="340"/>
      <c r="LZA32" s="340"/>
      <c r="LZB32" s="340"/>
      <c r="LZC32" s="340"/>
      <c r="LZD32" s="340"/>
      <c r="LZE32" s="340"/>
      <c r="LZF32" s="340"/>
      <c r="LZG32" s="340"/>
      <c r="LZH32" s="340"/>
      <c r="LZI32" s="340"/>
      <c r="LZJ32" s="340"/>
      <c r="LZK32" s="340"/>
      <c r="LZL32" s="340"/>
      <c r="LZM32" s="340"/>
      <c r="LZN32" s="340"/>
      <c r="LZO32" s="340"/>
      <c r="LZP32" s="340"/>
      <c r="LZQ32" s="340"/>
      <c r="LZR32" s="340"/>
      <c r="LZS32" s="340"/>
      <c r="LZT32" s="340"/>
      <c r="LZU32" s="340"/>
      <c r="LZV32" s="340"/>
      <c r="LZW32" s="340"/>
      <c r="LZX32" s="340"/>
      <c r="LZY32" s="340"/>
      <c r="LZZ32" s="340"/>
      <c r="MAA32" s="340"/>
      <c r="MAB32" s="340"/>
      <c r="MAC32" s="340"/>
      <c r="MAD32" s="340"/>
      <c r="MAE32" s="340"/>
      <c r="MAF32" s="340"/>
      <c r="MAG32" s="340"/>
      <c r="MAH32" s="340"/>
      <c r="MAI32" s="340"/>
      <c r="MAJ32" s="340"/>
      <c r="MAK32" s="340"/>
      <c r="MAL32" s="340"/>
      <c r="MAM32" s="340"/>
      <c r="MAN32" s="340"/>
      <c r="MAO32" s="340"/>
      <c r="MAP32" s="340"/>
      <c r="MAQ32" s="340"/>
      <c r="MAR32" s="340"/>
      <c r="MAS32" s="340"/>
      <c r="MAT32" s="340"/>
      <c r="MAU32" s="340"/>
      <c r="MAV32" s="340"/>
      <c r="MAW32" s="340"/>
      <c r="MAX32" s="340"/>
      <c r="MAY32" s="340"/>
      <c r="MAZ32" s="340"/>
      <c r="MBA32" s="340"/>
      <c r="MBB32" s="340"/>
      <c r="MBC32" s="340"/>
      <c r="MBD32" s="340"/>
      <c r="MBE32" s="340"/>
      <c r="MBF32" s="340"/>
      <c r="MBG32" s="340"/>
      <c r="MBH32" s="340"/>
      <c r="MBI32" s="340"/>
      <c r="MBJ32" s="340"/>
      <c r="MBK32" s="340"/>
      <c r="MBL32" s="340"/>
      <c r="MBM32" s="340"/>
      <c r="MBN32" s="340"/>
      <c r="MBO32" s="340"/>
      <c r="MBP32" s="340"/>
      <c r="MBQ32" s="340"/>
      <c r="MBR32" s="340"/>
      <c r="MBS32" s="340"/>
      <c r="MBT32" s="340"/>
      <c r="MBU32" s="340"/>
      <c r="MBV32" s="340"/>
      <c r="MBW32" s="340"/>
      <c r="MBX32" s="340"/>
      <c r="MBY32" s="340"/>
      <c r="MBZ32" s="340"/>
      <c r="MCA32" s="340"/>
      <c r="MCB32" s="340"/>
      <c r="MCC32" s="340"/>
      <c r="MCD32" s="340"/>
      <c r="MCE32" s="340"/>
      <c r="MCF32" s="340"/>
      <c r="MCG32" s="340"/>
      <c r="MCH32" s="340"/>
      <c r="MCI32" s="340"/>
      <c r="MCJ32" s="340"/>
      <c r="MCK32" s="340"/>
      <c r="MCL32" s="340"/>
      <c r="MCM32" s="340"/>
      <c r="MCN32" s="340"/>
      <c r="MCO32" s="340"/>
      <c r="MCP32" s="340"/>
      <c r="MCQ32" s="340"/>
      <c r="MCR32" s="340"/>
      <c r="MCS32" s="340"/>
      <c r="MCT32" s="340"/>
      <c r="MCU32" s="340"/>
      <c r="MCV32" s="340"/>
      <c r="MCW32" s="340"/>
      <c r="MCX32" s="340"/>
      <c r="MCY32" s="340"/>
      <c r="MCZ32" s="340"/>
      <c r="MDA32" s="340"/>
      <c r="MDB32" s="340"/>
      <c r="MDC32" s="340"/>
      <c r="MDD32" s="340"/>
      <c r="MDE32" s="340"/>
      <c r="MDF32" s="340"/>
      <c r="MDG32" s="340"/>
      <c r="MDH32" s="340"/>
      <c r="MDI32" s="340"/>
      <c r="MDJ32" s="340"/>
      <c r="MDK32" s="340"/>
      <c r="MDL32" s="340"/>
      <c r="MDM32" s="340"/>
      <c r="MDN32" s="340"/>
      <c r="MDO32" s="340"/>
      <c r="MDP32" s="340"/>
      <c r="MDQ32" s="340"/>
      <c r="MDR32" s="340"/>
      <c r="MDS32" s="340"/>
      <c r="MDT32" s="340"/>
      <c r="MDU32" s="340"/>
      <c r="MDV32" s="340"/>
      <c r="MDW32" s="340"/>
      <c r="MDX32" s="340"/>
      <c r="MDY32" s="340"/>
      <c r="MDZ32" s="340"/>
      <c r="MEA32" s="340"/>
      <c r="MEB32" s="340"/>
      <c r="MEC32" s="340"/>
      <c r="MED32" s="340"/>
      <c r="MEE32" s="340"/>
      <c r="MEF32" s="340"/>
      <c r="MEG32" s="340"/>
      <c r="MEH32" s="340"/>
      <c r="MEI32" s="340"/>
      <c r="MEJ32" s="340"/>
      <c r="MEK32" s="340"/>
      <c r="MEL32" s="340"/>
      <c r="MEM32" s="340"/>
      <c r="MEN32" s="340"/>
      <c r="MEO32" s="340"/>
      <c r="MEP32" s="340"/>
      <c r="MEQ32" s="340"/>
      <c r="MER32" s="340"/>
      <c r="MES32" s="340"/>
      <c r="MET32" s="340"/>
      <c r="MEU32" s="340"/>
      <c r="MEV32" s="340"/>
      <c r="MEW32" s="340"/>
      <c r="MEX32" s="340"/>
      <c r="MEY32" s="340"/>
      <c r="MEZ32" s="340"/>
      <c r="MFA32" s="340"/>
      <c r="MFB32" s="340"/>
      <c r="MFC32" s="340"/>
      <c r="MFD32" s="340"/>
      <c r="MFE32" s="340"/>
      <c r="MFF32" s="340"/>
      <c r="MFG32" s="340"/>
      <c r="MFH32" s="340"/>
      <c r="MFI32" s="340"/>
      <c r="MFJ32" s="340"/>
      <c r="MFK32" s="340"/>
      <c r="MFL32" s="340"/>
      <c r="MFM32" s="340"/>
      <c r="MFN32" s="340"/>
      <c r="MFO32" s="340"/>
      <c r="MFP32" s="340"/>
      <c r="MFQ32" s="340"/>
      <c r="MFR32" s="340"/>
      <c r="MFS32" s="340"/>
      <c r="MFT32" s="340"/>
      <c r="MFU32" s="340"/>
      <c r="MFV32" s="340"/>
      <c r="MFW32" s="340"/>
      <c r="MFX32" s="340"/>
      <c r="MFY32" s="340"/>
      <c r="MFZ32" s="340"/>
      <c r="MGA32" s="340"/>
      <c r="MGB32" s="340"/>
      <c r="MGC32" s="340"/>
      <c r="MGD32" s="340"/>
      <c r="MGE32" s="340"/>
      <c r="MGF32" s="340"/>
      <c r="MGG32" s="340"/>
      <c r="MGH32" s="340"/>
      <c r="MGI32" s="340"/>
      <c r="MGJ32" s="340"/>
      <c r="MGK32" s="340"/>
      <c r="MGL32" s="340"/>
      <c r="MGM32" s="340"/>
      <c r="MGN32" s="340"/>
      <c r="MGO32" s="340"/>
      <c r="MGP32" s="340"/>
      <c r="MGQ32" s="340"/>
      <c r="MGR32" s="340"/>
      <c r="MGS32" s="340"/>
      <c r="MGT32" s="340"/>
      <c r="MGU32" s="340"/>
      <c r="MGV32" s="340"/>
      <c r="MGW32" s="340"/>
      <c r="MGX32" s="340"/>
      <c r="MGY32" s="340"/>
      <c r="MGZ32" s="340"/>
      <c r="MHA32" s="340"/>
      <c r="MHB32" s="340"/>
      <c r="MHC32" s="340"/>
      <c r="MHD32" s="340"/>
      <c r="MHE32" s="340"/>
      <c r="MHF32" s="340"/>
      <c r="MHG32" s="340"/>
      <c r="MHH32" s="340"/>
      <c r="MHI32" s="340"/>
      <c r="MHJ32" s="340"/>
      <c r="MHK32" s="340"/>
      <c r="MHL32" s="340"/>
      <c r="MHM32" s="340"/>
      <c r="MHN32" s="340"/>
      <c r="MHO32" s="340"/>
      <c r="MHP32" s="340"/>
      <c r="MHQ32" s="340"/>
      <c r="MHR32" s="340"/>
      <c r="MHS32" s="340"/>
      <c r="MHT32" s="340"/>
      <c r="MHU32" s="340"/>
      <c r="MHV32" s="340"/>
      <c r="MHW32" s="340"/>
      <c r="MHX32" s="340"/>
      <c r="MHY32" s="340"/>
      <c r="MHZ32" s="340"/>
      <c r="MIA32" s="340"/>
      <c r="MIB32" s="340"/>
      <c r="MIC32" s="340"/>
      <c r="MID32" s="340"/>
      <c r="MIE32" s="340"/>
      <c r="MIF32" s="340"/>
      <c r="MIG32" s="340"/>
      <c r="MIH32" s="340"/>
      <c r="MII32" s="340"/>
      <c r="MIJ32" s="340"/>
      <c r="MIK32" s="340"/>
      <c r="MIL32" s="340"/>
      <c r="MIM32" s="340"/>
      <c r="MIN32" s="340"/>
      <c r="MIO32" s="340"/>
      <c r="MIP32" s="340"/>
      <c r="MIQ32" s="340"/>
      <c r="MIR32" s="340"/>
      <c r="MIS32" s="340"/>
      <c r="MIT32" s="340"/>
      <c r="MIU32" s="340"/>
      <c r="MIV32" s="340"/>
      <c r="MIW32" s="340"/>
      <c r="MIX32" s="340"/>
      <c r="MIY32" s="340"/>
      <c r="MIZ32" s="340"/>
      <c r="MJA32" s="340"/>
      <c r="MJB32" s="340"/>
      <c r="MJC32" s="340"/>
      <c r="MJD32" s="340"/>
      <c r="MJE32" s="340"/>
      <c r="MJF32" s="340"/>
      <c r="MJG32" s="340"/>
      <c r="MJH32" s="340"/>
      <c r="MJI32" s="340"/>
      <c r="MJJ32" s="340"/>
      <c r="MJK32" s="340"/>
      <c r="MJL32" s="340"/>
      <c r="MJM32" s="340"/>
      <c r="MJN32" s="340"/>
      <c r="MJO32" s="340"/>
      <c r="MJP32" s="340"/>
      <c r="MJQ32" s="340"/>
      <c r="MJR32" s="340"/>
      <c r="MJS32" s="340"/>
      <c r="MJT32" s="340"/>
      <c r="MJU32" s="340"/>
      <c r="MJV32" s="340"/>
      <c r="MJW32" s="340"/>
      <c r="MJX32" s="340"/>
      <c r="MJY32" s="340"/>
      <c r="MJZ32" s="340"/>
      <c r="MKA32" s="340"/>
      <c r="MKB32" s="340"/>
      <c r="MKC32" s="340"/>
      <c r="MKD32" s="340"/>
      <c r="MKE32" s="340"/>
      <c r="MKF32" s="340"/>
      <c r="MKG32" s="340"/>
      <c r="MKH32" s="340"/>
      <c r="MKI32" s="340"/>
      <c r="MKJ32" s="340"/>
      <c r="MKK32" s="340"/>
      <c r="MKL32" s="340"/>
      <c r="MKM32" s="340"/>
      <c r="MKN32" s="340"/>
      <c r="MKO32" s="340"/>
      <c r="MKP32" s="340"/>
      <c r="MKQ32" s="340"/>
      <c r="MKR32" s="340"/>
      <c r="MKS32" s="340"/>
      <c r="MKT32" s="340"/>
      <c r="MKU32" s="340"/>
      <c r="MKV32" s="340"/>
      <c r="MKW32" s="340"/>
      <c r="MKX32" s="340"/>
      <c r="MKY32" s="340"/>
      <c r="MKZ32" s="340"/>
      <c r="MLA32" s="340"/>
      <c r="MLB32" s="340"/>
      <c r="MLC32" s="340"/>
      <c r="MLD32" s="340"/>
      <c r="MLE32" s="340"/>
      <c r="MLF32" s="340"/>
      <c r="MLG32" s="340"/>
      <c r="MLH32" s="340"/>
      <c r="MLI32" s="340"/>
      <c r="MLJ32" s="340"/>
      <c r="MLK32" s="340"/>
      <c r="MLL32" s="340"/>
      <c r="MLM32" s="340"/>
      <c r="MLN32" s="340"/>
      <c r="MLO32" s="340"/>
      <c r="MLP32" s="340"/>
      <c r="MLQ32" s="340"/>
      <c r="MLR32" s="340"/>
      <c r="MLS32" s="340"/>
      <c r="MLT32" s="340"/>
      <c r="MLU32" s="340"/>
      <c r="MLV32" s="340"/>
      <c r="MLW32" s="340"/>
      <c r="MLX32" s="340"/>
      <c r="MLY32" s="340"/>
      <c r="MLZ32" s="340"/>
      <c r="MMA32" s="340"/>
      <c r="MMB32" s="340"/>
      <c r="MMC32" s="340"/>
      <c r="MMD32" s="340"/>
      <c r="MME32" s="340"/>
      <c r="MMF32" s="340"/>
      <c r="MMG32" s="340"/>
      <c r="MMH32" s="340"/>
      <c r="MMI32" s="340"/>
      <c r="MMJ32" s="340"/>
      <c r="MMK32" s="340"/>
      <c r="MML32" s="340"/>
      <c r="MMM32" s="340"/>
      <c r="MMN32" s="340"/>
      <c r="MMO32" s="340"/>
      <c r="MMP32" s="340"/>
      <c r="MMQ32" s="340"/>
      <c r="MMR32" s="340"/>
      <c r="MMS32" s="340"/>
      <c r="MMT32" s="340"/>
      <c r="MMU32" s="340"/>
      <c r="MMV32" s="340"/>
      <c r="MMW32" s="340"/>
      <c r="MMX32" s="340"/>
      <c r="MMY32" s="340"/>
      <c r="MMZ32" s="340"/>
      <c r="MNA32" s="340"/>
      <c r="MNB32" s="340"/>
      <c r="MNC32" s="340"/>
      <c r="MND32" s="340"/>
      <c r="MNE32" s="340"/>
      <c r="MNF32" s="340"/>
      <c r="MNG32" s="340"/>
      <c r="MNH32" s="340"/>
      <c r="MNI32" s="340"/>
      <c r="MNJ32" s="340"/>
      <c r="MNK32" s="340"/>
      <c r="MNL32" s="340"/>
      <c r="MNM32" s="340"/>
      <c r="MNN32" s="340"/>
      <c r="MNO32" s="340"/>
      <c r="MNP32" s="340"/>
      <c r="MNQ32" s="340"/>
      <c r="MNR32" s="340"/>
      <c r="MNS32" s="340"/>
      <c r="MNT32" s="340"/>
      <c r="MNU32" s="340"/>
      <c r="MNV32" s="340"/>
      <c r="MNW32" s="340"/>
      <c r="MNX32" s="340"/>
      <c r="MNY32" s="340"/>
      <c r="MNZ32" s="340"/>
      <c r="MOA32" s="340"/>
      <c r="MOB32" s="340"/>
      <c r="MOC32" s="340"/>
      <c r="MOD32" s="340"/>
      <c r="MOE32" s="340"/>
      <c r="MOF32" s="340"/>
      <c r="MOG32" s="340"/>
      <c r="MOH32" s="340"/>
      <c r="MOI32" s="340"/>
      <c r="MOJ32" s="340"/>
      <c r="MOK32" s="340"/>
      <c r="MOL32" s="340"/>
      <c r="MOM32" s="340"/>
      <c r="MON32" s="340"/>
      <c r="MOO32" s="340"/>
      <c r="MOP32" s="340"/>
      <c r="MOQ32" s="340"/>
      <c r="MOR32" s="340"/>
      <c r="MOS32" s="340"/>
      <c r="MOT32" s="340"/>
      <c r="MOU32" s="340"/>
      <c r="MOV32" s="340"/>
      <c r="MOW32" s="340"/>
      <c r="MOX32" s="340"/>
      <c r="MOY32" s="340"/>
      <c r="MOZ32" s="340"/>
      <c r="MPA32" s="340"/>
      <c r="MPB32" s="340"/>
      <c r="MPC32" s="340"/>
      <c r="MPD32" s="340"/>
      <c r="MPE32" s="340"/>
      <c r="MPF32" s="340"/>
      <c r="MPG32" s="340"/>
      <c r="MPH32" s="340"/>
      <c r="MPI32" s="340"/>
      <c r="MPJ32" s="340"/>
      <c r="MPK32" s="340"/>
      <c r="MPL32" s="340"/>
      <c r="MPM32" s="340"/>
      <c r="MPN32" s="340"/>
      <c r="MPO32" s="340"/>
      <c r="MPP32" s="340"/>
      <c r="MPQ32" s="340"/>
      <c r="MPR32" s="340"/>
      <c r="MPS32" s="340"/>
      <c r="MPT32" s="340"/>
      <c r="MPU32" s="340"/>
      <c r="MPV32" s="340"/>
      <c r="MPW32" s="340"/>
      <c r="MPX32" s="340"/>
      <c r="MPY32" s="340"/>
      <c r="MPZ32" s="340"/>
      <c r="MQA32" s="340"/>
      <c r="MQB32" s="340"/>
      <c r="MQC32" s="340"/>
      <c r="MQD32" s="340"/>
      <c r="MQE32" s="340"/>
      <c r="MQF32" s="340"/>
      <c r="MQG32" s="340"/>
      <c r="MQH32" s="340"/>
      <c r="MQI32" s="340"/>
      <c r="MQJ32" s="340"/>
      <c r="MQK32" s="340"/>
      <c r="MQL32" s="340"/>
      <c r="MQM32" s="340"/>
      <c r="MQN32" s="340"/>
      <c r="MQO32" s="340"/>
      <c r="MQP32" s="340"/>
      <c r="MQQ32" s="340"/>
      <c r="MQR32" s="340"/>
      <c r="MQS32" s="340"/>
      <c r="MQT32" s="340"/>
      <c r="MQU32" s="340"/>
      <c r="MQV32" s="340"/>
      <c r="MQW32" s="340"/>
      <c r="MQX32" s="340"/>
      <c r="MQY32" s="340"/>
      <c r="MQZ32" s="340"/>
      <c r="MRA32" s="340"/>
      <c r="MRB32" s="340"/>
      <c r="MRC32" s="340"/>
      <c r="MRD32" s="340"/>
      <c r="MRE32" s="340"/>
      <c r="MRF32" s="340"/>
      <c r="MRG32" s="340"/>
      <c r="MRH32" s="340"/>
      <c r="MRI32" s="340"/>
      <c r="MRJ32" s="340"/>
      <c r="MRK32" s="340"/>
      <c r="MRL32" s="340"/>
      <c r="MRM32" s="340"/>
      <c r="MRN32" s="340"/>
      <c r="MRO32" s="340"/>
      <c r="MRP32" s="340"/>
      <c r="MRQ32" s="340"/>
      <c r="MRR32" s="340"/>
      <c r="MRS32" s="340"/>
      <c r="MRT32" s="340"/>
      <c r="MRU32" s="340"/>
      <c r="MRV32" s="340"/>
      <c r="MRW32" s="340"/>
      <c r="MRX32" s="340"/>
      <c r="MRY32" s="340"/>
      <c r="MRZ32" s="340"/>
      <c r="MSA32" s="340"/>
      <c r="MSB32" s="340"/>
      <c r="MSC32" s="340"/>
      <c r="MSD32" s="340"/>
      <c r="MSE32" s="340"/>
      <c r="MSF32" s="340"/>
      <c r="MSG32" s="340"/>
      <c r="MSH32" s="340"/>
      <c r="MSI32" s="340"/>
      <c r="MSJ32" s="340"/>
      <c r="MSK32" s="340"/>
      <c r="MSL32" s="340"/>
      <c r="MSM32" s="340"/>
      <c r="MSN32" s="340"/>
      <c r="MSO32" s="340"/>
      <c r="MSP32" s="340"/>
      <c r="MSQ32" s="340"/>
      <c r="MSR32" s="340"/>
      <c r="MSS32" s="340"/>
      <c r="MST32" s="340"/>
      <c r="MSU32" s="340"/>
      <c r="MSV32" s="340"/>
      <c r="MSW32" s="340"/>
      <c r="MSX32" s="340"/>
      <c r="MSY32" s="340"/>
      <c r="MSZ32" s="340"/>
      <c r="MTA32" s="340"/>
      <c r="MTB32" s="340"/>
      <c r="MTC32" s="340"/>
      <c r="MTD32" s="340"/>
      <c r="MTE32" s="340"/>
      <c r="MTF32" s="340"/>
      <c r="MTG32" s="340"/>
      <c r="MTH32" s="340"/>
      <c r="MTI32" s="340"/>
      <c r="MTJ32" s="340"/>
      <c r="MTK32" s="340"/>
      <c r="MTL32" s="340"/>
      <c r="MTM32" s="340"/>
      <c r="MTN32" s="340"/>
      <c r="MTO32" s="340"/>
      <c r="MTP32" s="340"/>
      <c r="MTQ32" s="340"/>
      <c r="MTR32" s="340"/>
      <c r="MTS32" s="340"/>
      <c r="MTT32" s="340"/>
      <c r="MTU32" s="340"/>
      <c r="MTV32" s="340"/>
      <c r="MTW32" s="340"/>
      <c r="MTX32" s="340"/>
      <c r="MTY32" s="340"/>
      <c r="MTZ32" s="340"/>
      <c r="MUA32" s="340"/>
      <c r="MUB32" s="340"/>
      <c r="MUC32" s="340"/>
      <c r="MUD32" s="340"/>
      <c r="MUE32" s="340"/>
      <c r="MUF32" s="340"/>
      <c r="MUG32" s="340"/>
      <c r="MUH32" s="340"/>
      <c r="MUI32" s="340"/>
      <c r="MUJ32" s="340"/>
      <c r="MUK32" s="340"/>
      <c r="MUL32" s="340"/>
      <c r="MUM32" s="340"/>
      <c r="MUN32" s="340"/>
      <c r="MUO32" s="340"/>
      <c r="MUP32" s="340"/>
      <c r="MUQ32" s="340"/>
      <c r="MUR32" s="340"/>
      <c r="MUS32" s="340"/>
      <c r="MUT32" s="340"/>
      <c r="MUU32" s="340"/>
      <c r="MUV32" s="340"/>
      <c r="MUW32" s="340"/>
      <c r="MUX32" s="340"/>
      <c r="MUY32" s="340"/>
      <c r="MUZ32" s="340"/>
      <c r="MVA32" s="340"/>
      <c r="MVB32" s="340"/>
      <c r="MVC32" s="340"/>
      <c r="MVD32" s="340"/>
      <c r="MVE32" s="340"/>
      <c r="MVF32" s="340"/>
      <c r="MVG32" s="340"/>
      <c r="MVH32" s="340"/>
      <c r="MVI32" s="340"/>
      <c r="MVJ32" s="340"/>
      <c r="MVK32" s="340"/>
      <c r="MVL32" s="340"/>
      <c r="MVM32" s="340"/>
      <c r="MVN32" s="340"/>
      <c r="MVO32" s="340"/>
      <c r="MVP32" s="340"/>
      <c r="MVQ32" s="340"/>
      <c r="MVR32" s="340"/>
      <c r="MVS32" s="340"/>
      <c r="MVT32" s="340"/>
      <c r="MVU32" s="340"/>
      <c r="MVV32" s="340"/>
      <c r="MVW32" s="340"/>
      <c r="MVX32" s="340"/>
      <c r="MVY32" s="340"/>
      <c r="MVZ32" s="340"/>
      <c r="MWA32" s="340"/>
      <c r="MWB32" s="340"/>
      <c r="MWC32" s="340"/>
      <c r="MWD32" s="340"/>
      <c r="MWE32" s="340"/>
      <c r="MWF32" s="340"/>
      <c r="MWG32" s="340"/>
      <c r="MWH32" s="340"/>
      <c r="MWI32" s="340"/>
      <c r="MWJ32" s="340"/>
      <c r="MWK32" s="340"/>
      <c r="MWL32" s="340"/>
      <c r="MWM32" s="340"/>
      <c r="MWN32" s="340"/>
      <c r="MWO32" s="340"/>
      <c r="MWP32" s="340"/>
      <c r="MWQ32" s="340"/>
      <c r="MWR32" s="340"/>
      <c r="MWS32" s="340"/>
      <c r="MWT32" s="340"/>
      <c r="MWU32" s="340"/>
      <c r="MWV32" s="340"/>
      <c r="MWW32" s="340"/>
      <c r="MWX32" s="340"/>
      <c r="MWY32" s="340"/>
      <c r="MWZ32" s="340"/>
      <c r="MXA32" s="340"/>
      <c r="MXB32" s="340"/>
      <c r="MXC32" s="340"/>
      <c r="MXD32" s="340"/>
      <c r="MXE32" s="340"/>
      <c r="MXF32" s="340"/>
      <c r="MXG32" s="340"/>
      <c r="MXH32" s="340"/>
      <c r="MXI32" s="340"/>
      <c r="MXJ32" s="340"/>
      <c r="MXK32" s="340"/>
      <c r="MXL32" s="340"/>
      <c r="MXM32" s="340"/>
      <c r="MXN32" s="340"/>
      <c r="MXO32" s="340"/>
      <c r="MXP32" s="340"/>
      <c r="MXQ32" s="340"/>
      <c r="MXR32" s="340"/>
      <c r="MXS32" s="340"/>
      <c r="MXT32" s="340"/>
      <c r="MXU32" s="340"/>
      <c r="MXV32" s="340"/>
      <c r="MXW32" s="340"/>
      <c r="MXX32" s="340"/>
      <c r="MXY32" s="340"/>
      <c r="MXZ32" s="340"/>
      <c r="MYA32" s="340"/>
      <c r="MYB32" s="340"/>
      <c r="MYC32" s="340"/>
      <c r="MYD32" s="340"/>
      <c r="MYE32" s="340"/>
      <c r="MYF32" s="340"/>
      <c r="MYG32" s="340"/>
      <c r="MYH32" s="340"/>
      <c r="MYI32" s="340"/>
      <c r="MYJ32" s="340"/>
      <c r="MYK32" s="340"/>
      <c r="MYL32" s="340"/>
      <c r="MYM32" s="340"/>
      <c r="MYN32" s="340"/>
      <c r="MYO32" s="340"/>
      <c r="MYP32" s="340"/>
      <c r="MYQ32" s="340"/>
      <c r="MYR32" s="340"/>
      <c r="MYS32" s="340"/>
      <c r="MYT32" s="340"/>
      <c r="MYU32" s="340"/>
      <c r="MYV32" s="340"/>
      <c r="MYW32" s="340"/>
      <c r="MYX32" s="340"/>
      <c r="MYY32" s="340"/>
      <c r="MYZ32" s="340"/>
      <c r="MZA32" s="340"/>
      <c r="MZB32" s="340"/>
      <c r="MZC32" s="340"/>
      <c r="MZD32" s="340"/>
      <c r="MZE32" s="340"/>
      <c r="MZF32" s="340"/>
      <c r="MZG32" s="340"/>
      <c r="MZH32" s="340"/>
      <c r="MZI32" s="340"/>
      <c r="MZJ32" s="340"/>
      <c r="MZK32" s="340"/>
      <c r="MZL32" s="340"/>
      <c r="MZM32" s="340"/>
      <c r="MZN32" s="340"/>
      <c r="MZO32" s="340"/>
      <c r="MZP32" s="340"/>
      <c r="MZQ32" s="340"/>
      <c r="MZR32" s="340"/>
      <c r="MZS32" s="340"/>
      <c r="MZT32" s="340"/>
      <c r="MZU32" s="340"/>
      <c r="MZV32" s="340"/>
      <c r="MZW32" s="340"/>
      <c r="MZX32" s="340"/>
      <c r="MZY32" s="340"/>
      <c r="MZZ32" s="340"/>
      <c r="NAA32" s="340"/>
      <c r="NAB32" s="340"/>
      <c r="NAC32" s="340"/>
      <c r="NAD32" s="340"/>
      <c r="NAE32" s="340"/>
      <c r="NAF32" s="340"/>
      <c r="NAG32" s="340"/>
      <c r="NAH32" s="340"/>
      <c r="NAI32" s="340"/>
      <c r="NAJ32" s="340"/>
      <c r="NAK32" s="340"/>
      <c r="NAL32" s="340"/>
      <c r="NAM32" s="340"/>
      <c r="NAN32" s="340"/>
      <c r="NAO32" s="340"/>
      <c r="NAP32" s="340"/>
      <c r="NAQ32" s="340"/>
      <c r="NAR32" s="340"/>
      <c r="NAS32" s="340"/>
      <c r="NAT32" s="340"/>
      <c r="NAU32" s="340"/>
      <c r="NAV32" s="340"/>
      <c r="NAW32" s="340"/>
      <c r="NAX32" s="340"/>
      <c r="NAY32" s="340"/>
      <c r="NAZ32" s="340"/>
      <c r="NBA32" s="340"/>
      <c r="NBB32" s="340"/>
      <c r="NBC32" s="340"/>
      <c r="NBD32" s="340"/>
      <c r="NBE32" s="340"/>
      <c r="NBF32" s="340"/>
      <c r="NBG32" s="340"/>
      <c r="NBH32" s="340"/>
      <c r="NBI32" s="340"/>
      <c r="NBJ32" s="340"/>
      <c r="NBK32" s="340"/>
      <c r="NBL32" s="340"/>
      <c r="NBM32" s="340"/>
      <c r="NBN32" s="340"/>
      <c r="NBO32" s="340"/>
      <c r="NBP32" s="340"/>
      <c r="NBQ32" s="340"/>
      <c r="NBR32" s="340"/>
      <c r="NBS32" s="340"/>
      <c r="NBT32" s="340"/>
      <c r="NBU32" s="340"/>
      <c r="NBV32" s="340"/>
      <c r="NBW32" s="340"/>
      <c r="NBX32" s="340"/>
      <c r="NBY32" s="340"/>
      <c r="NBZ32" s="340"/>
      <c r="NCA32" s="340"/>
      <c r="NCB32" s="340"/>
      <c r="NCC32" s="340"/>
      <c r="NCD32" s="340"/>
      <c r="NCE32" s="340"/>
      <c r="NCF32" s="340"/>
      <c r="NCG32" s="340"/>
      <c r="NCH32" s="340"/>
      <c r="NCI32" s="340"/>
      <c r="NCJ32" s="340"/>
      <c r="NCK32" s="340"/>
      <c r="NCL32" s="340"/>
      <c r="NCM32" s="340"/>
      <c r="NCN32" s="340"/>
      <c r="NCO32" s="340"/>
      <c r="NCP32" s="340"/>
      <c r="NCQ32" s="340"/>
      <c r="NCR32" s="340"/>
      <c r="NCS32" s="340"/>
      <c r="NCT32" s="340"/>
      <c r="NCU32" s="340"/>
      <c r="NCV32" s="340"/>
      <c r="NCW32" s="340"/>
      <c r="NCX32" s="340"/>
      <c r="NCY32" s="340"/>
      <c r="NCZ32" s="340"/>
      <c r="NDA32" s="340"/>
      <c r="NDB32" s="340"/>
      <c r="NDC32" s="340"/>
      <c r="NDD32" s="340"/>
      <c r="NDE32" s="340"/>
      <c r="NDF32" s="340"/>
      <c r="NDG32" s="340"/>
      <c r="NDH32" s="340"/>
      <c r="NDI32" s="340"/>
      <c r="NDJ32" s="340"/>
      <c r="NDK32" s="340"/>
      <c r="NDL32" s="340"/>
      <c r="NDM32" s="340"/>
      <c r="NDN32" s="340"/>
      <c r="NDO32" s="340"/>
      <c r="NDP32" s="340"/>
      <c r="NDQ32" s="340"/>
      <c r="NDR32" s="340"/>
      <c r="NDS32" s="340"/>
      <c r="NDT32" s="340"/>
      <c r="NDU32" s="340"/>
      <c r="NDV32" s="340"/>
      <c r="NDW32" s="340"/>
      <c r="NDX32" s="340"/>
      <c r="NDY32" s="340"/>
      <c r="NDZ32" s="340"/>
      <c r="NEA32" s="340"/>
      <c r="NEB32" s="340"/>
      <c r="NEC32" s="340"/>
      <c r="NED32" s="340"/>
      <c r="NEE32" s="340"/>
      <c r="NEF32" s="340"/>
      <c r="NEG32" s="340"/>
      <c r="NEH32" s="340"/>
      <c r="NEI32" s="340"/>
      <c r="NEJ32" s="340"/>
      <c r="NEK32" s="340"/>
      <c r="NEL32" s="340"/>
      <c r="NEM32" s="340"/>
      <c r="NEN32" s="340"/>
      <c r="NEO32" s="340"/>
      <c r="NEP32" s="340"/>
      <c r="NEQ32" s="340"/>
      <c r="NER32" s="340"/>
      <c r="NES32" s="340"/>
      <c r="NET32" s="340"/>
      <c r="NEU32" s="340"/>
      <c r="NEV32" s="340"/>
      <c r="NEW32" s="340"/>
      <c r="NEX32" s="340"/>
      <c r="NEY32" s="340"/>
      <c r="NEZ32" s="340"/>
      <c r="NFA32" s="340"/>
      <c r="NFB32" s="340"/>
      <c r="NFC32" s="340"/>
      <c r="NFD32" s="340"/>
      <c r="NFE32" s="340"/>
      <c r="NFF32" s="340"/>
      <c r="NFG32" s="340"/>
      <c r="NFH32" s="340"/>
      <c r="NFI32" s="340"/>
      <c r="NFJ32" s="340"/>
      <c r="NFK32" s="340"/>
      <c r="NFL32" s="340"/>
      <c r="NFM32" s="340"/>
      <c r="NFN32" s="340"/>
      <c r="NFO32" s="340"/>
      <c r="NFP32" s="340"/>
      <c r="NFQ32" s="340"/>
      <c r="NFR32" s="340"/>
      <c r="NFS32" s="340"/>
      <c r="NFT32" s="340"/>
      <c r="NFU32" s="340"/>
      <c r="NFV32" s="340"/>
      <c r="NFW32" s="340"/>
      <c r="NFX32" s="340"/>
      <c r="NFY32" s="340"/>
      <c r="NFZ32" s="340"/>
      <c r="NGA32" s="340"/>
      <c r="NGB32" s="340"/>
      <c r="NGC32" s="340"/>
      <c r="NGD32" s="340"/>
      <c r="NGE32" s="340"/>
      <c r="NGF32" s="340"/>
      <c r="NGG32" s="340"/>
      <c r="NGH32" s="340"/>
      <c r="NGI32" s="340"/>
      <c r="NGJ32" s="340"/>
      <c r="NGK32" s="340"/>
      <c r="NGL32" s="340"/>
      <c r="NGM32" s="340"/>
      <c r="NGN32" s="340"/>
      <c r="NGO32" s="340"/>
      <c r="NGP32" s="340"/>
      <c r="NGQ32" s="340"/>
      <c r="NGR32" s="340"/>
      <c r="NGS32" s="340"/>
      <c r="NGT32" s="340"/>
      <c r="NGU32" s="340"/>
      <c r="NGV32" s="340"/>
      <c r="NGW32" s="340"/>
      <c r="NGX32" s="340"/>
      <c r="NGY32" s="340"/>
      <c r="NGZ32" s="340"/>
      <c r="NHA32" s="340"/>
      <c r="NHB32" s="340"/>
      <c r="NHC32" s="340"/>
      <c r="NHD32" s="340"/>
      <c r="NHE32" s="340"/>
      <c r="NHF32" s="340"/>
      <c r="NHG32" s="340"/>
      <c r="NHH32" s="340"/>
      <c r="NHI32" s="340"/>
      <c r="NHJ32" s="340"/>
      <c r="NHK32" s="340"/>
      <c r="NHL32" s="340"/>
      <c r="NHM32" s="340"/>
      <c r="NHN32" s="340"/>
      <c r="NHO32" s="340"/>
      <c r="NHP32" s="340"/>
      <c r="NHQ32" s="340"/>
      <c r="NHR32" s="340"/>
      <c r="NHS32" s="340"/>
      <c r="NHT32" s="340"/>
      <c r="NHU32" s="340"/>
      <c r="NHV32" s="340"/>
      <c r="NHW32" s="340"/>
      <c r="NHX32" s="340"/>
      <c r="NHY32" s="340"/>
      <c r="NHZ32" s="340"/>
      <c r="NIA32" s="340"/>
      <c r="NIB32" s="340"/>
      <c r="NIC32" s="340"/>
      <c r="NID32" s="340"/>
      <c r="NIE32" s="340"/>
      <c r="NIF32" s="340"/>
      <c r="NIG32" s="340"/>
      <c r="NIH32" s="340"/>
      <c r="NII32" s="340"/>
      <c r="NIJ32" s="340"/>
      <c r="NIK32" s="340"/>
      <c r="NIL32" s="340"/>
      <c r="NIM32" s="340"/>
      <c r="NIN32" s="340"/>
      <c r="NIO32" s="340"/>
      <c r="NIP32" s="340"/>
      <c r="NIQ32" s="340"/>
      <c r="NIR32" s="340"/>
      <c r="NIS32" s="340"/>
      <c r="NIT32" s="340"/>
      <c r="NIU32" s="340"/>
      <c r="NIV32" s="340"/>
      <c r="NIW32" s="340"/>
      <c r="NIX32" s="340"/>
      <c r="NIY32" s="340"/>
      <c r="NIZ32" s="340"/>
      <c r="NJA32" s="340"/>
      <c r="NJB32" s="340"/>
      <c r="NJC32" s="340"/>
      <c r="NJD32" s="340"/>
      <c r="NJE32" s="340"/>
      <c r="NJF32" s="340"/>
      <c r="NJG32" s="340"/>
      <c r="NJH32" s="340"/>
      <c r="NJI32" s="340"/>
      <c r="NJJ32" s="340"/>
      <c r="NJK32" s="340"/>
      <c r="NJL32" s="340"/>
      <c r="NJM32" s="340"/>
      <c r="NJN32" s="340"/>
      <c r="NJO32" s="340"/>
      <c r="NJP32" s="340"/>
      <c r="NJQ32" s="340"/>
      <c r="NJR32" s="340"/>
      <c r="NJS32" s="340"/>
      <c r="NJT32" s="340"/>
      <c r="NJU32" s="340"/>
      <c r="NJV32" s="340"/>
      <c r="NJW32" s="340"/>
      <c r="NJX32" s="340"/>
      <c r="NJY32" s="340"/>
      <c r="NJZ32" s="340"/>
      <c r="NKA32" s="340"/>
      <c r="NKB32" s="340"/>
      <c r="NKC32" s="340"/>
      <c r="NKD32" s="340"/>
      <c r="NKE32" s="340"/>
      <c r="NKF32" s="340"/>
      <c r="NKG32" s="340"/>
      <c r="NKH32" s="340"/>
      <c r="NKI32" s="340"/>
      <c r="NKJ32" s="340"/>
      <c r="NKK32" s="340"/>
      <c r="NKL32" s="340"/>
      <c r="NKM32" s="340"/>
      <c r="NKN32" s="340"/>
      <c r="NKO32" s="340"/>
      <c r="NKP32" s="340"/>
      <c r="NKQ32" s="340"/>
      <c r="NKR32" s="340"/>
      <c r="NKS32" s="340"/>
      <c r="NKT32" s="340"/>
      <c r="NKU32" s="340"/>
      <c r="NKV32" s="340"/>
      <c r="NKW32" s="340"/>
      <c r="NKX32" s="340"/>
      <c r="NKY32" s="340"/>
      <c r="NKZ32" s="340"/>
      <c r="NLA32" s="340"/>
      <c r="NLB32" s="340"/>
      <c r="NLC32" s="340"/>
      <c r="NLD32" s="340"/>
      <c r="NLE32" s="340"/>
      <c r="NLF32" s="340"/>
      <c r="NLG32" s="340"/>
      <c r="NLH32" s="340"/>
      <c r="NLI32" s="340"/>
      <c r="NLJ32" s="340"/>
      <c r="NLK32" s="340"/>
      <c r="NLL32" s="340"/>
      <c r="NLM32" s="340"/>
      <c r="NLN32" s="340"/>
      <c r="NLO32" s="340"/>
      <c r="NLP32" s="340"/>
      <c r="NLQ32" s="340"/>
      <c r="NLR32" s="340"/>
      <c r="NLS32" s="340"/>
      <c r="NLT32" s="340"/>
      <c r="NLU32" s="340"/>
      <c r="NLV32" s="340"/>
      <c r="NLW32" s="340"/>
      <c r="NLX32" s="340"/>
      <c r="NLY32" s="340"/>
      <c r="NLZ32" s="340"/>
      <c r="NMA32" s="340"/>
      <c r="NMB32" s="340"/>
      <c r="NMC32" s="340"/>
      <c r="NMD32" s="340"/>
      <c r="NME32" s="340"/>
      <c r="NMF32" s="340"/>
      <c r="NMG32" s="340"/>
      <c r="NMH32" s="340"/>
      <c r="NMI32" s="340"/>
      <c r="NMJ32" s="340"/>
      <c r="NMK32" s="340"/>
      <c r="NML32" s="340"/>
      <c r="NMM32" s="340"/>
      <c r="NMN32" s="340"/>
      <c r="NMO32" s="340"/>
      <c r="NMP32" s="340"/>
      <c r="NMQ32" s="340"/>
      <c r="NMR32" s="340"/>
      <c r="NMS32" s="340"/>
      <c r="NMT32" s="340"/>
      <c r="NMU32" s="340"/>
      <c r="NMV32" s="340"/>
      <c r="NMW32" s="340"/>
      <c r="NMX32" s="340"/>
      <c r="NMY32" s="340"/>
      <c r="NMZ32" s="340"/>
      <c r="NNA32" s="340"/>
      <c r="NNB32" s="340"/>
      <c r="NNC32" s="340"/>
      <c r="NND32" s="340"/>
      <c r="NNE32" s="340"/>
      <c r="NNF32" s="340"/>
      <c r="NNG32" s="340"/>
      <c r="NNH32" s="340"/>
      <c r="NNI32" s="340"/>
      <c r="NNJ32" s="340"/>
      <c r="NNK32" s="340"/>
      <c r="NNL32" s="340"/>
      <c r="NNM32" s="340"/>
      <c r="NNN32" s="340"/>
      <c r="NNO32" s="340"/>
      <c r="NNP32" s="340"/>
      <c r="NNQ32" s="340"/>
      <c r="NNR32" s="340"/>
      <c r="NNS32" s="340"/>
      <c r="NNT32" s="340"/>
      <c r="NNU32" s="340"/>
      <c r="NNV32" s="340"/>
      <c r="NNW32" s="340"/>
      <c r="NNX32" s="340"/>
      <c r="NNY32" s="340"/>
      <c r="NNZ32" s="340"/>
      <c r="NOA32" s="340"/>
      <c r="NOB32" s="340"/>
      <c r="NOC32" s="340"/>
      <c r="NOD32" s="340"/>
      <c r="NOE32" s="340"/>
      <c r="NOF32" s="340"/>
      <c r="NOG32" s="340"/>
      <c r="NOH32" s="340"/>
      <c r="NOI32" s="340"/>
      <c r="NOJ32" s="340"/>
      <c r="NOK32" s="340"/>
      <c r="NOL32" s="340"/>
      <c r="NOM32" s="340"/>
      <c r="NON32" s="340"/>
      <c r="NOO32" s="340"/>
      <c r="NOP32" s="340"/>
      <c r="NOQ32" s="340"/>
      <c r="NOR32" s="340"/>
      <c r="NOS32" s="340"/>
      <c r="NOT32" s="340"/>
      <c r="NOU32" s="340"/>
      <c r="NOV32" s="340"/>
      <c r="NOW32" s="340"/>
      <c r="NOX32" s="340"/>
      <c r="NOY32" s="340"/>
      <c r="NOZ32" s="340"/>
      <c r="NPA32" s="340"/>
      <c r="NPB32" s="340"/>
      <c r="NPC32" s="340"/>
      <c r="NPD32" s="340"/>
      <c r="NPE32" s="340"/>
      <c r="NPF32" s="340"/>
      <c r="NPG32" s="340"/>
      <c r="NPH32" s="340"/>
      <c r="NPI32" s="340"/>
      <c r="NPJ32" s="340"/>
      <c r="NPK32" s="340"/>
      <c r="NPL32" s="340"/>
      <c r="NPM32" s="340"/>
      <c r="NPN32" s="340"/>
      <c r="NPO32" s="340"/>
      <c r="NPP32" s="340"/>
      <c r="NPQ32" s="340"/>
      <c r="NPR32" s="340"/>
      <c r="NPS32" s="340"/>
      <c r="NPT32" s="340"/>
      <c r="NPU32" s="340"/>
      <c r="NPV32" s="340"/>
      <c r="NPW32" s="340"/>
      <c r="NPX32" s="340"/>
      <c r="NPY32" s="340"/>
      <c r="NPZ32" s="340"/>
      <c r="NQA32" s="340"/>
      <c r="NQB32" s="340"/>
      <c r="NQC32" s="340"/>
      <c r="NQD32" s="340"/>
      <c r="NQE32" s="340"/>
      <c r="NQF32" s="340"/>
      <c r="NQG32" s="340"/>
      <c r="NQH32" s="340"/>
      <c r="NQI32" s="340"/>
      <c r="NQJ32" s="340"/>
      <c r="NQK32" s="340"/>
      <c r="NQL32" s="340"/>
      <c r="NQM32" s="340"/>
      <c r="NQN32" s="340"/>
      <c r="NQO32" s="340"/>
      <c r="NQP32" s="340"/>
      <c r="NQQ32" s="340"/>
      <c r="NQR32" s="340"/>
      <c r="NQS32" s="340"/>
      <c r="NQT32" s="340"/>
      <c r="NQU32" s="340"/>
      <c r="NQV32" s="340"/>
      <c r="NQW32" s="340"/>
      <c r="NQX32" s="340"/>
      <c r="NQY32" s="340"/>
      <c r="NQZ32" s="340"/>
      <c r="NRA32" s="340"/>
      <c r="NRB32" s="340"/>
      <c r="NRC32" s="340"/>
      <c r="NRD32" s="340"/>
      <c r="NRE32" s="340"/>
      <c r="NRF32" s="340"/>
      <c r="NRG32" s="340"/>
      <c r="NRH32" s="340"/>
      <c r="NRI32" s="340"/>
      <c r="NRJ32" s="340"/>
      <c r="NRK32" s="340"/>
      <c r="NRL32" s="340"/>
      <c r="NRM32" s="340"/>
      <c r="NRN32" s="340"/>
      <c r="NRO32" s="340"/>
      <c r="NRP32" s="340"/>
      <c r="NRQ32" s="340"/>
      <c r="NRR32" s="340"/>
      <c r="NRS32" s="340"/>
      <c r="NRT32" s="340"/>
      <c r="NRU32" s="340"/>
      <c r="NRV32" s="340"/>
      <c r="NRW32" s="340"/>
      <c r="NRX32" s="340"/>
      <c r="NRY32" s="340"/>
      <c r="NRZ32" s="340"/>
      <c r="NSA32" s="340"/>
      <c r="NSB32" s="340"/>
      <c r="NSC32" s="340"/>
      <c r="NSD32" s="340"/>
      <c r="NSE32" s="340"/>
      <c r="NSF32" s="340"/>
      <c r="NSG32" s="340"/>
      <c r="NSH32" s="340"/>
      <c r="NSI32" s="340"/>
      <c r="NSJ32" s="340"/>
      <c r="NSK32" s="340"/>
      <c r="NSL32" s="340"/>
      <c r="NSM32" s="340"/>
      <c r="NSN32" s="340"/>
      <c r="NSO32" s="340"/>
      <c r="NSP32" s="340"/>
      <c r="NSQ32" s="340"/>
      <c r="NSR32" s="340"/>
      <c r="NSS32" s="340"/>
      <c r="NST32" s="340"/>
      <c r="NSU32" s="340"/>
      <c r="NSV32" s="340"/>
      <c r="NSW32" s="340"/>
      <c r="NSX32" s="340"/>
      <c r="NSY32" s="340"/>
      <c r="NSZ32" s="340"/>
      <c r="NTA32" s="340"/>
      <c r="NTB32" s="340"/>
      <c r="NTC32" s="340"/>
      <c r="NTD32" s="340"/>
      <c r="NTE32" s="340"/>
      <c r="NTF32" s="340"/>
      <c r="NTG32" s="340"/>
      <c r="NTH32" s="340"/>
      <c r="NTI32" s="340"/>
      <c r="NTJ32" s="340"/>
      <c r="NTK32" s="340"/>
      <c r="NTL32" s="340"/>
      <c r="NTM32" s="340"/>
      <c r="NTN32" s="340"/>
      <c r="NTO32" s="340"/>
      <c r="NTP32" s="340"/>
      <c r="NTQ32" s="340"/>
      <c r="NTR32" s="340"/>
      <c r="NTS32" s="340"/>
      <c r="NTT32" s="340"/>
      <c r="NTU32" s="340"/>
      <c r="NTV32" s="340"/>
      <c r="NTW32" s="340"/>
      <c r="NTX32" s="340"/>
      <c r="NTY32" s="340"/>
      <c r="NTZ32" s="340"/>
      <c r="NUA32" s="340"/>
      <c r="NUB32" s="340"/>
      <c r="NUC32" s="340"/>
      <c r="NUD32" s="340"/>
      <c r="NUE32" s="340"/>
      <c r="NUF32" s="340"/>
      <c r="NUG32" s="340"/>
      <c r="NUH32" s="340"/>
      <c r="NUI32" s="340"/>
      <c r="NUJ32" s="340"/>
      <c r="NUK32" s="340"/>
      <c r="NUL32" s="340"/>
      <c r="NUM32" s="340"/>
      <c r="NUN32" s="340"/>
      <c r="NUO32" s="340"/>
      <c r="NUP32" s="340"/>
      <c r="NUQ32" s="340"/>
      <c r="NUR32" s="340"/>
      <c r="NUS32" s="340"/>
      <c r="NUT32" s="340"/>
      <c r="NUU32" s="340"/>
      <c r="NUV32" s="340"/>
      <c r="NUW32" s="340"/>
      <c r="NUX32" s="340"/>
      <c r="NUY32" s="340"/>
      <c r="NUZ32" s="340"/>
      <c r="NVA32" s="340"/>
      <c r="NVB32" s="340"/>
      <c r="NVC32" s="340"/>
      <c r="NVD32" s="340"/>
      <c r="NVE32" s="340"/>
      <c r="NVF32" s="340"/>
      <c r="NVG32" s="340"/>
      <c r="NVH32" s="340"/>
      <c r="NVI32" s="340"/>
      <c r="NVJ32" s="340"/>
      <c r="NVK32" s="340"/>
      <c r="NVL32" s="340"/>
      <c r="NVM32" s="340"/>
      <c r="NVN32" s="340"/>
      <c r="NVO32" s="340"/>
      <c r="NVP32" s="340"/>
      <c r="NVQ32" s="340"/>
      <c r="NVR32" s="340"/>
      <c r="NVS32" s="340"/>
      <c r="NVT32" s="340"/>
      <c r="NVU32" s="340"/>
      <c r="NVV32" s="340"/>
      <c r="NVW32" s="340"/>
      <c r="NVX32" s="340"/>
      <c r="NVY32" s="340"/>
      <c r="NVZ32" s="340"/>
      <c r="NWA32" s="340"/>
      <c r="NWB32" s="340"/>
      <c r="NWC32" s="340"/>
      <c r="NWD32" s="340"/>
      <c r="NWE32" s="340"/>
      <c r="NWF32" s="340"/>
      <c r="NWG32" s="340"/>
      <c r="NWH32" s="340"/>
      <c r="NWI32" s="340"/>
      <c r="NWJ32" s="340"/>
      <c r="NWK32" s="340"/>
      <c r="NWL32" s="340"/>
      <c r="NWM32" s="340"/>
      <c r="NWN32" s="340"/>
      <c r="NWO32" s="340"/>
      <c r="NWP32" s="340"/>
      <c r="NWQ32" s="340"/>
      <c r="NWR32" s="340"/>
      <c r="NWS32" s="340"/>
      <c r="NWT32" s="340"/>
      <c r="NWU32" s="340"/>
      <c r="NWV32" s="340"/>
      <c r="NWW32" s="340"/>
      <c r="NWX32" s="340"/>
      <c r="NWY32" s="340"/>
      <c r="NWZ32" s="340"/>
      <c r="NXA32" s="340"/>
      <c r="NXB32" s="340"/>
      <c r="NXC32" s="340"/>
      <c r="NXD32" s="340"/>
      <c r="NXE32" s="340"/>
      <c r="NXF32" s="340"/>
      <c r="NXG32" s="340"/>
      <c r="NXH32" s="340"/>
      <c r="NXI32" s="340"/>
      <c r="NXJ32" s="340"/>
      <c r="NXK32" s="340"/>
      <c r="NXL32" s="340"/>
      <c r="NXM32" s="340"/>
      <c r="NXN32" s="340"/>
      <c r="NXO32" s="340"/>
      <c r="NXP32" s="340"/>
      <c r="NXQ32" s="340"/>
      <c r="NXR32" s="340"/>
      <c r="NXS32" s="340"/>
      <c r="NXT32" s="340"/>
      <c r="NXU32" s="340"/>
      <c r="NXV32" s="340"/>
      <c r="NXW32" s="340"/>
      <c r="NXX32" s="340"/>
      <c r="NXY32" s="340"/>
      <c r="NXZ32" s="340"/>
      <c r="NYA32" s="340"/>
      <c r="NYB32" s="340"/>
      <c r="NYC32" s="340"/>
      <c r="NYD32" s="340"/>
      <c r="NYE32" s="340"/>
      <c r="NYF32" s="340"/>
      <c r="NYG32" s="340"/>
      <c r="NYH32" s="340"/>
      <c r="NYI32" s="340"/>
      <c r="NYJ32" s="340"/>
      <c r="NYK32" s="340"/>
      <c r="NYL32" s="340"/>
      <c r="NYM32" s="340"/>
      <c r="NYN32" s="340"/>
      <c r="NYO32" s="340"/>
      <c r="NYP32" s="340"/>
      <c r="NYQ32" s="340"/>
      <c r="NYR32" s="340"/>
      <c r="NYS32" s="340"/>
      <c r="NYT32" s="340"/>
      <c r="NYU32" s="340"/>
      <c r="NYV32" s="340"/>
      <c r="NYW32" s="340"/>
      <c r="NYX32" s="340"/>
      <c r="NYY32" s="340"/>
      <c r="NYZ32" s="340"/>
      <c r="NZA32" s="340"/>
      <c r="NZB32" s="340"/>
      <c r="NZC32" s="340"/>
      <c r="NZD32" s="340"/>
      <c r="NZE32" s="340"/>
      <c r="NZF32" s="340"/>
      <c r="NZG32" s="340"/>
      <c r="NZH32" s="340"/>
      <c r="NZI32" s="340"/>
      <c r="NZJ32" s="340"/>
      <c r="NZK32" s="340"/>
      <c r="NZL32" s="340"/>
      <c r="NZM32" s="340"/>
      <c r="NZN32" s="340"/>
      <c r="NZO32" s="340"/>
      <c r="NZP32" s="340"/>
      <c r="NZQ32" s="340"/>
      <c r="NZR32" s="340"/>
      <c r="NZS32" s="340"/>
      <c r="NZT32" s="340"/>
      <c r="NZU32" s="340"/>
      <c r="NZV32" s="340"/>
      <c r="NZW32" s="340"/>
      <c r="NZX32" s="340"/>
      <c r="NZY32" s="340"/>
      <c r="NZZ32" s="340"/>
      <c r="OAA32" s="340"/>
      <c r="OAB32" s="340"/>
      <c r="OAC32" s="340"/>
      <c r="OAD32" s="340"/>
      <c r="OAE32" s="340"/>
      <c r="OAF32" s="340"/>
      <c r="OAG32" s="340"/>
      <c r="OAH32" s="340"/>
      <c r="OAI32" s="340"/>
      <c r="OAJ32" s="340"/>
      <c r="OAK32" s="340"/>
      <c r="OAL32" s="340"/>
      <c r="OAM32" s="340"/>
      <c r="OAN32" s="340"/>
      <c r="OAO32" s="340"/>
      <c r="OAP32" s="340"/>
      <c r="OAQ32" s="340"/>
      <c r="OAR32" s="340"/>
      <c r="OAS32" s="340"/>
      <c r="OAT32" s="340"/>
      <c r="OAU32" s="340"/>
      <c r="OAV32" s="340"/>
      <c r="OAW32" s="340"/>
      <c r="OAX32" s="340"/>
      <c r="OAY32" s="340"/>
      <c r="OAZ32" s="340"/>
      <c r="OBA32" s="340"/>
      <c r="OBB32" s="340"/>
      <c r="OBC32" s="340"/>
      <c r="OBD32" s="340"/>
      <c r="OBE32" s="340"/>
      <c r="OBF32" s="340"/>
      <c r="OBG32" s="340"/>
      <c r="OBH32" s="340"/>
      <c r="OBI32" s="340"/>
      <c r="OBJ32" s="340"/>
      <c r="OBK32" s="340"/>
      <c r="OBL32" s="340"/>
      <c r="OBM32" s="340"/>
      <c r="OBN32" s="340"/>
      <c r="OBO32" s="340"/>
      <c r="OBP32" s="340"/>
      <c r="OBQ32" s="340"/>
      <c r="OBR32" s="340"/>
      <c r="OBS32" s="340"/>
      <c r="OBT32" s="340"/>
      <c r="OBU32" s="340"/>
      <c r="OBV32" s="340"/>
      <c r="OBW32" s="340"/>
      <c r="OBX32" s="340"/>
      <c r="OBY32" s="340"/>
      <c r="OBZ32" s="340"/>
      <c r="OCA32" s="340"/>
      <c r="OCB32" s="340"/>
      <c r="OCC32" s="340"/>
      <c r="OCD32" s="340"/>
      <c r="OCE32" s="340"/>
      <c r="OCF32" s="340"/>
      <c r="OCG32" s="340"/>
      <c r="OCH32" s="340"/>
      <c r="OCI32" s="340"/>
      <c r="OCJ32" s="340"/>
      <c r="OCK32" s="340"/>
      <c r="OCL32" s="340"/>
      <c r="OCM32" s="340"/>
      <c r="OCN32" s="340"/>
      <c r="OCO32" s="340"/>
      <c r="OCP32" s="340"/>
      <c r="OCQ32" s="340"/>
      <c r="OCR32" s="340"/>
      <c r="OCS32" s="340"/>
      <c r="OCT32" s="340"/>
      <c r="OCU32" s="340"/>
      <c r="OCV32" s="340"/>
      <c r="OCW32" s="340"/>
      <c r="OCX32" s="340"/>
      <c r="OCY32" s="340"/>
      <c r="OCZ32" s="340"/>
      <c r="ODA32" s="340"/>
      <c r="ODB32" s="340"/>
      <c r="ODC32" s="340"/>
      <c r="ODD32" s="340"/>
      <c r="ODE32" s="340"/>
      <c r="ODF32" s="340"/>
      <c r="ODG32" s="340"/>
      <c r="ODH32" s="340"/>
      <c r="ODI32" s="340"/>
      <c r="ODJ32" s="340"/>
      <c r="ODK32" s="340"/>
      <c r="ODL32" s="340"/>
      <c r="ODM32" s="340"/>
      <c r="ODN32" s="340"/>
      <c r="ODO32" s="340"/>
      <c r="ODP32" s="340"/>
      <c r="ODQ32" s="340"/>
      <c r="ODR32" s="340"/>
      <c r="ODS32" s="340"/>
      <c r="ODT32" s="340"/>
      <c r="ODU32" s="340"/>
      <c r="ODV32" s="340"/>
      <c r="ODW32" s="340"/>
      <c r="ODX32" s="340"/>
      <c r="ODY32" s="340"/>
      <c r="ODZ32" s="340"/>
      <c r="OEA32" s="340"/>
      <c r="OEB32" s="340"/>
      <c r="OEC32" s="340"/>
      <c r="OED32" s="340"/>
      <c r="OEE32" s="340"/>
      <c r="OEF32" s="340"/>
      <c r="OEG32" s="340"/>
      <c r="OEH32" s="340"/>
      <c r="OEI32" s="340"/>
      <c r="OEJ32" s="340"/>
      <c r="OEK32" s="340"/>
      <c r="OEL32" s="340"/>
      <c r="OEM32" s="340"/>
      <c r="OEN32" s="340"/>
      <c r="OEO32" s="340"/>
      <c r="OEP32" s="340"/>
      <c r="OEQ32" s="340"/>
      <c r="OER32" s="340"/>
      <c r="OES32" s="340"/>
      <c r="OET32" s="340"/>
      <c r="OEU32" s="340"/>
      <c r="OEV32" s="340"/>
      <c r="OEW32" s="340"/>
      <c r="OEX32" s="340"/>
      <c r="OEY32" s="340"/>
      <c r="OEZ32" s="340"/>
      <c r="OFA32" s="340"/>
      <c r="OFB32" s="340"/>
      <c r="OFC32" s="340"/>
      <c r="OFD32" s="340"/>
      <c r="OFE32" s="340"/>
      <c r="OFF32" s="340"/>
      <c r="OFG32" s="340"/>
      <c r="OFH32" s="340"/>
      <c r="OFI32" s="340"/>
      <c r="OFJ32" s="340"/>
      <c r="OFK32" s="340"/>
      <c r="OFL32" s="340"/>
      <c r="OFM32" s="340"/>
      <c r="OFN32" s="340"/>
      <c r="OFO32" s="340"/>
      <c r="OFP32" s="340"/>
      <c r="OFQ32" s="340"/>
      <c r="OFR32" s="340"/>
      <c r="OFS32" s="340"/>
      <c r="OFT32" s="340"/>
      <c r="OFU32" s="340"/>
      <c r="OFV32" s="340"/>
      <c r="OFW32" s="340"/>
      <c r="OFX32" s="340"/>
      <c r="OFY32" s="340"/>
      <c r="OFZ32" s="340"/>
      <c r="OGA32" s="340"/>
      <c r="OGB32" s="340"/>
      <c r="OGC32" s="340"/>
      <c r="OGD32" s="340"/>
      <c r="OGE32" s="340"/>
      <c r="OGF32" s="340"/>
      <c r="OGG32" s="340"/>
      <c r="OGH32" s="340"/>
      <c r="OGI32" s="340"/>
      <c r="OGJ32" s="340"/>
      <c r="OGK32" s="340"/>
      <c r="OGL32" s="340"/>
      <c r="OGM32" s="340"/>
      <c r="OGN32" s="340"/>
      <c r="OGO32" s="340"/>
      <c r="OGP32" s="340"/>
      <c r="OGQ32" s="340"/>
      <c r="OGR32" s="340"/>
      <c r="OGS32" s="340"/>
      <c r="OGT32" s="340"/>
      <c r="OGU32" s="340"/>
      <c r="OGV32" s="340"/>
      <c r="OGW32" s="340"/>
      <c r="OGX32" s="340"/>
      <c r="OGY32" s="340"/>
      <c r="OGZ32" s="340"/>
      <c r="OHA32" s="340"/>
      <c r="OHB32" s="340"/>
      <c r="OHC32" s="340"/>
      <c r="OHD32" s="340"/>
      <c r="OHE32" s="340"/>
      <c r="OHF32" s="340"/>
      <c r="OHG32" s="340"/>
      <c r="OHH32" s="340"/>
      <c r="OHI32" s="340"/>
      <c r="OHJ32" s="340"/>
      <c r="OHK32" s="340"/>
      <c r="OHL32" s="340"/>
      <c r="OHM32" s="340"/>
      <c r="OHN32" s="340"/>
      <c r="OHO32" s="340"/>
      <c r="OHP32" s="340"/>
      <c r="OHQ32" s="340"/>
      <c r="OHR32" s="340"/>
      <c r="OHS32" s="340"/>
      <c r="OHT32" s="340"/>
      <c r="OHU32" s="340"/>
      <c r="OHV32" s="340"/>
      <c r="OHW32" s="340"/>
      <c r="OHX32" s="340"/>
      <c r="OHY32" s="340"/>
      <c r="OHZ32" s="340"/>
      <c r="OIA32" s="340"/>
      <c r="OIB32" s="340"/>
      <c r="OIC32" s="340"/>
      <c r="OID32" s="340"/>
      <c r="OIE32" s="340"/>
      <c r="OIF32" s="340"/>
      <c r="OIG32" s="340"/>
      <c r="OIH32" s="340"/>
      <c r="OII32" s="340"/>
      <c r="OIJ32" s="340"/>
      <c r="OIK32" s="340"/>
      <c r="OIL32" s="340"/>
      <c r="OIM32" s="340"/>
      <c r="OIN32" s="340"/>
      <c r="OIO32" s="340"/>
      <c r="OIP32" s="340"/>
      <c r="OIQ32" s="340"/>
      <c r="OIR32" s="340"/>
      <c r="OIS32" s="340"/>
      <c r="OIT32" s="340"/>
      <c r="OIU32" s="340"/>
      <c r="OIV32" s="340"/>
      <c r="OIW32" s="340"/>
      <c r="OIX32" s="340"/>
      <c r="OIY32" s="340"/>
      <c r="OIZ32" s="340"/>
      <c r="OJA32" s="340"/>
      <c r="OJB32" s="340"/>
      <c r="OJC32" s="340"/>
      <c r="OJD32" s="340"/>
      <c r="OJE32" s="340"/>
      <c r="OJF32" s="340"/>
      <c r="OJG32" s="340"/>
      <c r="OJH32" s="340"/>
      <c r="OJI32" s="340"/>
      <c r="OJJ32" s="340"/>
      <c r="OJK32" s="340"/>
      <c r="OJL32" s="340"/>
      <c r="OJM32" s="340"/>
      <c r="OJN32" s="340"/>
      <c r="OJO32" s="340"/>
      <c r="OJP32" s="340"/>
      <c r="OJQ32" s="340"/>
      <c r="OJR32" s="340"/>
      <c r="OJS32" s="340"/>
      <c r="OJT32" s="340"/>
      <c r="OJU32" s="340"/>
      <c r="OJV32" s="340"/>
      <c r="OJW32" s="340"/>
      <c r="OJX32" s="340"/>
      <c r="OJY32" s="340"/>
      <c r="OJZ32" s="340"/>
      <c r="OKA32" s="340"/>
      <c r="OKB32" s="340"/>
      <c r="OKC32" s="340"/>
      <c r="OKD32" s="340"/>
      <c r="OKE32" s="340"/>
      <c r="OKF32" s="340"/>
      <c r="OKG32" s="340"/>
      <c r="OKH32" s="340"/>
      <c r="OKI32" s="340"/>
      <c r="OKJ32" s="340"/>
      <c r="OKK32" s="340"/>
      <c r="OKL32" s="340"/>
      <c r="OKM32" s="340"/>
      <c r="OKN32" s="340"/>
      <c r="OKO32" s="340"/>
      <c r="OKP32" s="340"/>
      <c r="OKQ32" s="340"/>
      <c r="OKR32" s="340"/>
      <c r="OKS32" s="340"/>
      <c r="OKT32" s="340"/>
      <c r="OKU32" s="340"/>
      <c r="OKV32" s="340"/>
      <c r="OKW32" s="340"/>
      <c r="OKX32" s="340"/>
      <c r="OKY32" s="340"/>
      <c r="OKZ32" s="340"/>
      <c r="OLA32" s="340"/>
      <c r="OLB32" s="340"/>
      <c r="OLC32" s="340"/>
      <c r="OLD32" s="340"/>
      <c r="OLE32" s="340"/>
      <c r="OLF32" s="340"/>
      <c r="OLG32" s="340"/>
      <c r="OLH32" s="340"/>
      <c r="OLI32" s="340"/>
      <c r="OLJ32" s="340"/>
      <c r="OLK32" s="340"/>
      <c r="OLL32" s="340"/>
      <c r="OLM32" s="340"/>
      <c r="OLN32" s="340"/>
      <c r="OLO32" s="340"/>
      <c r="OLP32" s="340"/>
      <c r="OLQ32" s="340"/>
      <c r="OLR32" s="340"/>
      <c r="OLS32" s="340"/>
      <c r="OLT32" s="340"/>
      <c r="OLU32" s="340"/>
      <c r="OLV32" s="340"/>
      <c r="OLW32" s="340"/>
      <c r="OLX32" s="340"/>
      <c r="OLY32" s="340"/>
      <c r="OLZ32" s="340"/>
      <c r="OMA32" s="340"/>
      <c r="OMB32" s="340"/>
      <c r="OMC32" s="340"/>
      <c r="OMD32" s="340"/>
      <c r="OME32" s="340"/>
      <c r="OMF32" s="340"/>
      <c r="OMG32" s="340"/>
      <c r="OMH32" s="340"/>
      <c r="OMI32" s="340"/>
      <c r="OMJ32" s="340"/>
      <c r="OMK32" s="340"/>
      <c r="OML32" s="340"/>
      <c r="OMM32" s="340"/>
      <c r="OMN32" s="340"/>
      <c r="OMO32" s="340"/>
      <c r="OMP32" s="340"/>
      <c r="OMQ32" s="340"/>
      <c r="OMR32" s="340"/>
      <c r="OMS32" s="340"/>
      <c r="OMT32" s="340"/>
      <c r="OMU32" s="340"/>
      <c r="OMV32" s="340"/>
      <c r="OMW32" s="340"/>
      <c r="OMX32" s="340"/>
      <c r="OMY32" s="340"/>
      <c r="OMZ32" s="340"/>
      <c r="ONA32" s="340"/>
      <c r="ONB32" s="340"/>
      <c r="ONC32" s="340"/>
      <c r="OND32" s="340"/>
      <c r="ONE32" s="340"/>
      <c r="ONF32" s="340"/>
      <c r="ONG32" s="340"/>
      <c r="ONH32" s="340"/>
      <c r="ONI32" s="340"/>
      <c r="ONJ32" s="340"/>
      <c r="ONK32" s="340"/>
      <c r="ONL32" s="340"/>
      <c r="ONM32" s="340"/>
      <c r="ONN32" s="340"/>
      <c r="ONO32" s="340"/>
      <c r="ONP32" s="340"/>
      <c r="ONQ32" s="340"/>
      <c r="ONR32" s="340"/>
      <c r="ONS32" s="340"/>
      <c r="ONT32" s="340"/>
      <c r="ONU32" s="340"/>
      <c r="ONV32" s="340"/>
      <c r="ONW32" s="340"/>
      <c r="ONX32" s="340"/>
      <c r="ONY32" s="340"/>
      <c r="ONZ32" s="340"/>
      <c r="OOA32" s="340"/>
      <c r="OOB32" s="340"/>
      <c r="OOC32" s="340"/>
      <c r="OOD32" s="340"/>
      <c r="OOE32" s="340"/>
      <c r="OOF32" s="340"/>
      <c r="OOG32" s="340"/>
      <c r="OOH32" s="340"/>
      <c r="OOI32" s="340"/>
      <c r="OOJ32" s="340"/>
      <c r="OOK32" s="340"/>
      <c r="OOL32" s="340"/>
      <c r="OOM32" s="340"/>
      <c r="OON32" s="340"/>
      <c r="OOO32" s="340"/>
      <c r="OOP32" s="340"/>
      <c r="OOQ32" s="340"/>
      <c r="OOR32" s="340"/>
      <c r="OOS32" s="340"/>
      <c r="OOT32" s="340"/>
      <c r="OOU32" s="340"/>
      <c r="OOV32" s="340"/>
      <c r="OOW32" s="340"/>
      <c r="OOX32" s="340"/>
      <c r="OOY32" s="340"/>
      <c r="OOZ32" s="340"/>
      <c r="OPA32" s="340"/>
      <c r="OPB32" s="340"/>
      <c r="OPC32" s="340"/>
      <c r="OPD32" s="340"/>
      <c r="OPE32" s="340"/>
      <c r="OPF32" s="340"/>
      <c r="OPG32" s="340"/>
      <c r="OPH32" s="340"/>
      <c r="OPI32" s="340"/>
      <c r="OPJ32" s="340"/>
      <c r="OPK32" s="340"/>
      <c r="OPL32" s="340"/>
      <c r="OPM32" s="340"/>
      <c r="OPN32" s="340"/>
      <c r="OPO32" s="340"/>
      <c r="OPP32" s="340"/>
      <c r="OPQ32" s="340"/>
      <c r="OPR32" s="340"/>
      <c r="OPS32" s="340"/>
      <c r="OPT32" s="340"/>
      <c r="OPU32" s="340"/>
      <c r="OPV32" s="340"/>
      <c r="OPW32" s="340"/>
      <c r="OPX32" s="340"/>
      <c r="OPY32" s="340"/>
      <c r="OPZ32" s="340"/>
      <c r="OQA32" s="340"/>
      <c r="OQB32" s="340"/>
      <c r="OQC32" s="340"/>
      <c r="OQD32" s="340"/>
      <c r="OQE32" s="340"/>
      <c r="OQF32" s="340"/>
      <c r="OQG32" s="340"/>
      <c r="OQH32" s="340"/>
      <c r="OQI32" s="340"/>
      <c r="OQJ32" s="340"/>
      <c r="OQK32" s="340"/>
      <c r="OQL32" s="340"/>
      <c r="OQM32" s="340"/>
      <c r="OQN32" s="340"/>
      <c r="OQO32" s="340"/>
      <c r="OQP32" s="340"/>
      <c r="OQQ32" s="340"/>
      <c r="OQR32" s="340"/>
      <c r="OQS32" s="340"/>
      <c r="OQT32" s="340"/>
      <c r="OQU32" s="340"/>
      <c r="OQV32" s="340"/>
      <c r="OQW32" s="340"/>
      <c r="OQX32" s="340"/>
      <c r="OQY32" s="340"/>
      <c r="OQZ32" s="340"/>
      <c r="ORA32" s="340"/>
      <c r="ORB32" s="340"/>
      <c r="ORC32" s="340"/>
      <c r="ORD32" s="340"/>
      <c r="ORE32" s="340"/>
      <c r="ORF32" s="340"/>
      <c r="ORG32" s="340"/>
      <c r="ORH32" s="340"/>
      <c r="ORI32" s="340"/>
      <c r="ORJ32" s="340"/>
      <c r="ORK32" s="340"/>
      <c r="ORL32" s="340"/>
      <c r="ORM32" s="340"/>
      <c r="ORN32" s="340"/>
      <c r="ORO32" s="340"/>
      <c r="ORP32" s="340"/>
      <c r="ORQ32" s="340"/>
      <c r="ORR32" s="340"/>
      <c r="ORS32" s="340"/>
      <c r="ORT32" s="340"/>
      <c r="ORU32" s="340"/>
      <c r="ORV32" s="340"/>
      <c r="ORW32" s="340"/>
      <c r="ORX32" s="340"/>
      <c r="ORY32" s="340"/>
      <c r="ORZ32" s="340"/>
      <c r="OSA32" s="340"/>
      <c r="OSB32" s="340"/>
      <c r="OSC32" s="340"/>
      <c r="OSD32" s="340"/>
      <c r="OSE32" s="340"/>
      <c r="OSF32" s="340"/>
      <c r="OSG32" s="340"/>
      <c r="OSH32" s="340"/>
      <c r="OSI32" s="340"/>
      <c r="OSJ32" s="340"/>
      <c r="OSK32" s="340"/>
      <c r="OSL32" s="340"/>
      <c r="OSM32" s="340"/>
      <c r="OSN32" s="340"/>
      <c r="OSO32" s="340"/>
      <c r="OSP32" s="340"/>
      <c r="OSQ32" s="340"/>
      <c r="OSR32" s="340"/>
      <c r="OSS32" s="340"/>
      <c r="OST32" s="340"/>
      <c r="OSU32" s="340"/>
      <c r="OSV32" s="340"/>
      <c r="OSW32" s="340"/>
      <c r="OSX32" s="340"/>
      <c r="OSY32" s="340"/>
      <c r="OSZ32" s="340"/>
      <c r="OTA32" s="340"/>
      <c r="OTB32" s="340"/>
      <c r="OTC32" s="340"/>
      <c r="OTD32" s="340"/>
      <c r="OTE32" s="340"/>
      <c r="OTF32" s="340"/>
      <c r="OTG32" s="340"/>
      <c r="OTH32" s="340"/>
      <c r="OTI32" s="340"/>
      <c r="OTJ32" s="340"/>
      <c r="OTK32" s="340"/>
      <c r="OTL32" s="340"/>
      <c r="OTM32" s="340"/>
      <c r="OTN32" s="340"/>
      <c r="OTO32" s="340"/>
      <c r="OTP32" s="340"/>
      <c r="OTQ32" s="340"/>
      <c r="OTR32" s="340"/>
      <c r="OTS32" s="340"/>
      <c r="OTT32" s="340"/>
      <c r="OTU32" s="340"/>
      <c r="OTV32" s="340"/>
      <c r="OTW32" s="340"/>
      <c r="OTX32" s="340"/>
      <c r="OTY32" s="340"/>
      <c r="OTZ32" s="340"/>
      <c r="OUA32" s="340"/>
      <c r="OUB32" s="340"/>
      <c r="OUC32" s="340"/>
      <c r="OUD32" s="340"/>
      <c r="OUE32" s="340"/>
      <c r="OUF32" s="340"/>
      <c r="OUG32" s="340"/>
      <c r="OUH32" s="340"/>
      <c r="OUI32" s="340"/>
      <c r="OUJ32" s="340"/>
      <c r="OUK32" s="340"/>
      <c r="OUL32" s="340"/>
      <c r="OUM32" s="340"/>
      <c r="OUN32" s="340"/>
      <c r="OUO32" s="340"/>
      <c r="OUP32" s="340"/>
      <c r="OUQ32" s="340"/>
      <c r="OUR32" s="340"/>
      <c r="OUS32" s="340"/>
      <c r="OUT32" s="340"/>
      <c r="OUU32" s="340"/>
      <c r="OUV32" s="340"/>
      <c r="OUW32" s="340"/>
      <c r="OUX32" s="340"/>
      <c r="OUY32" s="340"/>
      <c r="OUZ32" s="340"/>
      <c r="OVA32" s="340"/>
      <c r="OVB32" s="340"/>
      <c r="OVC32" s="340"/>
      <c r="OVD32" s="340"/>
      <c r="OVE32" s="340"/>
      <c r="OVF32" s="340"/>
      <c r="OVG32" s="340"/>
      <c r="OVH32" s="340"/>
      <c r="OVI32" s="340"/>
      <c r="OVJ32" s="340"/>
      <c r="OVK32" s="340"/>
      <c r="OVL32" s="340"/>
      <c r="OVM32" s="340"/>
      <c r="OVN32" s="340"/>
      <c r="OVO32" s="340"/>
      <c r="OVP32" s="340"/>
      <c r="OVQ32" s="340"/>
      <c r="OVR32" s="340"/>
      <c r="OVS32" s="340"/>
      <c r="OVT32" s="340"/>
      <c r="OVU32" s="340"/>
      <c r="OVV32" s="340"/>
      <c r="OVW32" s="340"/>
      <c r="OVX32" s="340"/>
      <c r="OVY32" s="340"/>
      <c r="OVZ32" s="340"/>
      <c r="OWA32" s="340"/>
      <c r="OWB32" s="340"/>
      <c r="OWC32" s="340"/>
      <c r="OWD32" s="340"/>
      <c r="OWE32" s="340"/>
      <c r="OWF32" s="340"/>
      <c r="OWG32" s="340"/>
      <c r="OWH32" s="340"/>
      <c r="OWI32" s="340"/>
      <c r="OWJ32" s="340"/>
      <c r="OWK32" s="340"/>
      <c r="OWL32" s="340"/>
      <c r="OWM32" s="340"/>
      <c r="OWN32" s="340"/>
      <c r="OWO32" s="340"/>
      <c r="OWP32" s="340"/>
      <c r="OWQ32" s="340"/>
      <c r="OWR32" s="340"/>
      <c r="OWS32" s="340"/>
      <c r="OWT32" s="340"/>
      <c r="OWU32" s="340"/>
      <c r="OWV32" s="340"/>
      <c r="OWW32" s="340"/>
      <c r="OWX32" s="340"/>
      <c r="OWY32" s="340"/>
      <c r="OWZ32" s="340"/>
      <c r="OXA32" s="340"/>
      <c r="OXB32" s="340"/>
      <c r="OXC32" s="340"/>
      <c r="OXD32" s="340"/>
      <c r="OXE32" s="340"/>
      <c r="OXF32" s="340"/>
      <c r="OXG32" s="340"/>
      <c r="OXH32" s="340"/>
      <c r="OXI32" s="340"/>
      <c r="OXJ32" s="340"/>
      <c r="OXK32" s="340"/>
      <c r="OXL32" s="340"/>
      <c r="OXM32" s="340"/>
      <c r="OXN32" s="340"/>
      <c r="OXO32" s="340"/>
      <c r="OXP32" s="340"/>
      <c r="OXQ32" s="340"/>
      <c r="OXR32" s="340"/>
      <c r="OXS32" s="340"/>
      <c r="OXT32" s="340"/>
      <c r="OXU32" s="340"/>
      <c r="OXV32" s="340"/>
      <c r="OXW32" s="340"/>
      <c r="OXX32" s="340"/>
      <c r="OXY32" s="340"/>
      <c r="OXZ32" s="340"/>
      <c r="OYA32" s="340"/>
      <c r="OYB32" s="340"/>
      <c r="OYC32" s="340"/>
      <c r="OYD32" s="340"/>
      <c r="OYE32" s="340"/>
      <c r="OYF32" s="340"/>
      <c r="OYG32" s="340"/>
      <c r="OYH32" s="340"/>
      <c r="OYI32" s="340"/>
      <c r="OYJ32" s="340"/>
      <c r="OYK32" s="340"/>
      <c r="OYL32" s="340"/>
      <c r="OYM32" s="340"/>
      <c r="OYN32" s="340"/>
      <c r="OYO32" s="340"/>
      <c r="OYP32" s="340"/>
      <c r="OYQ32" s="340"/>
      <c r="OYR32" s="340"/>
      <c r="OYS32" s="340"/>
      <c r="OYT32" s="340"/>
      <c r="OYU32" s="340"/>
      <c r="OYV32" s="340"/>
      <c r="OYW32" s="340"/>
      <c r="OYX32" s="340"/>
      <c r="OYY32" s="340"/>
      <c r="OYZ32" s="340"/>
      <c r="OZA32" s="340"/>
      <c r="OZB32" s="340"/>
      <c r="OZC32" s="340"/>
      <c r="OZD32" s="340"/>
      <c r="OZE32" s="340"/>
      <c r="OZF32" s="340"/>
      <c r="OZG32" s="340"/>
      <c r="OZH32" s="340"/>
      <c r="OZI32" s="340"/>
      <c r="OZJ32" s="340"/>
      <c r="OZK32" s="340"/>
      <c r="OZL32" s="340"/>
      <c r="OZM32" s="340"/>
      <c r="OZN32" s="340"/>
      <c r="OZO32" s="340"/>
      <c r="OZP32" s="340"/>
      <c r="OZQ32" s="340"/>
      <c r="OZR32" s="340"/>
      <c r="OZS32" s="340"/>
      <c r="OZT32" s="340"/>
      <c r="OZU32" s="340"/>
      <c r="OZV32" s="340"/>
      <c r="OZW32" s="340"/>
      <c r="OZX32" s="340"/>
      <c r="OZY32" s="340"/>
      <c r="OZZ32" s="340"/>
      <c r="PAA32" s="340"/>
      <c r="PAB32" s="340"/>
      <c r="PAC32" s="340"/>
      <c r="PAD32" s="340"/>
      <c r="PAE32" s="340"/>
      <c r="PAF32" s="340"/>
      <c r="PAG32" s="340"/>
      <c r="PAH32" s="340"/>
      <c r="PAI32" s="340"/>
      <c r="PAJ32" s="340"/>
      <c r="PAK32" s="340"/>
      <c r="PAL32" s="340"/>
      <c r="PAM32" s="340"/>
      <c r="PAN32" s="340"/>
      <c r="PAO32" s="340"/>
      <c r="PAP32" s="340"/>
      <c r="PAQ32" s="340"/>
      <c r="PAR32" s="340"/>
      <c r="PAS32" s="340"/>
      <c r="PAT32" s="340"/>
      <c r="PAU32" s="340"/>
      <c r="PAV32" s="340"/>
      <c r="PAW32" s="340"/>
      <c r="PAX32" s="340"/>
      <c r="PAY32" s="340"/>
      <c r="PAZ32" s="340"/>
      <c r="PBA32" s="340"/>
      <c r="PBB32" s="340"/>
      <c r="PBC32" s="340"/>
      <c r="PBD32" s="340"/>
      <c r="PBE32" s="340"/>
      <c r="PBF32" s="340"/>
      <c r="PBG32" s="340"/>
      <c r="PBH32" s="340"/>
      <c r="PBI32" s="340"/>
      <c r="PBJ32" s="340"/>
      <c r="PBK32" s="340"/>
      <c r="PBL32" s="340"/>
      <c r="PBM32" s="340"/>
      <c r="PBN32" s="340"/>
      <c r="PBO32" s="340"/>
      <c r="PBP32" s="340"/>
      <c r="PBQ32" s="340"/>
      <c r="PBR32" s="340"/>
      <c r="PBS32" s="340"/>
      <c r="PBT32" s="340"/>
      <c r="PBU32" s="340"/>
      <c r="PBV32" s="340"/>
      <c r="PBW32" s="340"/>
      <c r="PBX32" s="340"/>
      <c r="PBY32" s="340"/>
      <c r="PBZ32" s="340"/>
      <c r="PCA32" s="340"/>
      <c r="PCB32" s="340"/>
      <c r="PCC32" s="340"/>
      <c r="PCD32" s="340"/>
      <c r="PCE32" s="340"/>
      <c r="PCF32" s="340"/>
      <c r="PCG32" s="340"/>
      <c r="PCH32" s="340"/>
      <c r="PCI32" s="340"/>
      <c r="PCJ32" s="340"/>
      <c r="PCK32" s="340"/>
      <c r="PCL32" s="340"/>
      <c r="PCM32" s="340"/>
      <c r="PCN32" s="340"/>
      <c r="PCO32" s="340"/>
      <c r="PCP32" s="340"/>
      <c r="PCQ32" s="340"/>
      <c r="PCR32" s="340"/>
      <c r="PCS32" s="340"/>
      <c r="PCT32" s="340"/>
      <c r="PCU32" s="340"/>
      <c r="PCV32" s="340"/>
      <c r="PCW32" s="340"/>
      <c r="PCX32" s="340"/>
      <c r="PCY32" s="340"/>
      <c r="PCZ32" s="340"/>
      <c r="PDA32" s="340"/>
      <c r="PDB32" s="340"/>
      <c r="PDC32" s="340"/>
      <c r="PDD32" s="340"/>
      <c r="PDE32" s="340"/>
      <c r="PDF32" s="340"/>
      <c r="PDG32" s="340"/>
      <c r="PDH32" s="340"/>
      <c r="PDI32" s="340"/>
      <c r="PDJ32" s="340"/>
      <c r="PDK32" s="340"/>
      <c r="PDL32" s="340"/>
      <c r="PDM32" s="340"/>
      <c r="PDN32" s="340"/>
      <c r="PDO32" s="340"/>
      <c r="PDP32" s="340"/>
      <c r="PDQ32" s="340"/>
      <c r="PDR32" s="340"/>
      <c r="PDS32" s="340"/>
      <c r="PDT32" s="340"/>
      <c r="PDU32" s="340"/>
      <c r="PDV32" s="340"/>
      <c r="PDW32" s="340"/>
      <c r="PDX32" s="340"/>
      <c r="PDY32" s="340"/>
      <c r="PDZ32" s="340"/>
      <c r="PEA32" s="340"/>
      <c r="PEB32" s="340"/>
      <c r="PEC32" s="340"/>
      <c r="PED32" s="340"/>
      <c r="PEE32" s="340"/>
      <c r="PEF32" s="340"/>
      <c r="PEG32" s="340"/>
      <c r="PEH32" s="340"/>
      <c r="PEI32" s="340"/>
      <c r="PEJ32" s="340"/>
      <c r="PEK32" s="340"/>
      <c r="PEL32" s="340"/>
      <c r="PEM32" s="340"/>
      <c r="PEN32" s="340"/>
      <c r="PEO32" s="340"/>
      <c r="PEP32" s="340"/>
      <c r="PEQ32" s="340"/>
      <c r="PER32" s="340"/>
      <c r="PES32" s="340"/>
      <c r="PET32" s="340"/>
      <c r="PEU32" s="340"/>
      <c r="PEV32" s="340"/>
      <c r="PEW32" s="340"/>
      <c r="PEX32" s="340"/>
      <c r="PEY32" s="340"/>
      <c r="PEZ32" s="340"/>
      <c r="PFA32" s="340"/>
      <c r="PFB32" s="340"/>
      <c r="PFC32" s="340"/>
      <c r="PFD32" s="340"/>
      <c r="PFE32" s="340"/>
      <c r="PFF32" s="340"/>
      <c r="PFG32" s="340"/>
      <c r="PFH32" s="340"/>
      <c r="PFI32" s="340"/>
      <c r="PFJ32" s="340"/>
      <c r="PFK32" s="340"/>
      <c r="PFL32" s="340"/>
      <c r="PFM32" s="340"/>
      <c r="PFN32" s="340"/>
      <c r="PFO32" s="340"/>
      <c r="PFP32" s="340"/>
      <c r="PFQ32" s="340"/>
      <c r="PFR32" s="340"/>
      <c r="PFS32" s="340"/>
      <c r="PFT32" s="340"/>
      <c r="PFU32" s="340"/>
      <c r="PFV32" s="340"/>
      <c r="PFW32" s="340"/>
      <c r="PFX32" s="340"/>
      <c r="PFY32" s="340"/>
      <c r="PFZ32" s="340"/>
      <c r="PGA32" s="340"/>
      <c r="PGB32" s="340"/>
      <c r="PGC32" s="340"/>
      <c r="PGD32" s="340"/>
      <c r="PGE32" s="340"/>
      <c r="PGF32" s="340"/>
      <c r="PGG32" s="340"/>
      <c r="PGH32" s="340"/>
      <c r="PGI32" s="340"/>
      <c r="PGJ32" s="340"/>
      <c r="PGK32" s="340"/>
      <c r="PGL32" s="340"/>
      <c r="PGM32" s="340"/>
      <c r="PGN32" s="340"/>
      <c r="PGO32" s="340"/>
      <c r="PGP32" s="340"/>
      <c r="PGQ32" s="340"/>
      <c r="PGR32" s="340"/>
      <c r="PGS32" s="340"/>
      <c r="PGT32" s="340"/>
      <c r="PGU32" s="340"/>
      <c r="PGV32" s="340"/>
      <c r="PGW32" s="340"/>
      <c r="PGX32" s="340"/>
      <c r="PGY32" s="340"/>
      <c r="PGZ32" s="340"/>
      <c r="PHA32" s="340"/>
      <c r="PHB32" s="340"/>
      <c r="PHC32" s="340"/>
      <c r="PHD32" s="340"/>
      <c r="PHE32" s="340"/>
      <c r="PHF32" s="340"/>
      <c r="PHG32" s="340"/>
      <c r="PHH32" s="340"/>
      <c r="PHI32" s="340"/>
      <c r="PHJ32" s="340"/>
      <c r="PHK32" s="340"/>
      <c r="PHL32" s="340"/>
      <c r="PHM32" s="340"/>
      <c r="PHN32" s="340"/>
      <c r="PHO32" s="340"/>
      <c r="PHP32" s="340"/>
      <c r="PHQ32" s="340"/>
      <c r="PHR32" s="340"/>
      <c r="PHS32" s="340"/>
      <c r="PHT32" s="340"/>
      <c r="PHU32" s="340"/>
      <c r="PHV32" s="340"/>
      <c r="PHW32" s="340"/>
      <c r="PHX32" s="340"/>
      <c r="PHY32" s="340"/>
      <c r="PHZ32" s="340"/>
      <c r="PIA32" s="340"/>
      <c r="PIB32" s="340"/>
      <c r="PIC32" s="340"/>
      <c r="PID32" s="340"/>
      <c r="PIE32" s="340"/>
      <c r="PIF32" s="340"/>
      <c r="PIG32" s="340"/>
      <c r="PIH32" s="340"/>
      <c r="PII32" s="340"/>
      <c r="PIJ32" s="340"/>
      <c r="PIK32" s="340"/>
      <c r="PIL32" s="340"/>
      <c r="PIM32" s="340"/>
      <c r="PIN32" s="340"/>
      <c r="PIO32" s="340"/>
      <c r="PIP32" s="340"/>
      <c r="PIQ32" s="340"/>
      <c r="PIR32" s="340"/>
      <c r="PIS32" s="340"/>
      <c r="PIT32" s="340"/>
      <c r="PIU32" s="340"/>
      <c r="PIV32" s="340"/>
      <c r="PIW32" s="340"/>
      <c r="PIX32" s="340"/>
      <c r="PIY32" s="340"/>
      <c r="PIZ32" s="340"/>
      <c r="PJA32" s="340"/>
      <c r="PJB32" s="340"/>
      <c r="PJC32" s="340"/>
      <c r="PJD32" s="340"/>
      <c r="PJE32" s="340"/>
      <c r="PJF32" s="340"/>
      <c r="PJG32" s="340"/>
      <c r="PJH32" s="340"/>
      <c r="PJI32" s="340"/>
      <c r="PJJ32" s="340"/>
      <c r="PJK32" s="340"/>
      <c r="PJL32" s="340"/>
      <c r="PJM32" s="340"/>
      <c r="PJN32" s="340"/>
      <c r="PJO32" s="340"/>
      <c r="PJP32" s="340"/>
      <c r="PJQ32" s="340"/>
      <c r="PJR32" s="340"/>
      <c r="PJS32" s="340"/>
      <c r="PJT32" s="340"/>
      <c r="PJU32" s="340"/>
      <c r="PJV32" s="340"/>
      <c r="PJW32" s="340"/>
      <c r="PJX32" s="340"/>
      <c r="PJY32" s="340"/>
      <c r="PJZ32" s="340"/>
      <c r="PKA32" s="340"/>
      <c r="PKB32" s="340"/>
      <c r="PKC32" s="340"/>
      <c r="PKD32" s="340"/>
      <c r="PKE32" s="340"/>
      <c r="PKF32" s="340"/>
      <c r="PKG32" s="340"/>
      <c r="PKH32" s="340"/>
      <c r="PKI32" s="340"/>
      <c r="PKJ32" s="340"/>
      <c r="PKK32" s="340"/>
      <c r="PKL32" s="340"/>
      <c r="PKM32" s="340"/>
      <c r="PKN32" s="340"/>
      <c r="PKO32" s="340"/>
      <c r="PKP32" s="340"/>
      <c r="PKQ32" s="340"/>
      <c r="PKR32" s="340"/>
      <c r="PKS32" s="340"/>
      <c r="PKT32" s="340"/>
      <c r="PKU32" s="340"/>
      <c r="PKV32" s="340"/>
      <c r="PKW32" s="340"/>
      <c r="PKX32" s="340"/>
      <c r="PKY32" s="340"/>
      <c r="PKZ32" s="340"/>
      <c r="PLA32" s="340"/>
      <c r="PLB32" s="340"/>
      <c r="PLC32" s="340"/>
      <c r="PLD32" s="340"/>
      <c r="PLE32" s="340"/>
      <c r="PLF32" s="340"/>
      <c r="PLG32" s="340"/>
      <c r="PLH32" s="340"/>
      <c r="PLI32" s="340"/>
      <c r="PLJ32" s="340"/>
      <c r="PLK32" s="340"/>
      <c r="PLL32" s="340"/>
      <c r="PLM32" s="340"/>
      <c r="PLN32" s="340"/>
      <c r="PLO32" s="340"/>
      <c r="PLP32" s="340"/>
      <c r="PLQ32" s="340"/>
      <c r="PLR32" s="340"/>
      <c r="PLS32" s="340"/>
      <c r="PLT32" s="340"/>
      <c r="PLU32" s="340"/>
      <c r="PLV32" s="340"/>
      <c r="PLW32" s="340"/>
      <c r="PLX32" s="340"/>
      <c r="PLY32" s="340"/>
      <c r="PLZ32" s="340"/>
      <c r="PMA32" s="340"/>
      <c r="PMB32" s="340"/>
      <c r="PMC32" s="340"/>
      <c r="PMD32" s="340"/>
      <c r="PME32" s="340"/>
      <c r="PMF32" s="340"/>
      <c r="PMG32" s="340"/>
      <c r="PMH32" s="340"/>
      <c r="PMI32" s="340"/>
      <c r="PMJ32" s="340"/>
      <c r="PMK32" s="340"/>
      <c r="PML32" s="340"/>
      <c r="PMM32" s="340"/>
      <c r="PMN32" s="340"/>
      <c r="PMO32" s="340"/>
      <c r="PMP32" s="340"/>
      <c r="PMQ32" s="340"/>
      <c r="PMR32" s="340"/>
      <c r="PMS32" s="340"/>
      <c r="PMT32" s="340"/>
      <c r="PMU32" s="340"/>
      <c r="PMV32" s="340"/>
      <c r="PMW32" s="340"/>
      <c r="PMX32" s="340"/>
      <c r="PMY32" s="340"/>
      <c r="PMZ32" s="340"/>
      <c r="PNA32" s="340"/>
      <c r="PNB32" s="340"/>
      <c r="PNC32" s="340"/>
      <c r="PND32" s="340"/>
      <c r="PNE32" s="340"/>
      <c r="PNF32" s="340"/>
      <c r="PNG32" s="340"/>
      <c r="PNH32" s="340"/>
      <c r="PNI32" s="340"/>
      <c r="PNJ32" s="340"/>
      <c r="PNK32" s="340"/>
      <c r="PNL32" s="340"/>
      <c r="PNM32" s="340"/>
      <c r="PNN32" s="340"/>
      <c r="PNO32" s="340"/>
      <c r="PNP32" s="340"/>
      <c r="PNQ32" s="340"/>
      <c r="PNR32" s="340"/>
      <c r="PNS32" s="340"/>
      <c r="PNT32" s="340"/>
      <c r="PNU32" s="340"/>
      <c r="PNV32" s="340"/>
      <c r="PNW32" s="340"/>
      <c r="PNX32" s="340"/>
      <c r="PNY32" s="340"/>
      <c r="PNZ32" s="340"/>
      <c r="POA32" s="340"/>
      <c r="POB32" s="340"/>
      <c r="POC32" s="340"/>
      <c r="POD32" s="340"/>
      <c r="POE32" s="340"/>
      <c r="POF32" s="340"/>
      <c r="POG32" s="340"/>
      <c r="POH32" s="340"/>
      <c r="POI32" s="340"/>
      <c r="POJ32" s="340"/>
      <c r="POK32" s="340"/>
      <c r="POL32" s="340"/>
      <c r="POM32" s="340"/>
      <c r="PON32" s="340"/>
      <c r="POO32" s="340"/>
      <c r="POP32" s="340"/>
      <c r="POQ32" s="340"/>
      <c r="POR32" s="340"/>
      <c r="POS32" s="340"/>
      <c r="POT32" s="340"/>
      <c r="POU32" s="340"/>
      <c r="POV32" s="340"/>
      <c r="POW32" s="340"/>
      <c r="POX32" s="340"/>
      <c r="POY32" s="340"/>
      <c r="POZ32" s="340"/>
      <c r="PPA32" s="340"/>
      <c r="PPB32" s="340"/>
      <c r="PPC32" s="340"/>
      <c r="PPD32" s="340"/>
      <c r="PPE32" s="340"/>
      <c r="PPF32" s="340"/>
      <c r="PPG32" s="340"/>
      <c r="PPH32" s="340"/>
      <c r="PPI32" s="340"/>
      <c r="PPJ32" s="340"/>
      <c r="PPK32" s="340"/>
      <c r="PPL32" s="340"/>
      <c r="PPM32" s="340"/>
      <c r="PPN32" s="340"/>
      <c r="PPO32" s="340"/>
      <c r="PPP32" s="340"/>
      <c r="PPQ32" s="340"/>
      <c r="PPR32" s="340"/>
      <c r="PPS32" s="340"/>
      <c r="PPT32" s="340"/>
      <c r="PPU32" s="340"/>
      <c r="PPV32" s="340"/>
      <c r="PPW32" s="340"/>
      <c r="PPX32" s="340"/>
      <c r="PPY32" s="340"/>
      <c r="PPZ32" s="340"/>
      <c r="PQA32" s="340"/>
      <c r="PQB32" s="340"/>
      <c r="PQC32" s="340"/>
      <c r="PQD32" s="340"/>
      <c r="PQE32" s="340"/>
      <c r="PQF32" s="340"/>
      <c r="PQG32" s="340"/>
      <c r="PQH32" s="340"/>
      <c r="PQI32" s="340"/>
      <c r="PQJ32" s="340"/>
      <c r="PQK32" s="340"/>
      <c r="PQL32" s="340"/>
      <c r="PQM32" s="340"/>
      <c r="PQN32" s="340"/>
      <c r="PQO32" s="340"/>
      <c r="PQP32" s="340"/>
      <c r="PQQ32" s="340"/>
      <c r="PQR32" s="340"/>
      <c r="PQS32" s="340"/>
      <c r="PQT32" s="340"/>
      <c r="PQU32" s="340"/>
      <c r="PQV32" s="340"/>
      <c r="PQW32" s="340"/>
      <c r="PQX32" s="340"/>
      <c r="PQY32" s="340"/>
      <c r="PQZ32" s="340"/>
      <c r="PRA32" s="340"/>
      <c r="PRB32" s="340"/>
      <c r="PRC32" s="340"/>
      <c r="PRD32" s="340"/>
      <c r="PRE32" s="340"/>
      <c r="PRF32" s="340"/>
      <c r="PRG32" s="340"/>
      <c r="PRH32" s="340"/>
      <c r="PRI32" s="340"/>
      <c r="PRJ32" s="340"/>
      <c r="PRK32" s="340"/>
      <c r="PRL32" s="340"/>
      <c r="PRM32" s="340"/>
      <c r="PRN32" s="340"/>
      <c r="PRO32" s="340"/>
      <c r="PRP32" s="340"/>
      <c r="PRQ32" s="340"/>
      <c r="PRR32" s="340"/>
      <c r="PRS32" s="340"/>
      <c r="PRT32" s="340"/>
      <c r="PRU32" s="340"/>
      <c r="PRV32" s="340"/>
      <c r="PRW32" s="340"/>
      <c r="PRX32" s="340"/>
      <c r="PRY32" s="340"/>
      <c r="PRZ32" s="340"/>
      <c r="PSA32" s="340"/>
      <c r="PSB32" s="340"/>
      <c r="PSC32" s="340"/>
      <c r="PSD32" s="340"/>
      <c r="PSE32" s="340"/>
      <c r="PSF32" s="340"/>
      <c r="PSG32" s="340"/>
      <c r="PSH32" s="340"/>
      <c r="PSI32" s="340"/>
      <c r="PSJ32" s="340"/>
      <c r="PSK32" s="340"/>
      <c r="PSL32" s="340"/>
      <c r="PSM32" s="340"/>
      <c r="PSN32" s="340"/>
      <c r="PSO32" s="340"/>
      <c r="PSP32" s="340"/>
      <c r="PSQ32" s="340"/>
      <c r="PSR32" s="340"/>
      <c r="PSS32" s="340"/>
      <c r="PST32" s="340"/>
      <c r="PSU32" s="340"/>
      <c r="PSV32" s="340"/>
      <c r="PSW32" s="340"/>
      <c r="PSX32" s="340"/>
      <c r="PSY32" s="340"/>
      <c r="PSZ32" s="340"/>
      <c r="PTA32" s="340"/>
      <c r="PTB32" s="340"/>
      <c r="PTC32" s="340"/>
      <c r="PTD32" s="340"/>
      <c r="PTE32" s="340"/>
      <c r="PTF32" s="340"/>
      <c r="PTG32" s="340"/>
      <c r="PTH32" s="340"/>
      <c r="PTI32" s="340"/>
      <c r="PTJ32" s="340"/>
      <c r="PTK32" s="340"/>
      <c r="PTL32" s="340"/>
      <c r="PTM32" s="340"/>
      <c r="PTN32" s="340"/>
      <c r="PTO32" s="340"/>
      <c r="PTP32" s="340"/>
      <c r="PTQ32" s="340"/>
      <c r="PTR32" s="340"/>
      <c r="PTS32" s="340"/>
      <c r="PTT32" s="340"/>
      <c r="PTU32" s="340"/>
      <c r="PTV32" s="340"/>
      <c r="PTW32" s="340"/>
      <c r="PTX32" s="340"/>
      <c r="PTY32" s="340"/>
      <c r="PTZ32" s="340"/>
      <c r="PUA32" s="340"/>
      <c r="PUB32" s="340"/>
      <c r="PUC32" s="340"/>
      <c r="PUD32" s="340"/>
      <c r="PUE32" s="340"/>
      <c r="PUF32" s="340"/>
      <c r="PUG32" s="340"/>
      <c r="PUH32" s="340"/>
      <c r="PUI32" s="340"/>
      <c r="PUJ32" s="340"/>
      <c r="PUK32" s="340"/>
      <c r="PUL32" s="340"/>
      <c r="PUM32" s="340"/>
      <c r="PUN32" s="340"/>
      <c r="PUO32" s="340"/>
      <c r="PUP32" s="340"/>
      <c r="PUQ32" s="340"/>
      <c r="PUR32" s="340"/>
      <c r="PUS32" s="340"/>
      <c r="PUT32" s="340"/>
      <c r="PUU32" s="340"/>
      <c r="PUV32" s="340"/>
      <c r="PUW32" s="340"/>
      <c r="PUX32" s="340"/>
      <c r="PUY32" s="340"/>
      <c r="PUZ32" s="340"/>
      <c r="PVA32" s="340"/>
      <c r="PVB32" s="340"/>
      <c r="PVC32" s="340"/>
      <c r="PVD32" s="340"/>
      <c r="PVE32" s="340"/>
      <c r="PVF32" s="340"/>
      <c r="PVG32" s="340"/>
      <c r="PVH32" s="340"/>
      <c r="PVI32" s="340"/>
      <c r="PVJ32" s="340"/>
      <c r="PVK32" s="340"/>
      <c r="PVL32" s="340"/>
      <c r="PVM32" s="340"/>
      <c r="PVN32" s="340"/>
      <c r="PVO32" s="340"/>
      <c r="PVP32" s="340"/>
      <c r="PVQ32" s="340"/>
      <c r="PVR32" s="340"/>
      <c r="PVS32" s="340"/>
      <c r="PVT32" s="340"/>
      <c r="PVU32" s="340"/>
      <c r="PVV32" s="340"/>
      <c r="PVW32" s="340"/>
      <c r="PVX32" s="340"/>
      <c r="PVY32" s="340"/>
      <c r="PVZ32" s="340"/>
      <c r="PWA32" s="340"/>
      <c r="PWB32" s="340"/>
      <c r="PWC32" s="340"/>
      <c r="PWD32" s="340"/>
      <c r="PWE32" s="340"/>
      <c r="PWF32" s="340"/>
      <c r="PWG32" s="340"/>
      <c r="PWH32" s="340"/>
      <c r="PWI32" s="340"/>
      <c r="PWJ32" s="340"/>
      <c r="PWK32" s="340"/>
      <c r="PWL32" s="340"/>
      <c r="PWM32" s="340"/>
      <c r="PWN32" s="340"/>
      <c r="PWO32" s="340"/>
      <c r="PWP32" s="340"/>
      <c r="PWQ32" s="340"/>
      <c r="PWR32" s="340"/>
      <c r="PWS32" s="340"/>
      <c r="PWT32" s="340"/>
      <c r="PWU32" s="340"/>
      <c r="PWV32" s="340"/>
      <c r="PWW32" s="340"/>
      <c r="PWX32" s="340"/>
      <c r="PWY32" s="340"/>
      <c r="PWZ32" s="340"/>
      <c r="PXA32" s="340"/>
      <c r="PXB32" s="340"/>
      <c r="PXC32" s="340"/>
      <c r="PXD32" s="340"/>
      <c r="PXE32" s="340"/>
      <c r="PXF32" s="340"/>
      <c r="PXG32" s="340"/>
      <c r="PXH32" s="340"/>
      <c r="PXI32" s="340"/>
      <c r="PXJ32" s="340"/>
      <c r="PXK32" s="340"/>
      <c r="PXL32" s="340"/>
      <c r="PXM32" s="340"/>
      <c r="PXN32" s="340"/>
      <c r="PXO32" s="340"/>
      <c r="PXP32" s="340"/>
      <c r="PXQ32" s="340"/>
      <c r="PXR32" s="340"/>
      <c r="PXS32" s="340"/>
      <c r="PXT32" s="340"/>
      <c r="PXU32" s="340"/>
      <c r="PXV32" s="340"/>
      <c r="PXW32" s="340"/>
      <c r="PXX32" s="340"/>
      <c r="PXY32" s="340"/>
      <c r="PXZ32" s="340"/>
      <c r="PYA32" s="340"/>
      <c r="PYB32" s="340"/>
      <c r="PYC32" s="340"/>
      <c r="PYD32" s="340"/>
      <c r="PYE32" s="340"/>
      <c r="PYF32" s="340"/>
      <c r="PYG32" s="340"/>
      <c r="PYH32" s="340"/>
      <c r="PYI32" s="340"/>
      <c r="PYJ32" s="340"/>
      <c r="PYK32" s="340"/>
      <c r="PYL32" s="340"/>
      <c r="PYM32" s="340"/>
      <c r="PYN32" s="340"/>
      <c r="PYO32" s="340"/>
      <c r="PYP32" s="340"/>
      <c r="PYQ32" s="340"/>
      <c r="PYR32" s="340"/>
      <c r="PYS32" s="340"/>
      <c r="PYT32" s="340"/>
      <c r="PYU32" s="340"/>
      <c r="PYV32" s="340"/>
      <c r="PYW32" s="340"/>
      <c r="PYX32" s="340"/>
      <c r="PYY32" s="340"/>
      <c r="PYZ32" s="340"/>
      <c r="PZA32" s="340"/>
      <c r="PZB32" s="340"/>
      <c r="PZC32" s="340"/>
      <c r="PZD32" s="340"/>
      <c r="PZE32" s="340"/>
      <c r="PZF32" s="340"/>
      <c r="PZG32" s="340"/>
      <c r="PZH32" s="340"/>
      <c r="PZI32" s="340"/>
      <c r="PZJ32" s="340"/>
      <c r="PZK32" s="340"/>
      <c r="PZL32" s="340"/>
      <c r="PZM32" s="340"/>
      <c r="PZN32" s="340"/>
      <c r="PZO32" s="340"/>
      <c r="PZP32" s="340"/>
      <c r="PZQ32" s="340"/>
      <c r="PZR32" s="340"/>
      <c r="PZS32" s="340"/>
      <c r="PZT32" s="340"/>
      <c r="PZU32" s="340"/>
      <c r="PZV32" s="340"/>
      <c r="PZW32" s="340"/>
      <c r="PZX32" s="340"/>
      <c r="PZY32" s="340"/>
      <c r="PZZ32" s="340"/>
      <c r="QAA32" s="340"/>
      <c r="QAB32" s="340"/>
      <c r="QAC32" s="340"/>
      <c r="QAD32" s="340"/>
      <c r="QAE32" s="340"/>
      <c r="QAF32" s="340"/>
      <c r="QAG32" s="340"/>
      <c r="QAH32" s="340"/>
      <c r="QAI32" s="340"/>
      <c r="QAJ32" s="340"/>
      <c r="QAK32" s="340"/>
      <c r="QAL32" s="340"/>
      <c r="QAM32" s="340"/>
      <c r="QAN32" s="340"/>
      <c r="QAO32" s="340"/>
      <c r="QAP32" s="340"/>
      <c r="QAQ32" s="340"/>
      <c r="QAR32" s="340"/>
      <c r="QAS32" s="340"/>
      <c r="QAT32" s="340"/>
      <c r="QAU32" s="340"/>
      <c r="QAV32" s="340"/>
      <c r="QAW32" s="340"/>
      <c r="QAX32" s="340"/>
      <c r="QAY32" s="340"/>
      <c r="QAZ32" s="340"/>
      <c r="QBA32" s="340"/>
      <c r="QBB32" s="340"/>
      <c r="QBC32" s="340"/>
      <c r="QBD32" s="340"/>
      <c r="QBE32" s="340"/>
      <c r="QBF32" s="340"/>
      <c r="QBG32" s="340"/>
      <c r="QBH32" s="340"/>
      <c r="QBI32" s="340"/>
      <c r="QBJ32" s="340"/>
      <c r="QBK32" s="340"/>
      <c r="QBL32" s="340"/>
      <c r="QBM32" s="340"/>
      <c r="QBN32" s="340"/>
      <c r="QBO32" s="340"/>
      <c r="QBP32" s="340"/>
      <c r="QBQ32" s="340"/>
      <c r="QBR32" s="340"/>
      <c r="QBS32" s="340"/>
      <c r="QBT32" s="340"/>
      <c r="QBU32" s="340"/>
      <c r="QBV32" s="340"/>
      <c r="QBW32" s="340"/>
      <c r="QBX32" s="340"/>
      <c r="QBY32" s="340"/>
      <c r="QBZ32" s="340"/>
      <c r="QCA32" s="340"/>
      <c r="QCB32" s="340"/>
      <c r="QCC32" s="340"/>
      <c r="QCD32" s="340"/>
      <c r="QCE32" s="340"/>
      <c r="QCF32" s="340"/>
      <c r="QCG32" s="340"/>
      <c r="QCH32" s="340"/>
      <c r="QCI32" s="340"/>
      <c r="QCJ32" s="340"/>
      <c r="QCK32" s="340"/>
      <c r="QCL32" s="340"/>
      <c r="QCM32" s="340"/>
      <c r="QCN32" s="340"/>
      <c r="QCO32" s="340"/>
      <c r="QCP32" s="340"/>
      <c r="QCQ32" s="340"/>
      <c r="QCR32" s="340"/>
      <c r="QCS32" s="340"/>
      <c r="QCT32" s="340"/>
      <c r="QCU32" s="340"/>
      <c r="QCV32" s="340"/>
      <c r="QCW32" s="340"/>
      <c r="QCX32" s="340"/>
      <c r="QCY32" s="340"/>
      <c r="QCZ32" s="340"/>
      <c r="QDA32" s="340"/>
      <c r="QDB32" s="340"/>
      <c r="QDC32" s="340"/>
      <c r="QDD32" s="340"/>
      <c r="QDE32" s="340"/>
      <c r="QDF32" s="340"/>
      <c r="QDG32" s="340"/>
      <c r="QDH32" s="340"/>
      <c r="QDI32" s="340"/>
      <c r="QDJ32" s="340"/>
      <c r="QDK32" s="340"/>
      <c r="QDL32" s="340"/>
      <c r="QDM32" s="340"/>
      <c r="QDN32" s="340"/>
      <c r="QDO32" s="340"/>
      <c r="QDP32" s="340"/>
      <c r="QDQ32" s="340"/>
      <c r="QDR32" s="340"/>
      <c r="QDS32" s="340"/>
      <c r="QDT32" s="340"/>
      <c r="QDU32" s="340"/>
      <c r="QDV32" s="340"/>
      <c r="QDW32" s="340"/>
      <c r="QDX32" s="340"/>
      <c r="QDY32" s="340"/>
      <c r="QDZ32" s="340"/>
      <c r="QEA32" s="340"/>
      <c r="QEB32" s="340"/>
      <c r="QEC32" s="340"/>
      <c r="QED32" s="340"/>
      <c r="QEE32" s="340"/>
      <c r="QEF32" s="340"/>
      <c r="QEG32" s="340"/>
      <c r="QEH32" s="340"/>
      <c r="QEI32" s="340"/>
      <c r="QEJ32" s="340"/>
      <c r="QEK32" s="340"/>
      <c r="QEL32" s="340"/>
      <c r="QEM32" s="340"/>
      <c r="QEN32" s="340"/>
      <c r="QEO32" s="340"/>
      <c r="QEP32" s="340"/>
      <c r="QEQ32" s="340"/>
      <c r="QER32" s="340"/>
      <c r="QES32" s="340"/>
      <c r="QET32" s="340"/>
      <c r="QEU32" s="340"/>
      <c r="QEV32" s="340"/>
      <c r="QEW32" s="340"/>
      <c r="QEX32" s="340"/>
      <c r="QEY32" s="340"/>
      <c r="QEZ32" s="340"/>
      <c r="QFA32" s="340"/>
      <c r="QFB32" s="340"/>
      <c r="QFC32" s="340"/>
      <c r="QFD32" s="340"/>
      <c r="QFE32" s="340"/>
      <c r="QFF32" s="340"/>
      <c r="QFG32" s="340"/>
      <c r="QFH32" s="340"/>
      <c r="QFI32" s="340"/>
      <c r="QFJ32" s="340"/>
      <c r="QFK32" s="340"/>
      <c r="QFL32" s="340"/>
      <c r="QFM32" s="340"/>
      <c r="QFN32" s="340"/>
      <c r="QFO32" s="340"/>
      <c r="QFP32" s="340"/>
      <c r="QFQ32" s="340"/>
      <c r="QFR32" s="340"/>
      <c r="QFS32" s="340"/>
      <c r="QFT32" s="340"/>
      <c r="QFU32" s="340"/>
      <c r="QFV32" s="340"/>
      <c r="QFW32" s="340"/>
      <c r="QFX32" s="340"/>
      <c r="QFY32" s="340"/>
      <c r="QFZ32" s="340"/>
      <c r="QGA32" s="340"/>
      <c r="QGB32" s="340"/>
      <c r="QGC32" s="340"/>
      <c r="QGD32" s="340"/>
      <c r="QGE32" s="340"/>
      <c r="QGF32" s="340"/>
      <c r="QGG32" s="340"/>
      <c r="QGH32" s="340"/>
      <c r="QGI32" s="340"/>
      <c r="QGJ32" s="340"/>
      <c r="QGK32" s="340"/>
      <c r="QGL32" s="340"/>
      <c r="QGM32" s="340"/>
      <c r="QGN32" s="340"/>
      <c r="QGO32" s="340"/>
      <c r="QGP32" s="340"/>
      <c r="QGQ32" s="340"/>
      <c r="QGR32" s="340"/>
      <c r="QGS32" s="340"/>
      <c r="QGT32" s="340"/>
      <c r="QGU32" s="340"/>
      <c r="QGV32" s="340"/>
      <c r="QGW32" s="340"/>
      <c r="QGX32" s="340"/>
      <c r="QGY32" s="340"/>
      <c r="QGZ32" s="340"/>
      <c r="QHA32" s="340"/>
      <c r="QHB32" s="340"/>
      <c r="QHC32" s="340"/>
      <c r="QHD32" s="340"/>
      <c r="QHE32" s="340"/>
      <c r="QHF32" s="340"/>
      <c r="QHG32" s="340"/>
      <c r="QHH32" s="340"/>
      <c r="QHI32" s="340"/>
      <c r="QHJ32" s="340"/>
      <c r="QHK32" s="340"/>
      <c r="QHL32" s="340"/>
      <c r="QHM32" s="340"/>
      <c r="QHN32" s="340"/>
      <c r="QHO32" s="340"/>
      <c r="QHP32" s="340"/>
      <c r="QHQ32" s="340"/>
      <c r="QHR32" s="340"/>
      <c r="QHS32" s="340"/>
      <c r="QHT32" s="340"/>
      <c r="QHU32" s="340"/>
      <c r="QHV32" s="340"/>
      <c r="QHW32" s="340"/>
      <c r="QHX32" s="340"/>
      <c r="QHY32" s="340"/>
      <c r="QHZ32" s="340"/>
      <c r="QIA32" s="340"/>
      <c r="QIB32" s="340"/>
      <c r="QIC32" s="340"/>
      <c r="QID32" s="340"/>
      <c r="QIE32" s="340"/>
      <c r="QIF32" s="340"/>
      <c r="QIG32" s="340"/>
      <c r="QIH32" s="340"/>
      <c r="QII32" s="340"/>
      <c r="QIJ32" s="340"/>
      <c r="QIK32" s="340"/>
      <c r="QIL32" s="340"/>
      <c r="QIM32" s="340"/>
      <c r="QIN32" s="340"/>
      <c r="QIO32" s="340"/>
      <c r="QIP32" s="340"/>
      <c r="QIQ32" s="340"/>
      <c r="QIR32" s="340"/>
      <c r="QIS32" s="340"/>
      <c r="QIT32" s="340"/>
      <c r="QIU32" s="340"/>
      <c r="QIV32" s="340"/>
      <c r="QIW32" s="340"/>
      <c r="QIX32" s="340"/>
      <c r="QIY32" s="340"/>
      <c r="QIZ32" s="340"/>
      <c r="QJA32" s="340"/>
      <c r="QJB32" s="340"/>
      <c r="QJC32" s="340"/>
      <c r="QJD32" s="340"/>
      <c r="QJE32" s="340"/>
      <c r="QJF32" s="340"/>
      <c r="QJG32" s="340"/>
      <c r="QJH32" s="340"/>
      <c r="QJI32" s="340"/>
      <c r="QJJ32" s="340"/>
      <c r="QJK32" s="340"/>
      <c r="QJL32" s="340"/>
      <c r="QJM32" s="340"/>
      <c r="QJN32" s="340"/>
      <c r="QJO32" s="340"/>
      <c r="QJP32" s="340"/>
      <c r="QJQ32" s="340"/>
      <c r="QJR32" s="340"/>
      <c r="QJS32" s="340"/>
      <c r="QJT32" s="340"/>
      <c r="QJU32" s="340"/>
      <c r="QJV32" s="340"/>
      <c r="QJW32" s="340"/>
      <c r="QJX32" s="340"/>
      <c r="QJY32" s="340"/>
      <c r="QJZ32" s="340"/>
      <c r="QKA32" s="340"/>
      <c r="QKB32" s="340"/>
      <c r="QKC32" s="340"/>
      <c r="QKD32" s="340"/>
      <c r="QKE32" s="340"/>
      <c r="QKF32" s="340"/>
      <c r="QKG32" s="340"/>
      <c r="QKH32" s="340"/>
      <c r="QKI32" s="340"/>
      <c r="QKJ32" s="340"/>
      <c r="QKK32" s="340"/>
      <c r="QKL32" s="340"/>
      <c r="QKM32" s="340"/>
      <c r="QKN32" s="340"/>
      <c r="QKO32" s="340"/>
      <c r="QKP32" s="340"/>
      <c r="QKQ32" s="340"/>
      <c r="QKR32" s="340"/>
      <c r="QKS32" s="340"/>
      <c r="QKT32" s="340"/>
      <c r="QKU32" s="340"/>
      <c r="QKV32" s="340"/>
      <c r="QKW32" s="340"/>
      <c r="QKX32" s="340"/>
      <c r="QKY32" s="340"/>
      <c r="QKZ32" s="340"/>
      <c r="QLA32" s="340"/>
      <c r="QLB32" s="340"/>
      <c r="QLC32" s="340"/>
      <c r="QLD32" s="340"/>
      <c r="QLE32" s="340"/>
      <c r="QLF32" s="340"/>
      <c r="QLG32" s="340"/>
      <c r="QLH32" s="340"/>
      <c r="QLI32" s="340"/>
      <c r="QLJ32" s="340"/>
      <c r="QLK32" s="340"/>
      <c r="QLL32" s="340"/>
      <c r="QLM32" s="340"/>
      <c r="QLN32" s="340"/>
      <c r="QLO32" s="340"/>
      <c r="QLP32" s="340"/>
      <c r="QLQ32" s="340"/>
      <c r="QLR32" s="340"/>
      <c r="QLS32" s="340"/>
      <c r="QLT32" s="340"/>
      <c r="QLU32" s="340"/>
      <c r="QLV32" s="340"/>
      <c r="QLW32" s="340"/>
      <c r="QLX32" s="340"/>
      <c r="QLY32" s="340"/>
      <c r="QLZ32" s="340"/>
      <c r="QMA32" s="340"/>
      <c r="QMB32" s="340"/>
      <c r="QMC32" s="340"/>
      <c r="QMD32" s="340"/>
      <c r="QME32" s="340"/>
      <c r="QMF32" s="340"/>
      <c r="QMG32" s="340"/>
      <c r="QMH32" s="340"/>
      <c r="QMI32" s="340"/>
      <c r="QMJ32" s="340"/>
      <c r="QMK32" s="340"/>
      <c r="QML32" s="340"/>
      <c r="QMM32" s="340"/>
      <c r="QMN32" s="340"/>
      <c r="QMO32" s="340"/>
      <c r="QMP32" s="340"/>
      <c r="QMQ32" s="340"/>
      <c r="QMR32" s="340"/>
      <c r="QMS32" s="340"/>
      <c r="QMT32" s="340"/>
      <c r="QMU32" s="340"/>
      <c r="QMV32" s="340"/>
      <c r="QMW32" s="340"/>
      <c r="QMX32" s="340"/>
      <c r="QMY32" s="340"/>
      <c r="QMZ32" s="340"/>
      <c r="QNA32" s="340"/>
      <c r="QNB32" s="340"/>
      <c r="QNC32" s="340"/>
      <c r="QND32" s="340"/>
      <c r="QNE32" s="340"/>
      <c r="QNF32" s="340"/>
      <c r="QNG32" s="340"/>
      <c r="QNH32" s="340"/>
      <c r="QNI32" s="340"/>
      <c r="QNJ32" s="340"/>
      <c r="QNK32" s="340"/>
      <c r="QNL32" s="340"/>
      <c r="QNM32" s="340"/>
      <c r="QNN32" s="340"/>
      <c r="QNO32" s="340"/>
      <c r="QNP32" s="340"/>
      <c r="QNQ32" s="340"/>
      <c r="QNR32" s="340"/>
      <c r="QNS32" s="340"/>
      <c r="QNT32" s="340"/>
      <c r="QNU32" s="340"/>
      <c r="QNV32" s="340"/>
      <c r="QNW32" s="340"/>
      <c r="QNX32" s="340"/>
      <c r="QNY32" s="340"/>
      <c r="QNZ32" s="340"/>
      <c r="QOA32" s="340"/>
      <c r="QOB32" s="340"/>
      <c r="QOC32" s="340"/>
      <c r="QOD32" s="340"/>
      <c r="QOE32" s="340"/>
      <c r="QOF32" s="340"/>
      <c r="QOG32" s="340"/>
      <c r="QOH32" s="340"/>
      <c r="QOI32" s="340"/>
      <c r="QOJ32" s="340"/>
      <c r="QOK32" s="340"/>
      <c r="QOL32" s="340"/>
      <c r="QOM32" s="340"/>
      <c r="QON32" s="340"/>
      <c r="QOO32" s="340"/>
      <c r="QOP32" s="340"/>
      <c r="QOQ32" s="340"/>
      <c r="QOR32" s="340"/>
      <c r="QOS32" s="340"/>
      <c r="QOT32" s="340"/>
      <c r="QOU32" s="340"/>
      <c r="QOV32" s="340"/>
      <c r="QOW32" s="340"/>
      <c r="QOX32" s="340"/>
      <c r="QOY32" s="340"/>
      <c r="QOZ32" s="340"/>
      <c r="QPA32" s="340"/>
      <c r="QPB32" s="340"/>
      <c r="QPC32" s="340"/>
      <c r="QPD32" s="340"/>
      <c r="QPE32" s="340"/>
      <c r="QPF32" s="340"/>
      <c r="QPG32" s="340"/>
      <c r="QPH32" s="340"/>
      <c r="QPI32" s="340"/>
      <c r="QPJ32" s="340"/>
      <c r="QPK32" s="340"/>
      <c r="QPL32" s="340"/>
      <c r="QPM32" s="340"/>
      <c r="QPN32" s="340"/>
      <c r="QPO32" s="340"/>
      <c r="QPP32" s="340"/>
      <c r="QPQ32" s="340"/>
      <c r="QPR32" s="340"/>
      <c r="QPS32" s="340"/>
      <c r="QPT32" s="340"/>
      <c r="QPU32" s="340"/>
      <c r="QPV32" s="340"/>
      <c r="QPW32" s="340"/>
      <c r="QPX32" s="340"/>
      <c r="QPY32" s="340"/>
      <c r="QPZ32" s="340"/>
      <c r="QQA32" s="340"/>
      <c r="QQB32" s="340"/>
      <c r="QQC32" s="340"/>
      <c r="QQD32" s="340"/>
      <c r="QQE32" s="340"/>
      <c r="QQF32" s="340"/>
      <c r="QQG32" s="340"/>
      <c r="QQH32" s="340"/>
      <c r="QQI32" s="340"/>
      <c r="QQJ32" s="340"/>
      <c r="QQK32" s="340"/>
      <c r="QQL32" s="340"/>
      <c r="QQM32" s="340"/>
      <c r="QQN32" s="340"/>
      <c r="QQO32" s="340"/>
      <c r="QQP32" s="340"/>
      <c r="QQQ32" s="340"/>
      <c r="QQR32" s="340"/>
      <c r="QQS32" s="340"/>
      <c r="QQT32" s="340"/>
      <c r="QQU32" s="340"/>
      <c r="QQV32" s="340"/>
      <c r="QQW32" s="340"/>
      <c r="QQX32" s="340"/>
      <c r="QQY32" s="340"/>
      <c r="QQZ32" s="340"/>
      <c r="QRA32" s="340"/>
      <c r="QRB32" s="340"/>
      <c r="QRC32" s="340"/>
      <c r="QRD32" s="340"/>
      <c r="QRE32" s="340"/>
      <c r="QRF32" s="340"/>
      <c r="QRG32" s="340"/>
      <c r="QRH32" s="340"/>
      <c r="QRI32" s="340"/>
      <c r="QRJ32" s="340"/>
      <c r="QRK32" s="340"/>
      <c r="QRL32" s="340"/>
      <c r="QRM32" s="340"/>
      <c r="QRN32" s="340"/>
      <c r="QRO32" s="340"/>
      <c r="QRP32" s="340"/>
      <c r="QRQ32" s="340"/>
      <c r="QRR32" s="340"/>
      <c r="QRS32" s="340"/>
      <c r="QRT32" s="340"/>
      <c r="QRU32" s="340"/>
      <c r="QRV32" s="340"/>
      <c r="QRW32" s="340"/>
      <c r="QRX32" s="340"/>
      <c r="QRY32" s="340"/>
      <c r="QRZ32" s="340"/>
      <c r="QSA32" s="340"/>
      <c r="QSB32" s="340"/>
      <c r="QSC32" s="340"/>
      <c r="QSD32" s="340"/>
      <c r="QSE32" s="340"/>
      <c r="QSF32" s="340"/>
      <c r="QSG32" s="340"/>
      <c r="QSH32" s="340"/>
      <c r="QSI32" s="340"/>
      <c r="QSJ32" s="340"/>
      <c r="QSK32" s="340"/>
      <c r="QSL32" s="340"/>
      <c r="QSM32" s="340"/>
      <c r="QSN32" s="340"/>
      <c r="QSO32" s="340"/>
      <c r="QSP32" s="340"/>
      <c r="QSQ32" s="340"/>
      <c r="QSR32" s="340"/>
      <c r="QSS32" s="340"/>
      <c r="QST32" s="340"/>
      <c r="QSU32" s="340"/>
      <c r="QSV32" s="340"/>
      <c r="QSW32" s="340"/>
      <c r="QSX32" s="340"/>
      <c r="QSY32" s="340"/>
      <c r="QSZ32" s="340"/>
      <c r="QTA32" s="340"/>
      <c r="QTB32" s="340"/>
      <c r="QTC32" s="340"/>
      <c r="QTD32" s="340"/>
      <c r="QTE32" s="340"/>
      <c r="QTF32" s="340"/>
      <c r="QTG32" s="340"/>
      <c r="QTH32" s="340"/>
      <c r="QTI32" s="340"/>
      <c r="QTJ32" s="340"/>
      <c r="QTK32" s="340"/>
      <c r="QTL32" s="340"/>
      <c r="QTM32" s="340"/>
      <c r="QTN32" s="340"/>
      <c r="QTO32" s="340"/>
      <c r="QTP32" s="340"/>
      <c r="QTQ32" s="340"/>
      <c r="QTR32" s="340"/>
      <c r="QTS32" s="340"/>
      <c r="QTT32" s="340"/>
      <c r="QTU32" s="340"/>
      <c r="QTV32" s="340"/>
      <c r="QTW32" s="340"/>
      <c r="QTX32" s="340"/>
      <c r="QTY32" s="340"/>
      <c r="QTZ32" s="340"/>
      <c r="QUA32" s="340"/>
      <c r="QUB32" s="340"/>
      <c r="QUC32" s="340"/>
      <c r="QUD32" s="340"/>
      <c r="QUE32" s="340"/>
      <c r="QUF32" s="340"/>
      <c r="QUG32" s="340"/>
      <c r="QUH32" s="340"/>
      <c r="QUI32" s="340"/>
      <c r="QUJ32" s="340"/>
      <c r="QUK32" s="340"/>
      <c r="QUL32" s="340"/>
      <c r="QUM32" s="340"/>
      <c r="QUN32" s="340"/>
      <c r="QUO32" s="340"/>
      <c r="QUP32" s="340"/>
      <c r="QUQ32" s="340"/>
      <c r="QUR32" s="340"/>
      <c r="QUS32" s="340"/>
      <c r="QUT32" s="340"/>
      <c r="QUU32" s="340"/>
      <c r="QUV32" s="340"/>
      <c r="QUW32" s="340"/>
      <c r="QUX32" s="340"/>
      <c r="QUY32" s="340"/>
      <c r="QUZ32" s="340"/>
      <c r="QVA32" s="340"/>
      <c r="QVB32" s="340"/>
      <c r="QVC32" s="340"/>
      <c r="QVD32" s="340"/>
      <c r="QVE32" s="340"/>
      <c r="QVF32" s="340"/>
      <c r="QVG32" s="340"/>
      <c r="QVH32" s="340"/>
      <c r="QVI32" s="340"/>
      <c r="QVJ32" s="340"/>
      <c r="QVK32" s="340"/>
      <c r="QVL32" s="340"/>
      <c r="QVM32" s="340"/>
      <c r="QVN32" s="340"/>
      <c r="QVO32" s="340"/>
      <c r="QVP32" s="340"/>
      <c r="QVQ32" s="340"/>
      <c r="QVR32" s="340"/>
      <c r="QVS32" s="340"/>
      <c r="QVT32" s="340"/>
      <c r="QVU32" s="340"/>
      <c r="QVV32" s="340"/>
      <c r="QVW32" s="340"/>
      <c r="QVX32" s="340"/>
      <c r="QVY32" s="340"/>
      <c r="QVZ32" s="340"/>
      <c r="QWA32" s="340"/>
      <c r="QWB32" s="340"/>
      <c r="QWC32" s="340"/>
      <c r="QWD32" s="340"/>
      <c r="QWE32" s="340"/>
      <c r="QWF32" s="340"/>
      <c r="QWG32" s="340"/>
      <c r="QWH32" s="340"/>
      <c r="QWI32" s="340"/>
      <c r="QWJ32" s="340"/>
      <c r="QWK32" s="340"/>
      <c r="QWL32" s="340"/>
      <c r="QWM32" s="340"/>
      <c r="QWN32" s="340"/>
      <c r="QWO32" s="340"/>
      <c r="QWP32" s="340"/>
      <c r="QWQ32" s="340"/>
      <c r="QWR32" s="340"/>
      <c r="QWS32" s="340"/>
      <c r="QWT32" s="340"/>
      <c r="QWU32" s="340"/>
      <c r="QWV32" s="340"/>
      <c r="QWW32" s="340"/>
      <c r="QWX32" s="340"/>
      <c r="QWY32" s="340"/>
      <c r="QWZ32" s="340"/>
      <c r="QXA32" s="340"/>
      <c r="QXB32" s="340"/>
      <c r="QXC32" s="340"/>
      <c r="QXD32" s="340"/>
      <c r="QXE32" s="340"/>
      <c r="QXF32" s="340"/>
      <c r="QXG32" s="340"/>
      <c r="QXH32" s="340"/>
      <c r="QXI32" s="340"/>
      <c r="QXJ32" s="340"/>
      <c r="QXK32" s="340"/>
      <c r="QXL32" s="340"/>
      <c r="QXM32" s="340"/>
      <c r="QXN32" s="340"/>
      <c r="QXO32" s="340"/>
      <c r="QXP32" s="340"/>
      <c r="QXQ32" s="340"/>
      <c r="QXR32" s="340"/>
      <c r="QXS32" s="340"/>
      <c r="QXT32" s="340"/>
      <c r="QXU32" s="340"/>
      <c r="QXV32" s="340"/>
      <c r="QXW32" s="340"/>
      <c r="QXX32" s="340"/>
      <c r="QXY32" s="340"/>
      <c r="QXZ32" s="340"/>
      <c r="QYA32" s="340"/>
      <c r="QYB32" s="340"/>
      <c r="QYC32" s="340"/>
      <c r="QYD32" s="340"/>
      <c r="QYE32" s="340"/>
      <c r="QYF32" s="340"/>
      <c r="QYG32" s="340"/>
      <c r="QYH32" s="340"/>
      <c r="QYI32" s="340"/>
      <c r="QYJ32" s="340"/>
      <c r="QYK32" s="340"/>
      <c r="QYL32" s="340"/>
      <c r="QYM32" s="340"/>
      <c r="QYN32" s="340"/>
      <c r="QYO32" s="340"/>
      <c r="QYP32" s="340"/>
      <c r="QYQ32" s="340"/>
      <c r="QYR32" s="340"/>
      <c r="QYS32" s="340"/>
      <c r="QYT32" s="340"/>
      <c r="QYU32" s="340"/>
      <c r="QYV32" s="340"/>
      <c r="QYW32" s="340"/>
      <c r="QYX32" s="340"/>
      <c r="QYY32" s="340"/>
      <c r="QYZ32" s="340"/>
      <c r="QZA32" s="340"/>
      <c r="QZB32" s="340"/>
      <c r="QZC32" s="340"/>
      <c r="QZD32" s="340"/>
      <c r="QZE32" s="340"/>
      <c r="QZF32" s="340"/>
      <c r="QZG32" s="340"/>
      <c r="QZH32" s="340"/>
      <c r="QZI32" s="340"/>
      <c r="QZJ32" s="340"/>
      <c r="QZK32" s="340"/>
      <c r="QZL32" s="340"/>
      <c r="QZM32" s="340"/>
      <c r="QZN32" s="340"/>
      <c r="QZO32" s="340"/>
      <c r="QZP32" s="340"/>
      <c r="QZQ32" s="340"/>
      <c r="QZR32" s="340"/>
      <c r="QZS32" s="340"/>
      <c r="QZT32" s="340"/>
      <c r="QZU32" s="340"/>
      <c r="QZV32" s="340"/>
      <c r="QZW32" s="340"/>
      <c r="QZX32" s="340"/>
      <c r="QZY32" s="340"/>
      <c r="QZZ32" s="340"/>
      <c r="RAA32" s="340"/>
      <c r="RAB32" s="340"/>
      <c r="RAC32" s="340"/>
      <c r="RAD32" s="340"/>
      <c r="RAE32" s="340"/>
      <c r="RAF32" s="340"/>
      <c r="RAG32" s="340"/>
      <c r="RAH32" s="340"/>
      <c r="RAI32" s="340"/>
      <c r="RAJ32" s="340"/>
      <c r="RAK32" s="340"/>
      <c r="RAL32" s="340"/>
      <c r="RAM32" s="340"/>
      <c r="RAN32" s="340"/>
      <c r="RAO32" s="340"/>
      <c r="RAP32" s="340"/>
      <c r="RAQ32" s="340"/>
      <c r="RAR32" s="340"/>
      <c r="RAS32" s="340"/>
      <c r="RAT32" s="340"/>
      <c r="RAU32" s="340"/>
      <c r="RAV32" s="340"/>
      <c r="RAW32" s="340"/>
      <c r="RAX32" s="340"/>
      <c r="RAY32" s="340"/>
      <c r="RAZ32" s="340"/>
      <c r="RBA32" s="340"/>
      <c r="RBB32" s="340"/>
      <c r="RBC32" s="340"/>
      <c r="RBD32" s="340"/>
      <c r="RBE32" s="340"/>
      <c r="RBF32" s="340"/>
      <c r="RBG32" s="340"/>
      <c r="RBH32" s="340"/>
      <c r="RBI32" s="340"/>
      <c r="RBJ32" s="340"/>
      <c r="RBK32" s="340"/>
      <c r="RBL32" s="340"/>
      <c r="RBM32" s="340"/>
      <c r="RBN32" s="340"/>
      <c r="RBO32" s="340"/>
      <c r="RBP32" s="340"/>
      <c r="RBQ32" s="340"/>
      <c r="RBR32" s="340"/>
      <c r="RBS32" s="340"/>
      <c r="RBT32" s="340"/>
      <c r="RBU32" s="340"/>
      <c r="RBV32" s="340"/>
      <c r="RBW32" s="340"/>
      <c r="RBX32" s="340"/>
      <c r="RBY32" s="340"/>
      <c r="RBZ32" s="340"/>
      <c r="RCA32" s="340"/>
      <c r="RCB32" s="340"/>
      <c r="RCC32" s="340"/>
      <c r="RCD32" s="340"/>
      <c r="RCE32" s="340"/>
      <c r="RCF32" s="340"/>
      <c r="RCG32" s="340"/>
      <c r="RCH32" s="340"/>
      <c r="RCI32" s="340"/>
      <c r="RCJ32" s="340"/>
      <c r="RCK32" s="340"/>
      <c r="RCL32" s="340"/>
      <c r="RCM32" s="340"/>
      <c r="RCN32" s="340"/>
      <c r="RCO32" s="340"/>
      <c r="RCP32" s="340"/>
      <c r="RCQ32" s="340"/>
      <c r="RCR32" s="340"/>
      <c r="RCS32" s="340"/>
      <c r="RCT32" s="340"/>
      <c r="RCU32" s="340"/>
      <c r="RCV32" s="340"/>
      <c r="RCW32" s="340"/>
      <c r="RCX32" s="340"/>
      <c r="RCY32" s="340"/>
      <c r="RCZ32" s="340"/>
      <c r="RDA32" s="340"/>
      <c r="RDB32" s="340"/>
      <c r="RDC32" s="340"/>
      <c r="RDD32" s="340"/>
      <c r="RDE32" s="340"/>
      <c r="RDF32" s="340"/>
      <c r="RDG32" s="340"/>
      <c r="RDH32" s="340"/>
      <c r="RDI32" s="340"/>
      <c r="RDJ32" s="340"/>
      <c r="RDK32" s="340"/>
      <c r="RDL32" s="340"/>
      <c r="RDM32" s="340"/>
      <c r="RDN32" s="340"/>
      <c r="RDO32" s="340"/>
      <c r="RDP32" s="340"/>
      <c r="RDQ32" s="340"/>
      <c r="RDR32" s="340"/>
      <c r="RDS32" s="340"/>
      <c r="RDT32" s="340"/>
      <c r="RDU32" s="340"/>
      <c r="RDV32" s="340"/>
      <c r="RDW32" s="340"/>
      <c r="RDX32" s="340"/>
      <c r="RDY32" s="340"/>
      <c r="RDZ32" s="340"/>
      <c r="REA32" s="340"/>
      <c r="REB32" s="340"/>
      <c r="REC32" s="340"/>
      <c r="RED32" s="340"/>
      <c r="REE32" s="340"/>
      <c r="REF32" s="340"/>
      <c r="REG32" s="340"/>
      <c r="REH32" s="340"/>
      <c r="REI32" s="340"/>
      <c r="REJ32" s="340"/>
      <c r="REK32" s="340"/>
      <c r="REL32" s="340"/>
      <c r="REM32" s="340"/>
      <c r="REN32" s="340"/>
      <c r="REO32" s="340"/>
      <c r="REP32" s="340"/>
      <c r="REQ32" s="340"/>
      <c r="RER32" s="340"/>
      <c r="RES32" s="340"/>
      <c r="RET32" s="340"/>
      <c r="REU32" s="340"/>
      <c r="REV32" s="340"/>
      <c r="REW32" s="340"/>
      <c r="REX32" s="340"/>
      <c r="REY32" s="340"/>
      <c r="REZ32" s="340"/>
      <c r="RFA32" s="340"/>
      <c r="RFB32" s="340"/>
      <c r="RFC32" s="340"/>
      <c r="RFD32" s="340"/>
      <c r="RFE32" s="340"/>
      <c r="RFF32" s="340"/>
      <c r="RFG32" s="340"/>
      <c r="RFH32" s="340"/>
      <c r="RFI32" s="340"/>
      <c r="RFJ32" s="340"/>
      <c r="RFK32" s="340"/>
      <c r="RFL32" s="340"/>
      <c r="RFM32" s="340"/>
      <c r="RFN32" s="340"/>
      <c r="RFO32" s="340"/>
      <c r="RFP32" s="340"/>
      <c r="RFQ32" s="340"/>
      <c r="RFR32" s="340"/>
      <c r="RFS32" s="340"/>
      <c r="RFT32" s="340"/>
      <c r="RFU32" s="340"/>
      <c r="RFV32" s="340"/>
      <c r="RFW32" s="340"/>
      <c r="RFX32" s="340"/>
      <c r="RFY32" s="340"/>
      <c r="RFZ32" s="340"/>
      <c r="RGA32" s="340"/>
      <c r="RGB32" s="340"/>
      <c r="RGC32" s="340"/>
      <c r="RGD32" s="340"/>
      <c r="RGE32" s="340"/>
      <c r="RGF32" s="340"/>
      <c r="RGG32" s="340"/>
      <c r="RGH32" s="340"/>
      <c r="RGI32" s="340"/>
      <c r="RGJ32" s="340"/>
      <c r="RGK32" s="340"/>
      <c r="RGL32" s="340"/>
      <c r="RGM32" s="340"/>
      <c r="RGN32" s="340"/>
      <c r="RGO32" s="340"/>
      <c r="RGP32" s="340"/>
      <c r="RGQ32" s="340"/>
      <c r="RGR32" s="340"/>
      <c r="RGS32" s="340"/>
      <c r="RGT32" s="340"/>
      <c r="RGU32" s="340"/>
      <c r="RGV32" s="340"/>
      <c r="RGW32" s="340"/>
      <c r="RGX32" s="340"/>
      <c r="RGY32" s="340"/>
      <c r="RGZ32" s="340"/>
      <c r="RHA32" s="340"/>
      <c r="RHB32" s="340"/>
      <c r="RHC32" s="340"/>
      <c r="RHD32" s="340"/>
      <c r="RHE32" s="340"/>
      <c r="RHF32" s="340"/>
      <c r="RHG32" s="340"/>
      <c r="RHH32" s="340"/>
      <c r="RHI32" s="340"/>
      <c r="RHJ32" s="340"/>
      <c r="RHK32" s="340"/>
      <c r="RHL32" s="340"/>
      <c r="RHM32" s="340"/>
      <c r="RHN32" s="340"/>
      <c r="RHO32" s="340"/>
      <c r="RHP32" s="340"/>
      <c r="RHQ32" s="340"/>
      <c r="RHR32" s="340"/>
      <c r="RHS32" s="340"/>
      <c r="RHT32" s="340"/>
      <c r="RHU32" s="340"/>
      <c r="RHV32" s="340"/>
      <c r="RHW32" s="340"/>
      <c r="RHX32" s="340"/>
      <c r="RHY32" s="340"/>
      <c r="RHZ32" s="340"/>
      <c r="RIA32" s="340"/>
      <c r="RIB32" s="340"/>
      <c r="RIC32" s="340"/>
      <c r="RID32" s="340"/>
      <c r="RIE32" s="340"/>
      <c r="RIF32" s="340"/>
      <c r="RIG32" s="340"/>
      <c r="RIH32" s="340"/>
      <c r="RII32" s="340"/>
      <c r="RIJ32" s="340"/>
      <c r="RIK32" s="340"/>
      <c r="RIL32" s="340"/>
      <c r="RIM32" s="340"/>
      <c r="RIN32" s="340"/>
      <c r="RIO32" s="340"/>
      <c r="RIP32" s="340"/>
      <c r="RIQ32" s="340"/>
      <c r="RIR32" s="340"/>
      <c r="RIS32" s="340"/>
      <c r="RIT32" s="340"/>
      <c r="RIU32" s="340"/>
      <c r="RIV32" s="340"/>
      <c r="RIW32" s="340"/>
      <c r="RIX32" s="340"/>
      <c r="RIY32" s="340"/>
      <c r="RIZ32" s="340"/>
      <c r="RJA32" s="340"/>
      <c r="RJB32" s="340"/>
      <c r="RJC32" s="340"/>
      <c r="RJD32" s="340"/>
      <c r="RJE32" s="340"/>
      <c r="RJF32" s="340"/>
      <c r="RJG32" s="340"/>
      <c r="RJH32" s="340"/>
      <c r="RJI32" s="340"/>
      <c r="RJJ32" s="340"/>
      <c r="RJK32" s="340"/>
      <c r="RJL32" s="340"/>
      <c r="RJM32" s="340"/>
      <c r="RJN32" s="340"/>
      <c r="RJO32" s="340"/>
      <c r="RJP32" s="340"/>
      <c r="RJQ32" s="340"/>
      <c r="RJR32" s="340"/>
      <c r="RJS32" s="340"/>
      <c r="RJT32" s="340"/>
      <c r="RJU32" s="340"/>
      <c r="RJV32" s="340"/>
      <c r="RJW32" s="340"/>
      <c r="RJX32" s="340"/>
      <c r="RJY32" s="340"/>
      <c r="RJZ32" s="340"/>
      <c r="RKA32" s="340"/>
      <c r="RKB32" s="340"/>
      <c r="RKC32" s="340"/>
      <c r="RKD32" s="340"/>
      <c r="RKE32" s="340"/>
      <c r="RKF32" s="340"/>
      <c r="RKG32" s="340"/>
      <c r="RKH32" s="340"/>
      <c r="RKI32" s="340"/>
      <c r="RKJ32" s="340"/>
      <c r="RKK32" s="340"/>
      <c r="RKL32" s="340"/>
      <c r="RKM32" s="340"/>
      <c r="RKN32" s="340"/>
      <c r="RKO32" s="340"/>
      <c r="RKP32" s="340"/>
      <c r="RKQ32" s="340"/>
      <c r="RKR32" s="340"/>
      <c r="RKS32" s="340"/>
      <c r="RKT32" s="340"/>
      <c r="RKU32" s="340"/>
      <c r="RKV32" s="340"/>
      <c r="RKW32" s="340"/>
      <c r="RKX32" s="340"/>
      <c r="RKY32" s="340"/>
      <c r="RKZ32" s="340"/>
      <c r="RLA32" s="340"/>
      <c r="RLB32" s="340"/>
      <c r="RLC32" s="340"/>
      <c r="RLD32" s="340"/>
      <c r="RLE32" s="340"/>
      <c r="RLF32" s="340"/>
      <c r="RLG32" s="340"/>
      <c r="RLH32" s="340"/>
      <c r="RLI32" s="340"/>
      <c r="RLJ32" s="340"/>
      <c r="RLK32" s="340"/>
      <c r="RLL32" s="340"/>
      <c r="RLM32" s="340"/>
      <c r="RLN32" s="340"/>
      <c r="RLO32" s="340"/>
      <c r="RLP32" s="340"/>
      <c r="RLQ32" s="340"/>
      <c r="RLR32" s="340"/>
      <c r="RLS32" s="340"/>
      <c r="RLT32" s="340"/>
      <c r="RLU32" s="340"/>
      <c r="RLV32" s="340"/>
      <c r="RLW32" s="340"/>
      <c r="RLX32" s="340"/>
      <c r="RLY32" s="340"/>
      <c r="RLZ32" s="340"/>
      <c r="RMA32" s="340"/>
      <c r="RMB32" s="340"/>
      <c r="RMC32" s="340"/>
      <c r="RMD32" s="340"/>
      <c r="RME32" s="340"/>
      <c r="RMF32" s="340"/>
      <c r="RMG32" s="340"/>
      <c r="RMH32" s="340"/>
      <c r="RMI32" s="340"/>
      <c r="RMJ32" s="340"/>
      <c r="RMK32" s="340"/>
      <c r="RML32" s="340"/>
      <c r="RMM32" s="340"/>
      <c r="RMN32" s="340"/>
      <c r="RMO32" s="340"/>
      <c r="RMP32" s="340"/>
      <c r="RMQ32" s="340"/>
      <c r="RMR32" s="340"/>
      <c r="RMS32" s="340"/>
      <c r="RMT32" s="340"/>
      <c r="RMU32" s="340"/>
      <c r="RMV32" s="340"/>
      <c r="RMW32" s="340"/>
      <c r="RMX32" s="340"/>
      <c r="RMY32" s="340"/>
      <c r="RMZ32" s="340"/>
      <c r="RNA32" s="340"/>
      <c r="RNB32" s="340"/>
      <c r="RNC32" s="340"/>
      <c r="RND32" s="340"/>
      <c r="RNE32" s="340"/>
      <c r="RNF32" s="340"/>
      <c r="RNG32" s="340"/>
      <c r="RNH32" s="340"/>
      <c r="RNI32" s="340"/>
      <c r="RNJ32" s="340"/>
      <c r="RNK32" s="340"/>
      <c r="RNL32" s="340"/>
      <c r="RNM32" s="340"/>
      <c r="RNN32" s="340"/>
      <c r="RNO32" s="340"/>
      <c r="RNP32" s="340"/>
      <c r="RNQ32" s="340"/>
      <c r="RNR32" s="340"/>
      <c r="RNS32" s="340"/>
      <c r="RNT32" s="340"/>
      <c r="RNU32" s="340"/>
      <c r="RNV32" s="340"/>
      <c r="RNW32" s="340"/>
      <c r="RNX32" s="340"/>
      <c r="RNY32" s="340"/>
      <c r="RNZ32" s="340"/>
      <c r="ROA32" s="340"/>
      <c r="ROB32" s="340"/>
      <c r="ROC32" s="340"/>
      <c r="ROD32" s="340"/>
      <c r="ROE32" s="340"/>
      <c r="ROF32" s="340"/>
      <c r="ROG32" s="340"/>
      <c r="ROH32" s="340"/>
      <c r="ROI32" s="340"/>
      <c r="ROJ32" s="340"/>
      <c r="ROK32" s="340"/>
      <c r="ROL32" s="340"/>
      <c r="ROM32" s="340"/>
      <c r="RON32" s="340"/>
      <c r="ROO32" s="340"/>
      <c r="ROP32" s="340"/>
      <c r="ROQ32" s="340"/>
      <c r="ROR32" s="340"/>
      <c r="ROS32" s="340"/>
      <c r="ROT32" s="340"/>
      <c r="ROU32" s="340"/>
      <c r="ROV32" s="340"/>
      <c r="ROW32" s="340"/>
      <c r="ROX32" s="340"/>
      <c r="ROY32" s="340"/>
      <c r="ROZ32" s="340"/>
      <c r="RPA32" s="340"/>
      <c r="RPB32" s="340"/>
      <c r="RPC32" s="340"/>
      <c r="RPD32" s="340"/>
      <c r="RPE32" s="340"/>
      <c r="RPF32" s="340"/>
      <c r="RPG32" s="340"/>
      <c r="RPH32" s="340"/>
      <c r="RPI32" s="340"/>
      <c r="RPJ32" s="340"/>
      <c r="RPK32" s="340"/>
      <c r="RPL32" s="340"/>
      <c r="RPM32" s="340"/>
      <c r="RPN32" s="340"/>
      <c r="RPO32" s="340"/>
      <c r="RPP32" s="340"/>
      <c r="RPQ32" s="340"/>
      <c r="RPR32" s="340"/>
      <c r="RPS32" s="340"/>
      <c r="RPT32" s="340"/>
      <c r="RPU32" s="340"/>
      <c r="RPV32" s="340"/>
      <c r="RPW32" s="340"/>
      <c r="RPX32" s="340"/>
      <c r="RPY32" s="340"/>
      <c r="RPZ32" s="340"/>
      <c r="RQA32" s="340"/>
      <c r="RQB32" s="340"/>
      <c r="RQC32" s="340"/>
      <c r="RQD32" s="340"/>
      <c r="RQE32" s="340"/>
      <c r="RQF32" s="340"/>
      <c r="RQG32" s="340"/>
      <c r="RQH32" s="340"/>
      <c r="RQI32" s="340"/>
      <c r="RQJ32" s="340"/>
      <c r="RQK32" s="340"/>
      <c r="RQL32" s="340"/>
      <c r="RQM32" s="340"/>
      <c r="RQN32" s="340"/>
      <c r="RQO32" s="340"/>
      <c r="RQP32" s="340"/>
      <c r="RQQ32" s="340"/>
      <c r="RQR32" s="340"/>
      <c r="RQS32" s="340"/>
      <c r="RQT32" s="340"/>
      <c r="RQU32" s="340"/>
      <c r="RQV32" s="340"/>
      <c r="RQW32" s="340"/>
      <c r="RQX32" s="340"/>
      <c r="RQY32" s="340"/>
      <c r="RQZ32" s="340"/>
      <c r="RRA32" s="340"/>
      <c r="RRB32" s="340"/>
      <c r="RRC32" s="340"/>
      <c r="RRD32" s="340"/>
      <c r="RRE32" s="340"/>
      <c r="RRF32" s="340"/>
      <c r="RRG32" s="340"/>
      <c r="RRH32" s="340"/>
      <c r="RRI32" s="340"/>
      <c r="RRJ32" s="340"/>
      <c r="RRK32" s="340"/>
      <c r="RRL32" s="340"/>
      <c r="RRM32" s="340"/>
      <c r="RRN32" s="340"/>
      <c r="RRO32" s="340"/>
      <c r="RRP32" s="340"/>
      <c r="RRQ32" s="340"/>
      <c r="RRR32" s="340"/>
      <c r="RRS32" s="340"/>
      <c r="RRT32" s="340"/>
      <c r="RRU32" s="340"/>
      <c r="RRV32" s="340"/>
      <c r="RRW32" s="340"/>
      <c r="RRX32" s="340"/>
      <c r="RRY32" s="340"/>
      <c r="RRZ32" s="340"/>
      <c r="RSA32" s="340"/>
      <c r="RSB32" s="340"/>
      <c r="RSC32" s="340"/>
      <c r="RSD32" s="340"/>
      <c r="RSE32" s="340"/>
      <c r="RSF32" s="340"/>
      <c r="RSG32" s="340"/>
      <c r="RSH32" s="340"/>
      <c r="RSI32" s="340"/>
      <c r="RSJ32" s="340"/>
      <c r="RSK32" s="340"/>
      <c r="RSL32" s="340"/>
      <c r="RSM32" s="340"/>
      <c r="RSN32" s="340"/>
      <c r="RSO32" s="340"/>
      <c r="RSP32" s="340"/>
      <c r="RSQ32" s="340"/>
      <c r="RSR32" s="340"/>
      <c r="RSS32" s="340"/>
      <c r="RST32" s="340"/>
      <c r="RSU32" s="340"/>
      <c r="RSV32" s="340"/>
      <c r="RSW32" s="340"/>
      <c r="RSX32" s="340"/>
      <c r="RSY32" s="340"/>
      <c r="RSZ32" s="340"/>
      <c r="RTA32" s="340"/>
      <c r="RTB32" s="340"/>
      <c r="RTC32" s="340"/>
      <c r="RTD32" s="340"/>
      <c r="RTE32" s="340"/>
      <c r="RTF32" s="340"/>
      <c r="RTG32" s="340"/>
      <c r="RTH32" s="340"/>
      <c r="RTI32" s="340"/>
      <c r="RTJ32" s="340"/>
      <c r="RTK32" s="340"/>
      <c r="RTL32" s="340"/>
      <c r="RTM32" s="340"/>
      <c r="RTN32" s="340"/>
      <c r="RTO32" s="340"/>
      <c r="RTP32" s="340"/>
      <c r="RTQ32" s="340"/>
      <c r="RTR32" s="340"/>
      <c r="RTS32" s="340"/>
      <c r="RTT32" s="340"/>
      <c r="RTU32" s="340"/>
      <c r="RTV32" s="340"/>
      <c r="RTW32" s="340"/>
      <c r="RTX32" s="340"/>
      <c r="RTY32" s="340"/>
      <c r="RTZ32" s="340"/>
      <c r="RUA32" s="340"/>
      <c r="RUB32" s="340"/>
      <c r="RUC32" s="340"/>
      <c r="RUD32" s="340"/>
      <c r="RUE32" s="340"/>
      <c r="RUF32" s="340"/>
      <c r="RUG32" s="340"/>
      <c r="RUH32" s="340"/>
      <c r="RUI32" s="340"/>
      <c r="RUJ32" s="340"/>
      <c r="RUK32" s="340"/>
      <c r="RUL32" s="340"/>
      <c r="RUM32" s="340"/>
      <c r="RUN32" s="340"/>
      <c r="RUO32" s="340"/>
      <c r="RUP32" s="340"/>
      <c r="RUQ32" s="340"/>
      <c r="RUR32" s="340"/>
      <c r="RUS32" s="340"/>
      <c r="RUT32" s="340"/>
      <c r="RUU32" s="340"/>
      <c r="RUV32" s="340"/>
      <c r="RUW32" s="340"/>
      <c r="RUX32" s="340"/>
      <c r="RUY32" s="340"/>
      <c r="RUZ32" s="340"/>
      <c r="RVA32" s="340"/>
      <c r="RVB32" s="340"/>
      <c r="RVC32" s="340"/>
      <c r="RVD32" s="340"/>
      <c r="RVE32" s="340"/>
      <c r="RVF32" s="340"/>
      <c r="RVG32" s="340"/>
      <c r="RVH32" s="340"/>
      <c r="RVI32" s="340"/>
      <c r="RVJ32" s="340"/>
      <c r="RVK32" s="340"/>
      <c r="RVL32" s="340"/>
      <c r="RVM32" s="340"/>
      <c r="RVN32" s="340"/>
      <c r="RVO32" s="340"/>
      <c r="RVP32" s="340"/>
      <c r="RVQ32" s="340"/>
      <c r="RVR32" s="340"/>
      <c r="RVS32" s="340"/>
      <c r="RVT32" s="340"/>
      <c r="RVU32" s="340"/>
      <c r="RVV32" s="340"/>
      <c r="RVW32" s="340"/>
      <c r="RVX32" s="340"/>
      <c r="RVY32" s="340"/>
      <c r="RVZ32" s="340"/>
      <c r="RWA32" s="340"/>
      <c r="RWB32" s="340"/>
      <c r="RWC32" s="340"/>
      <c r="RWD32" s="340"/>
      <c r="RWE32" s="340"/>
      <c r="RWF32" s="340"/>
      <c r="RWG32" s="340"/>
      <c r="RWH32" s="340"/>
      <c r="RWI32" s="340"/>
      <c r="RWJ32" s="340"/>
      <c r="RWK32" s="340"/>
      <c r="RWL32" s="340"/>
      <c r="RWM32" s="340"/>
      <c r="RWN32" s="340"/>
      <c r="RWO32" s="340"/>
      <c r="RWP32" s="340"/>
      <c r="RWQ32" s="340"/>
      <c r="RWR32" s="340"/>
      <c r="RWS32" s="340"/>
      <c r="RWT32" s="340"/>
      <c r="RWU32" s="340"/>
      <c r="RWV32" s="340"/>
      <c r="RWW32" s="340"/>
      <c r="RWX32" s="340"/>
      <c r="RWY32" s="340"/>
      <c r="RWZ32" s="340"/>
      <c r="RXA32" s="340"/>
      <c r="RXB32" s="340"/>
      <c r="RXC32" s="340"/>
      <c r="RXD32" s="340"/>
      <c r="RXE32" s="340"/>
      <c r="RXF32" s="340"/>
      <c r="RXG32" s="340"/>
      <c r="RXH32" s="340"/>
      <c r="RXI32" s="340"/>
      <c r="RXJ32" s="340"/>
      <c r="RXK32" s="340"/>
      <c r="RXL32" s="340"/>
      <c r="RXM32" s="340"/>
      <c r="RXN32" s="340"/>
      <c r="RXO32" s="340"/>
      <c r="RXP32" s="340"/>
      <c r="RXQ32" s="340"/>
      <c r="RXR32" s="340"/>
      <c r="RXS32" s="340"/>
      <c r="RXT32" s="340"/>
      <c r="RXU32" s="340"/>
      <c r="RXV32" s="340"/>
      <c r="RXW32" s="340"/>
      <c r="RXX32" s="340"/>
      <c r="RXY32" s="340"/>
      <c r="RXZ32" s="340"/>
      <c r="RYA32" s="340"/>
      <c r="RYB32" s="340"/>
      <c r="RYC32" s="340"/>
      <c r="RYD32" s="340"/>
      <c r="RYE32" s="340"/>
      <c r="RYF32" s="340"/>
      <c r="RYG32" s="340"/>
      <c r="RYH32" s="340"/>
      <c r="RYI32" s="340"/>
      <c r="RYJ32" s="340"/>
      <c r="RYK32" s="340"/>
      <c r="RYL32" s="340"/>
      <c r="RYM32" s="340"/>
      <c r="RYN32" s="340"/>
      <c r="RYO32" s="340"/>
      <c r="RYP32" s="340"/>
      <c r="RYQ32" s="340"/>
      <c r="RYR32" s="340"/>
      <c r="RYS32" s="340"/>
      <c r="RYT32" s="340"/>
      <c r="RYU32" s="340"/>
      <c r="RYV32" s="340"/>
      <c r="RYW32" s="340"/>
      <c r="RYX32" s="340"/>
      <c r="RYY32" s="340"/>
      <c r="RYZ32" s="340"/>
      <c r="RZA32" s="340"/>
      <c r="RZB32" s="340"/>
      <c r="RZC32" s="340"/>
      <c r="RZD32" s="340"/>
      <c r="RZE32" s="340"/>
      <c r="RZF32" s="340"/>
      <c r="RZG32" s="340"/>
      <c r="RZH32" s="340"/>
      <c r="RZI32" s="340"/>
      <c r="RZJ32" s="340"/>
      <c r="RZK32" s="340"/>
      <c r="RZL32" s="340"/>
      <c r="RZM32" s="340"/>
      <c r="RZN32" s="340"/>
      <c r="RZO32" s="340"/>
      <c r="RZP32" s="340"/>
      <c r="RZQ32" s="340"/>
      <c r="RZR32" s="340"/>
      <c r="RZS32" s="340"/>
      <c r="RZT32" s="340"/>
      <c r="RZU32" s="340"/>
      <c r="RZV32" s="340"/>
      <c r="RZW32" s="340"/>
      <c r="RZX32" s="340"/>
      <c r="RZY32" s="340"/>
      <c r="RZZ32" s="340"/>
      <c r="SAA32" s="340"/>
      <c r="SAB32" s="340"/>
      <c r="SAC32" s="340"/>
      <c r="SAD32" s="340"/>
      <c r="SAE32" s="340"/>
      <c r="SAF32" s="340"/>
      <c r="SAG32" s="340"/>
      <c r="SAH32" s="340"/>
      <c r="SAI32" s="340"/>
      <c r="SAJ32" s="340"/>
      <c r="SAK32" s="340"/>
      <c r="SAL32" s="340"/>
      <c r="SAM32" s="340"/>
      <c r="SAN32" s="340"/>
      <c r="SAO32" s="340"/>
      <c r="SAP32" s="340"/>
      <c r="SAQ32" s="340"/>
      <c r="SAR32" s="340"/>
      <c r="SAS32" s="340"/>
      <c r="SAT32" s="340"/>
      <c r="SAU32" s="340"/>
      <c r="SAV32" s="340"/>
      <c r="SAW32" s="340"/>
      <c r="SAX32" s="340"/>
      <c r="SAY32" s="340"/>
      <c r="SAZ32" s="340"/>
      <c r="SBA32" s="340"/>
      <c r="SBB32" s="340"/>
      <c r="SBC32" s="340"/>
      <c r="SBD32" s="340"/>
      <c r="SBE32" s="340"/>
      <c r="SBF32" s="340"/>
      <c r="SBG32" s="340"/>
      <c r="SBH32" s="340"/>
      <c r="SBI32" s="340"/>
      <c r="SBJ32" s="340"/>
      <c r="SBK32" s="340"/>
      <c r="SBL32" s="340"/>
      <c r="SBM32" s="340"/>
      <c r="SBN32" s="340"/>
      <c r="SBO32" s="340"/>
      <c r="SBP32" s="340"/>
      <c r="SBQ32" s="340"/>
      <c r="SBR32" s="340"/>
      <c r="SBS32" s="340"/>
      <c r="SBT32" s="340"/>
      <c r="SBU32" s="340"/>
      <c r="SBV32" s="340"/>
      <c r="SBW32" s="340"/>
      <c r="SBX32" s="340"/>
      <c r="SBY32" s="340"/>
      <c r="SBZ32" s="340"/>
      <c r="SCA32" s="340"/>
      <c r="SCB32" s="340"/>
      <c r="SCC32" s="340"/>
      <c r="SCD32" s="340"/>
      <c r="SCE32" s="340"/>
      <c r="SCF32" s="340"/>
      <c r="SCG32" s="340"/>
      <c r="SCH32" s="340"/>
      <c r="SCI32" s="340"/>
      <c r="SCJ32" s="340"/>
      <c r="SCK32" s="340"/>
      <c r="SCL32" s="340"/>
      <c r="SCM32" s="340"/>
      <c r="SCN32" s="340"/>
      <c r="SCO32" s="340"/>
      <c r="SCP32" s="340"/>
      <c r="SCQ32" s="340"/>
      <c r="SCR32" s="340"/>
      <c r="SCS32" s="340"/>
      <c r="SCT32" s="340"/>
      <c r="SCU32" s="340"/>
      <c r="SCV32" s="340"/>
      <c r="SCW32" s="340"/>
      <c r="SCX32" s="340"/>
      <c r="SCY32" s="340"/>
      <c r="SCZ32" s="340"/>
      <c r="SDA32" s="340"/>
      <c r="SDB32" s="340"/>
      <c r="SDC32" s="340"/>
      <c r="SDD32" s="340"/>
      <c r="SDE32" s="340"/>
      <c r="SDF32" s="340"/>
      <c r="SDG32" s="340"/>
      <c r="SDH32" s="340"/>
      <c r="SDI32" s="340"/>
      <c r="SDJ32" s="340"/>
      <c r="SDK32" s="340"/>
      <c r="SDL32" s="340"/>
      <c r="SDM32" s="340"/>
      <c r="SDN32" s="340"/>
      <c r="SDO32" s="340"/>
      <c r="SDP32" s="340"/>
      <c r="SDQ32" s="340"/>
      <c r="SDR32" s="340"/>
      <c r="SDS32" s="340"/>
      <c r="SDT32" s="340"/>
      <c r="SDU32" s="340"/>
      <c r="SDV32" s="340"/>
      <c r="SDW32" s="340"/>
      <c r="SDX32" s="340"/>
      <c r="SDY32" s="340"/>
      <c r="SDZ32" s="340"/>
      <c r="SEA32" s="340"/>
      <c r="SEB32" s="340"/>
      <c r="SEC32" s="340"/>
      <c r="SED32" s="340"/>
      <c r="SEE32" s="340"/>
      <c r="SEF32" s="340"/>
      <c r="SEG32" s="340"/>
      <c r="SEH32" s="340"/>
      <c r="SEI32" s="340"/>
      <c r="SEJ32" s="340"/>
      <c r="SEK32" s="340"/>
      <c r="SEL32" s="340"/>
      <c r="SEM32" s="340"/>
      <c r="SEN32" s="340"/>
      <c r="SEO32" s="340"/>
      <c r="SEP32" s="340"/>
      <c r="SEQ32" s="340"/>
      <c r="SER32" s="340"/>
      <c r="SES32" s="340"/>
      <c r="SET32" s="340"/>
      <c r="SEU32" s="340"/>
      <c r="SEV32" s="340"/>
      <c r="SEW32" s="340"/>
      <c r="SEX32" s="340"/>
      <c r="SEY32" s="340"/>
      <c r="SEZ32" s="340"/>
      <c r="SFA32" s="340"/>
      <c r="SFB32" s="340"/>
      <c r="SFC32" s="340"/>
      <c r="SFD32" s="340"/>
      <c r="SFE32" s="340"/>
      <c r="SFF32" s="340"/>
      <c r="SFG32" s="340"/>
      <c r="SFH32" s="340"/>
      <c r="SFI32" s="340"/>
      <c r="SFJ32" s="340"/>
      <c r="SFK32" s="340"/>
      <c r="SFL32" s="340"/>
      <c r="SFM32" s="340"/>
      <c r="SFN32" s="340"/>
      <c r="SFO32" s="340"/>
      <c r="SFP32" s="340"/>
      <c r="SFQ32" s="340"/>
      <c r="SFR32" s="340"/>
      <c r="SFS32" s="340"/>
      <c r="SFT32" s="340"/>
      <c r="SFU32" s="340"/>
      <c r="SFV32" s="340"/>
      <c r="SFW32" s="340"/>
      <c r="SFX32" s="340"/>
      <c r="SFY32" s="340"/>
      <c r="SFZ32" s="340"/>
      <c r="SGA32" s="340"/>
      <c r="SGB32" s="340"/>
      <c r="SGC32" s="340"/>
      <c r="SGD32" s="340"/>
      <c r="SGE32" s="340"/>
      <c r="SGF32" s="340"/>
      <c r="SGG32" s="340"/>
      <c r="SGH32" s="340"/>
      <c r="SGI32" s="340"/>
      <c r="SGJ32" s="340"/>
      <c r="SGK32" s="340"/>
      <c r="SGL32" s="340"/>
      <c r="SGM32" s="340"/>
      <c r="SGN32" s="340"/>
      <c r="SGO32" s="340"/>
      <c r="SGP32" s="340"/>
      <c r="SGQ32" s="340"/>
      <c r="SGR32" s="340"/>
      <c r="SGS32" s="340"/>
      <c r="SGT32" s="340"/>
      <c r="SGU32" s="340"/>
      <c r="SGV32" s="340"/>
      <c r="SGW32" s="340"/>
      <c r="SGX32" s="340"/>
      <c r="SGY32" s="340"/>
      <c r="SGZ32" s="340"/>
      <c r="SHA32" s="340"/>
      <c r="SHB32" s="340"/>
      <c r="SHC32" s="340"/>
      <c r="SHD32" s="340"/>
      <c r="SHE32" s="340"/>
      <c r="SHF32" s="340"/>
      <c r="SHG32" s="340"/>
      <c r="SHH32" s="340"/>
      <c r="SHI32" s="340"/>
      <c r="SHJ32" s="340"/>
      <c r="SHK32" s="340"/>
      <c r="SHL32" s="340"/>
      <c r="SHM32" s="340"/>
      <c r="SHN32" s="340"/>
      <c r="SHO32" s="340"/>
      <c r="SHP32" s="340"/>
      <c r="SHQ32" s="340"/>
      <c r="SHR32" s="340"/>
      <c r="SHS32" s="340"/>
      <c r="SHT32" s="340"/>
      <c r="SHU32" s="340"/>
      <c r="SHV32" s="340"/>
      <c r="SHW32" s="340"/>
      <c r="SHX32" s="340"/>
      <c r="SHY32" s="340"/>
      <c r="SHZ32" s="340"/>
      <c r="SIA32" s="340"/>
      <c r="SIB32" s="340"/>
      <c r="SIC32" s="340"/>
      <c r="SID32" s="340"/>
      <c r="SIE32" s="340"/>
      <c r="SIF32" s="340"/>
      <c r="SIG32" s="340"/>
      <c r="SIH32" s="340"/>
      <c r="SII32" s="340"/>
      <c r="SIJ32" s="340"/>
      <c r="SIK32" s="340"/>
      <c r="SIL32" s="340"/>
      <c r="SIM32" s="340"/>
      <c r="SIN32" s="340"/>
      <c r="SIO32" s="340"/>
      <c r="SIP32" s="340"/>
      <c r="SIQ32" s="340"/>
      <c r="SIR32" s="340"/>
      <c r="SIS32" s="340"/>
      <c r="SIT32" s="340"/>
      <c r="SIU32" s="340"/>
      <c r="SIV32" s="340"/>
      <c r="SIW32" s="340"/>
      <c r="SIX32" s="340"/>
      <c r="SIY32" s="340"/>
      <c r="SIZ32" s="340"/>
      <c r="SJA32" s="340"/>
      <c r="SJB32" s="340"/>
      <c r="SJC32" s="340"/>
      <c r="SJD32" s="340"/>
      <c r="SJE32" s="340"/>
      <c r="SJF32" s="340"/>
      <c r="SJG32" s="340"/>
      <c r="SJH32" s="340"/>
      <c r="SJI32" s="340"/>
      <c r="SJJ32" s="340"/>
      <c r="SJK32" s="340"/>
      <c r="SJL32" s="340"/>
      <c r="SJM32" s="340"/>
      <c r="SJN32" s="340"/>
      <c r="SJO32" s="340"/>
      <c r="SJP32" s="340"/>
      <c r="SJQ32" s="340"/>
      <c r="SJR32" s="340"/>
      <c r="SJS32" s="340"/>
      <c r="SJT32" s="340"/>
      <c r="SJU32" s="340"/>
      <c r="SJV32" s="340"/>
      <c r="SJW32" s="340"/>
      <c r="SJX32" s="340"/>
      <c r="SJY32" s="340"/>
      <c r="SJZ32" s="340"/>
      <c r="SKA32" s="340"/>
      <c r="SKB32" s="340"/>
      <c r="SKC32" s="340"/>
      <c r="SKD32" s="340"/>
      <c r="SKE32" s="340"/>
      <c r="SKF32" s="340"/>
      <c r="SKG32" s="340"/>
      <c r="SKH32" s="340"/>
      <c r="SKI32" s="340"/>
      <c r="SKJ32" s="340"/>
      <c r="SKK32" s="340"/>
      <c r="SKL32" s="340"/>
      <c r="SKM32" s="340"/>
      <c r="SKN32" s="340"/>
      <c r="SKO32" s="340"/>
      <c r="SKP32" s="340"/>
      <c r="SKQ32" s="340"/>
      <c r="SKR32" s="340"/>
      <c r="SKS32" s="340"/>
      <c r="SKT32" s="340"/>
      <c r="SKU32" s="340"/>
      <c r="SKV32" s="340"/>
      <c r="SKW32" s="340"/>
      <c r="SKX32" s="340"/>
      <c r="SKY32" s="340"/>
      <c r="SKZ32" s="340"/>
      <c r="SLA32" s="340"/>
      <c r="SLB32" s="340"/>
      <c r="SLC32" s="340"/>
      <c r="SLD32" s="340"/>
      <c r="SLE32" s="340"/>
      <c r="SLF32" s="340"/>
      <c r="SLG32" s="340"/>
      <c r="SLH32" s="340"/>
      <c r="SLI32" s="340"/>
      <c r="SLJ32" s="340"/>
      <c r="SLK32" s="340"/>
      <c r="SLL32" s="340"/>
      <c r="SLM32" s="340"/>
      <c r="SLN32" s="340"/>
      <c r="SLO32" s="340"/>
      <c r="SLP32" s="340"/>
      <c r="SLQ32" s="340"/>
      <c r="SLR32" s="340"/>
      <c r="SLS32" s="340"/>
      <c r="SLT32" s="340"/>
      <c r="SLU32" s="340"/>
      <c r="SLV32" s="340"/>
      <c r="SLW32" s="340"/>
      <c r="SLX32" s="340"/>
      <c r="SLY32" s="340"/>
      <c r="SLZ32" s="340"/>
      <c r="SMA32" s="340"/>
      <c r="SMB32" s="340"/>
      <c r="SMC32" s="340"/>
      <c r="SMD32" s="340"/>
      <c r="SME32" s="340"/>
      <c r="SMF32" s="340"/>
      <c r="SMG32" s="340"/>
      <c r="SMH32" s="340"/>
      <c r="SMI32" s="340"/>
      <c r="SMJ32" s="340"/>
      <c r="SMK32" s="340"/>
      <c r="SML32" s="340"/>
      <c r="SMM32" s="340"/>
      <c r="SMN32" s="340"/>
      <c r="SMO32" s="340"/>
      <c r="SMP32" s="340"/>
      <c r="SMQ32" s="340"/>
      <c r="SMR32" s="340"/>
      <c r="SMS32" s="340"/>
      <c r="SMT32" s="340"/>
      <c r="SMU32" s="340"/>
      <c r="SMV32" s="340"/>
      <c r="SMW32" s="340"/>
      <c r="SMX32" s="340"/>
      <c r="SMY32" s="340"/>
      <c r="SMZ32" s="340"/>
      <c r="SNA32" s="340"/>
      <c r="SNB32" s="340"/>
      <c r="SNC32" s="340"/>
      <c r="SND32" s="340"/>
      <c r="SNE32" s="340"/>
      <c r="SNF32" s="340"/>
      <c r="SNG32" s="340"/>
      <c r="SNH32" s="340"/>
      <c r="SNI32" s="340"/>
      <c r="SNJ32" s="340"/>
      <c r="SNK32" s="340"/>
      <c r="SNL32" s="340"/>
      <c r="SNM32" s="340"/>
      <c r="SNN32" s="340"/>
      <c r="SNO32" s="340"/>
      <c r="SNP32" s="340"/>
      <c r="SNQ32" s="340"/>
      <c r="SNR32" s="340"/>
      <c r="SNS32" s="340"/>
      <c r="SNT32" s="340"/>
      <c r="SNU32" s="340"/>
      <c r="SNV32" s="340"/>
      <c r="SNW32" s="340"/>
      <c r="SNX32" s="340"/>
      <c r="SNY32" s="340"/>
      <c r="SNZ32" s="340"/>
      <c r="SOA32" s="340"/>
      <c r="SOB32" s="340"/>
      <c r="SOC32" s="340"/>
      <c r="SOD32" s="340"/>
      <c r="SOE32" s="340"/>
      <c r="SOF32" s="340"/>
      <c r="SOG32" s="340"/>
      <c r="SOH32" s="340"/>
      <c r="SOI32" s="340"/>
      <c r="SOJ32" s="340"/>
      <c r="SOK32" s="340"/>
      <c r="SOL32" s="340"/>
      <c r="SOM32" s="340"/>
      <c r="SON32" s="340"/>
      <c r="SOO32" s="340"/>
      <c r="SOP32" s="340"/>
      <c r="SOQ32" s="340"/>
      <c r="SOR32" s="340"/>
      <c r="SOS32" s="340"/>
      <c r="SOT32" s="340"/>
      <c r="SOU32" s="340"/>
      <c r="SOV32" s="340"/>
      <c r="SOW32" s="340"/>
      <c r="SOX32" s="340"/>
      <c r="SOY32" s="340"/>
      <c r="SOZ32" s="340"/>
      <c r="SPA32" s="340"/>
      <c r="SPB32" s="340"/>
      <c r="SPC32" s="340"/>
      <c r="SPD32" s="340"/>
      <c r="SPE32" s="340"/>
      <c r="SPF32" s="340"/>
      <c r="SPG32" s="340"/>
      <c r="SPH32" s="340"/>
      <c r="SPI32" s="340"/>
      <c r="SPJ32" s="340"/>
      <c r="SPK32" s="340"/>
      <c r="SPL32" s="340"/>
      <c r="SPM32" s="340"/>
      <c r="SPN32" s="340"/>
      <c r="SPO32" s="340"/>
      <c r="SPP32" s="340"/>
      <c r="SPQ32" s="340"/>
      <c r="SPR32" s="340"/>
      <c r="SPS32" s="340"/>
      <c r="SPT32" s="340"/>
      <c r="SPU32" s="340"/>
      <c r="SPV32" s="340"/>
      <c r="SPW32" s="340"/>
      <c r="SPX32" s="340"/>
      <c r="SPY32" s="340"/>
      <c r="SPZ32" s="340"/>
      <c r="SQA32" s="340"/>
      <c r="SQB32" s="340"/>
      <c r="SQC32" s="340"/>
      <c r="SQD32" s="340"/>
      <c r="SQE32" s="340"/>
      <c r="SQF32" s="340"/>
      <c r="SQG32" s="340"/>
      <c r="SQH32" s="340"/>
      <c r="SQI32" s="340"/>
      <c r="SQJ32" s="340"/>
      <c r="SQK32" s="340"/>
      <c r="SQL32" s="340"/>
      <c r="SQM32" s="340"/>
      <c r="SQN32" s="340"/>
      <c r="SQO32" s="340"/>
      <c r="SQP32" s="340"/>
      <c r="SQQ32" s="340"/>
      <c r="SQR32" s="340"/>
      <c r="SQS32" s="340"/>
      <c r="SQT32" s="340"/>
      <c r="SQU32" s="340"/>
      <c r="SQV32" s="340"/>
      <c r="SQW32" s="340"/>
      <c r="SQX32" s="340"/>
      <c r="SQY32" s="340"/>
      <c r="SQZ32" s="340"/>
      <c r="SRA32" s="340"/>
      <c r="SRB32" s="340"/>
      <c r="SRC32" s="340"/>
      <c r="SRD32" s="340"/>
      <c r="SRE32" s="340"/>
      <c r="SRF32" s="340"/>
      <c r="SRG32" s="340"/>
      <c r="SRH32" s="340"/>
      <c r="SRI32" s="340"/>
      <c r="SRJ32" s="340"/>
      <c r="SRK32" s="340"/>
      <c r="SRL32" s="340"/>
      <c r="SRM32" s="340"/>
      <c r="SRN32" s="340"/>
      <c r="SRO32" s="340"/>
      <c r="SRP32" s="340"/>
      <c r="SRQ32" s="340"/>
      <c r="SRR32" s="340"/>
      <c r="SRS32" s="340"/>
      <c r="SRT32" s="340"/>
      <c r="SRU32" s="340"/>
      <c r="SRV32" s="340"/>
      <c r="SRW32" s="340"/>
      <c r="SRX32" s="340"/>
      <c r="SRY32" s="340"/>
      <c r="SRZ32" s="340"/>
      <c r="SSA32" s="340"/>
      <c r="SSB32" s="340"/>
      <c r="SSC32" s="340"/>
      <c r="SSD32" s="340"/>
      <c r="SSE32" s="340"/>
      <c r="SSF32" s="340"/>
      <c r="SSG32" s="340"/>
      <c r="SSH32" s="340"/>
      <c r="SSI32" s="340"/>
      <c r="SSJ32" s="340"/>
      <c r="SSK32" s="340"/>
      <c r="SSL32" s="340"/>
      <c r="SSM32" s="340"/>
      <c r="SSN32" s="340"/>
      <c r="SSO32" s="340"/>
      <c r="SSP32" s="340"/>
      <c r="SSQ32" s="340"/>
      <c r="SSR32" s="340"/>
      <c r="SSS32" s="340"/>
      <c r="SST32" s="340"/>
      <c r="SSU32" s="340"/>
      <c r="SSV32" s="340"/>
      <c r="SSW32" s="340"/>
      <c r="SSX32" s="340"/>
      <c r="SSY32" s="340"/>
      <c r="SSZ32" s="340"/>
      <c r="STA32" s="340"/>
      <c r="STB32" s="340"/>
      <c r="STC32" s="340"/>
      <c r="STD32" s="340"/>
      <c r="STE32" s="340"/>
      <c r="STF32" s="340"/>
      <c r="STG32" s="340"/>
      <c r="STH32" s="340"/>
      <c r="STI32" s="340"/>
      <c r="STJ32" s="340"/>
      <c r="STK32" s="340"/>
      <c r="STL32" s="340"/>
      <c r="STM32" s="340"/>
      <c r="STN32" s="340"/>
      <c r="STO32" s="340"/>
      <c r="STP32" s="340"/>
      <c r="STQ32" s="340"/>
      <c r="STR32" s="340"/>
      <c r="STS32" s="340"/>
      <c r="STT32" s="340"/>
      <c r="STU32" s="340"/>
      <c r="STV32" s="340"/>
      <c r="STW32" s="340"/>
      <c r="STX32" s="340"/>
      <c r="STY32" s="340"/>
      <c r="STZ32" s="340"/>
      <c r="SUA32" s="340"/>
      <c r="SUB32" s="340"/>
      <c r="SUC32" s="340"/>
      <c r="SUD32" s="340"/>
      <c r="SUE32" s="340"/>
      <c r="SUF32" s="340"/>
      <c r="SUG32" s="340"/>
      <c r="SUH32" s="340"/>
      <c r="SUI32" s="340"/>
      <c r="SUJ32" s="340"/>
      <c r="SUK32" s="340"/>
      <c r="SUL32" s="340"/>
      <c r="SUM32" s="340"/>
      <c r="SUN32" s="340"/>
      <c r="SUO32" s="340"/>
      <c r="SUP32" s="340"/>
      <c r="SUQ32" s="340"/>
      <c r="SUR32" s="340"/>
      <c r="SUS32" s="340"/>
      <c r="SUT32" s="340"/>
      <c r="SUU32" s="340"/>
      <c r="SUV32" s="340"/>
      <c r="SUW32" s="340"/>
      <c r="SUX32" s="340"/>
      <c r="SUY32" s="340"/>
      <c r="SUZ32" s="340"/>
      <c r="SVA32" s="340"/>
      <c r="SVB32" s="340"/>
      <c r="SVC32" s="340"/>
      <c r="SVD32" s="340"/>
      <c r="SVE32" s="340"/>
      <c r="SVF32" s="340"/>
      <c r="SVG32" s="340"/>
      <c r="SVH32" s="340"/>
      <c r="SVI32" s="340"/>
      <c r="SVJ32" s="340"/>
      <c r="SVK32" s="340"/>
      <c r="SVL32" s="340"/>
      <c r="SVM32" s="340"/>
      <c r="SVN32" s="340"/>
      <c r="SVO32" s="340"/>
      <c r="SVP32" s="340"/>
      <c r="SVQ32" s="340"/>
      <c r="SVR32" s="340"/>
      <c r="SVS32" s="340"/>
      <c r="SVT32" s="340"/>
      <c r="SVU32" s="340"/>
      <c r="SVV32" s="340"/>
      <c r="SVW32" s="340"/>
      <c r="SVX32" s="340"/>
      <c r="SVY32" s="340"/>
      <c r="SVZ32" s="340"/>
      <c r="SWA32" s="340"/>
      <c r="SWB32" s="340"/>
      <c r="SWC32" s="340"/>
      <c r="SWD32" s="340"/>
      <c r="SWE32" s="340"/>
      <c r="SWF32" s="340"/>
      <c r="SWG32" s="340"/>
      <c r="SWH32" s="340"/>
      <c r="SWI32" s="340"/>
      <c r="SWJ32" s="340"/>
      <c r="SWK32" s="340"/>
      <c r="SWL32" s="340"/>
      <c r="SWM32" s="340"/>
      <c r="SWN32" s="340"/>
      <c r="SWO32" s="340"/>
      <c r="SWP32" s="340"/>
      <c r="SWQ32" s="340"/>
      <c r="SWR32" s="340"/>
      <c r="SWS32" s="340"/>
      <c r="SWT32" s="340"/>
      <c r="SWU32" s="340"/>
      <c r="SWV32" s="340"/>
      <c r="SWW32" s="340"/>
      <c r="SWX32" s="340"/>
      <c r="SWY32" s="340"/>
      <c r="SWZ32" s="340"/>
      <c r="SXA32" s="340"/>
      <c r="SXB32" s="340"/>
      <c r="SXC32" s="340"/>
      <c r="SXD32" s="340"/>
      <c r="SXE32" s="340"/>
      <c r="SXF32" s="340"/>
      <c r="SXG32" s="340"/>
      <c r="SXH32" s="340"/>
      <c r="SXI32" s="340"/>
      <c r="SXJ32" s="340"/>
      <c r="SXK32" s="340"/>
      <c r="SXL32" s="340"/>
      <c r="SXM32" s="340"/>
      <c r="SXN32" s="340"/>
      <c r="SXO32" s="340"/>
      <c r="SXP32" s="340"/>
      <c r="SXQ32" s="340"/>
      <c r="SXR32" s="340"/>
      <c r="SXS32" s="340"/>
      <c r="SXT32" s="340"/>
      <c r="SXU32" s="340"/>
      <c r="SXV32" s="340"/>
      <c r="SXW32" s="340"/>
      <c r="SXX32" s="340"/>
      <c r="SXY32" s="340"/>
      <c r="SXZ32" s="340"/>
      <c r="SYA32" s="340"/>
      <c r="SYB32" s="340"/>
      <c r="SYC32" s="340"/>
      <c r="SYD32" s="340"/>
      <c r="SYE32" s="340"/>
      <c r="SYF32" s="340"/>
      <c r="SYG32" s="340"/>
      <c r="SYH32" s="340"/>
      <c r="SYI32" s="340"/>
      <c r="SYJ32" s="340"/>
      <c r="SYK32" s="340"/>
      <c r="SYL32" s="340"/>
      <c r="SYM32" s="340"/>
      <c r="SYN32" s="340"/>
      <c r="SYO32" s="340"/>
      <c r="SYP32" s="340"/>
      <c r="SYQ32" s="340"/>
      <c r="SYR32" s="340"/>
      <c r="SYS32" s="340"/>
      <c r="SYT32" s="340"/>
      <c r="SYU32" s="340"/>
      <c r="SYV32" s="340"/>
      <c r="SYW32" s="340"/>
      <c r="SYX32" s="340"/>
      <c r="SYY32" s="340"/>
      <c r="SYZ32" s="340"/>
      <c r="SZA32" s="340"/>
      <c r="SZB32" s="340"/>
      <c r="SZC32" s="340"/>
      <c r="SZD32" s="340"/>
      <c r="SZE32" s="340"/>
      <c r="SZF32" s="340"/>
      <c r="SZG32" s="340"/>
      <c r="SZH32" s="340"/>
      <c r="SZI32" s="340"/>
      <c r="SZJ32" s="340"/>
      <c r="SZK32" s="340"/>
      <c r="SZL32" s="340"/>
      <c r="SZM32" s="340"/>
      <c r="SZN32" s="340"/>
      <c r="SZO32" s="340"/>
      <c r="SZP32" s="340"/>
      <c r="SZQ32" s="340"/>
      <c r="SZR32" s="340"/>
      <c r="SZS32" s="340"/>
      <c r="SZT32" s="340"/>
      <c r="SZU32" s="340"/>
      <c r="SZV32" s="340"/>
      <c r="SZW32" s="340"/>
      <c r="SZX32" s="340"/>
      <c r="SZY32" s="340"/>
      <c r="SZZ32" s="340"/>
      <c r="TAA32" s="340"/>
      <c r="TAB32" s="340"/>
      <c r="TAC32" s="340"/>
      <c r="TAD32" s="340"/>
      <c r="TAE32" s="340"/>
      <c r="TAF32" s="340"/>
      <c r="TAG32" s="340"/>
      <c r="TAH32" s="340"/>
      <c r="TAI32" s="340"/>
      <c r="TAJ32" s="340"/>
      <c r="TAK32" s="340"/>
      <c r="TAL32" s="340"/>
      <c r="TAM32" s="340"/>
      <c r="TAN32" s="340"/>
      <c r="TAO32" s="340"/>
      <c r="TAP32" s="340"/>
      <c r="TAQ32" s="340"/>
      <c r="TAR32" s="340"/>
      <c r="TAS32" s="340"/>
      <c r="TAT32" s="340"/>
      <c r="TAU32" s="340"/>
      <c r="TAV32" s="340"/>
      <c r="TAW32" s="340"/>
      <c r="TAX32" s="340"/>
      <c r="TAY32" s="340"/>
      <c r="TAZ32" s="340"/>
      <c r="TBA32" s="340"/>
      <c r="TBB32" s="340"/>
      <c r="TBC32" s="340"/>
      <c r="TBD32" s="340"/>
      <c r="TBE32" s="340"/>
      <c r="TBF32" s="340"/>
      <c r="TBG32" s="340"/>
      <c r="TBH32" s="340"/>
      <c r="TBI32" s="340"/>
      <c r="TBJ32" s="340"/>
      <c r="TBK32" s="340"/>
      <c r="TBL32" s="340"/>
      <c r="TBM32" s="340"/>
      <c r="TBN32" s="340"/>
      <c r="TBO32" s="340"/>
      <c r="TBP32" s="340"/>
      <c r="TBQ32" s="340"/>
      <c r="TBR32" s="340"/>
      <c r="TBS32" s="340"/>
      <c r="TBT32" s="340"/>
      <c r="TBU32" s="340"/>
      <c r="TBV32" s="340"/>
      <c r="TBW32" s="340"/>
      <c r="TBX32" s="340"/>
      <c r="TBY32" s="340"/>
      <c r="TBZ32" s="340"/>
      <c r="TCA32" s="340"/>
      <c r="TCB32" s="340"/>
      <c r="TCC32" s="340"/>
      <c r="TCD32" s="340"/>
      <c r="TCE32" s="340"/>
      <c r="TCF32" s="340"/>
      <c r="TCG32" s="340"/>
      <c r="TCH32" s="340"/>
      <c r="TCI32" s="340"/>
      <c r="TCJ32" s="340"/>
      <c r="TCK32" s="340"/>
      <c r="TCL32" s="340"/>
      <c r="TCM32" s="340"/>
      <c r="TCN32" s="340"/>
      <c r="TCO32" s="340"/>
      <c r="TCP32" s="340"/>
      <c r="TCQ32" s="340"/>
      <c r="TCR32" s="340"/>
      <c r="TCS32" s="340"/>
      <c r="TCT32" s="340"/>
      <c r="TCU32" s="340"/>
      <c r="TCV32" s="340"/>
      <c r="TCW32" s="340"/>
      <c r="TCX32" s="340"/>
      <c r="TCY32" s="340"/>
      <c r="TCZ32" s="340"/>
      <c r="TDA32" s="340"/>
      <c r="TDB32" s="340"/>
      <c r="TDC32" s="340"/>
      <c r="TDD32" s="340"/>
      <c r="TDE32" s="340"/>
      <c r="TDF32" s="340"/>
      <c r="TDG32" s="340"/>
      <c r="TDH32" s="340"/>
      <c r="TDI32" s="340"/>
      <c r="TDJ32" s="340"/>
      <c r="TDK32" s="340"/>
      <c r="TDL32" s="340"/>
      <c r="TDM32" s="340"/>
      <c r="TDN32" s="340"/>
      <c r="TDO32" s="340"/>
      <c r="TDP32" s="340"/>
      <c r="TDQ32" s="340"/>
      <c r="TDR32" s="340"/>
      <c r="TDS32" s="340"/>
      <c r="TDT32" s="340"/>
      <c r="TDU32" s="340"/>
      <c r="TDV32" s="340"/>
      <c r="TDW32" s="340"/>
      <c r="TDX32" s="340"/>
      <c r="TDY32" s="340"/>
      <c r="TDZ32" s="340"/>
      <c r="TEA32" s="340"/>
      <c r="TEB32" s="340"/>
      <c r="TEC32" s="340"/>
      <c r="TED32" s="340"/>
      <c r="TEE32" s="340"/>
      <c r="TEF32" s="340"/>
      <c r="TEG32" s="340"/>
      <c r="TEH32" s="340"/>
      <c r="TEI32" s="340"/>
      <c r="TEJ32" s="340"/>
      <c r="TEK32" s="340"/>
      <c r="TEL32" s="340"/>
      <c r="TEM32" s="340"/>
      <c r="TEN32" s="340"/>
      <c r="TEO32" s="340"/>
      <c r="TEP32" s="340"/>
      <c r="TEQ32" s="340"/>
      <c r="TER32" s="340"/>
      <c r="TES32" s="340"/>
      <c r="TET32" s="340"/>
      <c r="TEU32" s="340"/>
      <c r="TEV32" s="340"/>
      <c r="TEW32" s="340"/>
      <c r="TEX32" s="340"/>
      <c r="TEY32" s="340"/>
      <c r="TEZ32" s="340"/>
      <c r="TFA32" s="340"/>
      <c r="TFB32" s="340"/>
      <c r="TFC32" s="340"/>
      <c r="TFD32" s="340"/>
      <c r="TFE32" s="340"/>
      <c r="TFF32" s="340"/>
      <c r="TFG32" s="340"/>
      <c r="TFH32" s="340"/>
      <c r="TFI32" s="340"/>
      <c r="TFJ32" s="340"/>
      <c r="TFK32" s="340"/>
      <c r="TFL32" s="340"/>
      <c r="TFM32" s="340"/>
      <c r="TFN32" s="340"/>
      <c r="TFO32" s="340"/>
      <c r="TFP32" s="340"/>
      <c r="TFQ32" s="340"/>
      <c r="TFR32" s="340"/>
      <c r="TFS32" s="340"/>
      <c r="TFT32" s="340"/>
      <c r="TFU32" s="340"/>
      <c r="TFV32" s="340"/>
      <c r="TFW32" s="340"/>
      <c r="TFX32" s="340"/>
      <c r="TFY32" s="340"/>
      <c r="TFZ32" s="340"/>
      <c r="TGA32" s="340"/>
      <c r="TGB32" s="340"/>
      <c r="TGC32" s="340"/>
      <c r="TGD32" s="340"/>
      <c r="TGE32" s="340"/>
      <c r="TGF32" s="340"/>
      <c r="TGG32" s="340"/>
      <c r="TGH32" s="340"/>
      <c r="TGI32" s="340"/>
      <c r="TGJ32" s="340"/>
      <c r="TGK32" s="340"/>
      <c r="TGL32" s="340"/>
      <c r="TGM32" s="340"/>
      <c r="TGN32" s="340"/>
      <c r="TGO32" s="340"/>
      <c r="TGP32" s="340"/>
      <c r="TGQ32" s="340"/>
      <c r="TGR32" s="340"/>
      <c r="TGS32" s="340"/>
      <c r="TGT32" s="340"/>
      <c r="TGU32" s="340"/>
      <c r="TGV32" s="340"/>
      <c r="TGW32" s="340"/>
      <c r="TGX32" s="340"/>
      <c r="TGY32" s="340"/>
      <c r="TGZ32" s="340"/>
      <c r="THA32" s="340"/>
      <c r="THB32" s="340"/>
      <c r="THC32" s="340"/>
      <c r="THD32" s="340"/>
      <c r="THE32" s="340"/>
      <c r="THF32" s="340"/>
      <c r="THG32" s="340"/>
      <c r="THH32" s="340"/>
      <c r="THI32" s="340"/>
      <c r="THJ32" s="340"/>
      <c r="THK32" s="340"/>
      <c r="THL32" s="340"/>
      <c r="THM32" s="340"/>
      <c r="THN32" s="340"/>
      <c r="THO32" s="340"/>
      <c r="THP32" s="340"/>
      <c r="THQ32" s="340"/>
      <c r="THR32" s="340"/>
      <c r="THS32" s="340"/>
      <c r="THT32" s="340"/>
      <c r="THU32" s="340"/>
      <c r="THV32" s="340"/>
      <c r="THW32" s="340"/>
      <c r="THX32" s="340"/>
      <c r="THY32" s="340"/>
      <c r="THZ32" s="340"/>
      <c r="TIA32" s="340"/>
      <c r="TIB32" s="340"/>
      <c r="TIC32" s="340"/>
      <c r="TID32" s="340"/>
      <c r="TIE32" s="340"/>
      <c r="TIF32" s="340"/>
      <c r="TIG32" s="340"/>
      <c r="TIH32" s="340"/>
      <c r="TII32" s="340"/>
      <c r="TIJ32" s="340"/>
      <c r="TIK32" s="340"/>
      <c r="TIL32" s="340"/>
      <c r="TIM32" s="340"/>
      <c r="TIN32" s="340"/>
      <c r="TIO32" s="340"/>
      <c r="TIP32" s="340"/>
      <c r="TIQ32" s="340"/>
      <c r="TIR32" s="340"/>
      <c r="TIS32" s="340"/>
      <c r="TIT32" s="340"/>
      <c r="TIU32" s="340"/>
      <c r="TIV32" s="340"/>
      <c r="TIW32" s="340"/>
      <c r="TIX32" s="340"/>
      <c r="TIY32" s="340"/>
      <c r="TIZ32" s="340"/>
      <c r="TJA32" s="340"/>
      <c r="TJB32" s="340"/>
      <c r="TJC32" s="340"/>
      <c r="TJD32" s="340"/>
      <c r="TJE32" s="340"/>
      <c r="TJF32" s="340"/>
      <c r="TJG32" s="340"/>
      <c r="TJH32" s="340"/>
      <c r="TJI32" s="340"/>
      <c r="TJJ32" s="340"/>
      <c r="TJK32" s="340"/>
      <c r="TJL32" s="340"/>
      <c r="TJM32" s="340"/>
      <c r="TJN32" s="340"/>
      <c r="TJO32" s="340"/>
      <c r="TJP32" s="340"/>
      <c r="TJQ32" s="340"/>
      <c r="TJR32" s="340"/>
      <c r="TJS32" s="340"/>
      <c r="TJT32" s="340"/>
      <c r="TJU32" s="340"/>
      <c r="TJV32" s="340"/>
      <c r="TJW32" s="340"/>
      <c r="TJX32" s="340"/>
      <c r="TJY32" s="340"/>
      <c r="TJZ32" s="340"/>
      <c r="TKA32" s="340"/>
      <c r="TKB32" s="340"/>
      <c r="TKC32" s="340"/>
      <c r="TKD32" s="340"/>
      <c r="TKE32" s="340"/>
      <c r="TKF32" s="340"/>
      <c r="TKG32" s="340"/>
      <c r="TKH32" s="340"/>
      <c r="TKI32" s="340"/>
      <c r="TKJ32" s="340"/>
      <c r="TKK32" s="340"/>
      <c r="TKL32" s="340"/>
      <c r="TKM32" s="340"/>
      <c r="TKN32" s="340"/>
      <c r="TKO32" s="340"/>
      <c r="TKP32" s="340"/>
      <c r="TKQ32" s="340"/>
      <c r="TKR32" s="340"/>
      <c r="TKS32" s="340"/>
      <c r="TKT32" s="340"/>
      <c r="TKU32" s="340"/>
      <c r="TKV32" s="340"/>
      <c r="TKW32" s="340"/>
      <c r="TKX32" s="340"/>
      <c r="TKY32" s="340"/>
      <c r="TKZ32" s="340"/>
      <c r="TLA32" s="340"/>
      <c r="TLB32" s="340"/>
      <c r="TLC32" s="340"/>
      <c r="TLD32" s="340"/>
      <c r="TLE32" s="340"/>
      <c r="TLF32" s="340"/>
      <c r="TLG32" s="340"/>
      <c r="TLH32" s="340"/>
      <c r="TLI32" s="340"/>
      <c r="TLJ32" s="340"/>
      <c r="TLK32" s="340"/>
      <c r="TLL32" s="340"/>
      <c r="TLM32" s="340"/>
      <c r="TLN32" s="340"/>
      <c r="TLO32" s="340"/>
      <c r="TLP32" s="340"/>
      <c r="TLQ32" s="340"/>
      <c r="TLR32" s="340"/>
      <c r="TLS32" s="340"/>
      <c r="TLT32" s="340"/>
      <c r="TLU32" s="340"/>
      <c r="TLV32" s="340"/>
      <c r="TLW32" s="340"/>
      <c r="TLX32" s="340"/>
      <c r="TLY32" s="340"/>
      <c r="TLZ32" s="340"/>
      <c r="TMA32" s="340"/>
      <c r="TMB32" s="340"/>
      <c r="TMC32" s="340"/>
      <c r="TMD32" s="340"/>
      <c r="TME32" s="340"/>
      <c r="TMF32" s="340"/>
      <c r="TMG32" s="340"/>
      <c r="TMH32" s="340"/>
      <c r="TMI32" s="340"/>
      <c r="TMJ32" s="340"/>
      <c r="TMK32" s="340"/>
      <c r="TML32" s="340"/>
      <c r="TMM32" s="340"/>
      <c r="TMN32" s="340"/>
      <c r="TMO32" s="340"/>
      <c r="TMP32" s="340"/>
      <c r="TMQ32" s="340"/>
      <c r="TMR32" s="340"/>
      <c r="TMS32" s="340"/>
      <c r="TMT32" s="340"/>
      <c r="TMU32" s="340"/>
      <c r="TMV32" s="340"/>
      <c r="TMW32" s="340"/>
      <c r="TMX32" s="340"/>
      <c r="TMY32" s="340"/>
      <c r="TMZ32" s="340"/>
      <c r="TNA32" s="340"/>
      <c r="TNB32" s="340"/>
      <c r="TNC32" s="340"/>
      <c r="TND32" s="340"/>
      <c r="TNE32" s="340"/>
      <c r="TNF32" s="340"/>
      <c r="TNG32" s="340"/>
      <c r="TNH32" s="340"/>
      <c r="TNI32" s="340"/>
      <c r="TNJ32" s="340"/>
      <c r="TNK32" s="340"/>
      <c r="TNL32" s="340"/>
      <c r="TNM32" s="340"/>
      <c r="TNN32" s="340"/>
      <c r="TNO32" s="340"/>
      <c r="TNP32" s="340"/>
      <c r="TNQ32" s="340"/>
      <c r="TNR32" s="340"/>
      <c r="TNS32" s="340"/>
      <c r="TNT32" s="340"/>
      <c r="TNU32" s="340"/>
      <c r="TNV32" s="340"/>
      <c r="TNW32" s="340"/>
      <c r="TNX32" s="340"/>
      <c r="TNY32" s="340"/>
      <c r="TNZ32" s="340"/>
      <c r="TOA32" s="340"/>
      <c r="TOB32" s="340"/>
      <c r="TOC32" s="340"/>
      <c r="TOD32" s="340"/>
      <c r="TOE32" s="340"/>
      <c r="TOF32" s="340"/>
      <c r="TOG32" s="340"/>
      <c r="TOH32" s="340"/>
      <c r="TOI32" s="340"/>
      <c r="TOJ32" s="340"/>
      <c r="TOK32" s="340"/>
      <c r="TOL32" s="340"/>
      <c r="TOM32" s="340"/>
      <c r="TON32" s="340"/>
      <c r="TOO32" s="340"/>
      <c r="TOP32" s="340"/>
      <c r="TOQ32" s="340"/>
      <c r="TOR32" s="340"/>
      <c r="TOS32" s="340"/>
      <c r="TOT32" s="340"/>
      <c r="TOU32" s="340"/>
      <c r="TOV32" s="340"/>
      <c r="TOW32" s="340"/>
      <c r="TOX32" s="340"/>
      <c r="TOY32" s="340"/>
      <c r="TOZ32" s="340"/>
      <c r="TPA32" s="340"/>
      <c r="TPB32" s="340"/>
      <c r="TPC32" s="340"/>
      <c r="TPD32" s="340"/>
      <c r="TPE32" s="340"/>
      <c r="TPF32" s="340"/>
      <c r="TPG32" s="340"/>
      <c r="TPH32" s="340"/>
      <c r="TPI32" s="340"/>
      <c r="TPJ32" s="340"/>
      <c r="TPK32" s="340"/>
      <c r="TPL32" s="340"/>
      <c r="TPM32" s="340"/>
      <c r="TPN32" s="340"/>
      <c r="TPO32" s="340"/>
      <c r="TPP32" s="340"/>
      <c r="TPQ32" s="340"/>
      <c r="TPR32" s="340"/>
      <c r="TPS32" s="340"/>
      <c r="TPT32" s="340"/>
      <c r="TPU32" s="340"/>
      <c r="TPV32" s="340"/>
      <c r="TPW32" s="340"/>
      <c r="TPX32" s="340"/>
      <c r="TPY32" s="340"/>
      <c r="TPZ32" s="340"/>
      <c r="TQA32" s="340"/>
      <c r="TQB32" s="340"/>
      <c r="TQC32" s="340"/>
      <c r="TQD32" s="340"/>
      <c r="TQE32" s="340"/>
      <c r="TQF32" s="340"/>
      <c r="TQG32" s="340"/>
      <c r="TQH32" s="340"/>
      <c r="TQI32" s="340"/>
      <c r="TQJ32" s="340"/>
      <c r="TQK32" s="340"/>
      <c r="TQL32" s="340"/>
      <c r="TQM32" s="340"/>
      <c r="TQN32" s="340"/>
      <c r="TQO32" s="340"/>
      <c r="TQP32" s="340"/>
      <c r="TQQ32" s="340"/>
      <c r="TQR32" s="340"/>
      <c r="TQS32" s="340"/>
      <c r="TQT32" s="340"/>
      <c r="TQU32" s="340"/>
      <c r="TQV32" s="340"/>
      <c r="TQW32" s="340"/>
      <c r="TQX32" s="340"/>
      <c r="TQY32" s="340"/>
      <c r="TQZ32" s="340"/>
      <c r="TRA32" s="340"/>
      <c r="TRB32" s="340"/>
      <c r="TRC32" s="340"/>
      <c r="TRD32" s="340"/>
      <c r="TRE32" s="340"/>
      <c r="TRF32" s="340"/>
      <c r="TRG32" s="340"/>
      <c r="TRH32" s="340"/>
      <c r="TRI32" s="340"/>
      <c r="TRJ32" s="340"/>
      <c r="TRK32" s="340"/>
      <c r="TRL32" s="340"/>
      <c r="TRM32" s="340"/>
      <c r="TRN32" s="340"/>
      <c r="TRO32" s="340"/>
      <c r="TRP32" s="340"/>
      <c r="TRQ32" s="340"/>
      <c r="TRR32" s="340"/>
      <c r="TRS32" s="340"/>
      <c r="TRT32" s="340"/>
      <c r="TRU32" s="340"/>
      <c r="TRV32" s="340"/>
      <c r="TRW32" s="340"/>
      <c r="TRX32" s="340"/>
      <c r="TRY32" s="340"/>
      <c r="TRZ32" s="340"/>
      <c r="TSA32" s="340"/>
      <c r="TSB32" s="340"/>
      <c r="TSC32" s="340"/>
      <c r="TSD32" s="340"/>
      <c r="TSE32" s="340"/>
      <c r="TSF32" s="340"/>
      <c r="TSG32" s="340"/>
      <c r="TSH32" s="340"/>
      <c r="TSI32" s="340"/>
      <c r="TSJ32" s="340"/>
      <c r="TSK32" s="340"/>
      <c r="TSL32" s="340"/>
      <c r="TSM32" s="340"/>
      <c r="TSN32" s="340"/>
      <c r="TSO32" s="340"/>
      <c r="TSP32" s="340"/>
      <c r="TSQ32" s="340"/>
      <c r="TSR32" s="340"/>
      <c r="TSS32" s="340"/>
      <c r="TST32" s="340"/>
      <c r="TSU32" s="340"/>
      <c r="TSV32" s="340"/>
      <c r="TSW32" s="340"/>
      <c r="TSX32" s="340"/>
      <c r="TSY32" s="340"/>
      <c r="TSZ32" s="340"/>
      <c r="TTA32" s="340"/>
      <c r="TTB32" s="340"/>
      <c r="TTC32" s="340"/>
      <c r="TTD32" s="340"/>
      <c r="TTE32" s="340"/>
      <c r="TTF32" s="340"/>
      <c r="TTG32" s="340"/>
      <c r="TTH32" s="340"/>
      <c r="TTI32" s="340"/>
      <c r="TTJ32" s="340"/>
      <c r="TTK32" s="340"/>
      <c r="TTL32" s="340"/>
      <c r="TTM32" s="340"/>
      <c r="TTN32" s="340"/>
      <c r="TTO32" s="340"/>
      <c r="TTP32" s="340"/>
      <c r="TTQ32" s="340"/>
      <c r="TTR32" s="340"/>
      <c r="TTS32" s="340"/>
      <c r="TTT32" s="340"/>
      <c r="TTU32" s="340"/>
      <c r="TTV32" s="340"/>
      <c r="TTW32" s="340"/>
      <c r="TTX32" s="340"/>
      <c r="TTY32" s="340"/>
      <c r="TTZ32" s="340"/>
      <c r="TUA32" s="340"/>
      <c r="TUB32" s="340"/>
      <c r="TUC32" s="340"/>
      <c r="TUD32" s="340"/>
      <c r="TUE32" s="340"/>
      <c r="TUF32" s="340"/>
      <c r="TUG32" s="340"/>
      <c r="TUH32" s="340"/>
      <c r="TUI32" s="340"/>
      <c r="TUJ32" s="340"/>
      <c r="TUK32" s="340"/>
      <c r="TUL32" s="340"/>
      <c r="TUM32" s="340"/>
      <c r="TUN32" s="340"/>
      <c r="TUO32" s="340"/>
      <c r="TUP32" s="340"/>
      <c r="TUQ32" s="340"/>
      <c r="TUR32" s="340"/>
      <c r="TUS32" s="340"/>
      <c r="TUT32" s="340"/>
      <c r="TUU32" s="340"/>
      <c r="TUV32" s="340"/>
      <c r="TUW32" s="340"/>
      <c r="TUX32" s="340"/>
      <c r="TUY32" s="340"/>
      <c r="TUZ32" s="340"/>
      <c r="TVA32" s="340"/>
      <c r="TVB32" s="340"/>
      <c r="TVC32" s="340"/>
      <c r="TVD32" s="340"/>
      <c r="TVE32" s="340"/>
      <c r="TVF32" s="340"/>
      <c r="TVG32" s="340"/>
      <c r="TVH32" s="340"/>
      <c r="TVI32" s="340"/>
      <c r="TVJ32" s="340"/>
      <c r="TVK32" s="340"/>
      <c r="TVL32" s="340"/>
      <c r="TVM32" s="340"/>
      <c r="TVN32" s="340"/>
      <c r="TVO32" s="340"/>
      <c r="TVP32" s="340"/>
      <c r="TVQ32" s="340"/>
      <c r="TVR32" s="340"/>
      <c r="TVS32" s="340"/>
      <c r="TVT32" s="340"/>
      <c r="TVU32" s="340"/>
      <c r="TVV32" s="340"/>
      <c r="TVW32" s="340"/>
      <c r="TVX32" s="340"/>
      <c r="TVY32" s="340"/>
      <c r="TVZ32" s="340"/>
      <c r="TWA32" s="340"/>
      <c r="TWB32" s="340"/>
      <c r="TWC32" s="340"/>
      <c r="TWD32" s="340"/>
      <c r="TWE32" s="340"/>
      <c r="TWF32" s="340"/>
      <c r="TWG32" s="340"/>
      <c r="TWH32" s="340"/>
      <c r="TWI32" s="340"/>
      <c r="TWJ32" s="340"/>
      <c r="TWK32" s="340"/>
      <c r="TWL32" s="340"/>
      <c r="TWM32" s="340"/>
      <c r="TWN32" s="340"/>
      <c r="TWO32" s="340"/>
      <c r="TWP32" s="340"/>
      <c r="TWQ32" s="340"/>
      <c r="TWR32" s="340"/>
      <c r="TWS32" s="340"/>
      <c r="TWT32" s="340"/>
      <c r="TWU32" s="340"/>
      <c r="TWV32" s="340"/>
      <c r="TWW32" s="340"/>
      <c r="TWX32" s="340"/>
      <c r="TWY32" s="340"/>
      <c r="TWZ32" s="340"/>
      <c r="TXA32" s="340"/>
      <c r="TXB32" s="340"/>
      <c r="TXC32" s="340"/>
      <c r="TXD32" s="340"/>
      <c r="TXE32" s="340"/>
      <c r="TXF32" s="340"/>
      <c r="TXG32" s="340"/>
      <c r="TXH32" s="340"/>
      <c r="TXI32" s="340"/>
      <c r="TXJ32" s="340"/>
      <c r="TXK32" s="340"/>
      <c r="TXL32" s="340"/>
      <c r="TXM32" s="340"/>
      <c r="TXN32" s="340"/>
      <c r="TXO32" s="340"/>
      <c r="TXP32" s="340"/>
      <c r="TXQ32" s="340"/>
      <c r="TXR32" s="340"/>
      <c r="TXS32" s="340"/>
      <c r="TXT32" s="340"/>
      <c r="TXU32" s="340"/>
      <c r="TXV32" s="340"/>
      <c r="TXW32" s="340"/>
      <c r="TXX32" s="340"/>
      <c r="TXY32" s="340"/>
      <c r="TXZ32" s="340"/>
      <c r="TYA32" s="340"/>
      <c r="TYB32" s="340"/>
      <c r="TYC32" s="340"/>
      <c r="TYD32" s="340"/>
      <c r="TYE32" s="340"/>
      <c r="TYF32" s="340"/>
      <c r="TYG32" s="340"/>
      <c r="TYH32" s="340"/>
      <c r="TYI32" s="340"/>
      <c r="TYJ32" s="340"/>
      <c r="TYK32" s="340"/>
      <c r="TYL32" s="340"/>
      <c r="TYM32" s="340"/>
      <c r="TYN32" s="340"/>
      <c r="TYO32" s="340"/>
      <c r="TYP32" s="340"/>
      <c r="TYQ32" s="340"/>
      <c r="TYR32" s="340"/>
      <c r="TYS32" s="340"/>
      <c r="TYT32" s="340"/>
      <c r="TYU32" s="340"/>
      <c r="TYV32" s="340"/>
      <c r="TYW32" s="340"/>
      <c r="TYX32" s="340"/>
      <c r="TYY32" s="340"/>
      <c r="TYZ32" s="340"/>
      <c r="TZA32" s="340"/>
      <c r="TZB32" s="340"/>
      <c r="TZC32" s="340"/>
      <c r="TZD32" s="340"/>
      <c r="TZE32" s="340"/>
      <c r="TZF32" s="340"/>
      <c r="TZG32" s="340"/>
      <c r="TZH32" s="340"/>
      <c r="TZI32" s="340"/>
      <c r="TZJ32" s="340"/>
      <c r="TZK32" s="340"/>
      <c r="TZL32" s="340"/>
      <c r="TZM32" s="340"/>
      <c r="TZN32" s="340"/>
      <c r="TZO32" s="340"/>
      <c r="TZP32" s="340"/>
      <c r="TZQ32" s="340"/>
      <c r="TZR32" s="340"/>
      <c r="TZS32" s="340"/>
      <c r="TZT32" s="340"/>
      <c r="TZU32" s="340"/>
      <c r="TZV32" s="340"/>
      <c r="TZW32" s="340"/>
      <c r="TZX32" s="340"/>
      <c r="TZY32" s="340"/>
      <c r="TZZ32" s="340"/>
      <c r="UAA32" s="340"/>
      <c r="UAB32" s="340"/>
      <c r="UAC32" s="340"/>
      <c r="UAD32" s="340"/>
      <c r="UAE32" s="340"/>
      <c r="UAF32" s="340"/>
      <c r="UAG32" s="340"/>
      <c r="UAH32" s="340"/>
      <c r="UAI32" s="340"/>
      <c r="UAJ32" s="340"/>
      <c r="UAK32" s="340"/>
      <c r="UAL32" s="340"/>
      <c r="UAM32" s="340"/>
      <c r="UAN32" s="340"/>
      <c r="UAO32" s="340"/>
      <c r="UAP32" s="340"/>
      <c r="UAQ32" s="340"/>
      <c r="UAR32" s="340"/>
      <c r="UAS32" s="340"/>
      <c r="UAT32" s="340"/>
      <c r="UAU32" s="340"/>
      <c r="UAV32" s="340"/>
      <c r="UAW32" s="340"/>
      <c r="UAX32" s="340"/>
      <c r="UAY32" s="340"/>
      <c r="UAZ32" s="340"/>
      <c r="UBA32" s="340"/>
      <c r="UBB32" s="340"/>
      <c r="UBC32" s="340"/>
      <c r="UBD32" s="340"/>
      <c r="UBE32" s="340"/>
      <c r="UBF32" s="340"/>
      <c r="UBG32" s="340"/>
      <c r="UBH32" s="340"/>
      <c r="UBI32" s="340"/>
      <c r="UBJ32" s="340"/>
      <c r="UBK32" s="340"/>
      <c r="UBL32" s="340"/>
      <c r="UBM32" s="340"/>
      <c r="UBN32" s="340"/>
      <c r="UBO32" s="340"/>
      <c r="UBP32" s="340"/>
      <c r="UBQ32" s="340"/>
      <c r="UBR32" s="340"/>
      <c r="UBS32" s="340"/>
      <c r="UBT32" s="340"/>
      <c r="UBU32" s="340"/>
      <c r="UBV32" s="340"/>
      <c r="UBW32" s="340"/>
      <c r="UBX32" s="340"/>
      <c r="UBY32" s="340"/>
      <c r="UBZ32" s="340"/>
      <c r="UCA32" s="340"/>
      <c r="UCB32" s="340"/>
      <c r="UCC32" s="340"/>
      <c r="UCD32" s="340"/>
      <c r="UCE32" s="340"/>
      <c r="UCF32" s="340"/>
      <c r="UCG32" s="340"/>
      <c r="UCH32" s="340"/>
      <c r="UCI32" s="340"/>
      <c r="UCJ32" s="340"/>
      <c r="UCK32" s="340"/>
      <c r="UCL32" s="340"/>
      <c r="UCM32" s="340"/>
      <c r="UCN32" s="340"/>
      <c r="UCO32" s="340"/>
      <c r="UCP32" s="340"/>
      <c r="UCQ32" s="340"/>
      <c r="UCR32" s="340"/>
      <c r="UCS32" s="340"/>
      <c r="UCT32" s="340"/>
      <c r="UCU32" s="340"/>
      <c r="UCV32" s="340"/>
      <c r="UCW32" s="340"/>
      <c r="UCX32" s="340"/>
      <c r="UCY32" s="340"/>
      <c r="UCZ32" s="340"/>
      <c r="UDA32" s="340"/>
      <c r="UDB32" s="340"/>
      <c r="UDC32" s="340"/>
      <c r="UDD32" s="340"/>
      <c r="UDE32" s="340"/>
      <c r="UDF32" s="340"/>
      <c r="UDG32" s="340"/>
      <c r="UDH32" s="340"/>
      <c r="UDI32" s="340"/>
      <c r="UDJ32" s="340"/>
      <c r="UDK32" s="340"/>
      <c r="UDL32" s="340"/>
      <c r="UDM32" s="340"/>
      <c r="UDN32" s="340"/>
      <c r="UDO32" s="340"/>
      <c r="UDP32" s="340"/>
      <c r="UDQ32" s="340"/>
      <c r="UDR32" s="340"/>
      <c r="UDS32" s="340"/>
      <c r="UDT32" s="340"/>
      <c r="UDU32" s="340"/>
      <c r="UDV32" s="340"/>
      <c r="UDW32" s="340"/>
      <c r="UDX32" s="340"/>
      <c r="UDY32" s="340"/>
      <c r="UDZ32" s="340"/>
      <c r="UEA32" s="340"/>
      <c r="UEB32" s="340"/>
      <c r="UEC32" s="340"/>
      <c r="UED32" s="340"/>
      <c r="UEE32" s="340"/>
      <c r="UEF32" s="340"/>
      <c r="UEG32" s="340"/>
      <c r="UEH32" s="340"/>
      <c r="UEI32" s="340"/>
      <c r="UEJ32" s="340"/>
      <c r="UEK32" s="340"/>
      <c r="UEL32" s="340"/>
      <c r="UEM32" s="340"/>
      <c r="UEN32" s="340"/>
      <c r="UEO32" s="340"/>
      <c r="UEP32" s="340"/>
      <c r="UEQ32" s="340"/>
      <c r="UER32" s="340"/>
      <c r="UES32" s="340"/>
      <c r="UET32" s="340"/>
      <c r="UEU32" s="340"/>
      <c r="UEV32" s="340"/>
      <c r="UEW32" s="340"/>
      <c r="UEX32" s="340"/>
      <c r="UEY32" s="340"/>
      <c r="UEZ32" s="340"/>
      <c r="UFA32" s="340"/>
      <c r="UFB32" s="340"/>
      <c r="UFC32" s="340"/>
      <c r="UFD32" s="340"/>
      <c r="UFE32" s="340"/>
      <c r="UFF32" s="340"/>
      <c r="UFG32" s="340"/>
      <c r="UFH32" s="340"/>
      <c r="UFI32" s="340"/>
      <c r="UFJ32" s="340"/>
      <c r="UFK32" s="340"/>
      <c r="UFL32" s="340"/>
      <c r="UFM32" s="340"/>
      <c r="UFN32" s="340"/>
      <c r="UFO32" s="340"/>
      <c r="UFP32" s="340"/>
      <c r="UFQ32" s="340"/>
      <c r="UFR32" s="340"/>
      <c r="UFS32" s="340"/>
      <c r="UFT32" s="340"/>
      <c r="UFU32" s="340"/>
      <c r="UFV32" s="340"/>
      <c r="UFW32" s="340"/>
      <c r="UFX32" s="340"/>
      <c r="UFY32" s="340"/>
      <c r="UFZ32" s="340"/>
      <c r="UGA32" s="340"/>
      <c r="UGB32" s="340"/>
      <c r="UGC32" s="340"/>
      <c r="UGD32" s="340"/>
      <c r="UGE32" s="340"/>
      <c r="UGF32" s="340"/>
      <c r="UGG32" s="340"/>
      <c r="UGH32" s="340"/>
      <c r="UGI32" s="340"/>
      <c r="UGJ32" s="340"/>
      <c r="UGK32" s="340"/>
      <c r="UGL32" s="340"/>
      <c r="UGM32" s="340"/>
      <c r="UGN32" s="340"/>
      <c r="UGO32" s="340"/>
      <c r="UGP32" s="340"/>
      <c r="UGQ32" s="340"/>
      <c r="UGR32" s="340"/>
      <c r="UGS32" s="340"/>
      <c r="UGT32" s="340"/>
      <c r="UGU32" s="340"/>
      <c r="UGV32" s="340"/>
      <c r="UGW32" s="340"/>
      <c r="UGX32" s="340"/>
      <c r="UGY32" s="340"/>
      <c r="UGZ32" s="340"/>
      <c r="UHA32" s="340"/>
      <c r="UHB32" s="340"/>
      <c r="UHC32" s="340"/>
      <c r="UHD32" s="340"/>
      <c r="UHE32" s="340"/>
      <c r="UHF32" s="340"/>
      <c r="UHG32" s="340"/>
      <c r="UHH32" s="340"/>
      <c r="UHI32" s="340"/>
      <c r="UHJ32" s="340"/>
      <c r="UHK32" s="340"/>
      <c r="UHL32" s="340"/>
      <c r="UHM32" s="340"/>
      <c r="UHN32" s="340"/>
      <c r="UHO32" s="340"/>
      <c r="UHP32" s="340"/>
      <c r="UHQ32" s="340"/>
      <c r="UHR32" s="340"/>
      <c r="UHS32" s="340"/>
      <c r="UHT32" s="340"/>
      <c r="UHU32" s="340"/>
      <c r="UHV32" s="340"/>
      <c r="UHW32" s="340"/>
      <c r="UHX32" s="340"/>
      <c r="UHY32" s="340"/>
      <c r="UHZ32" s="340"/>
      <c r="UIA32" s="340"/>
      <c r="UIB32" s="340"/>
      <c r="UIC32" s="340"/>
      <c r="UID32" s="340"/>
      <c r="UIE32" s="340"/>
      <c r="UIF32" s="340"/>
      <c r="UIG32" s="340"/>
      <c r="UIH32" s="340"/>
      <c r="UII32" s="340"/>
      <c r="UIJ32" s="340"/>
      <c r="UIK32" s="340"/>
      <c r="UIL32" s="340"/>
      <c r="UIM32" s="340"/>
      <c r="UIN32" s="340"/>
      <c r="UIO32" s="340"/>
      <c r="UIP32" s="340"/>
      <c r="UIQ32" s="340"/>
      <c r="UIR32" s="340"/>
      <c r="UIS32" s="340"/>
      <c r="UIT32" s="340"/>
      <c r="UIU32" s="340"/>
      <c r="UIV32" s="340"/>
      <c r="UIW32" s="340"/>
      <c r="UIX32" s="340"/>
      <c r="UIY32" s="340"/>
      <c r="UIZ32" s="340"/>
      <c r="UJA32" s="340"/>
      <c r="UJB32" s="340"/>
      <c r="UJC32" s="340"/>
      <c r="UJD32" s="340"/>
      <c r="UJE32" s="340"/>
      <c r="UJF32" s="340"/>
      <c r="UJG32" s="340"/>
      <c r="UJH32" s="340"/>
      <c r="UJI32" s="340"/>
      <c r="UJJ32" s="340"/>
      <c r="UJK32" s="340"/>
      <c r="UJL32" s="340"/>
      <c r="UJM32" s="340"/>
      <c r="UJN32" s="340"/>
      <c r="UJO32" s="340"/>
      <c r="UJP32" s="340"/>
      <c r="UJQ32" s="340"/>
      <c r="UJR32" s="340"/>
      <c r="UJS32" s="340"/>
      <c r="UJT32" s="340"/>
      <c r="UJU32" s="340"/>
      <c r="UJV32" s="340"/>
      <c r="UJW32" s="340"/>
      <c r="UJX32" s="340"/>
      <c r="UJY32" s="340"/>
      <c r="UJZ32" s="340"/>
      <c r="UKA32" s="340"/>
      <c r="UKB32" s="340"/>
      <c r="UKC32" s="340"/>
      <c r="UKD32" s="340"/>
      <c r="UKE32" s="340"/>
      <c r="UKF32" s="340"/>
      <c r="UKG32" s="340"/>
      <c r="UKH32" s="340"/>
      <c r="UKI32" s="340"/>
      <c r="UKJ32" s="340"/>
      <c r="UKK32" s="340"/>
      <c r="UKL32" s="340"/>
      <c r="UKM32" s="340"/>
      <c r="UKN32" s="340"/>
      <c r="UKO32" s="340"/>
      <c r="UKP32" s="340"/>
      <c r="UKQ32" s="340"/>
      <c r="UKR32" s="340"/>
      <c r="UKS32" s="340"/>
      <c r="UKT32" s="340"/>
      <c r="UKU32" s="340"/>
      <c r="UKV32" s="340"/>
      <c r="UKW32" s="340"/>
      <c r="UKX32" s="340"/>
      <c r="UKY32" s="340"/>
      <c r="UKZ32" s="340"/>
      <c r="ULA32" s="340"/>
      <c r="ULB32" s="340"/>
      <c r="ULC32" s="340"/>
      <c r="ULD32" s="340"/>
      <c r="ULE32" s="340"/>
      <c r="ULF32" s="340"/>
      <c r="ULG32" s="340"/>
      <c r="ULH32" s="340"/>
      <c r="ULI32" s="340"/>
      <c r="ULJ32" s="340"/>
      <c r="ULK32" s="340"/>
      <c r="ULL32" s="340"/>
      <c r="ULM32" s="340"/>
      <c r="ULN32" s="340"/>
      <c r="ULO32" s="340"/>
      <c r="ULP32" s="340"/>
      <c r="ULQ32" s="340"/>
      <c r="ULR32" s="340"/>
      <c r="ULS32" s="340"/>
      <c r="ULT32" s="340"/>
      <c r="ULU32" s="340"/>
      <c r="ULV32" s="340"/>
      <c r="ULW32" s="340"/>
      <c r="ULX32" s="340"/>
      <c r="ULY32" s="340"/>
      <c r="ULZ32" s="340"/>
      <c r="UMA32" s="340"/>
      <c r="UMB32" s="340"/>
      <c r="UMC32" s="340"/>
      <c r="UMD32" s="340"/>
      <c r="UME32" s="340"/>
      <c r="UMF32" s="340"/>
      <c r="UMG32" s="340"/>
      <c r="UMH32" s="340"/>
      <c r="UMI32" s="340"/>
      <c r="UMJ32" s="340"/>
      <c r="UMK32" s="340"/>
      <c r="UML32" s="340"/>
      <c r="UMM32" s="340"/>
      <c r="UMN32" s="340"/>
      <c r="UMO32" s="340"/>
      <c r="UMP32" s="340"/>
      <c r="UMQ32" s="340"/>
      <c r="UMR32" s="340"/>
      <c r="UMS32" s="340"/>
      <c r="UMT32" s="340"/>
      <c r="UMU32" s="340"/>
      <c r="UMV32" s="340"/>
      <c r="UMW32" s="340"/>
      <c r="UMX32" s="340"/>
      <c r="UMY32" s="340"/>
      <c r="UMZ32" s="340"/>
      <c r="UNA32" s="340"/>
      <c r="UNB32" s="340"/>
      <c r="UNC32" s="340"/>
      <c r="UND32" s="340"/>
      <c r="UNE32" s="340"/>
      <c r="UNF32" s="340"/>
      <c r="UNG32" s="340"/>
      <c r="UNH32" s="340"/>
      <c r="UNI32" s="340"/>
      <c r="UNJ32" s="340"/>
      <c r="UNK32" s="340"/>
      <c r="UNL32" s="340"/>
      <c r="UNM32" s="340"/>
      <c r="UNN32" s="340"/>
      <c r="UNO32" s="340"/>
      <c r="UNP32" s="340"/>
      <c r="UNQ32" s="340"/>
      <c r="UNR32" s="340"/>
      <c r="UNS32" s="340"/>
      <c r="UNT32" s="340"/>
      <c r="UNU32" s="340"/>
      <c r="UNV32" s="340"/>
      <c r="UNW32" s="340"/>
      <c r="UNX32" s="340"/>
      <c r="UNY32" s="340"/>
      <c r="UNZ32" s="340"/>
      <c r="UOA32" s="340"/>
      <c r="UOB32" s="340"/>
      <c r="UOC32" s="340"/>
      <c r="UOD32" s="340"/>
      <c r="UOE32" s="340"/>
      <c r="UOF32" s="340"/>
      <c r="UOG32" s="340"/>
      <c r="UOH32" s="340"/>
      <c r="UOI32" s="340"/>
      <c r="UOJ32" s="340"/>
      <c r="UOK32" s="340"/>
      <c r="UOL32" s="340"/>
      <c r="UOM32" s="340"/>
      <c r="UON32" s="340"/>
      <c r="UOO32" s="340"/>
      <c r="UOP32" s="340"/>
      <c r="UOQ32" s="340"/>
      <c r="UOR32" s="340"/>
      <c r="UOS32" s="340"/>
      <c r="UOT32" s="340"/>
      <c r="UOU32" s="340"/>
      <c r="UOV32" s="340"/>
      <c r="UOW32" s="340"/>
      <c r="UOX32" s="340"/>
      <c r="UOY32" s="340"/>
      <c r="UOZ32" s="340"/>
      <c r="UPA32" s="340"/>
      <c r="UPB32" s="340"/>
      <c r="UPC32" s="340"/>
      <c r="UPD32" s="340"/>
      <c r="UPE32" s="340"/>
      <c r="UPF32" s="340"/>
      <c r="UPG32" s="340"/>
      <c r="UPH32" s="340"/>
      <c r="UPI32" s="340"/>
      <c r="UPJ32" s="340"/>
      <c r="UPK32" s="340"/>
      <c r="UPL32" s="340"/>
      <c r="UPM32" s="340"/>
      <c r="UPN32" s="340"/>
      <c r="UPO32" s="340"/>
      <c r="UPP32" s="340"/>
      <c r="UPQ32" s="340"/>
      <c r="UPR32" s="340"/>
      <c r="UPS32" s="340"/>
      <c r="UPT32" s="340"/>
      <c r="UPU32" s="340"/>
      <c r="UPV32" s="340"/>
      <c r="UPW32" s="340"/>
      <c r="UPX32" s="340"/>
      <c r="UPY32" s="340"/>
      <c r="UPZ32" s="340"/>
      <c r="UQA32" s="340"/>
      <c r="UQB32" s="340"/>
      <c r="UQC32" s="340"/>
      <c r="UQD32" s="340"/>
      <c r="UQE32" s="340"/>
      <c r="UQF32" s="340"/>
      <c r="UQG32" s="340"/>
      <c r="UQH32" s="340"/>
      <c r="UQI32" s="340"/>
      <c r="UQJ32" s="340"/>
      <c r="UQK32" s="340"/>
      <c r="UQL32" s="340"/>
      <c r="UQM32" s="340"/>
      <c r="UQN32" s="340"/>
      <c r="UQO32" s="340"/>
      <c r="UQP32" s="340"/>
      <c r="UQQ32" s="340"/>
      <c r="UQR32" s="340"/>
      <c r="UQS32" s="340"/>
      <c r="UQT32" s="340"/>
      <c r="UQU32" s="340"/>
      <c r="UQV32" s="340"/>
      <c r="UQW32" s="340"/>
      <c r="UQX32" s="340"/>
      <c r="UQY32" s="340"/>
      <c r="UQZ32" s="340"/>
      <c r="URA32" s="340"/>
      <c r="URB32" s="340"/>
      <c r="URC32" s="340"/>
      <c r="URD32" s="340"/>
      <c r="URE32" s="340"/>
      <c r="URF32" s="340"/>
      <c r="URG32" s="340"/>
      <c r="URH32" s="340"/>
      <c r="URI32" s="340"/>
      <c r="URJ32" s="340"/>
      <c r="URK32" s="340"/>
      <c r="URL32" s="340"/>
      <c r="URM32" s="340"/>
      <c r="URN32" s="340"/>
      <c r="URO32" s="340"/>
      <c r="URP32" s="340"/>
      <c r="URQ32" s="340"/>
      <c r="URR32" s="340"/>
      <c r="URS32" s="340"/>
      <c r="URT32" s="340"/>
      <c r="URU32" s="340"/>
      <c r="URV32" s="340"/>
      <c r="URW32" s="340"/>
      <c r="URX32" s="340"/>
      <c r="URY32" s="340"/>
      <c r="URZ32" s="340"/>
      <c r="USA32" s="340"/>
      <c r="USB32" s="340"/>
      <c r="USC32" s="340"/>
      <c r="USD32" s="340"/>
      <c r="USE32" s="340"/>
      <c r="USF32" s="340"/>
      <c r="USG32" s="340"/>
      <c r="USH32" s="340"/>
      <c r="USI32" s="340"/>
      <c r="USJ32" s="340"/>
      <c r="USK32" s="340"/>
      <c r="USL32" s="340"/>
      <c r="USM32" s="340"/>
      <c r="USN32" s="340"/>
      <c r="USO32" s="340"/>
      <c r="USP32" s="340"/>
      <c r="USQ32" s="340"/>
      <c r="USR32" s="340"/>
      <c r="USS32" s="340"/>
      <c r="UST32" s="340"/>
      <c r="USU32" s="340"/>
      <c r="USV32" s="340"/>
      <c r="USW32" s="340"/>
      <c r="USX32" s="340"/>
      <c r="USY32" s="340"/>
      <c r="USZ32" s="340"/>
      <c r="UTA32" s="340"/>
      <c r="UTB32" s="340"/>
      <c r="UTC32" s="340"/>
      <c r="UTD32" s="340"/>
      <c r="UTE32" s="340"/>
      <c r="UTF32" s="340"/>
      <c r="UTG32" s="340"/>
      <c r="UTH32" s="340"/>
      <c r="UTI32" s="340"/>
      <c r="UTJ32" s="340"/>
      <c r="UTK32" s="340"/>
      <c r="UTL32" s="340"/>
      <c r="UTM32" s="340"/>
      <c r="UTN32" s="340"/>
      <c r="UTO32" s="340"/>
      <c r="UTP32" s="340"/>
      <c r="UTQ32" s="340"/>
      <c r="UTR32" s="340"/>
      <c r="UTS32" s="340"/>
      <c r="UTT32" s="340"/>
      <c r="UTU32" s="340"/>
      <c r="UTV32" s="340"/>
      <c r="UTW32" s="340"/>
      <c r="UTX32" s="340"/>
      <c r="UTY32" s="340"/>
      <c r="UTZ32" s="340"/>
      <c r="UUA32" s="340"/>
      <c r="UUB32" s="340"/>
      <c r="UUC32" s="340"/>
      <c r="UUD32" s="340"/>
      <c r="UUE32" s="340"/>
      <c r="UUF32" s="340"/>
      <c r="UUG32" s="340"/>
      <c r="UUH32" s="340"/>
      <c r="UUI32" s="340"/>
      <c r="UUJ32" s="340"/>
      <c r="UUK32" s="340"/>
      <c r="UUL32" s="340"/>
      <c r="UUM32" s="340"/>
      <c r="UUN32" s="340"/>
      <c r="UUO32" s="340"/>
      <c r="UUP32" s="340"/>
      <c r="UUQ32" s="340"/>
      <c r="UUR32" s="340"/>
      <c r="UUS32" s="340"/>
      <c r="UUT32" s="340"/>
      <c r="UUU32" s="340"/>
      <c r="UUV32" s="340"/>
      <c r="UUW32" s="340"/>
      <c r="UUX32" s="340"/>
      <c r="UUY32" s="340"/>
      <c r="UUZ32" s="340"/>
      <c r="UVA32" s="340"/>
      <c r="UVB32" s="340"/>
      <c r="UVC32" s="340"/>
      <c r="UVD32" s="340"/>
      <c r="UVE32" s="340"/>
      <c r="UVF32" s="340"/>
      <c r="UVG32" s="340"/>
      <c r="UVH32" s="340"/>
      <c r="UVI32" s="340"/>
      <c r="UVJ32" s="340"/>
      <c r="UVK32" s="340"/>
      <c r="UVL32" s="340"/>
      <c r="UVM32" s="340"/>
      <c r="UVN32" s="340"/>
      <c r="UVO32" s="340"/>
      <c r="UVP32" s="340"/>
      <c r="UVQ32" s="340"/>
      <c r="UVR32" s="340"/>
      <c r="UVS32" s="340"/>
      <c r="UVT32" s="340"/>
      <c r="UVU32" s="340"/>
      <c r="UVV32" s="340"/>
      <c r="UVW32" s="340"/>
      <c r="UVX32" s="340"/>
      <c r="UVY32" s="340"/>
      <c r="UVZ32" s="340"/>
      <c r="UWA32" s="340"/>
      <c r="UWB32" s="340"/>
      <c r="UWC32" s="340"/>
      <c r="UWD32" s="340"/>
      <c r="UWE32" s="340"/>
      <c r="UWF32" s="340"/>
      <c r="UWG32" s="340"/>
      <c r="UWH32" s="340"/>
      <c r="UWI32" s="340"/>
      <c r="UWJ32" s="340"/>
      <c r="UWK32" s="340"/>
      <c r="UWL32" s="340"/>
      <c r="UWM32" s="340"/>
      <c r="UWN32" s="340"/>
      <c r="UWO32" s="340"/>
      <c r="UWP32" s="340"/>
      <c r="UWQ32" s="340"/>
      <c r="UWR32" s="340"/>
      <c r="UWS32" s="340"/>
      <c r="UWT32" s="340"/>
      <c r="UWU32" s="340"/>
      <c r="UWV32" s="340"/>
      <c r="UWW32" s="340"/>
      <c r="UWX32" s="340"/>
      <c r="UWY32" s="340"/>
      <c r="UWZ32" s="340"/>
      <c r="UXA32" s="340"/>
      <c r="UXB32" s="340"/>
      <c r="UXC32" s="340"/>
      <c r="UXD32" s="340"/>
      <c r="UXE32" s="340"/>
      <c r="UXF32" s="340"/>
      <c r="UXG32" s="340"/>
      <c r="UXH32" s="340"/>
      <c r="UXI32" s="340"/>
      <c r="UXJ32" s="340"/>
      <c r="UXK32" s="340"/>
      <c r="UXL32" s="340"/>
      <c r="UXM32" s="340"/>
      <c r="UXN32" s="340"/>
      <c r="UXO32" s="340"/>
      <c r="UXP32" s="340"/>
      <c r="UXQ32" s="340"/>
      <c r="UXR32" s="340"/>
      <c r="UXS32" s="340"/>
      <c r="UXT32" s="340"/>
      <c r="UXU32" s="340"/>
      <c r="UXV32" s="340"/>
      <c r="UXW32" s="340"/>
      <c r="UXX32" s="340"/>
      <c r="UXY32" s="340"/>
      <c r="UXZ32" s="340"/>
      <c r="UYA32" s="340"/>
      <c r="UYB32" s="340"/>
      <c r="UYC32" s="340"/>
      <c r="UYD32" s="340"/>
      <c r="UYE32" s="340"/>
      <c r="UYF32" s="340"/>
      <c r="UYG32" s="340"/>
      <c r="UYH32" s="340"/>
      <c r="UYI32" s="340"/>
      <c r="UYJ32" s="340"/>
      <c r="UYK32" s="340"/>
      <c r="UYL32" s="340"/>
      <c r="UYM32" s="340"/>
      <c r="UYN32" s="340"/>
      <c r="UYO32" s="340"/>
      <c r="UYP32" s="340"/>
      <c r="UYQ32" s="340"/>
      <c r="UYR32" s="340"/>
      <c r="UYS32" s="340"/>
      <c r="UYT32" s="340"/>
      <c r="UYU32" s="340"/>
      <c r="UYV32" s="340"/>
      <c r="UYW32" s="340"/>
      <c r="UYX32" s="340"/>
      <c r="UYY32" s="340"/>
      <c r="UYZ32" s="340"/>
      <c r="UZA32" s="340"/>
      <c r="UZB32" s="340"/>
      <c r="UZC32" s="340"/>
      <c r="UZD32" s="340"/>
      <c r="UZE32" s="340"/>
      <c r="UZF32" s="340"/>
      <c r="UZG32" s="340"/>
      <c r="UZH32" s="340"/>
      <c r="UZI32" s="340"/>
      <c r="UZJ32" s="340"/>
      <c r="UZK32" s="340"/>
      <c r="UZL32" s="340"/>
      <c r="UZM32" s="340"/>
      <c r="UZN32" s="340"/>
      <c r="UZO32" s="340"/>
      <c r="UZP32" s="340"/>
      <c r="UZQ32" s="340"/>
      <c r="UZR32" s="340"/>
      <c r="UZS32" s="340"/>
      <c r="UZT32" s="340"/>
      <c r="UZU32" s="340"/>
      <c r="UZV32" s="340"/>
      <c r="UZW32" s="340"/>
      <c r="UZX32" s="340"/>
      <c r="UZY32" s="340"/>
      <c r="UZZ32" s="340"/>
      <c r="VAA32" s="340"/>
      <c r="VAB32" s="340"/>
      <c r="VAC32" s="340"/>
      <c r="VAD32" s="340"/>
      <c r="VAE32" s="340"/>
      <c r="VAF32" s="340"/>
      <c r="VAG32" s="340"/>
      <c r="VAH32" s="340"/>
      <c r="VAI32" s="340"/>
      <c r="VAJ32" s="340"/>
      <c r="VAK32" s="340"/>
      <c r="VAL32" s="340"/>
      <c r="VAM32" s="340"/>
      <c r="VAN32" s="340"/>
      <c r="VAO32" s="340"/>
      <c r="VAP32" s="340"/>
      <c r="VAQ32" s="340"/>
      <c r="VAR32" s="340"/>
      <c r="VAS32" s="340"/>
      <c r="VAT32" s="340"/>
      <c r="VAU32" s="340"/>
      <c r="VAV32" s="340"/>
      <c r="VAW32" s="340"/>
      <c r="VAX32" s="340"/>
      <c r="VAY32" s="340"/>
      <c r="VAZ32" s="340"/>
      <c r="VBA32" s="340"/>
      <c r="VBB32" s="340"/>
      <c r="VBC32" s="340"/>
      <c r="VBD32" s="340"/>
      <c r="VBE32" s="340"/>
      <c r="VBF32" s="340"/>
      <c r="VBG32" s="340"/>
      <c r="VBH32" s="340"/>
      <c r="VBI32" s="340"/>
      <c r="VBJ32" s="340"/>
      <c r="VBK32" s="340"/>
      <c r="VBL32" s="340"/>
      <c r="VBM32" s="340"/>
      <c r="VBN32" s="340"/>
      <c r="VBO32" s="340"/>
      <c r="VBP32" s="340"/>
      <c r="VBQ32" s="340"/>
      <c r="VBR32" s="340"/>
      <c r="VBS32" s="340"/>
      <c r="VBT32" s="340"/>
      <c r="VBU32" s="340"/>
      <c r="VBV32" s="340"/>
      <c r="VBW32" s="340"/>
      <c r="VBX32" s="340"/>
      <c r="VBY32" s="340"/>
      <c r="VBZ32" s="340"/>
      <c r="VCA32" s="340"/>
      <c r="VCB32" s="340"/>
      <c r="VCC32" s="340"/>
      <c r="VCD32" s="340"/>
      <c r="VCE32" s="340"/>
      <c r="VCF32" s="340"/>
      <c r="VCG32" s="340"/>
      <c r="VCH32" s="340"/>
      <c r="VCI32" s="340"/>
      <c r="VCJ32" s="340"/>
      <c r="VCK32" s="340"/>
      <c r="VCL32" s="340"/>
      <c r="VCM32" s="340"/>
      <c r="VCN32" s="340"/>
      <c r="VCO32" s="340"/>
      <c r="VCP32" s="340"/>
      <c r="VCQ32" s="340"/>
      <c r="VCR32" s="340"/>
      <c r="VCS32" s="340"/>
      <c r="VCT32" s="340"/>
      <c r="VCU32" s="340"/>
      <c r="VCV32" s="340"/>
      <c r="VCW32" s="340"/>
      <c r="VCX32" s="340"/>
      <c r="VCY32" s="340"/>
      <c r="VCZ32" s="340"/>
      <c r="VDA32" s="340"/>
      <c r="VDB32" s="340"/>
      <c r="VDC32" s="340"/>
      <c r="VDD32" s="340"/>
      <c r="VDE32" s="340"/>
      <c r="VDF32" s="340"/>
      <c r="VDG32" s="340"/>
      <c r="VDH32" s="340"/>
      <c r="VDI32" s="340"/>
      <c r="VDJ32" s="340"/>
      <c r="VDK32" s="340"/>
      <c r="VDL32" s="340"/>
      <c r="VDM32" s="340"/>
      <c r="VDN32" s="340"/>
      <c r="VDO32" s="340"/>
      <c r="VDP32" s="340"/>
      <c r="VDQ32" s="340"/>
      <c r="VDR32" s="340"/>
      <c r="VDS32" s="340"/>
      <c r="VDT32" s="340"/>
      <c r="VDU32" s="340"/>
      <c r="VDV32" s="340"/>
      <c r="VDW32" s="340"/>
      <c r="VDX32" s="340"/>
      <c r="VDY32" s="340"/>
      <c r="VDZ32" s="340"/>
      <c r="VEA32" s="340"/>
      <c r="VEB32" s="340"/>
      <c r="VEC32" s="340"/>
      <c r="VED32" s="340"/>
      <c r="VEE32" s="340"/>
      <c r="VEF32" s="340"/>
      <c r="VEG32" s="340"/>
      <c r="VEH32" s="340"/>
      <c r="VEI32" s="340"/>
      <c r="VEJ32" s="340"/>
      <c r="VEK32" s="340"/>
      <c r="VEL32" s="340"/>
      <c r="VEM32" s="340"/>
      <c r="VEN32" s="340"/>
      <c r="VEO32" s="340"/>
      <c r="VEP32" s="340"/>
      <c r="VEQ32" s="340"/>
      <c r="VER32" s="340"/>
      <c r="VES32" s="340"/>
      <c r="VET32" s="340"/>
      <c r="VEU32" s="340"/>
      <c r="VEV32" s="340"/>
      <c r="VEW32" s="340"/>
      <c r="VEX32" s="340"/>
      <c r="VEY32" s="340"/>
      <c r="VEZ32" s="340"/>
      <c r="VFA32" s="340"/>
      <c r="VFB32" s="340"/>
      <c r="VFC32" s="340"/>
      <c r="VFD32" s="340"/>
      <c r="VFE32" s="340"/>
      <c r="VFF32" s="340"/>
      <c r="VFG32" s="340"/>
      <c r="VFH32" s="340"/>
      <c r="VFI32" s="340"/>
      <c r="VFJ32" s="340"/>
      <c r="VFK32" s="340"/>
      <c r="VFL32" s="340"/>
      <c r="VFM32" s="340"/>
      <c r="VFN32" s="340"/>
      <c r="VFO32" s="340"/>
      <c r="VFP32" s="340"/>
      <c r="VFQ32" s="340"/>
      <c r="VFR32" s="340"/>
      <c r="VFS32" s="340"/>
      <c r="VFT32" s="340"/>
      <c r="VFU32" s="340"/>
      <c r="VFV32" s="340"/>
      <c r="VFW32" s="340"/>
      <c r="VFX32" s="340"/>
      <c r="VFY32" s="340"/>
      <c r="VFZ32" s="340"/>
      <c r="VGA32" s="340"/>
      <c r="VGB32" s="340"/>
      <c r="VGC32" s="340"/>
      <c r="VGD32" s="340"/>
      <c r="VGE32" s="340"/>
      <c r="VGF32" s="340"/>
      <c r="VGG32" s="340"/>
      <c r="VGH32" s="340"/>
      <c r="VGI32" s="340"/>
      <c r="VGJ32" s="340"/>
      <c r="VGK32" s="340"/>
      <c r="VGL32" s="340"/>
      <c r="VGM32" s="340"/>
      <c r="VGN32" s="340"/>
      <c r="VGO32" s="340"/>
      <c r="VGP32" s="340"/>
      <c r="VGQ32" s="340"/>
      <c r="VGR32" s="340"/>
      <c r="VGS32" s="340"/>
      <c r="VGT32" s="340"/>
      <c r="VGU32" s="340"/>
      <c r="VGV32" s="340"/>
      <c r="VGW32" s="340"/>
      <c r="VGX32" s="340"/>
      <c r="VGY32" s="340"/>
      <c r="VGZ32" s="340"/>
      <c r="VHA32" s="340"/>
      <c r="VHB32" s="340"/>
      <c r="VHC32" s="340"/>
      <c r="VHD32" s="340"/>
      <c r="VHE32" s="340"/>
      <c r="VHF32" s="340"/>
      <c r="VHG32" s="340"/>
      <c r="VHH32" s="340"/>
      <c r="VHI32" s="340"/>
      <c r="VHJ32" s="340"/>
      <c r="VHK32" s="340"/>
      <c r="VHL32" s="340"/>
      <c r="VHM32" s="340"/>
      <c r="VHN32" s="340"/>
      <c r="VHO32" s="340"/>
      <c r="VHP32" s="340"/>
      <c r="VHQ32" s="340"/>
      <c r="VHR32" s="340"/>
      <c r="VHS32" s="340"/>
      <c r="VHT32" s="340"/>
      <c r="VHU32" s="340"/>
      <c r="VHV32" s="340"/>
      <c r="VHW32" s="340"/>
      <c r="VHX32" s="340"/>
      <c r="VHY32" s="340"/>
      <c r="VHZ32" s="340"/>
      <c r="VIA32" s="340"/>
      <c r="VIB32" s="340"/>
      <c r="VIC32" s="340"/>
      <c r="VID32" s="340"/>
      <c r="VIE32" s="340"/>
      <c r="VIF32" s="340"/>
      <c r="VIG32" s="340"/>
      <c r="VIH32" s="340"/>
      <c r="VII32" s="340"/>
      <c r="VIJ32" s="340"/>
      <c r="VIK32" s="340"/>
      <c r="VIL32" s="340"/>
      <c r="VIM32" s="340"/>
      <c r="VIN32" s="340"/>
      <c r="VIO32" s="340"/>
      <c r="VIP32" s="340"/>
      <c r="VIQ32" s="340"/>
      <c r="VIR32" s="340"/>
      <c r="VIS32" s="340"/>
      <c r="VIT32" s="340"/>
      <c r="VIU32" s="340"/>
      <c r="VIV32" s="340"/>
      <c r="VIW32" s="340"/>
      <c r="VIX32" s="340"/>
      <c r="VIY32" s="340"/>
      <c r="VIZ32" s="340"/>
      <c r="VJA32" s="340"/>
      <c r="VJB32" s="340"/>
      <c r="VJC32" s="340"/>
      <c r="VJD32" s="340"/>
      <c r="VJE32" s="340"/>
      <c r="VJF32" s="340"/>
      <c r="VJG32" s="340"/>
      <c r="VJH32" s="340"/>
      <c r="VJI32" s="340"/>
      <c r="VJJ32" s="340"/>
      <c r="VJK32" s="340"/>
      <c r="VJL32" s="340"/>
      <c r="VJM32" s="340"/>
      <c r="VJN32" s="340"/>
      <c r="VJO32" s="340"/>
      <c r="VJP32" s="340"/>
      <c r="VJQ32" s="340"/>
      <c r="VJR32" s="340"/>
      <c r="VJS32" s="340"/>
      <c r="VJT32" s="340"/>
      <c r="VJU32" s="340"/>
      <c r="VJV32" s="340"/>
      <c r="VJW32" s="340"/>
      <c r="VJX32" s="340"/>
      <c r="VJY32" s="340"/>
      <c r="VJZ32" s="340"/>
      <c r="VKA32" s="340"/>
      <c r="VKB32" s="340"/>
      <c r="VKC32" s="340"/>
      <c r="VKD32" s="340"/>
      <c r="VKE32" s="340"/>
      <c r="VKF32" s="340"/>
      <c r="VKG32" s="340"/>
      <c r="VKH32" s="340"/>
      <c r="VKI32" s="340"/>
      <c r="VKJ32" s="340"/>
      <c r="VKK32" s="340"/>
      <c r="VKL32" s="340"/>
      <c r="VKM32" s="340"/>
      <c r="VKN32" s="340"/>
      <c r="VKO32" s="340"/>
      <c r="VKP32" s="340"/>
      <c r="VKQ32" s="340"/>
      <c r="VKR32" s="340"/>
      <c r="VKS32" s="340"/>
      <c r="VKT32" s="340"/>
      <c r="VKU32" s="340"/>
      <c r="VKV32" s="340"/>
      <c r="VKW32" s="340"/>
      <c r="VKX32" s="340"/>
      <c r="VKY32" s="340"/>
      <c r="VKZ32" s="340"/>
      <c r="VLA32" s="340"/>
      <c r="VLB32" s="340"/>
      <c r="VLC32" s="340"/>
      <c r="VLD32" s="340"/>
      <c r="VLE32" s="340"/>
      <c r="VLF32" s="340"/>
      <c r="VLG32" s="340"/>
      <c r="VLH32" s="340"/>
      <c r="VLI32" s="340"/>
      <c r="VLJ32" s="340"/>
      <c r="VLK32" s="340"/>
      <c r="VLL32" s="340"/>
      <c r="VLM32" s="340"/>
      <c r="VLN32" s="340"/>
      <c r="VLO32" s="340"/>
      <c r="VLP32" s="340"/>
      <c r="VLQ32" s="340"/>
      <c r="VLR32" s="340"/>
      <c r="VLS32" s="340"/>
      <c r="VLT32" s="340"/>
      <c r="VLU32" s="340"/>
      <c r="VLV32" s="340"/>
      <c r="VLW32" s="340"/>
      <c r="VLX32" s="340"/>
      <c r="VLY32" s="340"/>
      <c r="VLZ32" s="340"/>
      <c r="VMA32" s="340"/>
      <c r="VMB32" s="340"/>
      <c r="VMC32" s="340"/>
      <c r="VMD32" s="340"/>
      <c r="VME32" s="340"/>
      <c r="VMF32" s="340"/>
      <c r="VMG32" s="340"/>
      <c r="VMH32" s="340"/>
      <c r="VMI32" s="340"/>
      <c r="VMJ32" s="340"/>
      <c r="VMK32" s="340"/>
      <c r="VML32" s="340"/>
      <c r="VMM32" s="340"/>
      <c r="VMN32" s="340"/>
      <c r="VMO32" s="340"/>
      <c r="VMP32" s="340"/>
      <c r="VMQ32" s="340"/>
      <c r="VMR32" s="340"/>
      <c r="VMS32" s="340"/>
      <c r="VMT32" s="340"/>
      <c r="VMU32" s="340"/>
      <c r="VMV32" s="340"/>
      <c r="VMW32" s="340"/>
      <c r="VMX32" s="340"/>
      <c r="VMY32" s="340"/>
      <c r="VMZ32" s="340"/>
      <c r="VNA32" s="340"/>
      <c r="VNB32" s="340"/>
      <c r="VNC32" s="340"/>
      <c r="VND32" s="340"/>
      <c r="VNE32" s="340"/>
      <c r="VNF32" s="340"/>
      <c r="VNG32" s="340"/>
      <c r="VNH32" s="340"/>
      <c r="VNI32" s="340"/>
      <c r="VNJ32" s="340"/>
      <c r="VNK32" s="340"/>
      <c r="VNL32" s="340"/>
      <c r="VNM32" s="340"/>
      <c r="VNN32" s="340"/>
      <c r="VNO32" s="340"/>
      <c r="VNP32" s="340"/>
      <c r="VNQ32" s="340"/>
      <c r="VNR32" s="340"/>
      <c r="VNS32" s="340"/>
      <c r="VNT32" s="340"/>
      <c r="VNU32" s="340"/>
      <c r="VNV32" s="340"/>
      <c r="VNW32" s="340"/>
      <c r="VNX32" s="340"/>
      <c r="VNY32" s="340"/>
      <c r="VNZ32" s="340"/>
      <c r="VOA32" s="340"/>
      <c r="VOB32" s="340"/>
      <c r="VOC32" s="340"/>
      <c r="VOD32" s="340"/>
      <c r="VOE32" s="340"/>
      <c r="VOF32" s="340"/>
      <c r="VOG32" s="340"/>
      <c r="VOH32" s="340"/>
      <c r="VOI32" s="340"/>
      <c r="VOJ32" s="340"/>
      <c r="VOK32" s="340"/>
      <c r="VOL32" s="340"/>
      <c r="VOM32" s="340"/>
      <c r="VON32" s="340"/>
      <c r="VOO32" s="340"/>
      <c r="VOP32" s="340"/>
      <c r="VOQ32" s="340"/>
      <c r="VOR32" s="340"/>
      <c r="VOS32" s="340"/>
      <c r="VOT32" s="340"/>
      <c r="VOU32" s="340"/>
      <c r="VOV32" s="340"/>
      <c r="VOW32" s="340"/>
      <c r="VOX32" s="340"/>
      <c r="VOY32" s="340"/>
      <c r="VOZ32" s="340"/>
      <c r="VPA32" s="340"/>
      <c r="VPB32" s="340"/>
      <c r="VPC32" s="340"/>
      <c r="VPD32" s="340"/>
      <c r="VPE32" s="340"/>
      <c r="VPF32" s="340"/>
      <c r="VPG32" s="340"/>
      <c r="VPH32" s="340"/>
      <c r="VPI32" s="340"/>
      <c r="VPJ32" s="340"/>
      <c r="VPK32" s="340"/>
      <c r="VPL32" s="340"/>
      <c r="VPM32" s="340"/>
      <c r="VPN32" s="340"/>
      <c r="VPO32" s="340"/>
      <c r="VPP32" s="340"/>
      <c r="VPQ32" s="340"/>
      <c r="VPR32" s="340"/>
      <c r="VPS32" s="340"/>
      <c r="VPT32" s="340"/>
      <c r="VPU32" s="340"/>
      <c r="VPV32" s="340"/>
      <c r="VPW32" s="340"/>
      <c r="VPX32" s="340"/>
      <c r="VPY32" s="340"/>
      <c r="VPZ32" s="340"/>
      <c r="VQA32" s="340"/>
      <c r="VQB32" s="340"/>
      <c r="VQC32" s="340"/>
      <c r="VQD32" s="340"/>
      <c r="VQE32" s="340"/>
      <c r="VQF32" s="340"/>
      <c r="VQG32" s="340"/>
      <c r="VQH32" s="340"/>
      <c r="VQI32" s="340"/>
      <c r="VQJ32" s="340"/>
      <c r="VQK32" s="340"/>
      <c r="VQL32" s="340"/>
      <c r="VQM32" s="340"/>
      <c r="VQN32" s="340"/>
      <c r="VQO32" s="340"/>
      <c r="VQP32" s="340"/>
      <c r="VQQ32" s="340"/>
      <c r="VQR32" s="340"/>
      <c r="VQS32" s="340"/>
      <c r="VQT32" s="340"/>
      <c r="VQU32" s="340"/>
      <c r="VQV32" s="340"/>
      <c r="VQW32" s="340"/>
      <c r="VQX32" s="340"/>
      <c r="VQY32" s="340"/>
      <c r="VQZ32" s="340"/>
      <c r="VRA32" s="340"/>
      <c r="VRB32" s="340"/>
      <c r="VRC32" s="340"/>
      <c r="VRD32" s="340"/>
      <c r="VRE32" s="340"/>
      <c r="VRF32" s="340"/>
      <c r="VRG32" s="340"/>
      <c r="VRH32" s="340"/>
      <c r="VRI32" s="340"/>
      <c r="VRJ32" s="340"/>
      <c r="VRK32" s="340"/>
      <c r="VRL32" s="340"/>
      <c r="VRM32" s="340"/>
      <c r="VRN32" s="340"/>
      <c r="VRO32" s="340"/>
      <c r="VRP32" s="340"/>
      <c r="VRQ32" s="340"/>
      <c r="VRR32" s="340"/>
      <c r="VRS32" s="340"/>
      <c r="VRT32" s="340"/>
      <c r="VRU32" s="340"/>
      <c r="VRV32" s="340"/>
      <c r="VRW32" s="340"/>
      <c r="VRX32" s="340"/>
      <c r="VRY32" s="340"/>
      <c r="VRZ32" s="340"/>
      <c r="VSA32" s="340"/>
      <c r="VSB32" s="340"/>
      <c r="VSC32" s="340"/>
      <c r="VSD32" s="340"/>
      <c r="VSE32" s="340"/>
      <c r="VSF32" s="340"/>
      <c r="VSG32" s="340"/>
      <c r="VSH32" s="340"/>
      <c r="VSI32" s="340"/>
      <c r="VSJ32" s="340"/>
      <c r="VSK32" s="340"/>
      <c r="VSL32" s="340"/>
      <c r="VSM32" s="340"/>
      <c r="VSN32" s="340"/>
      <c r="VSO32" s="340"/>
      <c r="VSP32" s="340"/>
      <c r="VSQ32" s="340"/>
      <c r="VSR32" s="340"/>
      <c r="VSS32" s="340"/>
      <c r="VST32" s="340"/>
      <c r="VSU32" s="340"/>
      <c r="VSV32" s="340"/>
      <c r="VSW32" s="340"/>
      <c r="VSX32" s="340"/>
      <c r="VSY32" s="340"/>
      <c r="VSZ32" s="340"/>
      <c r="VTA32" s="340"/>
      <c r="VTB32" s="340"/>
      <c r="VTC32" s="340"/>
      <c r="VTD32" s="340"/>
      <c r="VTE32" s="340"/>
      <c r="VTF32" s="340"/>
      <c r="VTG32" s="340"/>
      <c r="VTH32" s="340"/>
      <c r="VTI32" s="340"/>
      <c r="VTJ32" s="340"/>
      <c r="VTK32" s="340"/>
      <c r="VTL32" s="340"/>
      <c r="VTM32" s="340"/>
      <c r="VTN32" s="340"/>
      <c r="VTO32" s="340"/>
      <c r="VTP32" s="340"/>
      <c r="VTQ32" s="340"/>
      <c r="VTR32" s="340"/>
      <c r="VTS32" s="340"/>
      <c r="VTT32" s="340"/>
      <c r="VTU32" s="340"/>
      <c r="VTV32" s="340"/>
      <c r="VTW32" s="340"/>
      <c r="VTX32" s="340"/>
      <c r="VTY32" s="340"/>
      <c r="VTZ32" s="340"/>
      <c r="VUA32" s="340"/>
      <c r="VUB32" s="340"/>
      <c r="VUC32" s="340"/>
      <c r="VUD32" s="340"/>
      <c r="VUE32" s="340"/>
      <c r="VUF32" s="340"/>
      <c r="VUG32" s="340"/>
      <c r="VUH32" s="340"/>
      <c r="VUI32" s="340"/>
      <c r="VUJ32" s="340"/>
      <c r="VUK32" s="340"/>
      <c r="VUL32" s="340"/>
      <c r="VUM32" s="340"/>
      <c r="VUN32" s="340"/>
      <c r="VUO32" s="340"/>
      <c r="VUP32" s="340"/>
      <c r="VUQ32" s="340"/>
      <c r="VUR32" s="340"/>
      <c r="VUS32" s="340"/>
      <c r="VUT32" s="340"/>
      <c r="VUU32" s="340"/>
      <c r="VUV32" s="340"/>
      <c r="VUW32" s="340"/>
      <c r="VUX32" s="340"/>
      <c r="VUY32" s="340"/>
      <c r="VUZ32" s="340"/>
      <c r="VVA32" s="340"/>
      <c r="VVB32" s="340"/>
      <c r="VVC32" s="340"/>
      <c r="VVD32" s="340"/>
      <c r="VVE32" s="340"/>
      <c r="VVF32" s="340"/>
      <c r="VVG32" s="340"/>
      <c r="VVH32" s="340"/>
      <c r="VVI32" s="340"/>
      <c r="VVJ32" s="340"/>
      <c r="VVK32" s="340"/>
      <c r="VVL32" s="340"/>
      <c r="VVM32" s="340"/>
      <c r="VVN32" s="340"/>
      <c r="VVO32" s="340"/>
      <c r="VVP32" s="340"/>
      <c r="VVQ32" s="340"/>
      <c r="VVR32" s="340"/>
      <c r="VVS32" s="340"/>
      <c r="VVT32" s="340"/>
      <c r="VVU32" s="340"/>
      <c r="VVV32" s="340"/>
      <c r="VVW32" s="340"/>
      <c r="VVX32" s="340"/>
      <c r="VVY32" s="340"/>
      <c r="VVZ32" s="340"/>
      <c r="VWA32" s="340"/>
      <c r="VWB32" s="340"/>
      <c r="VWC32" s="340"/>
      <c r="VWD32" s="340"/>
      <c r="VWE32" s="340"/>
      <c r="VWF32" s="340"/>
      <c r="VWG32" s="340"/>
      <c r="VWH32" s="340"/>
      <c r="VWI32" s="340"/>
      <c r="VWJ32" s="340"/>
      <c r="VWK32" s="340"/>
      <c r="VWL32" s="340"/>
      <c r="VWM32" s="340"/>
      <c r="VWN32" s="340"/>
      <c r="VWO32" s="340"/>
      <c r="VWP32" s="340"/>
      <c r="VWQ32" s="340"/>
      <c r="VWR32" s="340"/>
      <c r="VWS32" s="340"/>
      <c r="VWT32" s="340"/>
      <c r="VWU32" s="340"/>
      <c r="VWV32" s="340"/>
      <c r="VWW32" s="340"/>
      <c r="VWX32" s="340"/>
      <c r="VWY32" s="340"/>
      <c r="VWZ32" s="340"/>
      <c r="VXA32" s="340"/>
      <c r="VXB32" s="340"/>
      <c r="VXC32" s="340"/>
      <c r="VXD32" s="340"/>
      <c r="VXE32" s="340"/>
      <c r="VXF32" s="340"/>
      <c r="VXG32" s="340"/>
      <c r="VXH32" s="340"/>
      <c r="VXI32" s="340"/>
      <c r="VXJ32" s="340"/>
      <c r="VXK32" s="340"/>
      <c r="VXL32" s="340"/>
      <c r="VXM32" s="340"/>
      <c r="VXN32" s="340"/>
      <c r="VXO32" s="340"/>
      <c r="VXP32" s="340"/>
      <c r="VXQ32" s="340"/>
      <c r="VXR32" s="340"/>
      <c r="VXS32" s="340"/>
      <c r="VXT32" s="340"/>
      <c r="VXU32" s="340"/>
      <c r="VXV32" s="340"/>
      <c r="VXW32" s="340"/>
      <c r="VXX32" s="340"/>
      <c r="VXY32" s="340"/>
      <c r="VXZ32" s="340"/>
      <c r="VYA32" s="340"/>
      <c r="VYB32" s="340"/>
      <c r="VYC32" s="340"/>
      <c r="VYD32" s="340"/>
      <c r="VYE32" s="340"/>
      <c r="VYF32" s="340"/>
      <c r="VYG32" s="340"/>
      <c r="VYH32" s="340"/>
      <c r="VYI32" s="340"/>
      <c r="VYJ32" s="340"/>
      <c r="VYK32" s="340"/>
      <c r="VYL32" s="340"/>
      <c r="VYM32" s="340"/>
      <c r="VYN32" s="340"/>
      <c r="VYO32" s="340"/>
      <c r="VYP32" s="340"/>
      <c r="VYQ32" s="340"/>
      <c r="VYR32" s="340"/>
      <c r="VYS32" s="340"/>
      <c r="VYT32" s="340"/>
      <c r="VYU32" s="340"/>
      <c r="VYV32" s="340"/>
      <c r="VYW32" s="340"/>
      <c r="VYX32" s="340"/>
      <c r="VYY32" s="340"/>
      <c r="VYZ32" s="340"/>
      <c r="VZA32" s="340"/>
      <c r="VZB32" s="340"/>
      <c r="VZC32" s="340"/>
      <c r="VZD32" s="340"/>
      <c r="VZE32" s="340"/>
      <c r="VZF32" s="340"/>
      <c r="VZG32" s="340"/>
      <c r="VZH32" s="340"/>
      <c r="VZI32" s="340"/>
      <c r="VZJ32" s="340"/>
      <c r="VZK32" s="340"/>
      <c r="VZL32" s="340"/>
      <c r="VZM32" s="340"/>
      <c r="VZN32" s="340"/>
      <c r="VZO32" s="340"/>
      <c r="VZP32" s="340"/>
      <c r="VZQ32" s="340"/>
      <c r="VZR32" s="340"/>
      <c r="VZS32" s="340"/>
      <c r="VZT32" s="340"/>
      <c r="VZU32" s="340"/>
      <c r="VZV32" s="340"/>
      <c r="VZW32" s="340"/>
      <c r="VZX32" s="340"/>
      <c r="VZY32" s="340"/>
      <c r="VZZ32" s="340"/>
      <c r="WAA32" s="340"/>
      <c r="WAB32" s="340"/>
      <c r="WAC32" s="340"/>
      <c r="WAD32" s="340"/>
      <c r="WAE32" s="340"/>
      <c r="WAF32" s="340"/>
      <c r="WAG32" s="340"/>
      <c r="WAH32" s="340"/>
      <c r="WAI32" s="340"/>
      <c r="WAJ32" s="340"/>
      <c r="WAK32" s="340"/>
      <c r="WAL32" s="340"/>
      <c r="WAM32" s="340"/>
      <c r="WAN32" s="340"/>
      <c r="WAO32" s="340"/>
      <c r="WAP32" s="340"/>
      <c r="WAQ32" s="340"/>
      <c r="WAR32" s="340"/>
      <c r="WAS32" s="340"/>
      <c r="WAT32" s="340"/>
      <c r="WAU32" s="340"/>
      <c r="WAV32" s="340"/>
      <c r="WAW32" s="340"/>
      <c r="WAX32" s="340"/>
      <c r="WAY32" s="340"/>
      <c r="WAZ32" s="340"/>
      <c r="WBA32" s="340"/>
      <c r="WBB32" s="340"/>
      <c r="WBC32" s="340"/>
      <c r="WBD32" s="340"/>
      <c r="WBE32" s="340"/>
      <c r="WBF32" s="340"/>
      <c r="WBG32" s="340"/>
      <c r="WBH32" s="340"/>
      <c r="WBI32" s="340"/>
      <c r="WBJ32" s="340"/>
      <c r="WBK32" s="340"/>
      <c r="WBL32" s="340"/>
      <c r="WBM32" s="340"/>
      <c r="WBN32" s="340"/>
      <c r="WBO32" s="340"/>
      <c r="WBP32" s="340"/>
      <c r="WBQ32" s="340"/>
      <c r="WBR32" s="340"/>
      <c r="WBS32" s="340"/>
      <c r="WBT32" s="340"/>
      <c r="WBU32" s="340"/>
      <c r="WBV32" s="340"/>
      <c r="WBW32" s="340"/>
      <c r="WBX32" s="340"/>
      <c r="WBY32" s="340"/>
      <c r="WBZ32" s="340"/>
      <c r="WCA32" s="340"/>
      <c r="WCB32" s="340"/>
      <c r="WCC32" s="340"/>
      <c r="WCD32" s="340"/>
      <c r="WCE32" s="340"/>
      <c r="WCF32" s="340"/>
      <c r="WCG32" s="340"/>
      <c r="WCH32" s="340"/>
      <c r="WCI32" s="340"/>
      <c r="WCJ32" s="340"/>
      <c r="WCK32" s="340"/>
      <c r="WCL32" s="340"/>
      <c r="WCM32" s="340"/>
      <c r="WCN32" s="340"/>
      <c r="WCO32" s="340"/>
      <c r="WCP32" s="340"/>
      <c r="WCQ32" s="340"/>
      <c r="WCR32" s="340"/>
      <c r="WCS32" s="340"/>
      <c r="WCT32" s="340"/>
      <c r="WCU32" s="340"/>
      <c r="WCV32" s="340"/>
      <c r="WCW32" s="340"/>
      <c r="WCX32" s="340"/>
      <c r="WCY32" s="340"/>
      <c r="WCZ32" s="340"/>
      <c r="WDA32" s="340"/>
      <c r="WDB32" s="340"/>
      <c r="WDC32" s="340"/>
      <c r="WDD32" s="340"/>
      <c r="WDE32" s="340"/>
      <c r="WDF32" s="340"/>
      <c r="WDG32" s="340"/>
      <c r="WDH32" s="340"/>
      <c r="WDI32" s="340"/>
      <c r="WDJ32" s="340"/>
      <c r="WDK32" s="340"/>
      <c r="WDL32" s="340"/>
      <c r="WDM32" s="340"/>
      <c r="WDN32" s="340"/>
      <c r="WDO32" s="340"/>
      <c r="WDP32" s="340"/>
      <c r="WDQ32" s="340"/>
      <c r="WDR32" s="340"/>
      <c r="WDS32" s="340"/>
      <c r="WDT32" s="340"/>
      <c r="WDU32" s="340"/>
      <c r="WDV32" s="340"/>
      <c r="WDW32" s="340"/>
      <c r="WDX32" s="340"/>
      <c r="WDY32" s="340"/>
      <c r="WDZ32" s="340"/>
      <c r="WEA32" s="340"/>
      <c r="WEB32" s="340"/>
      <c r="WEC32" s="340"/>
      <c r="WED32" s="340"/>
      <c r="WEE32" s="340"/>
      <c r="WEF32" s="340"/>
      <c r="WEG32" s="340"/>
      <c r="WEH32" s="340"/>
      <c r="WEI32" s="340"/>
      <c r="WEJ32" s="340"/>
      <c r="WEK32" s="340"/>
      <c r="WEL32" s="340"/>
      <c r="WEM32" s="340"/>
      <c r="WEN32" s="340"/>
      <c r="WEO32" s="340"/>
      <c r="WEP32" s="340"/>
      <c r="WEQ32" s="340"/>
      <c r="WER32" s="340"/>
      <c r="WES32" s="340"/>
      <c r="WET32" s="340"/>
      <c r="WEU32" s="340"/>
      <c r="WEV32" s="340"/>
      <c r="WEW32" s="340"/>
      <c r="WEX32" s="340"/>
      <c r="WEY32" s="340"/>
      <c r="WEZ32" s="340"/>
      <c r="WFA32" s="340"/>
      <c r="WFB32" s="340"/>
      <c r="WFC32" s="340"/>
      <c r="WFD32" s="340"/>
      <c r="WFE32" s="340"/>
      <c r="WFF32" s="340"/>
      <c r="WFG32" s="340"/>
      <c r="WFH32" s="340"/>
      <c r="WFI32" s="340"/>
      <c r="WFJ32" s="340"/>
      <c r="WFK32" s="340"/>
      <c r="WFL32" s="340"/>
      <c r="WFM32" s="340"/>
      <c r="WFN32" s="340"/>
      <c r="WFO32" s="340"/>
      <c r="WFP32" s="340"/>
      <c r="WFQ32" s="340"/>
      <c r="WFR32" s="340"/>
      <c r="WFS32" s="340"/>
      <c r="WFT32" s="340"/>
      <c r="WFU32" s="340"/>
      <c r="WFV32" s="340"/>
      <c r="WFW32" s="340"/>
      <c r="WFX32" s="340"/>
      <c r="WFY32" s="340"/>
      <c r="WFZ32" s="340"/>
      <c r="WGA32" s="340"/>
      <c r="WGB32" s="340"/>
      <c r="WGC32" s="340"/>
      <c r="WGD32" s="340"/>
      <c r="WGE32" s="340"/>
      <c r="WGF32" s="340"/>
      <c r="WGG32" s="340"/>
      <c r="WGH32" s="340"/>
      <c r="WGI32" s="340"/>
      <c r="WGJ32" s="340"/>
      <c r="WGK32" s="340"/>
      <c r="WGL32" s="340"/>
      <c r="WGM32" s="340"/>
      <c r="WGN32" s="340"/>
      <c r="WGO32" s="340"/>
      <c r="WGP32" s="340"/>
      <c r="WGQ32" s="340"/>
      <c r="WGR32" s="340"/>
      <c r="WGS32" s="340"/>
      <c r="WGT32" s="340"/>
      <c r="WGU32" s="340"/>
      <c r="WGV32" s="340"/>
      <c r="WGW32" s="340"/>
      <c r="WGX32" s="340"/>
      <c r="WGY32" s="340"/>
      <c r="WGZ32" s="340"/>
      <c r="WHA32" s="340"/>
      <c r="WHB32" s="340"/>
      <c r="WHC32" s="340"/>
      <c r="WHD32" s="340"/>
      <c r="WHE32" s="340"/>
      <c r="WHF32" s="340"/>
      <c r="WHG32" s="340"/>
      <c r="WHH32" s="340"/>
      <c r="WHI32" s="340"/>
      <c r="WHJ32" s="340"/>
      <c r="WHK32" s="340"/>
      <c r="WHL32" s="340"/>
      <c r="WHM32" s="340"/>
      <c r="WHN32" s="340"/>
      <c r="WHO32" s="340"/>
      <c r="WHP32" s="340"/>
      <c r="WHQ32" s="340"/>
      <c r="WHR32" s="340"/>
      <c r="WHS32" s="340"/>
      <c r="WHT32" s="340"/>
      <c r="WHU32" s="340"/>
      <c r="WHV32" s="340"/>
      <c r="WHW32" s="340"/>
      <c r="WHX32" s="340"/>
      <c r="WHY32" s="340"/>
      <c r="WHZ32" s="340"/>
      <c r="WIA32" s="340"/>
      <c r="WIB32" s="340"/>
      <c r="WIC32" s="340"/>
      <c r="WID32" s="340"/>
      <c r="WIE32" s="340"/>
      <c r="WIF32" s="340"/>
      <c r="WIG32" s="340"/>
      <c r="WIH32" s="340"/>
      <c r="WII32" s="340"/>
      <c r="WIJ32" s="340"/>
      <c r="WIK32" s="340"/>
      <c r="WIL32" s="340"/>
      <c r="WIM32" s="340"/>
      <c r="WIN32" s="340"/>
      <c r="WIO32" s="340"/>
      <c r="WIP32" s="340"/>
      <c r="WIQ32" s="340"/>
      <c r="WIR32" s="340"/>
      <c r="WIS32" s="340"/>
      <c r="WIT32" s="340"/>
      <c r="WIU32" s="340"/>
      <c r="WIV32" s="340"/>
      <c r="WIW32" s="340"/>
      <c r="WIX32" s="340"/>
      <c r="WIY32" s="340"/>
      <c r="WIZ32" s="340"/>
      <c r="WJA32" s="340"/>
      <c r="WJB32" s="340"/>
      <c r="WJC32" s="340"/>
      <c r="WJD32" s="340"/>
      <c r="WJE32" s="340"/>
      <c r="WJF32" s="340"/>
      <c r="WJG32" s="340"/>
      <c r="WJH32" s="340"/>
      <c r="WJI32" s="340"/>
      <c r="WJJ32" s="340"/>
      <c r="WJK32" s="340"/>
      <c r="WJL32" s="340"/>
      <c r="WJM32" s="340"/>
      <c r="WJN32" s="340"/>
      <c r="WJO32" s="340"/>
      <c r="WJP32" s="340"/>
      <c r="WJQ32" s="340"/>
      <c r="WJR32" s="340"/>
      <c r="WJS32" s="340"/>
      <c r="WJT32" s="340"/>
      <c r="WJU32" s="340"/>
      <c r="WJV32" s="340"/>
      <c r="WJW32" s="340"/>
      <c r="WJX32" s="340"/>
      <c r="WJY32" s="340"/>
      <c r="WJZ32" s="340"/>
      <c r="WKA32" s="340"/>
      <c r="WKB32" s="340"/>
      <c r="WKC32" s="340"/>
      <c r="WKD32" s="340"/>
      <c r="WKE32" s="340"/>
      <c r="WKF32" s="340"/>
      <c r="WKG32" s="340"/>
      <c r="WKH32" s="340"/>
      <c r="WKI32" s="340"/>
      <c r="WKJ32" s="340"/>
      <c r="WKK32" s="340"/>
      <c r="WKL32" s="340"/>
      <c r="WKM32" s="340"/>
      <c r="WKN32" s="340"/>
      <c r="WKO32" s="340"/>
      <c r="WKP32" s="340"/>
      <c r="WKQ32" s="340"/>
      <c r="WKR32" s="340"/>
      <c r="WKS32" s="340"/>
      <c r="WKT32" s="340"/>
      <c r="WKU32" s="340"/>
      <c r="WKV32" s="340"/>
      <c r="WKW32" s="340"/>
      <c r="WKX32" s="340"/>
      <c r="WKY32" s="340"/>
      <c r="WKZ32" s="340"/>
      <c r="WLA32" s="340"/>
      <c r="WLB32" s="340"/>
      <c r="WLC32" s="340"/>
      <c r="WLD32" s="340"/>
      <c r="WLE32" s="340"/>
      <c r="WLF32" s="340"/>
      <c r="WLG32" s="340"/>
      <c r="WLH32" s="340"/>
      <c r="WLI32" s="340"/>
      <c r="WLJ32" s="340"/>
      <c r="WLK32" s="340"/>
      <c r="WLL32" s="340"/>
      <c r="WLM32" s="340"/>
      <c r="WLN32" s="340"/>
      <c r="WLO32" s="340"/>
      <c r="WLP32" s="340"/>
      <c r="WLQ32" s="340"/>
      <c r="WLR32" s="340"/>
      <c r="WLS32" s="340"/>
      <c r="WLT32" s="340"/>
      <c r="WLU32" s="340"/>
      <c r="WLV32" s="340"/>
      <c r="WLW32" s="340"/>
      <c r="WLX32" s="340"/>
      <c r="WLY32" s="340"/>
      <c r="WLZ32" s="340"/>
      <c r="WMA32" s="340"/>
      <c r="WMB32" s="340"/>
      <c r="WMC32" s="340"/>
      <c r="WMD32" s="340"/>
      <c r="WME32" s="340"/>
      <c r="WMF32" s="340"/>
      <c r="WMG32" s="340"/>
      <c r="WMH32" s="340"/>
      <c r="WMI32" s="340"/>
      <c r="WMJ32" s="340"/>
      <c r="WMK32" s="340"/>
      <c r="WML32" s="340"/>
      <c r="WMM32" s="340"/>
      <c r="WMN32" s="340"/>
      <c r="WMO32" s="340"/>
      <c r="WMP32" s="340"/>
      <c r="WMQ32" s="340"/>
      <c r="WMR32" s="340"/>
      <c r="WMS32" s="340"/>
      <c r="WMT32" s="340"/>
      <c r="WMU32" s="340"/>
      <c r="WMV32" s="340"/>
      <c r="WMW32" s="340"/>
      <c r="WMX32" s="340"/>
      <c r="WMY32" s="340"/>
      <c r="WMZ32" s="340"/>
      <c r="WNA32" s="340"/>
      <c r="WNB32" s="340"/>
      <c r="WNC32" s="340"/>
      <c r="WND32" s="340"/>
      <c r="WNE32" s="340"/>
      <c r="WNF32" s="340"/>
      <c r="WNG32" s="340"/>
      <c r="WNH32" s="340"/>
      <c r="WNI32" s="340"/>
      <c r="WNJ32" s="340"/>
      <c r="WNK32" s="340"/>
      <c r="WNL32" s="340"/>
      <c r="WNM32" s="340"/>
      <c r="WNN32" s="340"/>
      <c r="WNO32" s="340"/>
      <c r="WNP32" s="340"/>
      <c r="WNQ32" s="340"/>
      <c r="WNR32" s="340"/>
      <c r="WNS32" s="340"/>
      <c r="WNT32" s="340"/>
      <c r="WNU32" s="340"/>
      <c r="WNV32" s="340"/>
      <c r="WNW32" s="340"/>
      <c r="WNX32" s="340"/>
      <c r="WNY32" s="340"/>
      <c r="WNZ32" s="340"/>
      <c r="WOA32" s="340"/>
      <c r="WOB32" s="340"/>
      <c r="WOC32" s="340"/>
      <c r="WOD32" s="340"/>
      <c r="WOE32" s="340"/>
      <c r="WOF32" s="340"/>
      <c r="WOG32" s="340"/>
      <c r="WOH32" s="340"/>
      <c r="WOI32" s="340"/>
      <c r="WOJ32" s="340"/>
      <c r="WOK32" s="340"/>
      <c r="WOL32" s="340"/>
      <c r="WOM32" s="340"/>
      <c r="WON32" s="340"/>
      <c r="WOO32" s="340"/>
      <c r="WOP32" s="340"/>
      <c r="WOQ32" s="340"/>
      <c r="WOR32" s="340"/>
      <c r="WOS32" s="340"/>
      <c r="WOT32" s="340"/>
      <c r="WOU32" s="340"/>
      <c r="WOV32" s="340"/>
      <c r="WOW32" s="340"/>
      <c r="WOX32" s="340"/>
      <c r="WOY32" s="340"/>
      <c r="WOZ32" s="340"/>
      <c r="WPA32" s="340"/>
      <c r="WPB32" s="340"/>
      <c r="WPC32" s="340"/>
      <c r="WPD32" s="340"/>
      <c r="WPE32" s="340"/>
      <c r="WPF32" s="340"/>
      <c r="WPG32" s="340"/>
      <c r="WPH32" s="340"/>
      <c r="WPI32" s="340"/>
      <c r="WPJ32" s="340"/>
      <c r="WPK32" s="340"/>
      <c r="WPL32" s="340"/>
      <c r="WPM32" s="340"/>
      <c r="WPN32" s="340"/>
      <c r="WPO32" s="340"/>
      <c r="WPP32" s="340"/>
      <c r="WPQ32" s="340"/>
      <c r="WPR32" s="340"/>
      <c r="WPS32" s="340"/>
      <c r="WPT32" s="340"/>
      <c r="WPU32" s="340"/>
      <c r="WPV32" s="340"/>
      <c r="WPW32" s="340"/>
      <c r="WPX32" s="340"/>
      <c r="WPY32" s="340"/>
      <c r="WPZ32" s="340"/>
      <c r="WQA32" s="340"/>
      <c r="WQB32" s="340"/>
      <c r="WQC32" s="340"/>
      <c r="WQD32" s="340"/>
      <c r="WQE32" s="340"/>
      <c r="WQF32" s="340"/>
      <c r="WQG32" s="340"/>
      <c r="WQH32" s="340"/>
      <c r="WQI32" s="340"/>
      <c r="WQJ32" s="340"/>
      <c r="WQK32" s="340"/>
      <c r="WQL32" s="340"/>
      <c r="WQM32" s="340"/>
      <c r="WQN32" s="340"/>
      <c r="WQO32" s="340"/>
      <c r="WQP32" s="340"/>
      <c r="WQQ32" s="340"/>
      <c r="WQR32" s="340"/>
      <c r="WQS32" s="340"/>
      <c r="WQT32" s="340"/>
      <c r="WQU32" s="340"/>
      <c r="WQV32" s="340"/>
      <c r="WQW32" s="340"/>
      <c r="WQX32" s="340"/>
      <c r="WQY32" s="340"/>
      <c r="WQZ32" s="340"/>
      <c r="WRA32" s="340"/>
      <c r="WRB32" s="340"/>
      <c r="WRC32" s="340"/>
      <c r="WRD32" s="340"/>
      <c r="WRE32" s="340"/>
      <c r="WRF32" s="340"/>
      <c r="WRG32" s="340"/>
      <c r="WRH32" s="340"/>
      <c r="WRI32" s="340"/>
      <c r="WRJ32" s="340"/>
      <c r="WRK32" s="340"/>
      <c r="WRL32" s="340"/>
      <c r="WRM32" s="340"/>
      <c r="WRN32" s="340"/>
      <c r="WRO32" s="340"/>
      <c r="WRP32" s="340"/>
      <c r="WRQ32" s="340"/>
      <c r="WRR32" s="340"/>
      <c r="WRS32" s="340"/>
      <c r="WRT32" s="340"/>
      <c r="WRU32" s="340"/>
      <c r="WRV32" s="340"/>
      <c r="WRW32" s="340"/>
      <c r="WRX32" s="340"/>
      <c r="WRY32" s="340"/>
      <c r="WRZ32" s="340"/>
      <c r="WSA32" s="340"/>
      <c r="WSB32" s="340"/>
      <c r="WSC32" s="340"/>
      <c r="WSD32" s="340"/>
      <c r="WSE32" s="340"/>
      <c r="WSF32" s="340"/>
      <c r="WSG32" s="340"/>
      <c r="WSH32" s="340"/>
      <c r="WSI32" s="340"/>
      <c r="WSJ32" s="340"/>
      <c r="WSK32" s="340"/>
      <c r="WSL32" s="340"/>
      <c r="WSM32" s="340"/>
      <c r="WSN32" s="340"/>
      <c r="WSO32" s="340"/>
      <c r="WSP32" s="340"/>
      <c r="WSQ32" s="340"/>
      <c r="WSR32" s="340"/>
      <c r="WSS32" s="340"/>
      <c r="WST32" s="340"/>
      <c r="WSU32" s="340"/>
      <c r="WSV32" s="340"/>
      <c r="WSW32" s="340"/>
      <c r="WSX32" s="340"/>
      <c r="WSY32" s="340"/>
      <c r="WSZ32" s="340"/>
      <c r="WTA32" s="340"/>
      <c r="WTB32" s="340"/>
      <c r="WTC32" s="340"/>
      <c r="WTD32" s="340"/>
      <c r="WTE32" s="340"/>
      <c r="WTF32" s="340"/>
      <c r="WTG32" s="340"/>
      <c r="WTH32" s="340"/>
      <c r="WTI32" s="340"/>
      <c r="WTJ32" s="340"/>
      <c r="WTK32" s="340"/>
      <c r="WTL32" s="340"/>
      <c r="WTM32" s="340"/>
      <c r="WTN32" s="340"/>
      <c r="WTO32" s="340"/>
      <c r="WTP32" s="340"/>
      <c r="WTQ32" s="340"/>
      <c r="WTR32" s="340"/>
      <c r="WTS32" s="340"/>
      <c r="WTT32" s="340"/>
      <c r="WTU32" s="340"/>
      <c r="WTV32" s="340"/>
      <c r="WTW32" s="340"/>
      <c r="WTX32" s="340"/>
      <c r="WTY32" s="340"/>
      <c r="WTZ32" s="340"/>
      <c r="WUA32" s="340"/>
      <c r="WUB32" s="340"/>
      <c r="WUC32" s="340"/>
      <c r="WUD32" s="340"/>
      <c r="WUE32" s="340"/>
      <c r="WUF32" s="340"/>
      <c r="WUG32" s="340"/>
      <c r="WUH32" s="340"/>
      <c r="WUI32" s="340"/>
      <c r="WUJ32" s="340"/>
      <c r="WUK32" s="340"/>
      <c r="WUL32" s="340"/>
      <c r="WUM32" s="340"/>
      <c r="WUN32" s="340"/>
      <c r="WUO32" s="340"/>
      <c r="WUP32" s="340"/>
      <c r="WUQ32" s="340"/>
      <c r="WUR32" s="340"/>
      <c r="WUS32" s="340"/>
      <c r="WUT32" s="340"/>
      <c r="WUU32" s="340"/>
      <c r="WUV32" s="340"/>
      <c r="WUW32" s="340"/>
      <c r="WUX32" s="340"/>
      <c r="WUY32" s="340"/>
      <c r="WUZ32" s="340"/>
      <c r="WVA32" s="340"/>
      <c r="WVB32" s="340"/>
      <c r="WVC32" s="340"/>
      <c r="WVD32" s="340"/>
      <c r="WVE32" s="340"/>
      <c r="WVF32" s="340"/>
      <c r="WVG32" s="340"/>
      <c r="WVH32" s="340"/>
      <c r="WVI32" s="340"/>
      <c r="WVJ32" s="340"/>
      <c r="WVK32" s="340"/>
      <c r="WVL32" s="340"/>
      <c r="WVM32" s="340"/>
      <c r="WVN32" s="340"/>
      <c r="WVO32" s="340"/>
      <c r="WVP32" s="340"/>
      <c r="WVQ32" s="340"/>
      <c r="WVR32" s="340"/>
      <c r="WVS32" s="340"/>
      <c r="WVT32" s="340"/>
      <c r="WVU32" s="340"/>
      <c r="WVV32" s="340"/>
      <c r="WVW32" s="340"/>
      <c r="WVX32" s="340"/>
      <c r="WVY32" s="340"/>
      <c r="WVZ32" s="340"/>
      <c r="WWA32" s="340"/>
      <c r="WWB32" s="340"/>
      <c r="WWC32" s="340"/>
      <c r="WWD32" s="340"/>
      <c r="WWE32" s="340"/>
      <c r="WWF32" s="340"/>
      <c r="WWG32" s="340"/>
      <c r="WWH32" s="340"/>
      <c r="WWI32" s="340"/>
      <c r="WWJ32" s="340"/>
      <c r="WWK32" s="340"/>
      <c r="WWL32" s="340"/>
      <c r="WWM32" s="340"/>
      <c r="WWN32" s="340"/>
      <c r="WWO32" s="340"/>
      <c r="WWP32" s="340"/>
      <c r="WWQ32" s="340"/>
      <c r="WWR32" s="340"/>
      <c r="WWS32" s="340"/>
      <c r="WWT32" s="340"/>
      <c r="WWU32" s="340"/>
      <c r="WWV32" s="340"/>
      <c r="WWW32" s="340"/>
      <c r="WWX32" s="340"/>
      <c r="WWY32" s="340"/>
      <c r="WWZ32" s="340"/>
      <c r="WXA32" s="340"/>
      <c r="WXB32" s="340"/>
      <c r="WXC32" s="340"/>
      <c r="WXD32" s="340"/>
      <c r="WXE32" s="340"/>
      <c r="WXF32" s="340"/>
      <c r="WXG32" s="340"/>
      <c r="WXH32" s="340"/>
      <c r="WXI32" s="340"/>
      <c r="WXJ32" s="340"/>
      <c r="WXK32" s="340"/>
      <c r="WXL32" s="340"/>
      <c r="WXM32" s="340"/>
      <c r="WXN32" s="340"/>
      <c r="WXO32" s="340"/>
      <c r="WXP32" s="340"/>
      <c r="WXQ32" s="340"/>
      <c r="WXR32" s="340"/>
      <c r="WXS32" s="340"/>
      <c r="WXT32" s="340"/>
      <c r="WXU32" s="340"/>
      <c r="WXV32" s="340"/>
      <c r="WXW32" s="340"/>
      <c r="WXX32" s="340"/>
      <c r="WXY32" s="340"/>
      <c r="WXZ32" s="340"/>
      <c r="WYA32" s="340"/>
      <c r="WYB32" s="340"/>
      <c r="WYC32" s="340"/>
      <c r="WYD32" s="340"/>
      <c r="WYE32" s="340"/>
      <c r="WYF32" s="340"/>
      <c r="WYG32" s="340"/>
      <c r="WYH32" s="340"/>
      <c r="WYI32" s="340"/>
      <c r="WYJ32" s="340"/>
      <c r="WYK32" s="340"/>
      <c r="WYL32" s="340"/>
      <c r="WYM32" s="340"/>
      <c r="WYN32" s="340"/>
      <c r="WYO32" s="340"/>
      <c r="WYP32" s="340"/>
      <c r="WYQ32" s="340"/>
      <c r="WYR32" s="340"/>
      <c r="WYS32" s="340"/>
      <c r="WYT32" s="340"/>
      <c r="WYU32" s="340"/>
      <c r="WYV32" s="340"/>
      <c r="WYW32" s="340"/>
      <c r="WYX32" s="340"/>
      <c r="WYY32" s="340"/>
      <c r="WYZ32" s="340"/>
      <c r="WZA32" s="340"/>
      <c r="WZB32" s="340"/>
      <c r="WZC32" s="340"/>
      <c r="WZD32" s="340"/>
      <c r="WZE32" s="340"/>
      <c r="WZF32" s="340"/>
      <c r="WZG32" s="340"/>
      <c r="WZH32" s="340"/>
      <c r="WZI32" s="340"/>
      <c r="WZJ32" s="340"/>
      <c r="WZK32" s="340"/>
      <c r="WZL32" s="340"/>
      <c r="WZM32" s="340"/>
      <c r="WZN32" s="340"/>
      <c r="WZO32" s="340"/>
      <c r="WZP32" s="340"/>
      <c r="WZQ32" s="340"/>
      <c r="WZR32" s="340"/>
      <c r="WZS32" s="340"/>
      <c r="WZT32" s="340"/>
      <c r="WZU32" s="340"/>
      <c r="WZV32" s="340"/>
      <c r="WZW32" s="340"/>
      <c r="WZX32" s="340"/>
      <c r="WZY32" s="340"/>
      <c r="WZZ32" s="340"/>
      <c r="XAA32" s="340"/>
      <c r="XAB32" s="340"/>
      <c r="XAC32" s="340"/>
      <c r="XAD32" s="340"/>
      <c r="XAE32" s="340"/>
      <c r="XAF32" s="340"/>
      <c r="XAG32" s="340"/>
      <c r="XAH32" s="340"/>
      <c r="XAI32" s="340"/>
      <c r="XAJ32" s="340"/>
      <c r="XAK32" s="340"/>
      <c r="XAL32" s="340"/>
      <c r="XAM32" s="340"/>
      <c r="XAN32" s="340"/>
      <c r="XAO32" s="340"/>
      <c r="XAP32" s="340"/>
      <c r="XAQ32" s="340"/>
      <c r="XAR32" s="340"/>
      <c r="XAS32" s="340"/>
      <c r="XAT32" s="340"/>
      <c r="XAU32" s="340"/>
      <c r="XAV32" s="340"/>
      <c r="XAW32" s="340"/>
      <c r="XAX32" s="340"/>
      <c r="XAY32" s="340"/>
      <c r="XAZ32" s="340"/>
      <c r="XBA32" s="340"/>
      <c r="XBB32" s="340"/>
      <c r="XBC32" s="340"/>
      <c r="XBD32" s="340"/>
      <c r="XBE32" s="340"/>
      <c r="XBF32" s="340"/>
      <c r="XBG32" s="340"/>
      <c r="XBH32" s="340"/>
      <c r="XBI32" s="340"/>
      <c r="XBJ32" s="340"/>
      <c r="XBK32" s="340"/>
      <c r="XBL32" s="340"/>
      <c r="XBM32" s="340"/>
      <c r="XBN32" s="340"/>
      <c r="XBO32" s="340"/>
      <c r="XBP32" s="340"/>
      <c r="XBQ32" s="340"/>
      <c r="XBR32" s="340"/>
      <c r="XBS32" s="340"/>
      <c r="XBT32" s="340"/>
      <c r="XBU32" s="340"/>
      <c r="XBV32" s="340"/>
      <c r="XBW32" s="340"/>
      <c r="XBX32" s="340"/>
      <c r="XBY32" s="340"/>
      <c r="XBZ32" s="340"/>
      <c r="XCA32" s="340"/>
      <c r="XCB32" s="340"/>
      <c r="XCC32" s="340"/>
      <c r="XCD32" s="340"/>
      <c r="XCE32" s="340"/>
      <c r="XCF32" s="340"/>
      <c r="XCG32" s="340"/>
      <c r="XCH32" s="340"/>
      <c r="XCI32" s="340"/>
      <c r="XCJ32" s="340"/>
      <c r="XCK32" s="340"/>
      <c r="XCL32" s="340"/>
      <c r="XCM32" s="340"/>
      <c r="XCN32" s="340"/>
      <c r="XCO32" s="340"/>
      <c r="XCP32" s="340"/>
      <c r="XCQ32" s="340"/>
      <c r="XCR32" s="340"/>
      <c r="XCS32" s="340"/>
      <c r="XCT32" s="340"/>
      <c r="XCU32" s="340"/>
      <c r="XCV32" s="340"/>
      <c r="XCW32" s="340"/>
      <c r="XCX32" s="340"/>
      <c r="XCY32" s="340"/>
      <c r="XCZ32" s="340"/>
      <c r="XDA32" s="340"/>
      <c r="XDB32" s="340"/>
      <c r="XDC32" s="340"/>
      <c r="XDD32" s="340"/>
      <c r="XDE32" s="340"/>
      <c r="XDF32" s="340"/>
      <c r="XDG32" s="340"/>
      <c r="XDH32" s="340"/>
      <c r="XDI32" s="340"/>
      <c r="XDJ32" s="340"/>
      <c r="XDK32" s="340"/>
      <c r="XDL32" s="340"/>
      <c r="XDM32" s="340"/>
      <c r="XDN32" s="340"/>
      <c r="XDO32" s="340"/>
      <c r="XDP32" s="340"/>
      <c r="XDQ32" s="340"/>
      <c r="XDR32" s="340"/>
      <c r="XDS32" s="340"/>
      <c r="XDT32" s="340"/>
      <c r="XDU32" s="340"/>
      <c r="XDV32" s="340"/>
      <c r="XDW32" s="340"/>
      <c r="XDX32" s="340"/>
      <c r="XDY32" s="340"/>
      <c r="XDZ32" s="340"/>
      <c r="XEA32" s="340"/>
      <c r="XEB32" s="340"/>
      <c r="XEC32" s="340"/>
      <c r="XED32" s="340"/>
      <c r="XEE32" s="340"/>
      <c r="XEF32" s="340"/>
      <c r="XEG32" s="340"/>
      <c r="XEH32" s="340"/>
      <c r="XEI32" s="340"/>
      <c r="XEJ32" s="340"/>
      <c r="XEK32" s="340"/>
      <c r="XEL32" s="340"/>
      <c r="XEM32" s="340"/>
      <c r="XEN32" s="340"/>
      <c r="XEO32" s="340"/>
      <c r="XEP32" s="340"/>
      <c r="XEQ32" s="340"/>
      <c r="XER32" s="340"/>
      <c r="XES32" s="340"/>
      <c r="XET32" s="340"/>
      <c r="XEU32" s="340"/>
      <c r="XEV32" s="340"/>
      <c r="XEW32" s="340"/>
      <c r="XEX32" s="340"/>
      <c r="XEY32" s="340"/>
      <c r="XEZ32" s="340"/>
      <c r="XFA32" s="340"/>
      <c r="XFB32" s="340"/>
      <c r="XFC32" s="340"/>
    </row>
    <row r="33" spans="1:16383" x14ac:dyDescent="0.2">
      <c r="A33" s="382"/>
      <c r="B33" s="385">
        <v>29</v>
      </c>
      <c r="C33" s="359"/>
      <c r="D33" s="359"/>
      <c r="E33" s="671"/>
      <c r="F33" s="661" t="s">
        <v>666</v>
      </c>
      <c r="G33" s="1251" t="s">
        <v>1556</v>
      </c>
      <c r="H33" s="1249" t="s">
        <v>296</v>
      </c>
      <c r="I33" s="1249" t="s">
        <v>296</v>
      </c>
      <c r="J33" s="1250">
        <v>47500</v>
      </c>
      <c r="K33" s="672">
        <v>0</v>
      </c>
      <c r="L33" s="663">
        <v>0</v>
      </c>
      <c r="M33" s="664"/>
      <c r="N33" s="1122">
        <f t="shared" si="30"/>
        <v>47500</v>
      </c>
      <c r="O33" s="1122"/>
      <c r="P33" s="1122"/>
      <c r="Q33" s="667">
        <v>0.05</v>
      </c>
      <c r="R33" s="666">
        <f t="shared" si="0"/>
        <v>2375</v>
      </c>
      <c r="S33" s="665">
        <f t="shared" si="1"/>
        <v>2797.75</v>
      </c>
      <c r="T33" s="665">
        <f t="shared" si="2"/>
        <v>654.3125</v>
      </c>
      <c r="U33" s="666">
        <f t="shared" si="3"/>
        <v>42</v>
      </c>
      <c r="V33" s="666">
        <f t="shared" si="4"/>
        <v>100.8</v>
      </c>
      <c r="W33" s="665">
        <f t="shared" si="5"/>
        <v>364.79999999999995</v>
      </c>
      <c r="X33" s="665">
        <f t="shared" si="28"/>
        <v>3930.3600000000006</v>
      </c>
      <c r="Y33" s="665">
        <f t="shared" si="31"/>
        <v>3930.3600000000006</v>
      </c>
      <c r="Z33" s="361">
        <f t="shared" si="6"/>
        <v>61695.43250000001</v>
      </c>
      <c r="AB33" s="362"/>
      <c r="AC33" s="1181" t="str">
        <f t="shared" si="7"/>
        <v xml:space="preserve">tba (was Kalman) </v>
      </c>
      <c r="AD33" s="668" t="s">
        <v>510</v>
      </c>
      <c r="AE33" s="669">
        <f t="shared" si="8"/>
        <v>143.44</v>
      </c>
      <c r="AF33" s="670" t="s">
        <v>511</v>
      </c>
      <c r="AG33" s="669">
        <f t="shared" si="9"/>
        <v>6.92</v>
      </c>
      <c r="AH33" s="670" t="s">
        <v>512</v>
      </c>
      <c r="AI33" s="364">
        <f t="shared" si="10"/>
        <v>1.63</v>
      </c>
      <c r="AJ33" s="364">
        <f t="shared" si="11"/>
        <v>631.8900000000001</v>
      </c>
      <c r="AK33" s="364">
        <f t="shared" si="12"/>
        <v>19.369999999999997</v>
      </c>
      <c r="AL33" s="364">
        <f t="shared" si="13"/>
        <v>3.8</v>
      </c>
      <c r="AM33" s="365">
        <f t="shared" si="14"/>
        <v>151.98999999999998</v>
      </c>
      <c r="AN33" s="366">
        <f t="shared" si="15"/>
        <v>655.06000000000006</v>
      </c>
      <c r="AO33" s="367">
        <f t="shared" si="29"/>
        <v>807.05000000000007</v>
      </c>
      <c r="AP33" s="368">
        <v>8.7999999999999998E-5</v>
      </c>
      <c r="AQ33" s="369">
        <v>2.0000000000000002E-5</v>
      </c>
      <c r="AR33" s="370">
        <v>2.22E-4</v>
      </c>
      <c r="AS33" s="371">
        <v>3.1E-4</v>
      </c>
      <c r="AT33" s="372">
        <f t="shared" si="16"/>
        <v>364.79999999999995</v>
      </c>
      <c r="AV33" s="373">
        <f t="shared" si="17"/>
        <v>47500</v>
      </c>
      <c r="AW33" s="374">
        <f t="shared" si="33"/>
        <v>0</v>
      </c>
      <c r="AX33" s="375" t="str">
        <f t="shared" si="34"/>
        <v/>
      </c>
      <c r="AY33" s="376">
        <v>41820</v>
      </c>
      <c r="AZ33" s="377">
        <f t="shared" si="35"/>
        <v>-29871</v>
      </c>
      <c r="BA33" s="378">
        <f t="shared" si="36"/>
        <v>29871</v>
      </c>
      <c r="BB33" s="379" t="str">
        <f t="shared" si="37"/>
        <v/>
      </c>
      <c r="BC33" s="379" t="str">
        <f t="shared" si="38"/>
        <v/>
      </c>
      <c r="BD33" s="379">
        <f t="shared" si="39"/>
        <v>0</v>
      </c>
      <c r="BE33" s="379" t="str">
        <f t="shared" si="40"/>
        <v/>
      </c>
      <c r="BF33" s="380" t="str">
        <f t="shared" si="41"/>
        <v/>
      </c>
      <c r="BG33" s="381" t="e">
        <f t="shared" si="42"/>
        <v>#VALUE!</v>
      </c>
    </row>
    <row r="34" spans="1:16383" x14ac:dyDescent="0.2">
      <c r="A34" s="382"/>
      <c r="B34" s="383">
        <v>30</v>
      </c>
      <c r="C34" s="359"/>
      <c r="D34" s="359"/>
      <c r="E34" s="671"/>
      <c r="F34" s="661" t="s">
        <v>885</v>
      </c>
      <c r="G34" s="882" t="s">
        <v>1012</v>
      </c>
      <c r="H34" s="882" t="s">
        <v>1013</v>
      </c>
      <c r="I34" s="882" t="s">
        <v>1014</v>
      </c>
      <c r="J34" s="920">
        <v>47500</v>
      </c>
      <c r="K34" s="672">
        <v>0.03</v>
      </c>
      <c r="L34" s="663">
        <v>0</v>
      </c>
      <c r="M34" s="664">
        <v>1200</v>
      </c>
      <c r="N34" s="1122">
        <f t="shared" si="30"/>
        <v>50125</v>
      </c>
      <c r="O34" s="1122"/>
      <c r="P34" s="1122"/>
      <c r="Q34" s="667">
        <v>0</v>
      </c>
      <c r="R34" s="666">
        <f t="shared" si="0"/>
        <v>0</v>
      </c>
      <c r="S34" s="665">
        <f t="shared" si="1"/>
        <v>3107.75</v>
      </c>
      <c r="T34" s="665">
        <f t="shared" si="2"/>
        <v>726.8125</v>
      </c>
      <c r="U34" s="666">
        <f t="shared" si="3"/>
        <v>42</v>
      </c>
      <c r="V34" s="666">
        <f t="shared" si="4"/>
        <v>100.8</v>
      </c>
      <c r="W34" s="665">
        <f t="shared" si="5"/>
        <v>364.79999999999995</v>
      </c>
      <c r="X34" s="665">
        <f t="shared" si="28"/>
        <v>11622.960000000001</v>
      </c>
      <c r="Y34" s="665">
        <f t="shared" si="31"/>
        <v>11622.960000000001</v>
      </c>
      <c r="Z34" s="361">
        <f t="shared" si="6"/>
        <v>77713.082500000019</v>
      </c>
      <c r="AB34" s="362"/>
      <c r="AC34" s="1181" t="str">
        <f t="shared" si="7"/>
        <v>Julie Roberts</v>
      </c>
      <c r="AD34" s="668" t="s">
        <v>516</v>
      </c>
      <c r="AE34" s="669">
        <f t="shared" si="8"/>
        <v>637.86</v>
      </c>
      <c r="AF34" s="670" t="s">
        <v>557</v>
      </c>
      <c r="AG34" s="669">
        <f t="shared" si="9"/>
        <v>72.36</v>
      </c>
      <c r="AH34" s="670" t="s">
        <v>848</v>
      </c>
      <c r="AI34" s="364">
        <f t="shared" si="10"/>
        <v>7.96</v>
      </c>
      <c r="AJ34" s="364">
        <f t="shared" si="11"/>
        <v>1863.54</v>
      </c>
      <c r="AK34" s="364">
        <f t="shared" si="12"/>
        <v>65.63000000000001</v>
      </c>
      <c r="AL34" s="364">
        <f t="shared" si="13"/>
        <v>7.9899999999999993</v>
      </c>
      <c r="AM34" s="365">
        <f t="shared" si="14"/>
        <v>718.18000000000006</v>
      </c>
      <c r="AN34" s="366">
        <f t="shared" si="15"/>
        <v>1937.16</v>
      </c>
      <c r="AO34" s="367">
        <f t="shared" si="29"/>
        <v>2655.34</v>
      </c>
      <c r="AP34" s="368">
        <v>8.7999999999999998E-5</v>
      </c>
      <c r="AQ34" s="369">
        <v>2.0000000000000002E-5</v>
      </c>
      <c r="AR34" s="370">
        <v>2.22E-4</v>
      </c>
      <c r="AS34" s="371">
        <v>3.1E-4</v>
      </c>
      <c r="AT34" s="372">
        <f t="shared" si="16"/>
        <v>364.79999999999995</v>
      </c>
      <c r="AV34" s="373">
        <f t="shared" si="17"/>
        <v>47500</v>
      </c>
      <c r="AW34" s="374">
        <f t="shared" si="33"/>
        <v>0</v>
      </c>
      <c r="AX34" s="375" t="str">
        <f t="shared" si="34"/>
        <v/>
      </c>
      <c r="AY34" s="376">
        <v>41820</v>
      </c>
      <c r="AZ34" s="377">
        <f t="shared" si="35"/>
        <v>-29871</v>
      </c>
      <c r="BA34" s="378">
        <f t="shared" si="36"/>
        <v>29871</v>
      </c>
      <c r="BB34" s="379" t="str">
        <f t="shared" si="37"/>
        <v/>
      </c>
      <c r="BC34" s="379" t="str">
        <f t="shared" si="38"/>
        <v/>
      </c>
      <c r="BD34" s="379">
        <f t="shared" si="39"/>
        <v>0</v>
      </c>
      <c r="BE34" s="379" t="str">
        <f t="shared" si="40"/>
        <v/>
      </c>
      <c r="BF34" s="380" t="str">
        <f t="shared" si="41"/>
        <v/>
      </c>
      <c r="BG34" s="381" t="e">
        <f t="shared" si="42"/>
        <v>#VALUE!</v>
      </c>
    </row>
    <row r="35" spans="1:16383" x14ac:dyDescent="0.2">
      <c r="A35" s="382"/>
      <c r="B35" s="383">
        <v>31</v>
      </c>
      <c r="C35" s="359"/>
      <c r="D35" s="359"/>
      <c r="E35" s="671"/>
      <c r="F35" s="661" t="s">
        <v>900</v>
      </c>
      <c r="G35" s="882" t="s">
        <v>1396</v>
      </c>
      <c r="H35" s="882" t="s">
        <v>1395</v>
      </c>
      <c r="I35" s="882" t="s">
        <v>878</v>
      </c>
      <c r="J35" s="920">
        <v>47500</v>
      </c>
      <c r="K35" s="672">
        <v>0.03</v>
      </c>
      <c r="L35" s="663">
        <v>1000</v>
      </c>
      <c r="M35" s="674">
        <v>600</v>
      </c>
      <c r="N35" s="1122">
        <f t="shared" si="30"/>
        <v>50525</v>
      </c>
      <c r="O35" s="1122"/>
      <c r="P35" s="1122"/>
      <c r="Q35" s="667"/>
      <c r="R35" s="666">
        <f t="shared" si="0"/>
        <v>0</v>
      </c>
      <c r="S35" s="665">
        <f t="shared" si="1"/>
        <v>3132.55</v>
      </c>
      <c r="T35" s="665">
        <f t="shared" si="2"/>
        <v>732.61250000000007</v>
      </c>
      <c r="U35" s="666">
        <f t="shared" si="3"/>
        <v>42</v>
      </c>
      <c r="V35" s="666">
        <f t="shared" si="4"/>
        <v>100.8</v>
      </c>
      <c r="W35" s="665">
        <f>AT35</f>
        <v>364.79999999999995</v>
      </c>
      <c r="X35" s="665">
        <f t="shared" si="28"/>
        <v>3947.4600000000005</v>
      </c>
      <c r="Y35" s="665">
        <f>+AN35*6</f>
        <v>3947.4600000000005</v>
      </c>
      <c r="Z35" s="361">
        <f t="shared" si="6"/>
        <v>62792.68250000001</v>
      </c>
      <c r="AB35" s="362"/>
      <c r="AC35" s="1181" t="str">
        <f t="shared" si="7"/>
        <v>Leah Corbett</v>
      </c>
      <c r="AD35" s="668" t="s">
        <v>510</v>
      </c>
      <c r="AE35" s="669">
        <f t="shared" si="8"/>
        <v>143.44</v>
      </c>
      <c r="AF35" s="670" t="s">
        <v>845</v>
      </c>
      <c r="AG35" s="669">
        <f t="shared" si="9"/>
        <v>10.25</v>
      </c>
      <c r="AH35" s="670" t="s">
        <v>846</v>
      </c>
      <c r="AI35" s="364">
        <f t="shared" si="10"/>
        <v>1.63</v>
      </c>
      <c r="AJ35" s="364">
        <f t="shared" si="11"/>
        <v>631.8900000000001</v>
      </c>
      <c r="AK35" s="364">
        <f t="shared" si="12"/>
        <v>22.22</v>
      </c>
      <c r="AL35" s="364">
        <f t="shared" si="13"/>
        <v>3.8</v>
      </c>
      <c r="AM35" s="365">
        <f>AE35+AG35+AI35</f>
        <v>155.32</v>
      </c>
      <c r="AN35" s="366">
        <f>AJ35+AK35+AL35</f>
        <v>657.91000000000008</v>
      </c>
      <c r="AO35" s="367">
        <f>SUM(AM35:AN35)</f>
        <v>813.23</v>
      </c>
      <c r="AP35" s="368">
        <v>8.7999999999999998E-5</v>
      </c>
      <c r="AQ35" s="369">
        <v>2.0000000000000002E-5</v>
      </c>
      <c r="AR35" s="370">
        <v>2.22E-4</v>
      </c>
      <c r="AS35" s="371">
        <v>3.1E-4</v>
      </c>
      <c r="AT35" s="372">
        <f t="shared" si="16"/>
        <v>364.79999999999995</v>
      </c>
      <c r="AV35" s="373">
        <f t="shared" si="17"/>
        <v>47500</v>
      </c>
      <c r="AW35" s="374"/>
      <c r="AX35" s="375"/>
      <c r="AY35" s="376"/>
      <c r="AZ35" s="377"/>
      <c r="BA35" s="378"/>
      <c r="BB35" s="379"/>
      <c r="BC35" s="379"/>
      <c r="BD35" s="379"/>
      <c r="BE35" s="379"/>
      <c r="BF35" s="380"/>
      <c r="BG35" s="381"/>
    </row>
    <row r="36" spans="1:16383" x14ac:dyDescent="0.2">
      <c r="A36" s="382"/>
      <c r="B36" s="358">
        <v>32</v>
      </c>
      <c r="C36" s="359"/>
      <c r="D36" s="359"/>
      <c r="E36" s="671"/>
      <c r="F36" s="661" t="s">
        <v>667</v>
      </c>
      <c r="G36" s="1249" t="s">
        <v>1580</v>
      </c>
      <c r="H36" s="1249" t="s">
        <v>1579</v>
      </c>
      <c r="I36" s="1249" t="s">
        <v>1577</v>
      </c>
      <c r="J36" s="1250">
        <v>49900</v>
      </c>
      <c r="K36" s="672">
        <v>0</v>
      </c>
      <c r="L36" s="663"/>
      <c r="M36" s="664">
        <v>0</v>
      </c>
      <c r="N36" s="1122">
        <f t="shared" si="30"/>
        <v>49900</v>
      </c>
      <c r="O36" s="1122"/>
      <c r="P36" s="1122"/>
      <c r="Q36" s="667">
        <v>0.05</v>
      </c>
      <c r="R36" s="666">
        <f t="shared" si="0"/>
        <v>2495</v>
      </c>
      <c r="S36" s="665">
        <f t="shared" si="1"/>
        <v>2939.11</v>
      </c>
      <c r="T36" s="665">
        <f t="shared" si="2"/>
        <v>687.37250000000006</v>
      </c>
      <c r="U36" s="666">
        <f t="shared" si="3"/>
        <v>42</v>
      </c>
      <c r="V36" s="666">
        <f t="shared" si="4"/>
        <v>100.8</v>
      </c>
      <c r="W36" s="665">
        <f t="shared" si="5"/>
        <v>383.23199999999997</v>
      </c>
      <c r="X36" s="665">
        <f t="shared" si="28"/>
        <v>3947.4600000000005</v>
      </c>
      <c r="Y36" s="665">
        <f t="shared" si="31"/>
        <v>3947.4600000000005</v>
      </c>
      <c r="Z36" s="361">
        <f t="shared" si="6"/>
        <v>64442.484500000006</v>
      </c>
      <c r="AB36" s="362"/>
      <c r="AC36" s="1181" t="str">
        <f t="shared" si="7"/>
        <v>Ashley Getz</v>
      </c>
      <c r="AD36" s="668" t="s">
        <v>510</v>
      </c>
      <c r="AE36" s="669">
        <f t="shared" si="8"/>
        <v>143.44</v>
      </c>
      <c r="AF36" s="670" t="s">
        <v>525</v>
      </c>
      <c r="AG36" s="669">
        <f t="shared" si="9"/>
        <v>10.25</v>
      </c>
      <c r="AH36" s="670" t="s">
        <v>512</v>
      </c>
      <c r="AI36" s="364">
        <f t="shared" si="10"/>
        <v>1.63</v>
      </c>
      <c r="AJ36" s="364">
        <f t="shared" si="11"/>
        <v>631.8900000000001</v>
      </c>
      <c r="AK36" s="364">
        <f t="shared" si="12"/>
        <v>22.22</v>
      </c>
      <c r="AL36" s="364">
        <f t="shared" si="13"/>
        <v>3.8</v>
      </c>
      <c r="AM36" s="365">
        <f t="shared" si="14"/>
        <v>155.32</v>
      </c>
      <c r="AN36" s="366">
        <f t="shared" si="15"/>
        <v>657.91000000000008</v>
      </c>
      <c r="AO36" s="367">
        <f t="shared" si="29"/>
        <v>813.23</v>
      </c>
      <c r="AP36" s="368">
        <v>8.7999999999999998E-5</v>
      </c>
      <c r="AQ36" s="369">
        <v>2.0000000000000002E-5</v>
      </c>
      <c r="AR36" s="370">
        <v>2.22E-4</v>
      </c>
      <c r="AS36" s="371">
        <v>3.1E-4</v>
      </c>
      <c r="AT36" s="372">
        <f t="shared" si="16"/>
        <v>383.23199999999997</v>
      </c>
      <c r="AV36" s="373">
        <f t="shared" si="17"/>
        <v>49900</v>
      </c>
      <c r="AW36" s="374">
        <f t="shared" ref="AW36:AW48" si="43">NETWORKDAYS(C36,D36)</f>
        <v>0</v>
      </c>
      <c r="AX36" s="375" t="str">
        <f t="shared" si="34"/>
        <v/>
      </c>
      <c r="AY36" s="376">
        <v>41820</v>
      </c>
      <c r="AZ36" s="377">
        <f t="shared" ref="AZ36:AZ48" si="44">NETWORKDAYS(AY36,D36)</f>
        <v>-29871</v>
      </c>
      <c r="BA36" s="378">
        <f t="shared" si="36"/>
        <v>29871</v>
      </c>
      <c r="BB36" s="379" t="str">
        <f t="shared" si="37"/>
        <v/>
      </c>
      <c r="BC36" s="379" t="str">
        <f t="shared" si="38"/>
        <v/>
      </c>
      <c r="BD36" s="379">
        <f t="shared" si="39"/>
        <v>0</v>
      </c>
      <c r="BE36" s="379" t="str">
        <f t="shared" si="40"/>
        <v/>
      </c>
      <c r="BF36" s="380" t="str">
        <f t="shared" si="41"/>
        <v/>
      </c>
      <c r="BG36" s="381" t="e">
        <f t="shared" si="42"/>
        <v>#VALUE!</v>
      </c>
    </row>
    <row r="37" spans="1:16383" x14ac:dyDescent="0.2">
      <c r="A37" s="382"/>
      <c r="B37" s="358">
        <v>33</v>
      </c>
      <c r="C37" s="359"/>
      <c r="D37" s="359"/>
      <c r="E37" s="671"/>
      <c r="F37" s="675" t="s">
        <v>668</v>
      </c>
      <c r="G37" s="1249" t="s">
        <v>1581</v>
      </c>
      <c r="H37" s="1249"/>
      <c r="I37" s="1249"/>
      <c r="J37" s="1250">
        <v>47500</v>
      </c>
      <c r="K37" s="672">
        <v>0</v>
      </c>
      <c r="L37" s="663"/>
      <c r="M37" s="664"/>
      <c r="N37" s="1122">
        <f t="shared" si="30"/>
        <v>47500</v>
      </c>
      <c r="O37" s="1122"/>
      <c r="P37" s="1122"/>
      <c r="Q37" s="667">
        <v>0.05</v>
      </c>
      <c r="R37" s="666">
        <f t="shared" si="0"/>
        <v>2375</v>
      </c>
      <c r="S37" s="665">
        <f t="shared" si="1"/>
        <v>2797.75</v>
      </c>
      <c r="T37" s="665">
        <f t="shared" si="2"/>
        <v>654.3125</v>
      </c>
      <c r="U37" s="666">
        <f t="shared" si="3"/>
        <v>42</v>
      </c>
      <c r="V37" s="666">
        <f t="shared" si="4"/>
        <v>100.8</v>
      </c>
      <c r="W37" s="665">
        <f t="shared" si="5"/>
        <v>364.79999999999995</v>
      </c>
      <c r="X37" s="665">
        <f t="shared" si="28"/>
        <v>8453.76</v>
      </c>
      <c r="Y37" s="665">
        <f t="shared" si="31"/>
        <v>8453.76</v>
      </c>
      <c r="Z37" s="361">
        <f t="shared" si="6"/>
        <v>70742.232500000013</v>
      </c>
      <c r="AB37" s="362"/>
      <c r="AC37" s="1181" t="str">
        <f t="shared" si="7"/>
        <v>tba (was Curran)</v>
      </c>
      <c r="AD37" s="668" t="s">
        <v>515</v>
      </c>
      <c r="AE37" s="669">
        <f t="shared" si="8"/>
        <v>515.76</v>
      </c>
      <c r="AF37" s="670" t="s">
        <v>555</v>
      </c>
      <c r="AG37" s="669">
        <f t="shared" si="9"/>
        <v>38.93</v>
      </c>
      <c r="AH37" s="670" t="s">
        <v>521</v>
      </c>
      <c r="AI37" s="364">
        <f t="shared" si="10"/>
        <v>4.88</v>
      </c>
      <c r="AJ37" s="364">
        <f t="shared" si="11"/>
        <v>1359.74</v>
      </c>
      <c r="AK37" s="364">
        <f t="shared" si="12"/>
        <v>43.250000000000007</v>
      </c>
      <c r="AL37" s="364">
        <f t="shared" si="13"/>
        <v>5.97</v>
      </c>
      <c r="AM37" s="365">
        <f t="shared" si="14"/>
        <v>559.56999999999994</v>
      </c>
      <c r="AN37" s="366">
        <f t="shared" si="15"/>
        <v>1408.96</v>
      </c>
      <c r="AO37" s="367">
        <f t="shared" si="29"/>
        <v>1968.53</v>
      </c>
      <c r="AP37" s="368">
        <v>8.7999999999999998E-5</v>
      </c>
      <c r="AQ37" s="369">
        <v>2.0000000000000002E-5</v>
      </c>
      <c r="AR37" s="370">
        <v>2.22E-4</v>
      </c>
      <c r="AS37" s="371">
        <v>3.1E-4</v>
      </c>
      <c r="AT37" s="372">
        <f t="shared" ref="AT37:AT63" si="45">SUM((J37*AP37)+(J37*AQ37)+(J37*AR37)+(J37*AS37))*12</f>
        <v>364.79999999999995</v>
      </c>
      <c r="AV37" s="373">
        <f t="shared" si="17"/>
        <v>47500</v>
      </c>
      <c r="AW37" s="374">
        <f t="shared" si="43"/>
        <v>0</v>
      </c>
      <c r="AX37" s="375" t="str">
        <f t="shared" si="34"/>
        <v/>
      </c>
      <c r="AY37" s="376">
        <v>41820</v>
      </c>
      <c r="AZ37" s="377">
        <f t="shared" si="44"/>
        <v>-29871</v>
      </c>
      <c r="BA37" s="378">
        <f t="shared" si="36"/>
        <v>29871</v>
      </c>
      <c r="BB37" s="379" t="str">
        <f t="shared" si="37"/>
        <v/>
      </c>
      <c r="BC37" s="379" t="str">
        <f t="shared" si="38"/>
        <v/>
      </c>
      <c r="BD37" s="379">
        <f t="shared" si="39"/>
        <v>0</v>
      </c>
      <c r="BE37" s="379" t="str">
        <f t="shared" si="40"/>
        <v/>
      </c>
      <c r="BF37" s="380" t="str">
        <f t="shared" si="41"/>
        <v/>
      </c>
      <c r="BG37" s="381" t="e">
        <f t="shared" si="42"/>
        <v>#VALUE!</v>
      </c>
    </row>
    <row r="38" spans="1:16383" x14ac:dyDescent="0.2">
      <c r="A38" s="382"/>
      <c r="B38" s="383">
        <v>34</v>
      </c>
      <c r="C38" s="359"/>
      <c r="D38" s="359"/>
      <c r="E38" s="671"/>
      <c r="F38" s="661" t="s">
        <v>844</v>
      </c>
      <c r="G38" s="882" t="s">
        <v>669</v>
      </c>
      <c r="H38" s="882" t="s">
        <v>877</v>
      </c>
      <c r="I38" s="882" t="s">
        <v>878</v>
      </c>
      <c r="J38" s="920">
        <v>47500</v>
      </c>
      <c r="K38" s="672">
        <v>0.03</v>
      </c>
      <c r="L38" s="663">
        <v>1000</v>
      </c>
      <c r="M38" s="664">
        <v>1200</v>
      </c>
      <c r="N38" s="1122">
        <f t="shared" si="30"/>
        <v>51125</v>
      </c>
      <c r="O38" s="1122"/>
      <c r="P38" s="1122"/>
      <c r="Q38" s="667">
        <v>0.05</v>
      </c>
      <c r="R38" s="666">
        <f t="shared" si="0"/>
        <v>2556.25</v>
      </c>
      <c r="S38" s="665">
        <f t="shared" si="1"/>
        <v>3011.2624999999998</v>
      </c>
      <c r="T38" s="665">
        <f t="shared" si="2"/>
        <v>704.24687500000005</v>
      </c>
      <c r="U38" s="666">
        <f t="shared" si="3"/>
        <v>42</v>
      </c>
      <c r="V38" s="666">
        <f t="shared" si="4"/>
        <v>100.8</v>
      </c>
      <c r="W38" s="665">
        <f t="shared" si="5"/>
        <v>364.79999999999995</v>
      </c>
      <c r="X38" s="665">
        <f t="shared" si="28"/>
        <v>3947.4600000000005</v>
      </c>
      <c r="Y38" s="665">
        <f t="shared" si="31"/>
        <v>3947.4600000000005</v>
      </c>
      <c r="Z38" s="361">
        <f t="shared" si="6"/>
        <v>65799.329375000001</v>
      </c>
      <c r="AB38" s="362"/>
      <c r="AC38" s="1181" t="str">
        <f t="shared" si="7"/>
        <v>Deborah Corbett</v>
      </c>
      <c r="AD38" s="818" t="s">
        <v>510</v>
      </c>
      <c r="AE38" s="819">
        <f t="shared" si="8"/>
        <v>143.44</v>
      </c>
      <c r="AF38" s="820" t="s">
        <v>525</v>
      </c>
      <c r="AG38" s="819">
        <f t="shared" si="9"/>
        <v>10.25</v>
      </c>
      <c r="AH38" s="820" t="s">
        <v>846</v>
      </c>
      <c r="AI38" s="819">
        <f t="shared" si="10"/>
        <v>1.63</v>
      </c>
      <c r="AJ38" s="819">
        <f t="shared" si="11"/>
        <v>631.8900000000001</v>
      </c>
      <c r="AK38" s="819">
        <f t="shared" si="12"/>
        <v>22.22</v>
      </c>
      <c r="AL38" s="819">
        <f t="shared" si="13"/>
        <v>3.8</v>
      </c>
      <c r="AM38" s="365">
        <f t="shared" si="14"/>
        <v>155.32</v>
      </c>
      <c r="AN38" s="366">
        <f t="shared" si="15"/>
        <v>657.91000000000008</v>
      </c>
      <c r="AO38" s="367">
        <f t="shared" si="29"/>
        <v>813.23</v>
      </c>
      <c r="AP38" s="821">
        <v>8.7999999999999998E-5</v>
      </c>
      <c r="AQ38" s="822">
        <v>2.0000000000000002E-5</v>
      </c>
      <c r="AR38" s="370">
        <v>2.22E-4</v>
      </c>
      <c r="AS38" s="371">
        <v>3.1E-4</v>
      </c>
      <c r="AT38" s="372">
        <f t="shared" si="45"/>
        <v>364.79999999999995</v>
      </c>
      <c r="AV38" s="823">
        <f t="shared" si="17"/>
        <v>47500</v>
      </c>
      <c r="AW38" s="374">
        <f t="shared" si="43"/>
        <v>0</v>
      </c>
      <c r="AX38" s="375" t="str">
        <f t="shared" si="34"/>
        <v/>
      </c>
      <c r="AY38" s="376">
        <v>41820</v>
      </c>
      <c r="AZ38" s="377">
        <f t="shared" si="44"/>
        <v>-29871</v>
      </c>
      <c r="BA38" s="378">
        <f t="shared" si="36"/>
        <v>29871</v>
      </c>
      <c r="BB38" s="824" t="str">
        <f t="shared" si="37"/>
        <v/>
      </c>
      <c r="BC38" s="824" t="str">
        <f t="shared" si="38"/>
        <v/>
      </c>
      <c r="BD38" s="824">
        <f t="shared" si="39"/>
        <v>0</v>
      </c>
      <c r="BE38" s="824" t="str">
        <f t="shared" si="40"/>
        <v/>
      </c>
      <c r="BF38" s="825" t="str">
        <f t="shared" si="41"/>
        <v/>
      </c>
      <c r="BG38" s="826" t="e">
        <f t="shared" si="42"/>
        <v>#VALUE!</v>
      </c>
    </row>
    <row r="39" spans="1:16383" x14ac:dyDescent="0.2">
      <c r="A39" s="382"/>
      <c r="B39" s="385">
        <v>35</v>
      </c>
      <c r="C39" s="359"/>
      <c r="D39" s="359"/>
      <c r="E39" s="671"/>
      <c r="F39" s="805" t="s">
        <v>909</v>
      </c>
      <c r="G39" s="883" t="s">
        <v>1557</v>
      </c>
      <c r="H39" s="882" t="s">
        <v>1558</v>
      </c>
      <c r="I39" s="882" t="s">
        <v>1559</v>
      </c>
      <c r="J39" s="886">
        <v>51000</v>
      </c>
      <c r="K39" s="672">
        <v>0.03</v>
      </c>
      <c r="L39" s="663">
        <v>0</v>
      </c>
      <c r="M39" s="664"/>
      <c r="N39" s="1122">
        <f t="shared" si="30"/>
        <v>52530</v>
      </c>
      <c r="O39" s="1122"/>
      <c r="P39" s="1122"/>
      <c r="Q39" s="667">
        <v>0.05</v>
      </c>
      <c r="R39" s="666">
        <f t="shared" si="0"/>
        <v>2626.5</v>
      </c>
      <c r="S39" s="665">
        <f t="shared" si="1"/>
        <v>3094.0169999999998</v>
      </c>
      <c r="T39" s="665">
        <f t="shared" si="2"/>
        <v>723.60075000000006</v>
      </c>
      <c r="U39" s="666">
        <f t="shared" si="3"/>
        <v>42</v>
      </c>
      <c r="V39" s="666">
        <f t="shared" si="4"/>
        <v>100.8</v>
      </c>
      <c r="W39" s="665">
        <f t="shared" si="5"/>
        <v>391.68</v>
      </c>
      <c r="X39" s="665">
        <f t="shared" si="28"/>
        <v>3477.2999999999997</v>
      </c>
      <c r="Y39" s="665">
        <f t="shared" si="31"/>
        <v>3477.2999999999997</v>
      </c>
      <c r="Z39" s="361">
        <f t="shared" si="6"/>
        <v>66463.24775000001</v>
      </c>
      <c r="AB39" s="362"/>
      <c r="AC39" s="1181" t="str">
        <f t="shared" si="7"/>
        <v>Nicole Grant</v>
      </c>
      <c r="AD39" s="668" t="s">
        <v>530</v>
      </c>
      <c r="AE39" s="669">
        <f t="shared" si="8"/>
        <v>125.65</v>
      </c>
      <c r="AF39" s="670" t="s">
        <v>525</v>
      </c>
      <c r="AG39" s="669">
        <f t="shared" si="9"/>
        <v>10.25</v>
      </c>
      <c r="AH39" s="670" t="s">
        <v>846</v>
      </c>
      <c r="AI39" s="364">
        <f t="shared" si="10"/>
        <v>1.63</v>
      </c>
      <c r="AJ39" s="364">
        <f t="shared" si="11"/>
        <v>553.53</v>
      </c>
      <c r="AK39" s="364">
        <f t="shared" si="12"/>
        <v>22.22</v>
      </c>
      <c r="AL39" s="364">
        <f t="shared" si="13"/>
        <v>3.8</v>
      </c>
      <c r="AM39" s="365">
        <f t="shared" si="14"/>
        <v>137.53</v>
      </c>
      <c r="AN39" s="366">
        <f t="shared" si="15"/>
        <v>579.54999999999995</v>
      </c>
      <c r="AO39" s="367">
        <f t="shared" si="29"/>
        <v>717.07999999999993</v>
      </c>
      <c r="AP39" s="368">
        <v>8.7999999999999998E-5</v>
      </c>
      <c r="AQ39" s="369">
        <v>2.0000000000000002E-5</v>
      </c>
      <c r="AR39" s="370">
        <v>2.22E-4</v>
      </c>
      <c r="AS39" s="371">
        <v>3.1E-4</v>
      </c>
      <c r="AT39" s="372">
        <f t="shared" si="45"/>
        <v>391.68</v>
      </c>
      <c r="AV39" s="373">
        <f t="shared" si="17"/>
        <v>51000</v>
      </c>
      <c r="AW39" s="374">
        <f t="shared" si="43"/>
        <v>0</v>
      </c>
      <c r="AX39" s="375" t="str">
        <f t="shared" si="34"/>
        <v/>
      </c>
      <c r="AY39" s="376">
        <v>41820</v>
      </c>
      <c r="AZ39" s="377">
        <f t="shared" si="44"/>
        <v>-29871</v>
      </c>
      <c r="BA39" s="378">
        <f t="shared" si="36"/>
        <v>29871</v>
      </c>
      <c r="BB39" s="379" t="str">
        <f t="shared" si="37"/>
        <v/>
      </c>
      <c r="BC39" s="379" t="str">
        <f t="shared" si="38"/>
        <v/>
      </c>
      <c r="BD39" s="379">
        <f t="shared" si="39"/>
        <v>0</v>
      </c>
      <c r="BE39" s="379" t="str">
        <f t="shared" si="40"/>
        <v/>
      </c>
      <c r="BF39" s="380" t="str">
        <f t="shared" si="41"/>
        <v/>
      </c>
      <c r="BG39" s="381" t="e">
        <f t="shared" si="42"/>
        <v>#VALUE!</v>
      </c>
    </row>
    <row r="40" spans="1:16383" x14ac:dyDescent="0.2">
      <c r="A40" s="382"/>
      <c r="B40" s="358">
        <v>36</v>
      </c>
      <c r="C40" s="359"/>
      <c r="D40" s="359"/>
      <c r="E40" s="671"/>
      <c r="F40" s="805" t="s">
        <v>887</v>
      </c>
      <c r="G40" s="882" t="s">
        <v>1401</v>
      </c>
      <c r="H40" s="882" t="s">
        <v>864</v>
      </c>
      <c r="I40" s="882" t="s">
        <v>923</v>
      </c>
      <c r="J40" s="920">
        <v>50211</v>
      </c>
      <c r="K40" s="672">
        <v>0.03</v>
      </c>
      <c r="L40" s="663">
        <v>0</v>
      </c>
      <c r="M40" s="664">
        <v>1200</v>
      </c>
      <c r="N40" s="1122">
        <f t="shared" si="30"/>
        <v>52917.33</v>
      </c>
      <c r="O40" s="1122"/>
      <c r="P40" s="1122"/>
      <c r="Q40" s="667"/>
      <c r="R40" s="666">
        <f t="shared" si="0"/>
        <v>0</v>
      </c>
      <c r="S40" s="665">
        <f t="shared" si="1"/>
        <v>3280.87446</v>
      </c>
      <c r="T40" s="665">
        <f t="shared" si="2"/>
        <v>767.30128500000012</v>
      </c>
      <c r="U40" s="666">
        <f t="shared" si="3"/>
        <v>42</v>
      </c>
      <c r="V40" s="666">
        <f t="shared" si="4"/>
        <v>100.8</v>
      </c>
      <c r="W40" s="665">
        <f t="shared" si="5"/>
        <v>385.62048000000004</v>
      </c>
      <c r="X40" s="665">
        <f t="shared" si="28"/>
        <v>3437.3999999999996</v>
      </c>
      <c r="Y40" s="665">
        <f t="shared" si="31"/>
        <v>3437.3999999999996</v>
      </c>
      <c r="Z40" s="361">
        <f t="shared" si="6"/>
        <v>64368.726225000006</v>
      </c>
      <c r="AB40" s="362"/>
      <c r="AC40" s="1181" t="str">
        <f t="shared" si="7"/>
        <v>Christine Gomez</v>
      </c>
      <c r="AD40" s="668" t="s">
        <v>530</v>
      </c>
      <c r="AE40" s="669">
        <f t="shared" si="8"/>
        <v>125.65</v>
      </c>
      <c r="AF40" s="670" t="s">
        <v>511</v>
      </c>
      <c r="AG40" s="669">
        <f t="shared" si="9"/>
        <v>6.92</v>
      </c>
      <c r="AH40" s="670" t="s">
        <v>526</v>
      </c>
      <c r="AI40" s="364">
        <f t="shared" si="10"/>
        <v>0</v>
      </c>
      <c r="AJ40" s="364">
        <f t="shared" si="11"/>
        <v>553.53</v>
      </c>
      <c r="AK40" s="364">
        <f t="shared" si="12"/>
        <v>19.369999999999997</v>
      </c>
      <c r="AL40" s="364">
        <f t="shared" si="13"/>
        <v>0</v>
      </c>
      <c r="AM40" s="365">
        <f t="shared" si="14"/>
        <v>132.57</v>
      </c>
      <c r="AN40" s="366">
        <f t="shared" si="15"/>
        <v>572.9</v>
      </c>
      <c r="AO40" s="367">
        <f t="shared" si="29"/>
        <v>705.47</v>
      </c>
      <c r="AP40" s="368">
        <v>8.7999999999999998E-5</v>
      </c>
      <c r="AQ40" s="369">
        <v>2.0000000000000002E-5</v>
      </c>
      <c r="AR40" s="370">
        <v>2.22E-4</v>
      </c>
      <c r="AS40" s="371">
        <v>3.1E-4</v>
      </c>
      <c r="AT40" s="372">
        <f t="shared" si="45"/>
        <v>385.62048000000004</v>
      </c>
      <c r="AV40" s="373">
        <f t="shared" si="17"/>
        <v>50211</v>
      </c>
      <c r="AW40" s="374">
        <f t="shared" si="43"/>
        <v>0</v>
      </c>
      <c r="AX40" s="375" t="str">
        <f t="shared" si="34"/>
        <v/>
      </c>
      <c r="AY40" s="376">
        <v>41820</v>
      </c>
      <c r="AZ40" s="377">
        <f t="shared" si="44"/>
        <v>-29871</v>
      </c>
      <c r="BA40" s="378">
        <f t="shared" si="36"/>
        <v>29871</v>
      </c>
      <c r="BB40" s="379" t="str">
        <f t="shared" si="37"/>
        <v/>
      </c>
      <c r="BC40" s="379" t="str">
        <f t="shared" si="38"/>
        <v/>
      </c>
      <c r="BD40" s="379">
        <f t="shared" si="39"/>
        <v>0</v>
      </c>
      <c r="BE40" s="379" t="str">
        <f t="shared" si="40"/>
        <v/>
      </c>
      <c r="BF40" s="380" t="str">
        <f t="shared" si="41"/>
        <v/>
      </c>
      <c r="BG40" s="381" t="e">
        <f t="shared" si="42"/>
        <v>#VALUE!</v>
      </c>
    </row>
    <row r="41" spans="1:16383" x14ac:dyDescent="0.2">
      <c r="A41" s="385"/>
      <c r="B41" s="383">
        <v>37</v>
      </c>
      <c r="C41" s="359"/>
      <c r="D41" s="359"/>
      <c r="E41" s="671"/>
      <c r="F41" s="661" t="s">
        <v>839</v>
      </c>
      <c r="G41" s="883" t="s">
        <v>1000</v>
      </c>
      <c r="H41" s="882" t="s">
        <v>1001</v>
      </c>
      <c r="I41" s="882" t="s">
        <v>1002</v>
      </c>
      <c r="J41" s="886">
        <v>47500</v>
      </c>
      <c r="K41" s="672">
        <v>0.03</v>
      </c>
      <c r="L41" s="663">
        <v>0</v>
      </c>
      <c r="M41" s="664">
        <v>600</v>
      </c>
      <c r="N41" s="1122">
        <f t="shared" si="30"/>
        <v>49525</v>
      </c>
      <c r="O41" s="1122"/>
      <c r="P41" s="1122"/>
      <c r="Q41" s="667">
        <v>0.05</v>
      </c>
      <c r="R41" s="666">
        <f t="shared" si="0"/>
        <v>2476.25</v>
      </c>
      <c r="S41" s="665">
        <f t="shared" si="1"/>
        <v>2917.0225</v>
      </c>
      <c r="T41" s="665">
        <f t="shared" si="2"/>
        <v>682.20687500000008</v>
      </c>
      <c r="U41" s="666">
        <f t="shared" si="3"/>
        <v>42</v>
      </c>
      <c r="V41" s="666">
        <f t="shared" si="4"/>
        <v>100.8</v>
      </c>
      <c r="W41" s="665">
        <f t="shared" si="5"/>
        <v>364.79999999999995</v>
      </c>
      <c r="X41" s="665">
        <f t="shared" si="28"/>
        <v>11622.960000000001</v>
      </c>
      <c r="Y41" s="665">
        <f t="shared" si="31"/>
        <v>11622.960000000001</v>
      </c>
      <c r="Z41" s="361">
        <f t="shared" si="6"/>
        <v>79354.049375000017</v>
      </c>
      <c r="AB41" s="362"/>
      <c r="AC41" s="1181" t="str">
        <f t="shared" si="7"/>
        <v>Melanie Chow</v>
      </c>
      <c r="AD41" s="668" t="s">
        <v>516</v>
      </c>
      <c r="AE41" s="669">
        <f t="shared" si="8"/>
        <v>637.86</v>
      </c>
      <c r="AF41" s="670" t="s">
        <v>557</v>
      </c>
      <c r="AG41" s="669">
        <f t="shared" si="9"/>
        <v>72.36</v>
      </c>
      <c r="AH41" s="670" t="s">
        <v>519</v>
      </c>
      <c r="AI41" s="364">
        <f t="shared" si="10"/>
        <v>7.96</v>
      </c>
      <c r="AJ41" s="364">
        <f t="shared" si="11"/>
        <v>1863.54</v>
      </c>
      <c r="AK41" s="364">
        <f t="shared" si="12"/>
        <v>65.63000000000001</v>
      </c>
      <c r="AL41" s="364">
        <f t="shared" si="13"/>
        <v>7.9899999999999993</v>
      </c>
      <c r="AM41" s="365">
        <f t="shared" si="14"/>
        <v>718.18000000000006</v>
      </c>
      <c r="AN41" s="366">
        <f t="shared" si="15"/>
        <v>1937.16</v>
      </c>
      <c r="AO41" s="367">
        <f t="shared" si="29"/>
        <v>2655.34</v>
      </c>
      <c r="AP41" s="368">
        <v>8.7999999999999998E-5</v>
      </c>
      <c r="AQ41" s="369">
        <v>2.0000000000000002E-5</v>
      </c>
      <c r="AR41" s="370">
        <v>2.22E-4</v>
      </c>
      <c r="AS41" s="371">
        <v>3.1E-4</v>
      </c>
      <c r="AT41" s="372">
        <f t="shared" si="45"/>
        <v>364.79999999999995</v>
      </c>
      <c r="AV41" s="373">
        <f t="shared" si="17"/>
        <v>47500</v>
      </c>
      <c r="AW41" s="374">
        <f t="shared" si="43"/>
        <v>0</v>
      </c>
      <c r="AX41" s="375" t="str">
        <f t="shared" si="34"/>
        <v/>
      </c>
      <c r="AY41" s="376">
        <v>41820</v>
      </c>
      <c r="AZ41" s="377">
        <f t="shared" si="44"/>
        <v>-29871</v>
      </c>
      <c r="BA41" s="378">
        <f t="shared" si="36"/>
        <v>29871</v>
      </c>
      <c r="BB41" s="379" t="str">
        <f t="shared" si="37"/>
        <v/>
      </c>
      <c r="BC41" s="379" t="str">
        <f t="shared" si="38"/>
        <v/>
      </c>
      <c r="BD41" s="379">
        <f t="shared" si="39"/>
        <v>0</v>
      </c>
      <c r="BE41" s="379" t="str">
        <f t="shared" si="40"/>
        <v/>
      </c>
      <c r="BF41" s="380" t="str">
        <f t="shared" si="41"/>
        <v/>
      </c>
      <c r="BG41" s="381" t="e">
        <f t="shared" si="42"/>
        <v>#VALUE!</v>
      </c>
    </row>
    <row r="42" spans="1:16383" x14ac:dyDescent="0.2">
      <c r="A42" s="382"/>
      <c r="B42" s="358">
        <v>38</v>
      </c>
      <c r="C42" s="359"/>
      <c r="D42" s="359"/>
      <c r="E42" s="671"/>
      <c r="F42" s="661" t="s">
        <v>840</v>
      </c>
      <c r="G42" s="882" t="s">
        <v>1560</v>
      </c>
      <c r="H42" s="882" t="s">
        <v>1561</v>
      </c>
      <c r="I42" s="882" t="s">
        <v>915</v>
      </c>
      <c r="J42" s="886">
        <v>48700</v>
      </c>
      <c r="K42" s="672">
        <v>0.03</v>
      </c>
      <c r="L42" s="663">
        <v>0</v>
      </c>
      <c r="M42" s="664">
        <v>0</v>
      </c>
      <c r="N42" s="1122">
        <f t="shared" si="30"/>
        <v>50161</v>
      </c>
      <c r="O42" s="1122"/>
      <c r="P42" s="1122"/>
      <c r="Q42" s="667">
        <v>0.05</v>
      </c>
      <c r="R42" s="666">
        <f t="shared" si="0"/>
        <v>2508.0500000000002</v>
      </c>
      <c r="S42" s="665">
        <f t="shared" si="1"/>
        <v>2954.4829</v>
      </c>
      <c r="T42" s="665">
        <f t="shared" si="2"/>
        <v>690.96777499999996</v>
      </c>
      <c r="U42" s="666">
        <f t="shared" si="3"/>
        <v>42</v>
      </c>
      <c r="V42" s="666">
        <f t="shared" si="4"/>
        <v>100.8</v>
      </c>
      <c r="W42" s="665">
        <f t="shared" si="5"/>
        <v>374.01599999999996</v>
      </c>
      <c r="X42" s="665">
        <f t="shared" si="28"/>
        <v>10428.000000000002</v>
      </c>
      <c r="Y42" s="665">
        <f t="shared" si="31"/>
        <v>10428.000000000002</v>
      </c>
      <c r="Z42" s="361">
        <f t="shared" si="6"/>
        <v>77687.366675000012</v>
      </c>
      <c r="AB42" s="362"/>
      <c r="AC42" s="1181" t="str">
        <f t="shared" si="7"/>
        <v>Adrian Denson</v>
      </c>
      <c r="AD42" s="668" t="s">
        <v>523</v>
      </c>
      <c r="AE42" s="669">
        <f t="shared" si="8"/>
        <v>984.05</v>
      </c>
      <c r="AF42" s="670" t="s">
        <v>525</v>
      </c>
      <c r="AG42" s="669">
        <f t="shared" si="9"/>
        <v>10.25</v>
      </c>
      <c r="AH42" s="670" t="s">
        <v>512</v>
      </c>
      <c r="AI42" s="364">
        <f t="shared" si="10"/>
        <v>1.63</v>
      </c>
      <c r="AJ42" s="364">
        <f t="shared" si="11"/>
        <v>1711.9800000000002</v>
      </c>
      <c r="AK42" s="364">
        <f t="shared" si="12"/>
        <v>22.22</v>
      </c>
      <c r="AL42" s="364">
        <f t="shared" si="13"/>
        <v>3.8</v>
      </c>
      <c r="AM42" s="365">
        <f t="shared" si="14"/>
        <v>995.93</v>
      </c>
      <c r="AN42" s="366">
        <f t="shared" si="15"/>
        <v>1738.0000000000002</v>
      </c>
      <c r="AO42" s="367">
        <f t="shared" si="29"/>
        <v>2733.9300000000003</v>
      </c>
      <c r="AP42" s="368">
        <v>8.7999999999999998E-5</v>
      </c>
      <c r="AQ42" s="369">
        <v>2.0000000000000002E-5</v>
      </c>
      <c r="AR42" s="370">
        <v>2.22E-4</v>
      </c>
      <c r="AS42" s="371">
        <v>3.1E-4</v>
      </c>
      <c r="AT42" s="372">
        <f t="shared" si="45"/>
        <v>374.01599999999996</v>
      </c>
      <c r="AV42" s="373">
        <f t="shared" si="17"/>
        <v>48700</v>
      </c>
      <c r="AW42" s="374">
        <f t="shared" si="43"/>
        <v>0</v>
      </c>
      <c r="AX42" s="375" t="str">
        <f t="shared" si="34"/>
        <v/>
      </c>
      <c r="AY42" s="376">
        <v>41820</v>
      </c>
      <c r="AZ42" s="377">
        <f t="shared" si="44"/>
        <v>-29871</v>
      </c>
      <c r="BA42" s="378">
        <f t="shared" si="36"/>
        <v>29871</v>
      </c>
      <c r="BB42" s="379" t="str">
        <f t="shared" si="37"/>
        <v/>
      </c>
      <c r="BC42" s="379" t="str">
        <f t="shared" si="38"/>
        <v/>
      </c>
      <c r="BD42" s="379">
        <f t="shared" si="39"/>
        <v>0</v>
      </c>
      <c r="BE42" s="379" t="str">
        <f t="shared" si="40"/>
        <v/>
      </c>
      <c r="BF42" s="380" t="str">
        <f t="shared" si="41"/>
        <v/>
      </c>
      <c r="BG42" s="381" t="e">
        <f t="shared" si="42"/>
        <v>#VALUE!</v>
      </c>
    </row>
    <row r="43" spans="1:16383" x14ac:dyDescent="0.2">
      <c r="A43" s="382"/>
      <c r="B43" s="383">
        <v>39</v>
      </c>
      <c r="C43" s="359"/>
      <c r="D43" s="359"/>
      <c r="E43" s="671"/>
      <c r="F43" s="661" t="s">
        <v>841</v>
      </c>
      <c r="G43" s="883" t="s">
        <v>1400</v>
      </c>
      <c r="H43" s="882" t="s">
        <v>1402</v>
      </c>
      <c r="I43" s="882" t="s">
        <v>904</v>
      </c>
      <c r="J43" s="886">
        <v>47500</v>
      </c>
      <c r="K43" s="672">
        <v>0.03</v>
      </c>
      <c r="L43" s="663">
        <v>0</v>
      </c>
      <c r="M43" s="664">
        <v>1200</v>
      </c>
      <c r="N43" s="1122">
        <f t="shared" si="30"/>
        <v>50125</v>
      </c>
      <c r="O43" s="1122"/>
      <c r="P43" s="1122"/>
      <c r="Q43" s="667">
        <v>0.05</v>
      </c>
      <c r="R43" s="666">
        <f t="shared" si="0"/>
        <v>2506.25</v>
      </c>
      <c r="S43" s="665">
        <f t="shared" si="1"/>
        <v>2952.3625000000002</v>
      </c>
      <c r="T43" s="665">
        <f t="shared" si="2"/>
        <v>690.47187500000007</v>
      </c>
      <c r="U43" s="666">
        <f t="shared" si="3"/>
        <v>42</v>
      </c>
      <c r="V43" s="666">
        <f t="shared" si="4"/>
        <v>100.8</v>
      </c>
      <c r="W43" s="665">
        <f t="shared" si="5"/>
        <v>364.79999999999995</v>
      </c>
      <c r="X43" s="665">
        <f t="shared" si="28"/>
        <v>0</v>
      </c>
      <c r="Y43" s="665">
        <f t="shared" si="31"/>
        <v>0</v>
      </c>
      <c r="Z43" s="361">
        <f t="shared" si="6"/>
        <v>56781.734375000015</v>
      </c>
      <c r="AB43" s="362"/>
      <c r="AC43" s="1181" t="str">
        <f t="shared" si="7"/>
        <v>Caitlyn Peters</v>
      </c>
      <c r="AD43" s="668" t="s">
        <v>526</v>
      </c>
      <c r="AE43" s="669">
        <f t="shared" si="8"/>
        <v>0</v>
      </c>
      <c r="AF43" s="670" t="s">
        <v>526</v>
      </c>
      <c r="AG43" s="669">
        <f t="shared" si="9"/>
        <v>0</v>
      </c>
      <c r="AH43" s="670" t="s">
        <v>526</v>
      </c>
      <c r="AI43" s="364">
        <f t="shared" si="10"/>
        <v>0</v>
      </c>
      <c r="AJ43" s="364">
        <f t="shared" si="11"/>
        <v>0</v>
      </c>
      <c r="AK43" s="364">
        <f t="shared" si="12"/>
        <v>0</v>
      </c>
      <c r="AL43" s="364">
        <f t="shared" si="13"/>
        <v>0</v>
      </c>
      <c r="AM43" s="365">
        <f t="shared" si="14"/>
        <v>0</v>
      </c>
      <c r="AN43" s="366">
        <f t="shared" si="15"/>
        <v>0</v>
      </c>
      <c r="AO43" s="367">
        <f t="shared" si="29"/>
        <v>0</v>
      </c>
      <c r="AP43" s="368">
        <v>8.7999999999999998E-5</v>
      </c>
      <c r="AQ43" s="369">
        <v>2.0000000000000002E-5</v>
      </c>
      <c r="AR43" s="370">
        <v>2.22E-4</v>
      </c>
      <c r="AS43" s="371">
        <v>3.1E-4</v>
      </c>
      <c r="AT43" s="372">
        <f t="shared" si="45"/>
        <v>364.79999999999995</v>
      </c>
      <c r="AV43" s="373">
        <f t="shared" si="17"/>
        <v>47500</v>
      </c>
      <c r="AW43" s="374">
        <f t="shared" si="43"/>
        <v>0</v>
      </c>
      <c r="AX43" s="375" t="str">
        <f t="shared" si="34"/>
        <v/>
      </c>
      <c r="AY43" s="376">
        <v>41820</v>
      </c>
      <c r="AZ43" s="377">
        <f t="shared" si="44"/>
        <v>-29871</v>
      </c>
      <c r="BA43" s="378">
        <f t="shared" si="36"/>
        <v>29871</v>
      </c>
      <c r="BB43" s="379" t="str">
        <f t="shared" si="37"/>
        <v/>
      </c>
      <c r="BC43" s="379" t="str">
        <f t="shared" si="38"/>
        <v/>
      </c>
      <c r="BD43" s="379">
        <f t="shared" si="39"/>
        <v>0</v>
      </c>
      <c r="BE43" s="379" t="str">
        <f t="shared" si="40"/>
        <v/>
      </c>
      <c r="BF43" s="380" t="str">
        <f t="shared" si="41"/>
        <v/>
      </c>
      <c r="BG43" s="381" t="e">
        <f t="shared" si="42"/>
        <v>#VALUE!</v>
      </c>
    </row>
    <row r="44" spans="1:16383" x14ac:dyDescent="0.2">
      <c r="A44" s="382" t="s">
        <v>938</v>
      </c>
      <c r="B44" s="383">
        <v>40</v>
      </c>
      <c r="C44" s="359"/>
      <c r="D44" s="359"/>
      <c r="E44" s="671"/>
      <c r="F44" s="661" t="s">
        <v>842</v>
      </c>
      <c r="G44" s="1251" t="s">
        <v>1578</v>
      </c>
      <c r="H44" s="1249"/>
      <c r="I44" s="1249"/>
      <c r="J44" s="1250">
        <v>47500</v>
      </c>
      <c r="K44" s="672">
        <v>0</v>
      </c>
      <c r="L44" s="663">
        <v>0</v>
      </c>
      <c r="M44" s="664"/>
      <c r="N44" s="1122">
        <f t="shared" si="30"/>
        <v>47500</v>
      </c>
      <c r="O44" s="1122"/>
      <c r="P44" s="1122"/>
      <c r="Q44" s="667">
        <v>0</v>
      </c>
      <c r="R44" s="666">
        <f t="shared" si="0"/>
        <v>0</v>
      </c>
      <c r="S44" s="665">
        <f t="shared" si="1"/>
        <v>2945</v>
      </c>
      <c r="T44" s="665">
        <f t="shared" si="2"/>
        <v>688.75</v>
      </c>
      <c r="U44" s="666">
        <f t="shared" si="3"/>
        <v>42</v>
      </c>
      <c r="V44" s="666">
        <f t="shared" si="4"/>
        <v>100.8</v>
      </c>
      <c r="W44" s="665">
        <f t="shared" si="5"/>
        <v>364.79999999999995</v>
      </c>
      <c r="X44" s="665">
        <f t="shared" si="28"/>
        <v>11622.960000000001</v>
      </c>
      <c r="Y44" s="665">
        <f t="shared" si="31"/>
        <v>11622.960000000001</v>
      </c>
      <c r="Z44" s="361">
        <f t="shared" si="6"/>
        <v>74887.27</v>
      </c>
      <c r="AB44" s="362"/>
      <c r="AC44" s="1181" t="str">
        <f t="shared" si="7"/>
        <v>tba (was Bisignano)</v>
      </c>
      <c r="AD44" s="668" t="s">
        <v>516</v>
      </c>
      <c r="AE44" s="669">
        <f t="shared" si="8"/>
        <v>637.86</v>
      </c>
      <c r="AF44" s="670" t="s">
        <v>557</v>
      </c>
      <c r="AG44" s="669">
        <f t="shared" si="9"/>
        <v>72.36</v>
      </c>
      <c r="AH44" s="670" t="s">
        <v>519</v>
      </c>
      <c r="AI44" s="364">
        <f t="shared" si="10"/>
        <v>7.96</v>
      </c>
      <c r="AJ44" s="364">
        <f t="shared" si="11"/>
        <v>1863.54</v>
      </c>
      <c r="AK44" s="364">
        <f t="shared" si="12"/>
        <v>65.63000000000001</v>
      </c>
      <c r="AL44" s="364">
        <f t="shared" si="13"/>
        <v>7.9899999999999993</v>
      </c>
      <c r="AM44" s="365">
        <f t="shared" si="14"/>
        <v>718.18000000000006</v>
      </c>
      <c r="AN44" s="366">
        <f t="shared" si="15"/>
        <v>1937.16</v>
      </c>
      <c r="AO44" s="367">
        <f t="shared" si="29"/>
        <v>2655.34</v>
      </c>
      <c r="AP44" s="368">
        <v>8.7999999999999998E-5</v>
      </c>
      <c r="AQ44" s="369">
        <v>2.0000000000000002E-5</v>
      </c>
      <c r="AR44" s="370">
        <v>2.22E-4</v>
      </c>
      <c r="AS44" s="371">
        <v>3.1E-4</v>
      </c>
      <c r="AT44" s="372">
        <f t="shared" si="45"/>
        <v>364.79999999999995</v>
      </c>
      <c r="AV44" s="373">
        <f t="shared" si="17"/>
        <v>47500</v>
      </c>
      <c r="AW44" s="374">
        <f t="shared" si="43"/>
        <v>0</v>
      </c>
      <c r="AX44" s="375" t="str">
        <f t="shared" si="34"/>
        <v/>
      </c>
      <c r="AY44" s="376">
        <v>41820</v>
      </c>
      <c r="AZ44" s="377">
        <f t="shared" si="44"/>
        <v>-29871</v>
      </c>
      <c r="BA44" s="378">
        <f t="shared" si="36"/>
        <v>29871</v>
      </c>
      <c r="BB44" s="379" t="str">
        <f t="shared" si="37"/>
        <v/>
      </c>
      <c r="BC44" s="379" t="str">
        <f t="shared" si="38"/>
        <v/>
      </c>
      <c r="BD44" s="379">
        <f t="shared" si="39"/>
        <v>0</v>
      </c>
      <c r="BE44" s="379" t="str">
        <f t="shared" si="40"/>
        <v/>
      </c>
      <c r="BF44" s="380" t="str">
        <f t="shared" si="41"/>
        <v/>
      </c>
      <c r="BG44" s="381" t="e">
        <f t="shared" si="42"/>
        <v>#VALUE!</v>
      </c>
    </row>
    <row r="45" spans="1:16383" x14ac:dyDescent="0.2">
      <c r="A45" s="382"/>
      <c r="B45" s="383">
        <v>41</v>
      </c>
      <c r="C45" s="359"/>
      <c r="D45" s="359"/>
      <c r="E45" s="671"/>
      <c r="F45" s="806" t="s">
        <v>888</v>
      </c>
      <c r="G45" s="883" t="s">
        <v>883</v>
      </c>
      <c r="H45" s="882" t="s">
        <v>893</v>
      </c>
      <c r="I45" s="882" t="s">
        <v>894</v>
      </c>
      <c r="J45" s="920">
        <v>57337</v>
      </c>
      <c r="K45" s="672">
        <v>0.03</v>
      </c>
      <c r="L45" s="663">
        <v>1000</v>
      </c>
      <c r="M45" s="664">
        <v>1200</v>
      </c>
      <c r="N45" s="1122">
        <f t="shared" si="30"/>
        <v>61257.11</v>
      </c>
      <c r="O45" s="1122"/>
      <c r="P45" s="1122"/>
      <c r="Q45" s="667">
        <v>0.05</v>
      </c>
      <c r="R45" s="666">
        <f t="shared" si="0"/>
        <v>3062.8555000000001</v>
      </c>
      <c r="S45" s="665">
        <f t="shared" si="1"/>
        <v>3608.0437790000001</v>
      </c>
      <c r="T45" s="665">
        <f t="shared" si="2"/>
        <v>843.81669025000008</v>
      </c>
      <c r="U45" s="666">
        <f t="shared" si="3"/>
        <v>42</v>
      </c>
      <c r="V45" s="666">
        <f t="shared" si="4"/>
        <v>100.8</v>
      </c>
      <c r="W45" s="665">
        <f t="shared" si="5"/>
        <v>440.34816000000001</v>
      </c>
      <c r="X45" s="665">
        <f t="shared" si="28"/>
        <v>0</v>
      </c>
      <c r="Y45" s="665">
        <f t="shared" si="31"/>
        <v>0</v>
      </c>
      <c r="Z45" s="361">
        <f t="shared" si="6"/>
        <v>69355.02412925</v>
      </c>
      <c r="AB45" s="362"/>
      <c r="AC45" s="1181" t="str">
        <f t="shared" si="7"/>
        <v>Traci D'Alessio</v>
      </c>
      <c r="AD45" s="668" t="s">
        <v>526</v>
      </c>
      <c r="AE45" s="669">
        <f t="shared" si="8"/>
        <v>0</v>
      </c>
      <c r="AF45" s="670" t="s">
        <v>526</v>
      </c>
      <c r="AG45" s="669">
        <f t="shared" si="9"/>
        <v>0</v>
      </c>
      <c r="AH45" s="670" t="s">
        <v>526</v>
      </c>
      <c r="AI45" s="364">
        <f t="shared" si="10"/>
        <v>0</v>
      </c>
      <c r="AJ45" s="364">
        <f t="shared" si="11"/>
        <v>0</v>
      </c>
      <c r="AK45" s="364">
        <f t="shared" si="12"/>
        <v>0</v>
      </c>
      <c r="AL45" s="364">
        <f t="shared" si="13"/>
        <v>0</v>
      </c>
      <c r="AM45" s="365">
        <f t="shared" si="14"/>
        <v>0</v>
      </c>
      <c r="AN45" s="366">
        <f t="shared" si="15"/>
        <v>0</v>
      </c>
      <c r="AO45" s="367">
        <f t="shared" si="29"/>
        <v>0</v>
      </c>
      <c r="AP45" s="368">
        <v>8.7999999999999998E-5</v>
      </c>
      <c r="AQ45" s="369">
        <v>2.0000000000000002E-5</v>
      </c>
      <c r="AR45" s="370">
        <v>2.22E-4</v>
      </c>
      <c r="AS45" s="371">
        <v>3.1E-4</v>
      </c>
      <c r="AT45" s="372">
        <f t="shared" si="45"/>
        <v>440.34816000000001</v>
      </c>
      <c r="AV45" s="373">
        <f t="shared" si="17"/>
        <v>57337</v>
      </c>
      <c r="AW45" s="374">
        <f t="shared" si="43"/>
        <v>0</v>
      </c>
      <c r="AX45" s="375" t="str">
        <f t="shared" si="34"/>
        <v/>
      </c>
      <c r="AY45" s="376">
        <v>41820</v>
      </c>
      <c r="AZ45" s="377">
        <f t="shared" si="44"/>
        <v>-29871</v>
      </c>
      <c r="BA45" s="378">
        <f t="shared" si="36"/>
        <v>29871</v>
      </c>
      <c r="BB45" s="379" t="str">
        <f t="shared" si="37"/>
        <v/>
      </c>
      <c r="BC45" s="379" t="str">
        <f t="shared" si="38"/>
        <v/>
      </c>
      <c r="BD45" s="379">
        <f t="shared" si="39"/>
        <v>0</v>
      </c>
      <c r="BE45" s="379" t="str">
        <f t="shared" si="40"/>
        <v/>
      </c>
      <c r="BF45" s="380" t="str">
        <f t="shared" si="41"/>
        <v/>
      </c>
      <c r="BG45" s="381" t="e">
        <f t="shared" si="42"/>
        <v>#VALUE!</v>
      </c>
    </row>
    <row r="46" spans="1:16383" x14ac:dyDescent="0.2">
      <c r="A46" s="382"/>
      <c r="B46" s="383">
        <v>42</v>
      </c>
      <c r="C46" s="359"/>
      <c r="D46" s="359"/>
      <c r="E46" s="671"/>
      <c r="F46" s="661" t="s">
        <v>843</v>
      </c>
      <c r="G46" s="921" t="s">
        <v>1406</v>
      </c>
      <c r="H46" s="882" t="s">
        <v>1408</v>
      </c>
      <c r="I46" s="882" t="s">
        <v>1407</v>
      </c>
      <c r="J46" s="886">
        <v>47500</v>
      </c>
      <c r="K46" s="672">
        <v>0.03</v>
      </c>
      <c r="L46" s="663">
        <v>0</v>
      </c>
      <c r="M46" s="664">
        <v>0</v>
      </c>
      <c r="N46" s="1122">
        <f t="shared" si="30"/>
        <v>48925</v>
      </c>
      <c r="O46" s="1122"/>
      <c r="P46" s="1122"/>
      <c r="Q46" s="667">
        <v>0.03</v>
      </c>
      <c r="R46" s="666">
        <f t="shared" si="0"/>
        <v>1467.75</v>
      </c>
      <c r="S46" s="665">
        <f t="shared" si="1"/>
        <v>2942.3494999999998</v>
      </c>
      <c r="T46" s="665">
        <f t="shared" si="2"/>
        <v>688.13012500000002</v>
      </c>
      <c r="U46" s="666">
        <f t="shared" si="3"/>
        <v>42</v>
      </c>
      <c r="V46" s="666">
        <f t="shared" si="4"/>
        <v>100.8</v>
      </c>
      <c r="W46" s="665">
        <f t="shared" si="5"/>
        <v>364.79999999999995</v>
      </c>
      <c r="X46" s="665">
        <f t="shared" si="28"/>
        <v>0</v>
      </c>
      <c r="Y46" s="665">
        <f t="shared" si="31"/>
        <v>0</v>
      </c>
      <c r="Z46" s="361">
        <f t="shared" si="6"/>
        <v>54530.859625000005</v>
      </c>
      <c r="AB46" s="362"/>
      <c r="AC46" s="1181" t="str">
        <f t="shared" si="7"/>
        <v>Bryan Slozer</v>
      </c>
      <c r="AD46" s="668" t="s">
        <v>526</v>
      </c>
      <c r="AE46" s="669">
        <f t="shared" si="8"/>
        <v>0</v>
      </c>
      <c r="AF46" s="670" t="s">
        <v>526</v>
      </c>
      <c r="AG46" s="669">
        <f t="shared" si="9"/>
        <v>0</v>
      </c>
      <c r="AH46" s="670" t="s">
        <v>526</v>
      </c>
      <c r="AI46" s="364">
        <f t="shared" si="10"/>
        <v>0</v>
      </c>
      <c r="AJ46" s="364">
        <f t="shared" si="11"/>
        <v>0</v>
      </c>
      <c r="AK46" s="364">
        <f t="shared" si="12"/>
        <v>0</v>
      </c>
      <c r="AL46" s="364">
        <f t="shared" si="13"/>
        <v>0</v>
      </c>
      <c r="AM46" s="365">
        <f t="shared" si="14"/>
        <v>0</v>
      </c>
      <c r="AN46" s="366">
        <f t="shared" si="15"/>
        <v>0</v>
      </c>
      <c r="AO46" s="367">
        <f t="shared" si="29"/>
        <v>0</v>
      </c>
      <c r="AP46" s="368">
        <v>8.7999999999999998E-5</v>
      </c>
      <c r="AQ46" s="369">
        <v>2.0000000000000002E-5</v>
      </c>
      <c r="AR46" s="370">
        <v>2.22E-4</v>
      </c>
      <c r="AS46" s="371">
        <v>3.1E-4</v>
      </c>
      <c r="AT46" s="372">
        <f t="shared" si="45"/>
        <v>364.79999999999995</v>
      </c>
      <c r="AV46" s="373">
        <f t="shared" si="17"/>
        <v>47500</v>
      </c>
      <c r="AW46" s="374">
        <f t="shared" si="43"/>
        <v>0</v>
      </c>
      <c r="AX46" s="375" t="str">
        <f t="shared" si="34"/>
        <v/>
      </c>
      <c r="AY46" s="376">
        <v>41820</v>
      </c>
      <c r="AZ46" s="377">
        <f t="shared" si="44"/>
        <v>-29871</v>
      </c>
      <c r="BA46" s="378">
        <f t="shared" si="36"/>
        <v>29871</v>
      </c>
      <c r="BB46" s="379" t="str">
        <f t="shared" si="37"/>
        <v/>
      </c>
      <c r="BC46" s="379" t="str">
        <f t="shared" si="38"/>
        <v/>
      </c>
      <c r="BD46" s="379">
        <f t="shared" si="39"/>
        <v>0</v>
      </c>
      <c r="BE46" s="379" t="str">
        <f t="shared" si="40"/>
        <v/>
      </c>
      <c r="BF46" s="380" t="str">
        <f t="shared" si="41"/>
        <v/>
      </c>
      <c r="BG46" s="381" t="e">
        <f t="shared" si="42"/>
        <v>#VALUE!</v>
      </c>
    </row>
    <row r="47" spans="1:16383" s="1079" customFormat="1" x14ac:dyDescent="0.2">
      <c r="A47" s="382"/>
      <c r="B47" s="358">
        <v>43</v>
      </c>
      <c r="C47" s="359"/>
      <c r="D47" s="359"/>
      <c r="E47" s="671"/>
      <c r="F47" s="661" t="s">
        <v>670</v>
      </c>
      <c r="G47" s="882" t="s">
        <v>979</v>
      </c>
      <c r="H47" s="882" t="s">
        <v>980</v>
      </c>
      <c r="I47" s="882" t="s">
        <v>981</v>
      </c>
      <c r="J47" s="920">
        <v>47500</v>
      </c>
      <c r="K47" s="672">
        <v>0.03</v>
      </c>
      <c r="L47" s="663">
        <v>0</v>
      </c>
      <c r="M47" s="697">
        <v>600</v>
      </c>
      <c r="N47" s="1122">
        <f t="shared" si="30"/>
        <v>49525</v>
      </c>
      <c r="O47" s="1122"/>
      <c r="P47" s="1122"/>
      <c r="Q47" s="667">
        <v>0</v>
      </c>
      <c r="R47" s="666">
        <f t="shared" si="0"/>
        <v>0</v>
      </c>
      <c r="S47" s="665">
        <f t="shared" si="1"/>
        <v>3070.55</v>
      </c>
      <c r="T47" s="665">
        <f t="shared" si="2"/>
        <v>718.11250000000007</v>
      </c>
      <c r="U47" s="666">
        <f t="shared" si="3"/>
        <v>42</v>
      </c>
      <c r="V47" s="666">
        <f t="shared" si="4"/>
        <v>100.8</v>
      </c>
      <c r="W47" s="665">
        <f t="shared" si="5"/>
        <v>364.79999999999995</v>
      </c>
      <c r="X47" s="665">
        <f t="shared" si="28"/>
        <v>8700</v>
      </c>
      <c r="Y47" s="665">
        <f t="shared" si="31"/>
        <v>8700</v>
      </c>
      <c r="Z47" s="361">
        <f t="shared" si="6"/>
        <v>71221.262500000012</v>
      </c>
      <c r="AA47" s="279"/>
      <c r="AB47" s="362"/>
      <c r="AC47" s="1181" t="str">
        <f t="shared" si="7"/>
        <v>Sasha Ortiz Morales</v>
      </c>
      <c r="AD47" s="668" t="s">
        <v>513</v>
      </c>
      <c r="AE47" s="669">
        <f t="shared" si="8"/>
        <v>339.32</v>
      </c>
      <c r="AF47" s="670" t="s">
        <v>555</v>
      </c>
      <c r="AG47" s="669">
        <f t="shared" si="9"/>
        <v>38.93</v>
      </c>
      <c r="AH47" s="670" t="s">
        <v>521</v>
      </c>
      <c r="AI47" s="364">
        <f t="shared" si="10"/>
        <v>4.88</v>
      </c>
      <c r="AJ47" s="364">
        <f t="shared" si="11"/>
        <v>1400.78</v>
      </c>
      <c r="AK47" s="364">
        <f t="shared" si="12"/>
        <v>43.250000000000007</v>
      </c>
      <c r="AL47" s="364">
        <f t="shared" si="13"/>
        <v>5.97</v>
      </c>
      <c r="AM47" s="365">
        <f t="shared" si="14"/>
        <v>383.13</v>
      </c>
      <c r="AN47" s="366">
        <f t="shared" si="15"/>
        <v>1450</v>
      </c>
      <c r="AO47" s="367">
        <f t="shared" si="29"/>
        <v>1833.13</v>
      </c>
      <c r="AP47" s="368">
        <v>8.7999999999999998E-5</v>
      </c>
      <c r="AQ47" s="369">
        <v>2.0000000000000002E-5</v>
      </c>
      <c r="AR47" s="370">
        <v>2.22E-4</v>
      </c>
      <c r="AS47" s="371">
        <v>3.1E-4</v>
      </c>
      <c r="AT47" s="372">
        <f t="shared" si="45"/>
        <v>364.79999999999995</v>
      </c>
      <c r="AU47" s="279"/>
      <c r="AV47" s="373">
        <f t="shared" si="17"/>
        <v>47500</v>
      </c>
      <c r="AW47" s="374">
        <f t="shared" si="43"/>
        <v>0</v>
      </c>
      <c r="AX47" s="375" t="str">
        <f t="shared" si="34"/>
        <v/>
      </c>
      <c r="AY47" s="376">
        <v>41820</v>
      </c>
      <c r="AZ47" s="377">
        <f t="shared" si="44"/>
        <v>-29871</v>
      </c>
      <c r="BA47" s="378">
        <f t="shared" si="36"/>
        <v>29871</v>
      </c>
      <c r="BB47" s="379" t="str">
        <f t="shared" si="37"/>
        <v/>
      </c>
      <c r="BC47" s="379" t="str">
        <f t="shared" si="38"/>
        <v/>
      </c>
      <c r="BD47" s="379">
        <f t="shared" si="39"/>
        <v>0</v>
      </c>
      <c r="BE47" s="379" t="str">
        <f t="shared" si="40"/>
        <v/>
      </c>
      <c r="BF47" s="380" t="str">
        <f t="shared" si="41"/>
        <v/>
      </c>
      <c r="BG47" s="381" t="e">
        <f t="shared" si="42"/>
        <v>#VALUE!</v>
      </c>
      <c r="BH47" s="32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c r="IW47" s="279"/>
      <c r="IX47" s="279"/>
      <c r="IY47" s="279"/>
      <c r="IZ47" s="279"/>
      <c r="JA47" s="279"/>
      <c r="JB47" s="279"/>
      <c r="JC47" s="279"/>
      <c r="JD47" s="279"/>
      <c r="JE47" s="279"/>
      <c r="JF47" s="279"/>
      <c r="JG47" s="279"/>
      <c r="JH47" s="279"/>
      <c r="JI47" s="279"/>
      <c r="JJ47" s="279"/>
      <c r="JK47" s="279"/>
      <c r="JL47" s="279"/>
      <c r="JM47" s="279"/>
      <c r="JN47" s="279"/>
      <c r="JO47" s="279"/>
      <c r="JP47" s="279"/>
      <c r="JQ47" s="279"/>
      <c r="JR47" s="279"/>
      <c r="JS47" s="279"/>
      <c r="JT47" s="279"/>
      <c r="JU47" s="279"/>
      <c r="JV47" s="279"/>
      <c r="JW47" s="279"/>
      <c r="JX47" s="279"/>
      <c r="JY47" s="279"/>
      <c r="JZ47" s="279"/>
      <c r="KA47" s="279"/>
      <c r="KB47" s="279"/>
      <c r="KC47" s="279"/>
      <c r="KD47" s="279"/>
      <c r="KE47" s="279"/>
      <c r="KF47" s="279"/>
      <c r="KG47" s="279"/>
      <c r="KH47" s="279"/>
      <c r="KI47" s="279"/>
      <c r="KJ47" s="279"/>
      <c r="KK47" s="279"/>
      <c r="KL47" s="279"/>
      <c r="KM47" s="279"/>
      <c r="KN47" s="279"/>
      <c r="KO47" s="279"/>
      <c r="KP47" s="279"/>
      <c r="KQ47" s="279"/>
      <c r="KR47" s="279"/>
      <c r="KS47" s="279"/>
      <c r="KT47" s="279"/>
      <c r="KU47" s="279"/>
      <c r="KV47" s="279"/>
      <c r="KW47" s="279"/>
      <c r="KX47" s="279"/>
      <c r="KY47" s="279"/>
      <c r="KZ47" s="279"/>
      <c r="LA47" s="279"/>
      <c r="LB47" s="279"/>
      <c r="LC47" s="279"/>
      <c r="LD47" s="279"/>
      <c r="LE47" s="279"/>
      <c r="LF47" s="279"/>
      <c r="LG47" s="279"/>
      <c r="LH47" s="279"/>
      <c r="LI47" s="279"/>
      <c r="LJ47" s="279"/>
      <c r="LK47" s="279"/>
      <c r="LL47" s="279"/>
      <c r="LM47" s="279"/>
      <c r="LN47" s="279"/>
      <c r="LO47" s="279"/>
      <c r="LP47" s="279"/>
      <c r="LQ47" s="279"/>
      <c r="LR47" s="279"/>
      <c r="LS47" s="279"/>
      <c r="LT47" s="279"/>
      <c r="LU47" s="279"/>
      <c r="LV47" s="279"/>
      <c r="LW47" s="279"/>
      <c r="LX47" s="279"/>
      <c r="LY47" s="279"/>
      <c r="LZ47" s="279"/>
      <c r="MA47" s="279"/>
      <c r="MB47" s="279"/>
      <c r="MC47" s="279"/>
      <c r="MD47" s="279"/>
      <c r="ME47" s="279"/>
      <c r="MF47" s="279"/>
      <c r="MG47" s="279"/>
      <c r="MH47" s="279"/>
      <c r="MI47" s="279"/>
      <c r="MJ47" s="279"/>
      <c r="MK47" s="279"/>
      <c r="ML47" s="279"/>
      <c r="MM47" s="279"/>
      <c r="MN47" s="279"/>
      <c r="MO47" s="279"/>
      <c r="MP47" s="279"/>
      <c r="MQ47" s="279"/>
      <c r="MR47" s="279"/>
      <c r="MS47" s="279"/>
      <c r="MT47" s="279"/>
      <c r="MU47" s="279"/>
      <c r="MV47" s="279"/>
      <c r="MW47" s="279"/>
      <c r="MX47" s="279"/>
      <c r="MY47" s="279"/>
      <c r="MZ47" s="279"/>
      <c r="NA47" s="279"/>
      <c r="NB47" s="279"/>
      <c r="NC47" s="279"/>
      <c r="ND47" s="279"/>
      <c r="NE47" s="279"/>
      <c r="NF47" s="279"/>
      <c r="NG47" s="279"/>
      <c r="NH47" s="279"/>
      <c r="NI47" s="279"/>
      <c r="NJ47" s="279"/>
      <c r="NK47" s="279"/>
      <c r="NL47" s="279"/>
      <c r="NM47" s="279"/>
      <c r="NN47" s="279"/>
      <c r="NO47" s="279"/>
      <c r="NP47" s="279"/>
      <c r="NQ47" s="279"/>
      <c r="NR47" s="279"/>
      <c r="NS47" s="279"/>
      <c r="NT47" s="279"/>
      <c r="NU47" s="279"/>
      <c r="NV47" s="279"/>
      <c r="NW47" s="279"/>
      <c r="NX47" s="279"/>
      <c r="NY47" s="279"/>
      <c r="NZ47" s="279"/>
      <c r="OA47" s="279"/>
      <c r="OB47" s="279"/>
      <c r="OC47" s="279"/>
      <c r="OD47" s="279"/>
      <c r="OE47" s="279"/>
      <c r="OF47" s="279"/>
      <c r="OG47" s="279"/>
      <c r="OH47" s="279"/>
      <c r="OI47" s="279"/>
      <c r="OJ47" s="279"/>
      <c r="OK47" s="279"/>
      <c r="OL47" s="279"/>
      <c r="OM47" s="279"/>
      <c r="ON47" s="279"/>
      <c r="OO47" s="279"/>
      <c r="OP47" s="279"/>
      <c r="OQ47" s="279"/>
      <c r="OR47" s="279"/>
      <c r="OS47" s="279"/>
      <c r="OT47" s="279"/>
      <c r="OU47" s="279"/>
      <c r="OV47" s="279"/>
      <c r="OW47" s="279"/>
      <c r="OX47" s="279"/>
      <c r="OY47" s="279"/>
      <c r="OZ47" s="279"/>
      <c r="PA47" s="279"/>
      <c r="PB47" s="279"/>
      <c r="PC47" s="279"/>
      <c r="PD47" s="279"/>
      <c r="PE47" s="279"/>
      <c r="PF47" s="279"/>
      <c r="PG47" s="279"/>
      <c r="PH47" s="279"/>
      <c r="PI47" s="279"/>
      <c r="PJ47" s="279"/>
      <c r="PK47" s="279"/>
      <c r="PL47" s="279"/>
      <c r="PM47" s="279"/>
      <c r="PN47" s="279"/>
      <c r="PO47" s="279"/>
      <c r="PP47" s="279"/>
      <c r="PQ47" s="279"/>
      <c r="PR47" s="279"/>
      <c r="PS47" s="279"/>
      <c r="PT47" s="279"/>
      <c r="PU47" s="279"/>
      <c r="PV47" s="279"/>
      <c r="PW47" s="279"/>
      <c r="PX47" s="279"/>
      <c r="PY47" s="279"/>
      <c r="PZ47" s="279"/>
      <c r="QA47" s="279"/>
      <c r="QB47" s="279"/>
      <c r="QC47" s="279"/>
      <c r="QD47" s="279"/>
      <c r="QE47" s="279"/>
      <c r="QF47" s="279"/>
      <c r="QG47" s="279"/>
      <c r="QH47" s="279"/>
      <c r="QI47" s="279"/>
      <c r="QJ47" s="279"/>
      <c r="QK47" s="279"/>
      <c r="QL47" s="279"/>
      <c r="QM47" s="279"/>
      <c r="QN47" s="279"/>
      <c r="QO47" s="279"/>
      <c r="QP47" s="279"/>
      <c r="QQ47" s="279"/>
      <c r="QR47" s="279"/>
      <c r="QS47" s="279"/>
      <c r="QT47" s="279"/>
      <c r="QU47" s="279"/>
      <c r="QV47" s="279"/>
      <c r="QW47" s="279"/>
      <c r="QX47" s="279"/>
      <c r="QY47" s="279"/>
      <c r="QZ47" s="279"/>
      <c r="RA47" s="279"/>
      <c r="RB47" s="279"/>
      <c r="RC47" s="279"/>
      <c r="RD47" s="279"/>
      <c r="RE47" s="279"/>
      <c r="RF47" s="279"/>
      <c r="RG47" s="279"/>
      <c r="RH47" s="279"/>
      <c r="RI47" s="279"/>
      <c r="RJ47" s="279"/>
      <c r="RK47" s="279"/>
      <c r="RL47" s="279"/>
      <c r="RM47" s="279"/>
      <c r="RN47" s="279"/>
      <c r="RO47" s="279"/>
      <c r="RP47" s="279"/>
      <c r="RQ47" s="279"/>
      <c r="RR47" s="279"/>
      <c r="RS47" s="279"/>
      <c r="RT47" s="279"/>
      <c r="RU47" s="279"/>
      <c r="RV47" s="279"/>
      <c r="RW47" s="279"/>
      <c r="RX47" s="279"/>
      <c r="RY47" s="279"/>
      <c r="RZ47" s="279"/>
      <c r="SA47" s="279"/>
      <c r="SB47" s="279"/>
      <c r="SC47" s="279"/>
      <c r="SD47" s="279"/>
      <c r="SE47" s="279"/>
      <c r="SF47" s="279"/>
      <c r="SG47" s="279"/>
      <c r="SH47" s="279"/>
      <c r="SI47" s="279"/>
      <c r="SJ47" s="279"/>
      <c r="SK47" s="279"/>
      <c r="SL47" s="279"/>
      <c r="SM47" s="279"/>
      <c r="SN47" s="279"/>
      <c r="SO47" s="279"/>
      <c r="SP47" s="279"/>
      <c r="SQ47" s="279"/>
      <c r="SR47" s="279"/>
      <c r="SS47" s="279"/>
      <c r="ST47" s="279"/>
      <c r="SU47" s="279"/>
      <c r="SV47" s="279"/>
      <c r="SW47" s="279"/>
      <c r="SX47" s="279"/>
      <c r="SY47" s="279"/>
      <c r="SZ47" s="279"/>
      <c r="TA47" s="279"/>
      <c r="TB47" s="279"/>
      <c r="TC47" s="279"/>
      <c r="TD47" s="279"/>
      <c r="TE47" s="279"/>
      <c r="TF47" s="279"/>
      <c r="TG47" s="279"/>
      <c r="TH47" s="279"/>
      <c r="TI47" s="279"/>
      <c r="TJ47" s="279"/>
      <c r="TK47" s="279"/>
      <c r="TL47" s="279"/>
      <c r="TM47" s="279"/>
      <c r="TN47" s="279"/>
      <c r="TO47" s="279"/>
      <c r="TP47" s="279"/>
      <c r="TQ47" s="279"/>
      <c r="TR47" s="279"/>
      <c r="TS47" s="279"/>
      <c r="TT47" s="279"/>
      <c r="TU47" s="279"/>
      <c r="TV47" s="279"/>
      <c r="TW47" s="279"/>
      <c r="TX47" s="279"/>
      <c r="TY47" s="279"/>
      <c r="TZ47" s="279"/>
      <c r="UA47" s="279"/>
      <c r="UB47" s="279"/>
      <c r="UC47" s="279"/>
      <c r="UD47" s="279"/>
      <c r="UE47" s="279"/>
      <c r="UF47" s="279"/>
      <c r="UG47" s="279"/>
      <c r="UH47" s="279"/>
      <c r="UI47" s="279"/>
      <c r="UJ47" s="279"/>
      <c r="UK47" s="279"/>
      <c r="UL47" s="279"/>
      <c r="UM47" s="279"/>
      <c r="UN47" s="279"/>
      <c r="UO47" s="279"/>
      <c r="UP47" s="279"/>
      <c r="UQ47" s="279"/>
      <c r="UR47" s="279"/>
      <c r="US47" s="279"/>
      <c r="UT47" s="279"/>
      <c r="UU47" s="279"/>
      <c r="UV47" s="279"/>
      <c r="UW47" s="279"/>
      <c r="UX47" s="279"/>
      <c r="UY47" s="279"/>
      <c r="UZ47" s="279"/>
      <c r="VA47" s="279"/>
      <c r="VB47" s="279"/>
      <c r="VC47" s="279"/>
      <c r="VD47" s="279"/>
      <c r="VE47" s="279"/>
      <c r="VF47" s="279"/>
      <c r="VG47" s="279"/>
      <c r="VH47" s="279"/>
      <c r="VI47" s="279"/>
      <c r="VJ47" s="279"/>
      <c r="VK47" s="279"/>
      <c r="VL47" s="279"/>
      <c r="VM47" s="279"/>
      <c r="VN47" s="279"/>
      <c r="VO47" s="279"/>
      <c r="VP47" s="279"/>
      <c r="VQ47" s="279"/>
      <c r="VR47" s="279"/>
      <c r="VS47" s="279"/>
      <c r="VT47" s="279"/>
      <c r="VU47" s="279"/>
      <c r="VV47" s="279"/>
      <c r="VW47" s="279"/>
      <c r="VX47" s="279"/>
      <c r="VY47" s="279"/>
      <c r="VZ47" s="279"/>
      <c r="WA47" s="279"/>
      <c r="WB47" s="279"/>
      <c r="WC47" s="279"/>
      <c r="WD47" s="279"/>
      <c r="WE47" s="279"/>
      <c r="WF47" s="279"/>
      <c r="WG47" s="279"/>
      <c r="WH47" s="279"/>
      <c r="WI47" s="279"/>
      <c r="WJ47" s="279"/>
      <c r="WK47" s="279"/>
      <c r="WL47" s="279"/>
      <c r="WM47" s="279"/>
      <c r="WN47" s="279"/>
      <c r="WO47" s="279"/>
      <c r="WP47" s="279"/>
      <c r="WQ47" s="279"/>
      <c r="WR47" s="279"/>
      <c r="WS47" s="279"/>
      <c r="WT47" s="279"/>
      <c r="WU47" s="279"/>
      <c r="WV47" s="279"/>
      <c r="WW47" s="279"/>
      <c r="WX47" s="279"/>
      <c r="WY47" s="279"/>
      <c r="WZ47" s="279"/>
      <c r="XA47" s="279"/>
      <c r="XB47" s="279"/>
      <c r="XC47" s="279"/>
      <c r="XD47" s="279"/>
      <c r="XE47" s="279"/>
      <c r="XF47" s="279"/>
      <c r="XG47" s="279"/>
      <c r="XH47" s="279"/>
      <c r="XI47" s="279"/>
      <c r="XJ47" s="279"/>
      <c r="XK47" s="279"/>
      <c r="XL47" s="279"/>
      <c r="XM47" s="279"/>
      <c r="XN47" s="279"/>
      <c r="XO47" s="279"/>
      <c r="XP47" s="279"/>
      <c r="XQ47" s="279"/>
      <c r="XR47" s="279"/>
      <c r="XS47" s="279"/>
      <c r="XT47" s="279"/>
      <c r="XU47" s="279"/>
      <c r="XV47" s="279"/>
      <c r="XW47" s="279"/>
      <c r="XX47" s="279"/>
      <c r="XY47" s="279"/>
      <c r="XZ47" s="279"/>
      <c r="YA47" s="279"/>
      <c r="YB47" s="279"/>
      <c r="YC47" s="279"/>
      <c r="YD47" s="279"/>
      <c r="YE47" s="279"/>
      <c r="YF47" s="279"/>
      <c r="YG47" s="279"/>
      <c r="YH47" s="279"/>
      <c r="YI47" s="279"/>
      <c r="YJ47" s="279"/>
      <c r="YK47" s="279"/>
      <c r="YL47" s="279"/>
      <c r="YM47" s="279"/>
      <c r="YN47" s="279"/>
      <c r="YO47" s="279"/>
      <c r="YP47" s="279"/>
      <c r="YQ47" s="279"/>
      <c r="YR47" s="279"/>
      <c r="YS47" s="279"/>
      <c r="YT47" s="279"/>
      <c r="YU47" s="279"/>
      <c r="YV47" s="279"/>
      <c r="YW47" s="279"/>
      <c r="YX47" s="279"/>
      <c r="YY47" s="279"/>
      <c r="YZ47" s="279"/>
      <c r="ZA47" s="279"/>
      <c r="ZB47" s="279"/>
      <c r="ZC47" s="279"/>
      <c r="ZD47" s="279"/>
      <c r="ZE47" s="279"/>
      <c r="ZF47" s="279"/>
      <c r="ZG47" s="279"/>
      <c r="ZH47" s="279"/>
      <c r="ZI47" s="279"/>
      <c r="ZJ47" s="279"/>
      <c r="ZK47" s="279"/>
      <c r="ZL47" s="279"/>
      <c r="ZM47" s="279"/>
      <c r="ZN47" s="279"/>
      <c r="ZO47" s="279"/>
      <c r="ZP47" s="279"/>
      <c r="ZQ47" s="279"/>
      <c r="ZR47" s="279"/>
      <c r="ZS47" s="279"/>
      <c r="ZT47" s="279"/>
      <c r="ZU47" s="279"/>
      <c r="ZV47" s="279"/>
      <c r="ZW47" s="279"/>
      <c r="ZX47" s="279"/>
      <c r="ZY47" s="279"/>
      <c r="ZZ47" s="279"/>
      <c r="AAA47" s="279"/>
      <c r="AAB47" s="279"/>
      <c r="AAC47" s="279"/>
      <c r="AAD47" s="279"/>
      <c r="AAE47" s="279"/>
      <c r="AAF47" s="279"/>
      <c r="AAG47" s="279"/>
      <c r="AAH47" s="279"/>
      <c r="AAI47" s="279"/>
      <c r="AAJ47" s="279"/>
      <c r="AAK47" s="279"/>
      <c r="AAL47" s="279"/>
      <c r="AAM47" s="279"/>
      <c r="AAN47" s="279"/>
      <c r="AAO47" s="279"/>
      <c r="AAP47" s="279"/>
      <c r="AAQ47" s="279"/>
      <c r="AAR47" s="279"/>
      <c r="AAS47" s="279"/>
      <c r="AAT47" s="279"/>
      <c r="AAU47" s="279"/>
      <c r="AAV47" s="279"/>
      <c r="AAW47" s="279"/>
      <c r="AAX47" s="279"/>
      <c r="AAY47" s="279"/>
      <c r="AAZ47" s="279"/>
      <c r="ABA47" s="279"/>
      <c r="ABB47" s="279"/>
      <c r="ABC47" s="279"/>
      <c r="ABD47" s="279"/>
      <c r="ABE47" s="279"/>
      <c r="ABF47" s="279"/>
      <c r="ABG47" s="279"/>
      <c r="ABH47" s="279"/>
      <c r="ABI47" s="279"/>
      <c r="ABJ47" s="279"/>
      <c r="ABK47" s="279"/>
      <c r="ABL47" s="279"/>
      <c r="ABM47" s="279"/>
      <c r="ABN47" s="279"/>
      <c r="ABO47" s="279"/>
      <c r="ABP47" s="279"/>
      <c r="ABQ47" s="279"/>
      <c r="ABR47" s="279"/>
      <c r="ABS47" s="279"/>
      <c r="ABT47" s="279"/>
      <c r="ABU47" s="279"/>
      <c r="ABV47" s="279"/>
      <c r="ABW47" s="279"/>
      <c r="ABX47" s="279"/>
      <c r="ABY47" s="279"/>
      <c r="ABZ47" s="279"/>
      <c r="ACA47" s="279"/>
      <c r="ACB47" s="279"/>
      <c r="ACC47" s="279"/>
      <c r="ACD47" s="279"/>
      <c r="ACE47" s="279"/>
      <c r="ACF47" s="279"/>
      <c r="ACG47" s="279"/>
      <c r="ACH47" s="279"/>
      <c r="ACI47" s="279"/>
      <c r="ACJ47" s="279"/>
      <c r="ACK47" s="279"/>
      <c r="ACL47" s="279"/>
      <c r="ACM47" s="279"/>
      <c r="ACN47" s="279"/>
      <c r="ACO47" s="279"/>
      <c r="ACP47" s="279"/>
      <c r="ACQ47" s="279"/>
      <c r="ACR47" s="279"/>
      <c r="ACS47" s="279"/>
      <c r="ACT47" s="279"/>
      <c r="ACU47" s="279"/>
      <c r="ACV47" s="279"/>
      <c r="ACW47" s="279"/>
      <c r="ACX47" s="279"/>
      <c r="ACY47" s="279"/>
      <c r="ACZ47" s="279"/>
      <c r="ADA47" s="279"/>
      <c r="ADB47" s="279"/>
      <c r="ADC47" s="279"/>
      <c r="ADD47" s="279"/>
      <c r="ADE47" s="279"/>
      <c r="ADF47" s="279"/>
      <c r="ADG47" s="279"/>
      <c r="ADH47" s="279"/>
      <c r="ADI47" s="279"/>
      <c r="ADJ47" s="279"/>
      <c r="ADK47" s="279"/>
      <c r="ADL47" s="279"/>
      <c r="ADM47" s="279"/>
      <c r="ADN47" s="279"/>
      <c r="ADO47" s="279"/>
      <c r="ADP47" s="279"/>
      <c r="ADQ47" s="279"/>
      <c r="ADR47" s="279"/>
      <c r="ADS47" s="279"/>
      <c r="ADT47" s="279"/>
      <c r="ADU47" s="279"/>
      <c r="ADV47" s="279"/>
      <c r="ADW47" s="279"/>
      <c r="ADX47" s="279"/>
      <c r="ADY47" s="279"/>
      <c r="ADZ47" s="279"/>
      <c r="AEA47" s="279"/>
      <c r="AEB47" s="279"/>
      <c r="AEC47" s="279"/>
      <c r="AED47" s="279"/>
      <c r="AEE47" s="279"/>
      <c r="AEF47" s="279"/>
      <c r="AEG47" s="279"/>
      <c r="AEH47" s="279"/>
      <c r="AEI47" s="279"/>
      <c r="AEJ47" s="279"/>
      <c r="AEK47" s="279"/>
      <c r="AEL47" s="279"/>
      <c r="AEM47" s="279"/>
      <c r="AEN47" s="279"/>
      <c r="AEO47" s="279"/>
      <c r="AEP47" s="279"/>
      <c r="AEQ47" s="279"/>
      <c r="AER47" s="279"/>
      <c r="AES47" s="279"/>
      <c r="AET47" s="279"/>
      <c r="AEU47" s="279"/>
      <c r="AEV47" s="279"/>
      <c r="AEW47" s="279"/>
      <c r="AEX47" s="279"/>
      <c r="AEY47" s="279"/>
      <c r="AEZ47" s="279"/>
      <c r="AFA47" s="279"/>
      <c r="AFB47" s="279"/>
      <c r="AFC47" s="279"/>
      <c r="AFD47" s="279"/>
      <c r="AFE47" s="279"/>
      <c r="AFF47" s="279"/>
      <c r="AFG47" s="279"/>
      <c r="AFH47" s="279"/>
      <c r="AFI47" s="279"/>
      <c r="AFJ47" s="279"/>
      <c r="AFK47" s="279"/>
      <c r="AFL47" s="279"/>
      <c r="AFM47" s="279"/>
      <c r="AFN47" s="279"/>
      <c r="AFO47" s="279"/>
      <c r="AFP47" s="279"/>
      <c r="AFQ47" s="279"/>
      <c r="AFR47" s="279"/>
      <c r="AFS47" s="279"/>
      <c r="AFT47" s="279"/>
      <c r="AFU47" s="279"/>
      <c r="AFV47" s="279"/>
      <c r="AFW47" s="279"/>
      <c r="AFX47" s="279"/>
      <c r="AFY47" s="279"/>
      <c r="AFZ47" s="279"/>
      <c r="AGA47" s="279"/>
      <c r="AGB47" s="279"/>
      <c r="AGC47" s="279"/>
      <c r="AGD47" s="279"/>
      <c r="AGE47" s="279"/>
      <c r="AGF47" s="279"/>
      <c r="AGG47" s="279"/>
      <c r="AGH47" s="279"/>
      <c r="AGI47" s="279"/>
      <c r="AGJ47" s="279"/>
      <c r="AGK47" s="279"/>
      <c r="AGL47" s="279"/>
      <c r="AGM47" s="279"/>
      <c r="AGN47" s="279"/>
      <c r="AGO47" s="279"/>
      <c r="AGP47" s="279"/>
      <c r="AGQ47" s="279"/>
      <c r="AGR47" s="279"/>
      <c r="AGS47" s="279"/>
      <c r="AGT47" s="279"/>
      <c r="AGU47" s="279"/>
      <c r="AGV47" s="279"/>
      <c r="AGW47" s="279"/>
      <c r="AGX47" s="279"/>
      <c r="AGY47" s="279"/>
      <c r="AGZ47" s="279"/>
      <c r="AHA47" s="279"/>
      <c r="AHB47" s="279"/>
      <c r="AHC47" s="279"/>
      <c r="AHD47" s="279"/>
      <c r="AHE47" s="279"/>
      <c r="AHF47" s="279"/>
      <c r="AHG47" s="279"/>
      <c r="AHH47" s="279"/>
      <c r="AHI47" s="279"/>
      <c r="AHJ47" s="279"/>
      <c r="AHK47" s="279"/>
      <c r="AHL47" s="279"/>
      <c r="AHM47" s="279"/>
      <c r="AHN47" s="279"/>
      <c r="AHO47" s="279"/>
      <c r="AHP47" s="279"/>
      <c r="AHQ47" s="279"/>
      <c r="AHR47" s="279"/>
      <c r="AHS47" s="279"/>
      <c r="AHT47" s="279"/>
      <c r="AHU47" s="279"/>
      <c r="AHV47" s="279"/>
      <c r="AHW47" s="279"/>
      <c r="AHX47" s="279"/>
      <c r="AHY47" s="279"/>
      <c r="AHZ47" s="279"/>
      <c r="AIA47" s="279"/>
      <c r="AIB47" s="279"/>
      <c r="AIC47" s="279"/>
      <c r="AID47" s="279"/>
      <c r="AIE47" s="279"/>
      <c r="AIF47" s="279"/>
      <c r="AIG47" s="279"/>
      <c r="AIH47" s="279"/>
      <c r="AII47" s="279"/>
      <c r="AIJ47" s="279"/>
      <c r="AIK47" s="279"/>
      <c r="AIL47" s="279"/>
      <c r="AIM47" s="279"/>
      <c r="AIN47" s="279"/>
      <c r="AIO47" s="279"/>
      <c r="AIP47" s="279"/>
      <c r="AIQ47" s="279"/>
      <c r="AIR47" s="279"/>
      <c r="AIS47" s="279"/>
      <c r="AIT47" s="279"/>
      <c r="AIU47" s="279"/>
      <c r="AIV47" s="279"/>
      <c r="AIW47" s="279"/>
      <c r="AIX47" s="279"/>
      <c r="AIY47" s="279"/>
      <c r="AIZ47" s="279"/>
      <c r="AJA47" s="279"/>
      <c r="AJB47" s="279"/>
      <c r="AJC47" s="279"/>
      <c r="AJD47" s="279"/>
      <c r="AJE47" s="279"/>
      <c r="AJF47" s="279"/>
      <c r="AJG47" s="279"/>
      <c r="AJH47" s="279"/>
      <c r="AJI47" s="279"/>
      <c r="AJJ47" s="279"/>
      <c r="AJK47" s="279"/>
      <c r="AJL47" s="279"/>
      <c r="AJM47" s="279"/>
      <c r="AJN47" s="279"/>
      <c r="AJO47" s="279"/>
      <c r="AJP47" s="279"/>
      <c r="AJQ47" s="279"/>
      <c r="AJR47" s="279"/>
      <c r="AJS47" s="279"/>
      <c r="AJT47" s="279"/>
      <c r="AJU47" s="279"/>
      <c r="AJV47" s="279"/>
      <c r="AJW47" s="279"/>
      <c r="AJX47" s="279"/>
      <c r="AJY47" s="279"/>
      <c r="AJZ47" s="279"/>
      <c r="AKA47" s="279"/>
      <c r="AKB47" s="279"/>
      <c r="AKC47" s="279"/>
      <c r="AKD47" s="279"/>
      <c r="AKE47" s="279"/>
      <c r="AKF47" s="279"/>
      <c r="AKG47" s="279"/>
      <c r="AKH47" s="279"/>
      <c r="AKI47" s="279"/>
      <c r="AKJ47" s="279"/>
      <c r="AKK47" s="279"/>
      <c r="AKL47" s="279"/>
      <c r="AKM47" s="279"/>
      <c r="AKN47" s="279"/>
      <c r="AKO47" s="279"/>
      <c r="AKP47" s="279"/>
      <c r="AKQ47" s="279"/>
      <c r="AKR47" s="279"/>
      <c r="AKS47" s="279"/>
      <c r="AKT47" s="279"/>
      <c r="AKU47" s="279"/>
      <c r="AKV47" s="279"/>
      <c r="AKW47" s="279"/>
      <c r="AKX47" s="279"/>
      <c r="AKY47" s="279"/>
      <c r="AKZ47" s="279"/>
      <c r="ALA47" s="279"/>
      <c r="ALB47" s="279"/>
      <c r="ALC47" s="279"/>
      <c r="ALD47" s="279"/>
      <c r="ALE47" s="279"/>
      <c r="ALF47" s="279"/>
      <c r="ALG47" s="279"/>
      <c r="ALH47" s="279"/>
      <c r="ALI47" s="279"/>
      <c r="ALJ47" s="279"/>
      <c r="ALK47" s="279"/>
      <c r="ALL47" s="279"/>
      <c r="ALM47" s="279"/>
      <c r="ALN47" s="279"/>
      <c r="ALO47" s="279"/>
      <c r="ALP47" s="279"/>
      <c r="ALQ47" s="279"/>
      <c r="ALR47" s="279"/>
      <c r="ALS47" s="279"/>
      <c r="ALT47" s="279"/>
      <c r="ALU47" s="279"/>
      <c r="ALV47" s="279"/>
      <c r="ALW47" s="279"/>
      <c r="ALX47" s="279"/>
      <c r="ALY47" s="279"/>
      <c r="ALZ47" s="279"/>
      <c r="AMA47" s="279"/>
      <c r="AMB47" s="279"/>
      <c r="AMC47" s="279"/>
      <c r="AMD47" s="279"/>
      <c r="AME47" s="279"/>
      <c r="AMF47" s="279"/>
      <c r="AMG47" s="279"/>
      <c r="AMH47" s="279"/>
      <c r="AMI47" s="279"/>
      <c r="AMJ47" s="279"/>
      <c r="AMK47" s="279"/>
      <c r="AML47" s="279"/>
      <c r="AMM47" s="279"/>
      <c r="AMN47" s="279"/>
      <c r="AMO47" s="279"/>
      <c r="AMP47" s="279"/>
      <c r="AMQ47" s="279"/>
      <c r="AMR47" s="279"/>
      <c r="AMS47" s="279"/>
      <c r="AMT47" s="279"/>
      <c r="AMU47" s="279"/>
      <c r="AMV47" s="279"/>
      <c r="AMW47" s="279"/>
      <c r="AMX47" s="279"/>
      <c r="AMY47" s="279"/>
      <c r="AMZ47" s="279"/>
      <c r="ANA47" s="279"/>
      <c r="ANB47" s="279"/>
      <c r="ANC47" s="279"/>
      <c r="AND47" s="279"/>
      <c r="ANE47" s="279"/>
      <c r="ANF47" s="279"/>
      <c r="ANG47" s="279"/>
      <c r="ANH47" s="279"/>
      <c r="ANI47" s="279"/>
      <c r="ANJ47" s="279"/>
      <c r="ANK47" s="279"/>
      <c r="ANL47" s="279"/>
      <c r="ANM47" s="279"/>
      <c r="ANN47" s="279"/>
      <c r="ANO47" s="279"/>
      <c r="ANP47" s="279"/>
      <c r="ANQ47" s="279"/>
      <c r="ANR47" s="279"/>
      <c r="ANS47" s="279"/>
      <c r="ANT47" s="279"/>
      <c r="ANU47" s="279"/>
      <c r="ANV47" s="279"/>
      <c r="ANW47" s="279"/>
      <c r="ANX47" s="279"/>
      <c r="ANY47" s="279"/>
      <c r="ANZ47" s="279"/>
      <c r="AOA47" s="279"/>
      <c r="AOB47" s="279"/>
      <c r="AOC47" s="279"/>
      <c r="AOD47" s="279"/>
      <c r="AOE47" s="279"/>
      <c r="AOF47" s="279"/>
      <c r="AOG47" s="279"/>
      <c r="AOH47" s="279"/>
      <c r="AOI47" s="279"/>
      <c r="AOJ47" s="279"/>
      <c r="AOK47" s="279"/>
      <c r="AOL47" s="279"/>
      <c r="AOM47" s="279"/>
      <c r="AON47" s="279"/>
      <c r="AOO47" s="279"/>
      <c r="AOP47" s="279"/>
      <c r="AOQ47" s="279"/>
      <c r="AOR47" s="279"/>
      <c r="AOS47" s="279"/>
      <c r="AOT47" s="279"/>
      <c r="AOU47" s="279"/>
      <c r="AOV47" s="279"/>
      <c r="AOW47" s="279"/>
      <c r="AOX47" s="279"/>
      <c r="AOY47" s="279"/>
      <c r="AOZ47" s="279"/>
      <c r="APA47" s="279"/>
      <c r="APB47" s="279"/>
      <c r="APC47" s="279"/>
      <c r="APD47" s="279"/>
      <c r="APE47" s="279"/>
      <c r="APF47" s="279"/>
      <c r="APG47" s="279"/>
      <c r="APH47" s="279"/>
      <c r="API47" s="279"/>
      <c r="APJ47" s="279"/>
      <c r="APK47" s="279"/>
      <c r="APL47" s="279"/>
      <c r="APM47" s="279"/>
      <c r="APN47" s="279"/>
      <c r="APO47" s="279"/>
      <c r="APP47" s="279"/>
      <c r="APQ47" s="279"/>
      <c r="APR47" s="279"/>
      <c r="APS47" s="279"/>
      <c r="APT47" s="279"/>
      <c r="APU47" s="279"/>
      <c r="APV47" s="279"/>
      <c r="APW47" s="279"/>
      <c r="APX47" s="279"/>
      <c r="APY47" s="279"/>
      <c r="APZ47" s="279"/>
      <c r="AQA47" s="279"/>
      <c r="AQB47" s="279"/>
      <c r="AQC47" s="279"/>
      <c r="AQD47" s="279"/>
      <c r="AQE47" s="279"/>
      <c r="AQF47" s="279"/>
      <c r="AQG47" s="279"/>
      <c r="AQH47" s="279"/>
      <c r="AQI47" s="279"/>
      <c r="AQJ47" s="279"/>
      <c r="AQK47" s="279"/>
      <c r="AQL47" s="279"/>
      <c r="AQM47" s="279"/>
      <c r="AQN47" s="279"/>
      <c r="AQO47" s="279"/>
      <c r="AQP47" s="279"/>
      <c r="AQQ47" s="279"/>
      <c r="AQR47" s="279"/>
      <c r="AQS47" s="279"/>
      <c r="AQT47" s="279"/>
      <c r="AQU47" s="279"/>
      <c r="AQV47" s="279"/>
      <c r="AQW47" s="279"/>
      <c r="AQX47" s="279"/>
      <c r="AQY47" s="279"/>
      <c r="AQZ47" s="279"/>
      <c r="ARA47" s="279"/>
      <c r="ARB47" s="279"/>
      <c r="ARC47" s="279"/>
      <c r="ARD47" s="279"/>
      <c r="ARE47" s="279"/>
      <c r="ARF47" s="279"/>
      <c r="ARG47" s="279"/>
      <c r="ARH47" s="279"/>
      <c r="ARI47" s="279"/>
      <c r="ARJ47" s="279"/>
      <c r="ARK47" s="279"/>
      <c r="ARL47" s="279"/>
      <c r="ARM47" s="279"/>
      <c r="ARN47" s="279"/>
      <c r="ARO47" s="279"/>
      <c r="ARP47" s="279"/>
      <c r="ARQ47" s="279"/>
      <c r="ARR47" s="279"/>
      <c r="ARS47" s="279"/>
      <c r="ART47" s="279"/>
      <c r="ARU47" s="279"/>
      <c r="ARV47" s="279"/>
      <c r="ARW47" s="279"/>
      <c r="ARX47" s="279"/>
      <c r="ARY47" s="279"/>
      <c r="ARZ47" s="279"/>
      <c r="ASA47" s="279"/>
      <c r="ASB47" s="279"/>
      <c r="ASC47" s="279"/>
      <c r="ASD47" s="279"/>
      <c r="ASE47" s="279"/>
      <c r="ASF47" s="279"/>
      <c r="ASG47" s="279"/>
      <c r="ASH47" s="279"/>
      <c r="ASI47" s="279"/>
      <c r="ASJ47" s="279"/>
      <c r="ASK47" s="279"/>
      <c r="ASL47" s="279"/>
      <c r="ASM47" s="279"/>
      <c r="ASN47" s="279"/>
      <c r="ASO47" s="279"/>
      <c r="ASP47" s="279"/>
      <c r="ASQ47" s="279"/>
      <c r="ASR47" s="279"/>
      <c r="ASS47" s="279"/>
      <c r="AST47" s="279"/>
      <c r="ASU47" s="279"/>
      <c r="ASV47" s="279"/>
      <c r="ASW47" s="279"/>
      <c r="ASX47" s="279"/>
      <c r="ASY47" s="279"/>
      <c r="ASZ47" s="279"/>
      <c r="ATA47" s="279"/>
      <c r="ATB47" s="279"/>
      <c r="ATC47" s="279"/>
      <c r="ATD47" s="279"/>
      <c r="ATE47" s="279"/>
      <c r="ATF47" s="279"/>
      <c r="ATG47" s="279"/>
      <c r="ATH47" s="279"/>
      <c r="ATI47" s="279"/>
      <c r="ATJ47" s="279"/>
      <c r="ATK47" s="279"/>
      <c r="ATL47" s="279"/>
      <c r="ATM47" s="279"/>
      <c r="ATN47" s="279"/>
      <c r="ATO47" s="279"/>
      <c r="ATP47" s="279"/>
      <c r="ATQ47" s="279"/>
      <c r="ATR47" s="279"/>
      <c r="ATS47" s="279"/>
      <c r="ATT47" s="279"/>
      <c r="ATU47" s="279"/>
      <c r="ATV47" s="279"/>
      <c r="ATW47" s="279"/>
      <c r="ATX47" s="279"/>
      <c r="ATY47" s="279"/>
      <c r="ATZ47" s="279"/>
      <c r="AUA47" s="279"/>
      <c r="AUB47" s="279"/>
      <c r="AUC47" s="279"/>
      <c r="AUD47" s="279"/>
      <c r="AUE47" s="279"/>
      <c r="AUF47" s="279"/>
      <c r="AUG47" s="279"/>
      <c r="AUH47" s="279"/>
      <c r="AUI47" s="279"/>
      <c r="AUJ47" s="279"/>
      <c r="AUK47" s="279"/>
      <c r="AUL47" s="279"/>
      <c r="AUM47" s="279"/>
      <c r="AUN47" s="279"/>
      <c r="AUO47" s="279"/>
      <c r="AUP47" s="279"/>
      <c r="AUQ47" s="279"/>
      <c r="AUR47" s="279"/>
      <c r="AUS47" s="279"/>
      <c r="AUT47" s="279"/>
      <c r="AUU47" s="279"/>
      <c r="AUV47" s="279"/>
      <c r="AUW47" s="279"/>
      <c r="AUX47" s="279"/>
      <c r="AUY47" s="279"/>
      <c r="AUZ47" s="279"/>
      <c r="AVA47" s="279"/>
      <c r="AVB47" s="279"/>
      <c r="AVC47" s="279"/>
      <c r="AVD47" s="279"/>
      <c r="AVE47" s="279"/>
      <c r="AVF47" s="279"/>
      <c r="AVG47" s="279"/>
      <c r="AVH47" s="279"/>
      <c r="AVI47" s="279"/>
      <c r="AVJ47" s="279"/>
      <c r="AVK47" s="279"/>
      <c r="AVL47" s="279"/>
      <c r="AVM47" s="279"/>
      <c r="AVN47" s="279"/>
      <c r="AVO47" s="279"/>
      <c r="AVP47" s="279"/>
      <c r="AVQ47" s="279"/>
      <c r="AVR47" s="279"/>
      <c r="AVS47" s="279"/>
      <c r="AVT47" s="279"/>
      <c r="AVU47" s="279"/>
      <c r="AVV47" s="279"/>
      <c r="AVW47" s="279"/>
      <c r="AVX47" s="279"/>
      <c r="AVY47" s="279"/>
      <c r="AVZ47" s="279"/>
      <c r="AWA47" s="279"/>
      <c r="AWB47" s="279"/>
      <c r="AWC47" s="279"/>
      <c r="AWD47" s="279"/>
      <c r="AWE47" s="279"/>
      <c r="AWF47" s="279"/>
      <c r="AWG47" s="279"/>
      <c r="AWH47" s="279"/>
      <c r="AWI47" s="279"/>
      <c r="AWJ47" s="279"/>
      <c r="AWK47" s="279"/>
      <c r="AWL47" s="279"/>
      <c r="AWM47" s="279"/>
      <c r="AWN47" s="279"/>
      <c r="AWO47" s="279"/>
      <c r="AWP47" s="279"/>
      <c r="AWQ47" s="279"/>
      <c r="AWR47" s="279"/>
      <c r="AWS47" s="279"/>
      <c r="AWT47" s="279"/>
      <c r="AWU47" s="279"/>
      <c r="AWV47" s="279"/>
      <c r="AWW47" s="279"/>
      <c r="AWX47" s="279"/>
      <c r="AWY47" s="279"/>
      <c r="AWZ47" s="279"/>
      <c r="AXA47" s="279"/>
      <c r="AXB47" s="279"/>
      <c r="AXC47" s="279"/>
      <c r="AXD47" s="279"/>
      <c r="AXE47" s="279"/>
      <c r="AXF47" s="279"/>
      <c r="AXG47" s="279"/>
      <c r="AXH47" s="279"/>
      <c r="AXI47" s="279"/>
      <c r="AXJ47" s="279"/>
      <c r="AXK47" s="279"/>
      <c r="AXL47" s="279"/>
      <c r="AXM47" s="279"/>
      <c r="AXN47" s="279"/>
      <c r="AXO47" s="279"/>
      <c r="AXP47" s="279"/>
      <c r="AXQ47" s="279"/>
      <c r="AXR47" s="279"/>
      <c r="AXS47" s="279"/>
      <c r="AXT47" s="279"/>
      <c r="AXU47" s="279"/>
      <c r="AXV47" s="279"/>
      <c r="AXW47" s="279"/>
      <c r="AXX47" s="279"/>
      <c r="AXY47" s="279"/>
      <c r="AXZ47" s="279"/>
      <c r="AYA47" s="279"/>
      <c r="AYB47" s="279"/>
      <c r="AYC47" s="279"/>
      <c r="AYD47" s="279"/>
      <c r="AYE47" s="279"/>
      <c r="AYF47" s="279"/>
      <c r="AYG47" s="279"/>
      <c r="AYH47" s="279"/>
      <c r="AYI47" s="279"/>
      <c r="AYJ47" s="279"/>
      <c r="AYK47" s="279"/>
      <c r="AYL47" s="279"/>
      <c r="AYM47" s="279"/>
      <c r="AYN47" s="279"/>
      <c r="AYO47" s="279"/>
      <c r="AYP47" s="279"/>
      <c r="AYQ47" s="279"/>
      <c r="AYR47" s="279"/>
      <c r="AYS47" s="279"/>
      <c r="AYT47" s="279"/>
      <c r="AYU47" s="279"/>
      <c r="AYV47" s="279"/>
      <c r="AYW47" s="279"/>
      <c r="AYX47" s="279"/>
      <c r="AYY47" s="279"/>
      <c r="AYZ47" s="279"/>
      <c r="AZA47" s="279"/>
      <c r="AZB47" s="279"/>
      <c r="AZC47" s="279"/>
      <c r="AZD47" s="279"/>
      <c r="AZE47" s="279"/>
      <c r="AZF47" s="279"/>
      <c r="AZG47" s="279"/>
      <c r="AZH47" s="279"/>
      <c r="AZI47" s="279"/>
      <c r="AZJ47" s="279"/>
      <c r="AZK47" s="279"/>
      <c r="AZL47" s="279"/>
      <c r="AZM47" s="279"/>
      <c r="AZN47" s="279"/>
      <c r="AZO47" s="279"/>
      <c r="AZP47" s="279"/>
      <c r="AZQ47" s="279"/>
      <c r="AZR47" s="279"/>
      <c r="AZS47" s="279"/>
      <c r="AZT47" s="279"/>
      <c r="AZU47" s="279"/>
      <c r="AZV47" s="279"/>
      <c r="AZW47" s="279"/>
      <c r="AZX47" s="279"/>
      <c r="AZY47" s="279"/>
      <c r="AZZ47" s="279"/>
      <c r="BAA47" s="279"/>
      <c r="BAB47" s="279"/>
      <c r="BAC47" s="279"/>
      <c r="BAD47" s="279"/>
      <c r="BAE47" s="279"/>
      <c r="BAF47" s="279"/>
      <c r="BAG47" s="279"/>
      <c r="BAH47" s="279"/>
      <c r="BAI47" s="279"/>
      <c r="BAJ47" s="279"/>
      <c r="BAK47" s="279"/>
      <c r="BAL47" s="279"/>
      <c r="BAM47" s="279"/>
      <c r="BAN47" s="279"/>
      <c r="BAO47" s="279"/>
      <c r="BAP47" s="279"/>
      <c r="BAQ47" s="279"/>
      <c r="BAR47" s="279"/>
      <c r="BAS47" s="279"/>
      <c r="BAT47" s="279"/>
      <c r="BAU47" s="279"/>
      <c r="BAV47" s="279"/>
      <c r="BAW47" s="279"/>
      <c r="BAX47" s="279"/>
      <c r="BAY47" s="279"/>
      <c r="BAZ47" s="279"/>
      <c r="BBA47" s="279"/>
      <c r="BBB47" s="279"/>
      <c r="BBC47" s="279"/>
      <c r="BBD47" s="279"/>
      <c r="BBE47" s="279"/>
      <c r="BBF47" s="279"/>
      <c r="BBG47" s="279"/>
      <c r="BBH47" s="279"/>
      <c r="BBI47" s="279"/>
      <c r="BBJ47" s="279"/>
      <c r="BBK47" s="279"/>
      <c r="BBL47" s="279"/>
      <c r="BBM47" s="279"/>
      <c r="BBN47" s="279"/>
      <c r="BBO47" s="279"/>
      <c r="BBP47" s="279"/>
      <c r="BBQ47" s="279"/>
      <c r="BBR47" s="279"/>
      <c r="BBS47" s="279"/>
      <c r="BBT47" s="279"/>
      <c r="BBU47" s="279"/>
      <c r="BBV47" s="279"/>
      <c r="BBW47" s="279"/>
      <c r="BBX47" s="279"/>
      <c r="BBY47" s="279"/>
      <c r="BBZ47" s="279"/>
      <c r="BCA47" s="279"/>
      <c r="BCB47" s="279"/>
      <c r="BCC47" s="279"/>
      <c r="BCD47" s="279"/>
      <c r="BCE47" s="279"/>
      <c r="BCF47" s="279"/>
      <c r="BCG47" s="279"/>
      <c r="BCH47" s="279"/>
      <c r="BCI47" s="279"/>
      <c r="BCJ47" s="279"/>
      <c r="BCK47" s="279"/>
      <c r="BCL47" s="279"/>
      <c r="BCM47" s="279"/>
      <c r="BCN47" s="279"/>
      <c r="BCO47" s="279"/>
      <c r="BCP47" s="279"/>
      <c r="BCQ47" s="279"/>
      <c r="BCR47" s="279"/>
      <c r="BCS47" s="279"/>
      <c r="BCT47" s="279"/>
      <c r="BCU47" s="279"/>
      <c r="BCV47" s="279"/>
      <c r="BCW47" s="279"/>
      <c r="BCX47" s="279"/>
      <c r="BCY47" s="279"/>
      <c r="BCZ47" s="279"/>
      <c r="BDA47" s="279"/>
      <c r="BDB47" s="279"/>
      <c r="BDC47" s="279"/>
      <c r="BDD47" s="279"/>
      <c r="BDE47" s="279"/>
      <c r="BDF47" s="279"/>
      <c r="BDG47" s="279"/>
      <c r="BDH47" s="279"/>
      <c r="BDI47" s="279"/>
      <c r="BDJ47" s="279"/>
      <c r="BDK47" s="279"/>
      <c r="BDL47" s="279"/>
      <c r="BDM47" s="279"/>
      <c r="BDN47" s="279"/>
      <c r="BDO47" s="279"/>
      <c r="BDP47" s="279"/>
      <c r="BDQ47" s="279"/>
      <c r="BDR47" s="279"/>
      <c r="BDS47" s="279"/>
      <c r="BDT47" s="279"/>
      <c r="BDU47" s="279"/>
      <c r="BDV47" s="279"/>
      <c r="BDW47" s="279"/>
      <c r="BDX47" s="279"/>
      <c r="BDY47" s="279"/>
      <c r="BDZ47" s="279"/>
      <c r="BEA47" s="279"/>
      <c r="BEB47" s="279"/>
      <c r="BEC47" s="279"/>
      <c r="BED47" s="279"/>
      <c r="BEE47" s="279"/>
      <c r="BEF47" s="279"/>
      <c r="BEG47" s="279"/>
      <c r="BEH47" s="279"/>
      <c r="BEI47" s="279"/>
      <c r="BEJ47" s="279"/>
      <c r="BEK47" s="279"/>
      <c r="BEL47" s="279"/>
      <c r="BEM47" s="279"/>
      <c r="BEN47" s="279"/>
      <c r="BEO47" s="279"/>
      <c r="BEP47" s="279"/>
      <c r="BEQ47" s="279"/>
      <c r="BER47" s="279"/>
      <c r="BES47" s="279"/>
      <c r="BET47" s="279"/>
      <c r="BEU47" s="279"/>
      <c r="BEV47" s="279"/>
      <c r="BEW47" s="279"/>
      <c r="BEX47" s="279"/>
      <c r="BEY47" s="279"/>
      <c r="BEZ47" s="279"/>
      <c r="BFA47" s="279"/>
      <c r="BFB47" s="279"/>
      <c r="BFC47" s="279"/>
      <c r="BFD47" s="279"/>
      <c r="BFE47" s="279"/>
      <c r="BFF47" s="279"/>
      <c r="BFG47" s="279"/>
      <c r="BFH47" s="279"/>
      <c r="BFI47" s="279"/>
      <c r="BFJ47" s="279"/>
      <c r="BFK47" s="279"/>
      <c r="BFL47" s="279"/>
      <c r="BFM47" s="279"/>
      <c r="BFN47" s="279"/>
      <c r="BFO47" s="279"/>
      <c r="BFP47" s="279"/>
      <c r="BFQ47" s="279"/>
      <c r="BFR47" s="279"/>
      <c r="BFS47" s="279"/>
      <c r="BFT47" s="279"/>
      <c r="BFU47" s="279"/>
      <c r="BFV47" s="279"/>
      <c r="BFW47" s="279"/>
      <c r="BFX47" s="279"/>
      <c r="BFY47" s="279"/>
      <c r="BFZ47" s="279"/>
      <c r="BGA47" s="279"/>
      <c r="BGB47" s="279"/>
      <c r="BGC47" s="279"/>
      <c r="BGD47" s="279"/>
      <c r="BGE47" s="279"/>
      <c r="BGF47" s="279"/>
      <c r="BGG47" s="279"/>
      <c r="BGH47" s="279"/>
      <c r="BGI47" s="279"/>
      <c r="BGJ47" s="279"/>
      <c r="BGK47" s="279"/>
      <c r="BGL47" s="279"/>
      <c r="BGM47" s="279"/>
      <c r="BGN47" s="279"/>
      <c r="BGO47" s="279"/>
      <c r="BGP47" s="279"/>
      <c r="BGQ47" s="279"/>
      <c r="BGR47" s="279"/>
      <c r="BGS47" s="279"/>
      <c r="BGT47" s="279"/>
      <c r="BGU47" s="279"/>
      <c r="BGV47" s="279"/>
      <c r="BGW47" s="279"/>
      <c r="BGX47" s="279"/>
      <c r="BGY47" s="279"/>
      <c r="BGZ47" s="279"/>
      <c r="BHA47" s="279"/>
      <c r="BHB47" s="279"/>
      <c r="BHC47" s="279"/>
      <c r="BHD47" s="279"/>
      <c r="BHE47" s="279"/>
      <c r="BHF47" s="279"/>
      <c r="BHG47" s="279"/>
      <c r="BHH47" s="279"/>
      <c r="BHI47" s="279"/>
      <c r="BHJ47" s="279"/>
      <c r="BHK47" s="279"/>
      <c r="BHL47" s="279"/>
      <c r="BHM47" s="279"/>
      <c r="BHN47" s="279"/>
      <c r="BHO47" s="279"/>
      <c r="BHP47" s="279"/>
      <c r="BHQ47" s="279"/>
      <c r="BHR47" s="279"/>
      <c r="BHS47" s="279"/>
      <c r="BHT47" s="279"/>
      <c r="BHU47" s="279"/>
      <c r="BHV47" s="279"/>
      <c r="BHW47" s="279"/>
      <c r="BHX47" s="279"/>
      <c r="BHY47" s="279"/>
      <c r="BHZ47" s="279"/>
      <c r="BIA47" s="279"/>
      <c r="BIB47" s="279"/>
      <c r="BIC47" s="279"/>
      <c r="BID47" s="279"/>
      <c r="BIE47" s="279"/>
      <c r="BIF47" s="279"/>
      <c r="BIG47" s="279"/>
      <c r="BIH47" s="279"/>
      <c r="BII47" s="279"/>
      <c r="BIJ47" s="279"/>
      <c r="BIK47" s="279"/>
      <c r="BIL47" s="279"/>
      <c r="BIM47" s="279"/>
      <c r="BIN47" s="279"/>
      <c r="BIO47" s="279"/>
      <c r="BIP47" s="279"/>
      <c r="BIQ47" s="279"/>
      <c r="BIR47" s="279"/>
      <c r="BIS47" s="279"/>
      <c r="BIT47" s="279"/>
      <c r="BIU47" s="279"/>
      <c r="BIV47" s="279"/>
      <c r="BIW47" s="279"/>
      <c r="BIX47" s="279"/>
      <c r="BIY47" s="279"/>
      <c r="BIZ47" s="279"/>
      <c r="BJA47" s="279"/>
      <c r="BJB47" s="279"/>
      <c r="BJC47" s="279"/>
      <c r="BJD47" s="279"/>
      <c r="BJE47" s="279"/>
      <c r="BJF47" s="279"/>
      <c r="BJG47" s="279"/>
      <c r="BJH47" s="279"/>
      <c r="BJI47" s="279"/>
      <c r="BJJ47" s="279"/>
      <c r="BJK47" s="279"/>
      <c r="BJL47" s="279"/>
      <c r="BJM47" s="279"/>
      <c r="BJN47" s="279"/>
      <c r="BJO47" s="279"/>
      <c r="BJP47" s="279"/>
      <c r="BJQ47" s="279"/>
      <c r="BJR47" s="279"/>
      <c r="BJS47" s="279"/>
      <c r="BJT47" s="279"/>
      <c r="BJU47" s="279"/>
      <c r="BJV47" s="279"/>
      <c r="BJW47" s="279"/>
      <c r="BJX47" s="279"/>
      <c r="BJY47" s="279"/>
      <c r="BJZ47" s="279"/>
      <c r="BKA47" s="279"/>
      <c r="BKB47" s="279"/>
      <c r="BKC47" s="279"/>
      <c r="BKD47" s="279"/>
      <c r="BKE47" s="279"/>
      <c r="BKF47" s="279"/>
      <c r="BKG47" s="279"/>
      <c r="BKH47" s="279"/>
      <c r="BKI47" s="279"/>
      <c r="BKJ47" s="279"/>
      <c r="BKK47" s="279"/>
      <c r="BKL47" s="279"/>
      <c r="BKM47" s="279"/>
      <c r="BKN47" s="279"/>
      <c r="BKO47" s="279"/>
      <c r="BKP47" s="279"/>
      <c r="BKQ47" s="279"/>
      <c r="BKR47" s="279"/>
      <c r="BKS47" s="279"/>
      <c r="BKT47" s="279"/>
      <c r="BKU47" s="279"/>
      <c r="BKV47" s="279"/>
      <c r="BKW47" s="279"/>
      <c r="BKX47" s="279"/>
      <c r="BKY47" s="279"/>
      <c r="BKZ47" s="279"/>
      <c r="BLA47" s="279"/>
      <c r="BLB47" s="279"/>
      <c r="BLC47" s="279"/>
      <c r="BLD47" s="279"/>
      <c r="BLE47" s="279"/>
      <c r="BLF47" s="279"/>
      <c r="BLG47" s="279"/>
      <c r="BLH47" s="279"/>
      <c r="BLI47" s="279"/>
      <c r="BLJ47" s="279"/>
      <c r="BLK47" s="279"/>
      <c r="BLL47" s="279"/>
      <c r="BLM47" s="279"/>
      <c r="BLN47" s="279"/>
      <c r="BLO47" s="279"/>
      <c r="BLP47" s="279"/>
      <c r="BLQ47" s="279"/>
      <c r="BLR47" s="279"/>
      <c r="BLS47" s="279"/>
      <c r="BLT47" s="279"/>
      <c r="BLU47" s="279"/>
      <c r="BLV47" s="279"/>
      <c r="BLW47" s="279"/>
      <c r="BLX47" s="279"/>
      <c r="BLY47" s="279"/>
      <c r="BLZ47" s="279"/>
      <c r="BMA47" s="279"/>
      <c r="BMB47" s="279"/>
      <c r="BMC47" s="279"/>
      <c r="BMD47" s="279"/>
      <c r="BME47" s="279"/>
      <c r="BMF47" s="279"/>
      <c r="BMG47" s="279"/>
      <c r="BMH47" s="279"/>
      <c r="BMI47" s="279"/>
      <c r="BMJ47" s="279"/>
      <c r="BMK47" s="279"/>
      <c r="BML47" s="279"/>
      <c r="BMM47" s="279"/>
      <c r="BMN47" s="279"/>
      <c r="BMO47" s="279"/>
      <c r="BMP47" s="279"/>
      <c r="BMQ47" s="279"/>
      <c r="BMR47" s="279"/>
      <c r="BMS47" s="279"/>
      <c r="BMT47" s="279"/>
      <c r="BMU47" s="279"/>
      <c r="BMV47" s="279"/>
      <c r="BMW47" s="279"/>
      <c r="BMX47" s="279"/>
      <c r="BMY47" s="279"/>
      <c r="BMZ47" s="279"/>
      <c r="BNA47" s="279"/>
      <c r="BNB47" s="279"/>
      <c r="BNC47" s="279"/>
      <c r="BND47" s="279"/>
      <c r="BNE47" s="279"/>
      <c r="BNF47" s="279"/>
      <c r="BNG47" s="279"/>
      <c r="BNH47" s="279"/>
      <c r="BNI47" s="279"/>
      <c r="BNJ47" s="279"/>
      <c r="BNK47" s="279"/>
      <c r="BNL47" s="279"/>
      <c r="BNM47" s="279"/>
      <c r="BNN47" s="279"/>
      <c r="BNO47" s="279"/>
      <c r="BNP47" s="279"/>
      <c r="BNQ47" s="279"/>
      <c r="BNR47" s="279"/>
      <c r="BNS47" s="279"/>
      <c r="BNT47" s="279"/>
      <c r="BNU47" s="279"/>
      <c r="BNV47" s="279"/>
      <c r="BNW47" s="279"/>
      <c r="BNX47" s="279"/>
      <c r="BNY47" s="279"/>
      <c r="BNZ47" s="279"/>
      <c r="BOA47" s="279"/>
      <c r="BOB47" s="279"/>
      <c r="BOC47" s="279"/>
      <c r="BOD47" s="279"/>
      <c r="BOE47" s="279"/>
      <c r="BOF47" s="279"/>
      <c r="BOG47" s="279"/>
      <c r="BOH47" s="279"/>
      <c r="BOI47" s="279"/>
      <c r="BOJ47" s="279"/>
      <c r="BOK47" s="279"/>
      <c r="BOL47" s="279"/>
      <c r="BOM47" s="279"/>
      <c r="BON47" s="279"/>
      <c r="BOO47" s="279"/>
      <c r="BOP47" s="279"/>
      <c r="BOQ47" s="279"/>
      <c r="BOR47" s="279"/>
      <c r="BOS47" s="279"/>
      <c r="BOT47" s="279"/>
      <c r="BOU47" s="279"/>
      <c r="BOV47" s="279"/>
      <c r="BOW47" s="279"/>
      <c r="BOX47" s="279"/>
      <c r="BOY47" s="279"/>
      <c r="BOZ47" s="279"/>
      <c r="BPA47" s="279"/>
      <c r="BPB47" s="279"/>
      <c r="BPC47" s="279"/>
      <c r="BPD47" s="279"/>
      <c r="BPE47" s="279"/>
      <c r="BPF47" s="279"/>
      <c r="BPG47" s="279"/>
      <c r="BPH47" s="279"/>
      <c r="BPI47" s="279"/>
      <c r="BPJ47" s="279"/>
      <c r="BPK47" s="279"/>
      <c r="BPL47" s="279"/>
      <c r="BPM47" s="279"/>
      <c r="BPN47" s="279"/>
      <c r="BPO47" s="279"/>
      <c r="BPP47" s="279"/>
      <c r="BPQ47" s="279"/>
      <c r="BPR47" s="279"/>
      <c r="BPS47" s="279"/>
      <c r="BPT47" s="279"/>
      <c r="BPU47" s="279"/>
      <c r="BPV47" s="279"/>
      <c r="BPW47" s="279"/>
      <c r="BPX47" s="279"/>
      <c r="BPY47" s="279"/>
      <c r="BPZ47" s="279"/>
      <c r="BQA47" s="279"/>
      <c r="BQB47" s="279"/>
      <c r="BQC47" s="279"/>
      <c r="BQD47" s="279"/>
      <c r="BQE47" s="279"/>
      <c r="BQF47" s="279"/>
      <c r="BQG47" s="279"/>
      <c r="BQH47" s="279"/>
      <c r="BQI47" s="279"/>
      <c r="BQJ47" s="279"/>
      <c r="BQK47" s="279"/>
      <c r="BQL47" s="279"/>
      <c r="BQM47" s="279"/>
      <c r="BQN47" s="279"/>
      <c r="BQO47" s="279"/>
      <c r="BQP47" s="279"/>
      <c r="BQQ47" s="279"/>
      <c r="BQR47" s="279"/>
      <c r="BQS47" s="279"/>
      <c r="BQT47" s="279"/>
      <c r="BQU47" s="279"/>
      <c r="BQV47" s="279"/>
      <c r="BQW47" s="279"/>
      <c r="BQX47" s="279"/>
      <c r="BQY47" s="279"/>
      <c r="BQZ47" s="279"/>
      <c r="BRA47" s="279"/>
      <c r="BRB47" s="279"/>
      <c r="BRC47" s="279"/>
      <c r="BRD47" s="279"/>
      <c r="BRE47" s="279"/>
      <c r="BRF47" s="279"/>
      <c r="BRG47" s="279"/>
      <c r="BRH47" s="279"/>
      <c r="BRI47" s="279"/>
      <c r="BRJ47" s="279"/>
      <c r="BRK47" s="279"/>
      <c r="BRL47" s="279"/>
      <c r="BRM47" s="279"/>
      <c r="BRN47" s="279"/>
      <c r="BRO47" s="279"/>
      <c r="BRP47" s="279"/>
      <c r="BRQ47" s="279"/>
      <c r="BRR47" s="279"/>
      <c r="BRS47" s="279"/>
      <c r="BRT47" s="279"/>
      <c r="BRU47" s="279"/>
      <c r="BRV47" s="279"/>
      <c r="BRW47" s="279"/>
      <c r="BRX47" s="279"/>
      <c r="BRY47" s="279"/>
      <c r="BRZ47" s="279"/>
      <c r="BSA47" s="279"/>
      <c r="BSB47" s="279"/>
      <c r="BSC47" s="279"/>
      <c r="BSD47" s="279"/>
      <c r="BSE47" s="279"/>
      <c r="BSF47" s="279"/>
      <c r="BSG47" s="279"/>
      <c r="BSH47" s="279"/>
      <c r="BSI47" s="279"/>
      <c r="BSJ47" s="279"/>
      <c r="BSK47" s="279"/>
      <c r="BSL47" s="279"/>
      <c r="BSM47" s="279"/>
      <c r="BSN47" s="279"/>
      <c r="BSO47" s="279"/>
      <c r="BSP47" s="279"/>
      <c r="BSQ47" s="279"/>
      <c r="BSR47" s="279"/>
      <c r="BSS47" s="279"/>
      <c r="BST47" s="279"/>
      <c r="BSU47" s="279"/>
      <c r="BSV47" s="279"/>
      <c r="BSW47" s="279"/>
      <c r="BSX47" s="279"/>
      <c r="BSY47" s="279"/>
      <c r="BSZ47" s="279"/>
      <c r="BTA47" s="279"/>
      <c r="BTB47" s="279"/>
      <c r="BTC47" s="279"/>
      <c r="BTD47" s="279"/>
      <c r="BTE47" s="279"/>
      <c r="BTF47" s="279"/>
      <c r="BTG47" s="279"/>
      <c r="BTH47" s="279"/>
      <c r="BTI47" s="279"/>
      <c r="BTJ47" s="279"/>
      <c r="BTK47" s="279"/>
      <c r="BTL47" s="279"/>
      <c r="BTM47" s="279"/>
      <c r="BTN47" s="279"/>
      <c r="BTO47" s="279"/>
      <c r="BTP47" s="279"/>
      <c r="BTQ47" s="279"/>
      <c r="BTR47" s="279"/>
      <c r="BTS47" s="279"/>
      <c r="BTT47" s="279"/>
      <c r="BTU47" s="279"/>
      <c r="BTV47" s="279"/>
      <c r="BTW47" s="279"/>
      <c r="BTX47" s="279"/>
      <c r="BTY47" s="279"/>
      <c r="BTZ47" s="279"/>
      <c r="BUA47" s="279"/>
      <c r="BUB47" s="279"/>
      <c r="BUC47" s="279"/>
      <c r="BUD47" s="279"/>
      <c r="BUE47" s="279"/>
      <c r="BUF47" s="279"/>
      <c r="BUG47" s="279"/>
      <c r="BUH47" s="279"/>
      <c r="BUI47" s="279"/>
      <c r="BUJ47" s="279"/>
      <c r="BUK47" s="279"/>
      <c r="BUL47" s="279"/>
      <c r="BUM47" s="279"/>
      <c r="BUN47" s="279"/>
      <c r="BUO47" s="279"/>
      <c r="BUP47" s="279"/>
      <c r="BUQ47" s="279"/>
      <c r="BUR47" s="279"/>
      <c r="BUS47" s="279"/>
      <c r="BUT47" s="279"/>
      <c r="BUU47" s="279"/>
      <c r="BUV47" s="279"/>
      <c r="BUW47" s="279"/>
      <c r="BUX47" s="279"/>
      <c r="BUY47" s="279"/>
      <c r="BUZ47" s="279"/>
      <c r="BVA47" s="279"/>
      <c r="BVB47" s="279"/>
      <c r="BVC47" s="279"/>
      <c r="BVD47" s="279"/>
      <c r="BVE47" s="279"/>
      <c r="BVF47" s="279"/>
      <c r="BVG47" s="279"/>
      <c r="BVH47" s="279"/>
      <c r="BVI47" s="279"/>
      <c r="BVJ47" s="279"/>
      <c r="BVK47" s="279"/>
      <c r="BVL47" s="279"/>
      <c r="BVM47" s="279"/>
      <c r="BVN47" s="279"/>
      <c r="BVO47" s="279"/>
      <c r="BVP47" s="279"/>
      <c r="BVQ47" s="279"/>
      <c r="BVR47" s="279"/>
      <c r="BVS47" s="279"/>
      <c r="BVT47" s="279"/>
      <c r="BVU47" s="279"/>
      <c r="BVV47" s="279"/>
      <c r="BVW47" s="279"/>
      <c r="BVX47" s="279"/>
      <c r="BVY47" s="279"/>
      <c r="BVZ47" s="279"/>
      <c r="BWA47" s="279"/>
      <c r="BWB47" s="279"/>
      <c r="BWC47" s="279"/>
      <c r="BWD47" s="279"/>
      <c r="BWE47" s="279"/>
      <c r="BWF47" s="279"/>
      <c r="BWG47" s="279"/>
      <c r="BWH47" s="279"/>
      <c r="BWI47" s="279"/>
      <c r="BWJ47" s="279"/>
      <c r="BWK47" s="279"/>
      <c r="BWL47" s="279"/>
      <c r="BWM47" s="279"/>
      <c r="BWN47" s="279"/>
      <c r="BWO47" s="279"/>
      <c r="BWP47" s="279"/>
      <c r="BWQ47" s="279"/>
      <c r="BWR47" s="279"/>
      <c r="BWS47" s="279"/>
      <c r="BWT47" s="279"/>
      <c r="BWU47" s="279"/>
      <c r="BWV47" s="279"/>
      <c r="BWW47" s="279"/>
      <c r="BWX47" s="279"/>
      <c r="BWY47" s="279"/>
      <c r="BWZ47" s="279"/>
      <c r="BXA47" s="279"/>
      <c r="BXB47" s="279"/>
      <c r="BXC47" s="279"/>
      <c r="BXD47" s="279"/>
      <c r="BXE47" s="279"/>
      <c r="BXF47" s="279"/>
      <c r="BXG47" s="279"/>
      <c r="BXH47" s="279"/>
      <c r="BXI47" s="279"/>
      <c r="BXJ47" s="279"/>
      <c r="BXK47" s="279"/>
      <c r="BXL47" s="279"/>
      <c r="BXM47" s="279"/>
      <c r="BXN47" s="279"/>
      <c r="BXO47" s="279"/>
      <c r="BXP47" s="279"/>
      <c r="BXQ47" s="279"/>
      <c r="BXR47" s="279"/>
      <c r="BXS47" s="279"/>
      <c r="BXT47" s="279"/>
      <c r="BXU47" s="279"/>
      <c r="BXV47" s="279"/>
      <c r="BXW47" s="279"/>
      <c r="BXX47" s="279"/>
      <c r="BXY47" s="279"/>
      <c r="BXZ47" s="279"/>
      <c r="BYA47" s="279"/>
      <c r="BYB47" s="279"/>
      <c r="BYC47" s="279"/>
      <c r="BYD47" s="279"/>
      <c r="BYE47" s="279"/>
      <c r="BYF47" s="279"/>
      <c r="BYG47" s="279"/>
      <c r="BYH47" s="279"/>
      <c r="BYI47" s="279"/>
      <c r="BYJ47" s="279"/>
      <c r="BYK47" s="279"/>
      <c r="BYL47" s="279"/>
      <c r="BYM47" s="279"/>
      <c r="BYN47" s="279"/>
      <c r="BYO47" s="279"/>
      <c r="BYP47" s="279"/>
      <c r="BYQ47" s="279"/>
      <c r="BYR47" s="279"/>
      <c r="BYS47" s="279"/>
      <c r="BYT47" s="279"/>
      <c r="BYU47" s="279"/>
      <c r="BYV47" s="279"/>
      <c r="BYW47" s="279"/>
      <c r="BYX47" s="279"/>
      <c r="BYY47" s="279"/>
      <c r="BYZ47" s="279"/>
      <c r="BZA47" s="279"/>
      <c r="BZB47" s="279"/>
      <c r="BZC47" s="279"/>
      <c r="BZD47" s="279"/>
      <c r="BZE47" s="279"/>
      <c r="BZF47" s="279"/>
      <c r="BZG47" s="279"/>
      <c r="BZH47" s="279"/>
      <c r="BZI47" s="279"/>
      <c r="BZJ47" s="279"/>
      <c r="BZK47" s="279"/>
      <c r="BZL47" s="279"/>
      <c r="BZM47" s="279"/>
      <c r="BZN47" s="279"/>
      <c r="BZO47" s="279"/>
      <c r="BZP47" s="279"/>
      <c r="BZQ47" s="279"/>
      <c r="BZR47" s="279"/>
      <c r="BZS47" s="279"/>
      <c r="BZT47" s="279"/>
      <c r="BZU47" s="279"/>
      <c r="BZV47" s="279"/>
      <c r="BZW47" s="279"/>
      <c r="BZX47" s="279"/>
      <c r="BZY47" s="279"/>
      <c r="BZZ47" s="279"/>
      <c r="CAA47" s="279"/>
      <c r="CAB47" s="279"/>
      <c r="CAC47" s="279"/>
      <c r="CAD47" s="279"/>
      <c r="CAE47" s="279"/>
      <c r="CAF47" s="279"/>
      <c r="CAG47" s="279"/>
      <c r="CAH47" s="279"/>
      <c r="CAI47" s="279"/>
      <c r="CAJ47" s="279"/>
      <c r="CAK47" s="279"/>
      <c r="CAL47" s="279"/>
      <c r="CAM47" s="279"/>
      <c r="CAN47" s="279"/>
      <c r="CAO47" s="279"/>
      <c r="CAP47" s="279"/>
      <c r="CAQ47" s="279"/>
      <c r="CAR47" s="279"/>
      <c r="CAS47" s="279"/>
      <c r="CAT47" s="279"/>
      <c r="CAU47" s="279"/>
      <c r="CAV47" s="279"/>
      <c r="CAW47" s="279"/>
      <c r="CAX47" s="279"/>
      <c r="CAY47" s="279"/>
      <c r="CAZ47" s="279"/>
      <c r="CBA47" s="279"/>
      <c r="CBB47" s="279"/>
      <c r="CBC47" s="279"/>
      <c r="CBD47" s="279"/>
      <c r="CBE47" s="279"/>
      <c r="CBF47" s="279"/>
      <c r="CBG47" s="279"/>
      <c r="CBH47" s="279"/>
      <c r="CBI47" s="279"/>
      <c r="CBJ47" s="279"/>
      <c r="CBK47" s="279"/>
      <c r="CBL47" s="279"/>
      <c r="CBM47" s="279"/>
      <c r="CBN47" s="279"/>
      <c r="CBO47" s="279"/>
      <c r="CBP47" s="279"/>
      <c r="CBQ47" s="279"/>
      <c r="CBR47" s="279"/>
      <c r="CBS47" s="279"/>
      <c r="CBT47" s="279"/>
      <c r="CBU47" s="279"/>
      <c r="CBV47" s="279"/>
      <c r="CBW47" s="279"/>
      <c r="CBX47" s="279"/>
      <c r="CBY47" s="279"/>
      <c r="CBZ47" s="279"/>
      <c r="CCA47" s="279"/>
      <c r="CCB47" s="279"/>
      <c r="CCC47" s="279"/>
      <c r="CCD47" s="279"/>
      <c r="CCE47" s="279"/>
      <c r="CCF47" s="279"/>
      <c r="CCG47" s="279"/>
      <c r="CCH47" s="279"/>
      <c r="CCI47" s="279"/>
      <c r="CCJ47" s="279"/>
      <c r="CCK47" s="279"/>
      <c r="CCL47" s="279"/>
      <c r="CCM47" s="279"/>
      <c r="CCN47" s="279"/>
      <c r="CCO47" s="279"/>
      <c r="CCP47" s="279"/>
      <c r="CCQ47" s="279"/>
      <c r="CCR47" s="279"/>
      <c r="CCS47" s="279"/>
      <c r="CCT47" s="279"/>
      <c r="CCU47" s="279"/>
      <c r="CCV47" s="279"/>
      <c r="CCW47" s="279"/>
      <c r="CCX47" s="279"/>
      <c r="CCY47" s="279"/>
      <c r="CCZ47" s="279"/>
      <c r="CDA47" s="279"/>
      <c r="CDB47" s="279"/>
      <c r="CDC47" s="279"/>
      <c r="CDD47" s="279"/>
      <c r="CDE47" s="279"/>
      <c r="CDF47" s="279"/>
      <c r="CDG47" s="279"/>
      <c r="CDH47" s="279"/>
      <c r="CDI47" s="279"/>
      <c r="CDJ47" s="279"/>
      <c r="CDK47" s="279"/>
      <c r="CDL47" s="279"/>
      <c r="CDM47" s="279"/>
      <c r="CDN47" s="279"/>
      <c r="CDO47" s="279"/>
      <c r="CDP47" s="279"/>
      <c r="CDQ47" s="279"/>
      <c r="CDR47" s="279"/>
      <c r="CDS47" s="279"/>
      <c r="CDT47" s="279"/>
      <c r="CDU47" s="279"/>
      <c r="CDV47" s="279"/>
      <c r="CDW47" s="279"/>
      <c r="CDX47" s="279"/>
      <c r="CDY47" s="279"/>
      <c r="CDZ47" s="279"/>
      <c r="CEA47" s="279"/>
      <c r="CEB47" s="279"/>
      <c r="CEC47" s="279"/>
      <c r="CED47" s="279"/>
      <c r="CEE47" s="279"/>
      <c r="CEF47" s="279"/>
      <c r="CEG47" s="279"/>
      <c r="CEH47" s="279"/>
      <c r="CEI47" s="279"/>
      <c r="CEJ47" s="279"/>
      <c r="CEK47" s="279"/>
      <c r="CEL47" s="279"/>
      <c r="CEM47" s="279"/>
      <c r="CEN47" s="279"/>
      <c r="CEO47" s="279"/>
      <c r="CEP47" s="279"/>
      <c r="CEQ47" s="279"/>
      <c r="CER47" s="279"/>
      <c r="CES47" s="279"/>
      <c r="CET47" s="279"/>
      <c r="CEU47" s="279"/>
      <c r="CEV47" s="279"/>
      <c r="CEW47" s="279"/>
      <c r="CEX47" s="279"/>
      <c r="CEY47" s="279"/>
      <c r="CEZ47" s="279"/>
      <c r="CFA47" s="279"/>
      <c r="CFB47" s="279"/>
      <c r="CFC47" s="279"/>
      <c r="CFD47" s="279"/>
      <c r="CFE47" s="279"/>
      <c r="CFF47" s="279"/>
      <c r="CFG47" s="279"/>
      <c r="CFH47" s="279"/>
      <c r="CFI47" s="279"/>
      <c r="CFJ47" s="279"/>
      <c r="CFK47" s="279"/>
      <c r="CFL47" s="279"/>
      <c r="CFM47" s="279"/>
      <c r="CFN47" s="279"/>
      <c r="CFO47" s="279"/>
      <c r="CFP47" s="279"/>
      <c r="CFQ47" s="279"/>
      <c r="CFR47" s="279"/>
      <c r="CFS47" s="279"/>
      <c r="CFT47" s="279"/>
      <c r="CFU47" s="279"/>
      <c r="CFV47" s="279"/>
      <c r="CFW47" s="279"/>
      <c r="CFX47" s="279"/>
      <c r="CFY47" s="279"/>
      <c r="CFZ47" s="279"/>
      <c r="CGA47" s="279"/>
      <c r="CGB47" s="279"/>
      <c r="CGC47" s="279"/>
      <c r="CGD47" s="279"/>
      <c r="CGE47" s="279"/>
      <c r="CGF47" s="279"/>
      <c r="CGG47" s="279"/>
      <c r="CGH47" s="279"/>
      <c r="CGI47" s="279"/>
      <c r="CGJ47" s="279"/>
      <c r="CGK47" s="279"/>
      <c r="CGL47" s="279"/>
      <c r="CGM47" s="279"/>
      <c r="CGN47" s="279"/>
      <c r="CGO47" s="279"/>
      <c r="CGP47" s="279"/>
      <c r="CGQ47" s="279"/>
      <c r="CGR47" s="279"/>
      <c r="CGS47" s="279"/>
      <c r="CGT47" s="279"/>
      <c r="CGU47" s="279"/>
      <c r="CGV47" s="279"/>
      <c r="CGW47" s="279"/>
      <c r="CGX47" s="279"/>
      <c r="CGY47" s="279"/>
      <c r="CGZ47" s="279"/>
      <c r="CHA47" s="279"/>
      <c r="CHB47" s="279"/>
      <c r="CHC47" s="279"/>
      <c r="CHD47" s="279"/>
      <c r="CHE47" s="279"/>
      <c r="CHF47" s="279"/>
      <c r="CHG47" s="279"/>
      <c r="CHH47" s="279"/>
      <c r="CHI47" s="279"/>
      <c r="CHJ47" s="279"/>
      <c r="CHK47" s="279"/>
      <c r="CHL47" s="279"/>
      <c r="CHM47" s="279"/>
      <c r="CHN47" s="279"/>
      <c r="CHO47" s="279"/>
      <c r="CHP47" s="279"/>
      <c r="CHQ47" s="279"/>
      <c r="CHR47" s="279"/>
      <c r="CHS47" s="279"/>
      <c r="CHT47" s="279"/>
      <c r="CHU47" s="279"/>
      <c r="CHV47" s="279"/>
      <c r="CHW47" s="279"/>
      <c r="CHX47" s="279"/>
      <c r="CHY47" s="279"/>
      <c r="CHZ47" s="279"/>
      <c r="CIA47" s="279"/>
      <c r="CIB47" s="279"/>
      <c r="CIC47" s="279"/>
      <c r="CID47" s="279"/>
      <c r="CIE47" s="279"/>
      <c r="CIF47" s="279"/>
      <c r="CIG47" s="279"/>
      <c r="CIH47" s="279"/>
      <c r="CII47" s="279"/>
      <c r="CIJ47" s="279"/>
      <c r="CIK47" s="279"/>
      <c r="CIL47" s="279"/>
      <c r="CIM47" s="279"/>
      <c r="CIN47" s="279"/>
      <c r="CIO47" s="279"/>
      <c r="CIP47" s="279"/>
      <c r="CIQ47" s="279"/>
      <c r="CIR47" s="279"/>
      <c r="CIS47" s="279"/>
      <c r="CIT47" s="279"/>
      <c r="CIU47" s="279"/>
      <c r="CIV47" s="279"/>
      <c r="CIW47" s="279"/>
      <c r="CIX47" s="279"/>
      <c r="CIY47" s="279"/>
      <c r="CIZ47" s="279"/>
      <c r="CJA47" s="279"/>
      <c r="CJB47" s="279"/>
      <c r="CJC47" s="279"/>
      <c r="CJD47" s="279"/>
      <c r="CJE47" s="279"/>
      <c r="CJF47" s="279"/>
      <c r="CJG47" s="279"/>
      <c r="CJH47" s="279"/>
      <c r="CJI47" s="279"/>
      <c r="CJJ47" s="279"/>
      <c r="CJK47" s="279"/>
      <c r="CJL47" s="279"/>
      <c r="CJM47" s="279"/>
      <c r="CJN47" s="279"/>
      <c r="CJO47" s="279"/>
      <c r="CJP47" s="279"/>
      <c r="CJQ47" s="279"/>
      <c r="CJR47" s="279"/>
      <c r="CJS47" s="279"/>
      <c r="CJT47" s="279"/>
      <c r="CJU47" s="279"/>
      <c r="CJV47" s="279"/>
      <c r="CJW47" s="279"/>
      <c r="CJX47" s="279"/>
      <c r="CJY47" s="279"/>
      <c r="CJZ47" s="279"/>
      <c r="CKA47" s="279"/>
      <c r="CKB47" s="279"/>
      <c r="CKC47" s="279"/>
      <c r="CKD47" s="279"/>
      <c r="CKE47" s="279"/>
      <c r="CKF47" s="279"/>
      <c r="CKG47" s="279"/>
      <c r="CKH47" s="279"/>
      <c r="CKI47" s="279"/>
      <c r="CKJ47" s="279"/>
      <c r="CKK47" s="279"/>
      <c r="CKL47" s="279"/>
      <c r="CKM47" s="279"/>
      <c r="CKN47" s="279"/>
      <c r="CKO47" s="279"/>
      <c r="CKP47" s="279"/>
      <c r="CKQ47" s="279"/>
      <c r="CKR47" s="279"/>
      <c r="CKS47" s="279"/>
      <c r="CKT47" s="279"/>
      <c r="CKU47" s="279"/>
      <c r="CKV47" s="279"/>
      <c r="CKW47" s="279"/>
      <c r="CKX47" s="279"/>
      <c r="CKY47" s="279"/>
      <c r="CKZ47" s="279"/>
      <c r="CLA47" s="279"/>
      <c r="CLB47" s="279"/>
      <c r="CLC47" s="279"/>
      <c r="CLD47" s="279"/>
      <c r="CLE47" s="279"/>
      <c r="CLF47" s="279"/>
      <c r="CLG47" s="279"/>
      <c r="CLH47" s="279"/>
      <c r="CLI47" s="279"/>
      <c r="CLJ47" s="279"/>
      <c r="CLK47" s="279"/>
      <c r="CLL47" s="279"/>
      <c r="CLM47" s="279"/>
      <c r="CLN47" s="279"/>
      <c r="CLO47" s="279"/>
      <c r="CLP47" s="279"/>
      <c r="CLQ47" s="279"/>
      <c r="CLR47" s="279"/>
      <c r="CLS47" s="279"/>
      <c r="CLT47" s="279"/>
      <c r="CLU47" s="279"/>
      <c r="CLV47" s="279"/>
      <c r="CLW47" s="279"/>
      <c r="CLX47" s="279"/>
      <c r="CLY47" s="279"/>
      <c r="CLZ47" s="279"/>
      <c r="CMA47" s="279"/>
      <c r="CMB47" s="279"/>
      <c r="CMC47" s="279"/>
      <c r="CMD47" s="279"/>
      <c r="CME47" s="279"/>
      <c r="CMF47" s="279"/>
      <c r="CMG47" s="279"/>
      <c r="CMH47" s="279"/>
      <c r="CMI47" s="279"/>
      <c r="CMJ47" s="279"/>
      <c r="CMK47" s="279"/>
      <c r="CML47" s="279"/>
      <c r="CMM47" s="279"/>
      <c r="CMN47" s="279"/>
      <c r="CMO47" s="279"/>
      <c r="CMP47" s="279"/>
      <c r="CMQ47" s="279"/>
      <c r="CMR47" s="279"/>
      <c r="CMS47" s="279"/>
      <c r="CMT47" s="279"/>
      <c r="CMU47" s="279"/>
      <c r="CMV47" s="279"/>
      <c r="CMW47" s="279"/>
      <c r="CMX47" s="279"/>
      <c r="CMY47" s="279"/>
      <c r="CMZ47" s="279"/>
      <c r="CNA47" s="279"/>
      <c r="CNB47" s="279"/>
      <c r="CNC47" s="279"/>
      <c r="CND47" s="279"/>
      <c r="CNE47" s="279"/>
      <c r="CNF47" s="279"/>
      <c r="CNG47" s="279"/>
      <c r="CNH47" s="279"/>
      <c r="CNI47" s="279"/>
      <c r="CNJ47" s="279"/>
      <c r="CNK47" s="279"/>
      <c r="CNL47" s="279"/>
      <c r="CNM47" s="279"/>
      <c r="CNN47" s="279"/>
      <c r="CNO47" s="279"/>
      <c r="CNP47" s="279"/>
      <c r="CNQ47" s="279"/>
      <c r="CNR47" s="279"/>
      <c r="CNS47" s="279"/>
      <c r="CNT47" s="279"/>
      <c r="CNU47" s="279"/>
      <c r="CNV47" s="279"/>
      <c r="CNW47" s="279"/>
      <c r="CNX47" s="279"/>
      <c r="CNY47" s="279"/>
      <c r="CNZ47" s="279"/>
      <c r="COA47" s="279"/>
      <c r="COB47" s="279"/>
      <c r="COC47" s="279"/>
      <c r="COD47" s="279"/>
      <c r="COE47" s="279"/>
      <c r="COF47" s="279"/>
      <c r="COG47" s="279"/>
      <c r="COH47" s="279"/>
      <c r="COI47" s="279"/>
      <c r="COJ47" s="279"/>
      <c r="COK47" s="279"/>
      <c r="COL47" s="279"/>
      <c r="COM47" s="279"/>
      <c r="CON47" s="279"/>
      <c r="COO47" s="279"/>
      <c r="COP47" s="279"/>
      <c r="COQ47" s="279"/>
      <c r="COR47" s="279"/>
      <c r="COS47" s="279"/>
      <c r="COT47" s="279"/>
      <c r="COU47" s="279"/>
      <c r="COV47" s="279"/>
      <c r="COW47" s="279"/>
      <c r="COX47" s="279"/>
      <c r="COY47" s="279"/>
      <c r="COZ47" s="279"/>
      <c r="CPA47" s="279"/>
      <c r="CPB47" s="279"/>
      <c r="CPC47" s="279"/>
      <c r="CPD47" s="279"/>
      <c r="CPE47" s="279"/>
      <c r="CPF47" s="279"/>
      <c r="CPG47" s="279"/>
      <c r="CPH47" s="279"/>
      <c r="CPI47" s="279"/>
      <c r="CPJ47" s="279"/>
      <c r="CPK47" s="279"/>
      <c r="CPL47" s="279"/>
      <c r="CPM47" s="279"/>
      <c r="CPN47" s="279"/>
      <c r="CPO47" s="279"/>
      <c r="CPP47" s="279"/>
      <c r="CPQ47" s="279"/>
      <c r="CPR47" s="279"/>
      <c r="CPS47" s="279"/>
      <c r="CPT47" s="279"/>
      <c r="CPU47" s="279"/>
      <c r="CPV47" s="279"/>
      <c r="CPW47" s="279"/>
      <c r="CPX47" s="279"/>
      <c r="CPY47" s="279"/>
      <c r="CPZ47" s="279"/>
      <c r="CQA47" s="279"/>
      <c r="CQB47" s="279"/>
      <c r="CQC47" s="279"/>
      <c r="CQD47" s="279"/>
      <c r="CQE47" s="279"/>
      <c r="CQF47" s="279"/>
      <c r="CQG47" s="279"/>
      <c r="CQH47" s="279"/>
      <c r="CQI47" s="279"/>
      <c r="CQJ47" s="279"/>
      <c r="CQK47" s="279"/>
      <c r="CQL47" s="279"/>
      <c r="CQM47" s="279"/>
      <c r="CQN47" s="279"/>
      <c r="CQO47" s="279"/>
      <c r="CQP47" s="279"/>
      <c r="CQQ47" s="279"/>
      <c r="CQR47" s="279"/>
      <c r="CQS47" s="279"/>
      <c r="CQT47" s="279"/>
      <c r="CQU47" s="279"/>
      <c r="CQV47" s="279"/>
      <c r="CQW47" s="279"/>
      <c r="CQX47" s="279"/>
      <c r="CQY47" s="279"/>
      <c r="CQZ47" s="279"/>
      <c r="CRA47" s="279"/>
      <c r="CRB47" s="279"/>
      <c r="CRC47" s="279"/>
      <c r="CRD47" s="279"/>
      <c r="CRE47" s="279"/>
      <c r="CRF47" s="279"/>
      <c r="CRG47" s="279"/>
      <c r="CRH47" s="279"/>
      <c r="CRI47" s="279"/>
      <c r="CRJ47" s="279"/>
      <c r="CRK47" s="279"/>
      <c r="CRL47" s="279"/>
      <c r="CRM47" s="279"/>
      <c r="CRN47" s="279"/>
      <c r="CRO47" s="279"/>
      <c r="CRP47" s="279"/>
      <c r="CRQ47" s="279"/>
      <c r="CRR47" s="279"/>
      <c r="CRS47" s="279"/>
      <c r="CRT47" s="279"/>
      <c r="CRU47" s="279"/>
      <c r="CRV47" s="279"/>
      <c r="CRW47" s="279"/>
      <c r="CRX47" s="279"/>
      <c r="CRY47" s="279"/>
      <c r="CRZ47" s="279"/>
      <c r="CSA47" s="279"/>
      <c r="CSB47" s="279"/>
      <c r="CSC47" s="279"/>
      <c r="CSD47" s="279"/>
      <c r="CSE47" s="279"/>
      <c r="CSF47" s="279"/>
      <c r="CSG47" s="279"/>
      <c r="CSH47" s="279"/>
      <c r="CSI47" s="279"/>
      <c r="CSJ47" s="279"/>
      <c r="CSK47" s="279"/>
      <c r="CSL47" s="279"/>
      <c r="CSM47" s="279"/>
      <c r="CSN47" s="279"/>
      <c r="CSO47" s="279"/>
      <c r="CSP47" s="279"/>
      <c r="CSQ47" s="279"/>
      <c r="CSR47" s="279"/>
      <c r="CSS47" s="279"/>
      <c r="CST47" s="279"/>
      <c r="CSU47" s="279"/>
      <c r="CSV47" s="279"/>
      <c r="CSW47" s="279"/>
      <c r="CSX47" s="279"/>
      <c r="CSY47" s="279"/>
      <c r="CSZ47" s="279"/>
      <c r="CTA47" s="279"/>
      <c r="CTB47" s="279"/>
      <c r="CTC47" s="279"/>
      <c r="CTD47" s="279"/>
      <c r="CTE47" s="279"/>
      <c r="CTF47" s="279"/>
      <c r="CTG47" s="279"/>
      <c r="CTH47" s="279"/>
      <c r="CTI47" s="279"/>
      <c r="CTJ47" s="279"/>
      <c r="CTK47" s="279"/>
      <c r="CTL47" s="279"/>
      <c r="CTM47" s="279"/>
      <c r="CTN47" s="279"/>
      <c r="CTO47" s="279"/>
      <c r="CTP47" s="279"/>
      <c r="CTQ47" s="279"/>
      <c r="CTR47" s="279"/>
      <c r="CTS47" s="279"/>
      <c r="CTT47" s="279"/>
      <c r="CTU47" s="279"/>
      <c r="CTV47" s="279"/>
      <c r="CTW47" s="279"/>
      <c r="CTX47" s="279"/>
      <c r="CTY47" s="279"/>
      <c r="CTZ47" s="279"/>
      <c r="CUA47" s="279"/>
      <c r="CUB47" s="279"/>
      <c r="CUC47" s="279"/>
      <c r="CUD47" s="279"/>
      <c r="CUE47" s="279"/>
      <c r="CUF47" s="279"/>
      <c r="CUG47" s="279"/>
      <c r="CUH47" s="279"/>
      <c r="CUI47" s="279"/>
      <c r="CUJ47" s="279"/>
      <c r="CUK47" s="279"/>
      <c r="CUL47" s="279"/>
      <c r="CUM47" s="279"/>
      <c r="CUN47" s="279"/>
      <c r="CUO47" s="279"/>
      <c r="CUP47" s="279"/>
      <c r="CUQ47" s="279"/>
      <c r="CUR47" s="279"/>
      <c r="CUS47" s="279"/>
      <c r="CUT47" s="279"/>
      <c r="CUU47" s="279"/>
      <c r="CUV47" s="279"/>
      <c r="CUW47" s="279"/>
      <c r="CUX47" s="279"/>
      <c r="CUY47" s="279"/>
      <c r="CUZ47" s="279"/>
      <c r="CVA47" s="279"/>
      <c r="CVB47" s="279"/>
      <c r="CVC47" s="279"/>
      <c r="CVD47" s="279"/>
      <c r="CVE47" s="279"/>
      <c r="CVF47" s="279"/>
      <c r="CVG47" s="279"/>
      <c r="CVH47" s="279"/>
      <c r="CVI47" s="279"/>
      <c r="CVJ47" s="279"/>
      <c r="CVK47" s="279"/>
      <c r="CVL47" s="279"/>
      <c r="CVM47" s="279"/>
      <c r="CVN47" s="279"/>
      <c r="CVO47" s="279"/>
      <c r="CVP47" s="279"/>
      <c r="CVQ47" s="279"/>
      <c r="CVR47" s="279"/>
      <c r="CVS47" s="279"/>
      <c r="CVT47" s="279"/>
      <c r="CVU47" s="279"/>
      <c r="CVV47" s="279"/>
      <c r="CVW47" s="279"/>
      <c r="CVX47" s="279"/>
      <c r="CVY47" s="279"/>
      <c r="CVZ47" s="279"/>
      <c r="CWA47" s="279"/>
      <c r="CWB47" s="279"/>
      <c r="CWC47" s="279"/>
      <c r="CWD47" s="279"/>
      <c r="CWE47" s="279"/>
      <c r="CWF47" s="279"/>
      <c r="CWG47" s="279"/>
      <c r="CWH47" s="279"/>
      <c r="CWI47" s="279"/>
      <c r="CWJ47" s="279"/>
      <c r="CWK47" s="279"/>
      <c r="CWL47" s="279"/>
      <c r="CWM47" s="279"/>
      <c r="CWN47" s="279"/>
      <c r="CWO47" s="279"/>
      <c r="CWP47" s="279"/>
      <c r="CWQ47" s="279"/>
      <c r="CWR47" s="279"/>
      <c r="CWS47" s="279"/>
      <c r="CWT47" s="279"/>
      <c r="CWU47" s="279"/>
      <c r="CWV47" s="279"/>
      <c r="CWW47" s="279"/>
      <c r="CWX47" s="279"/>
      <c r="CWY47" s="279"/>
      <c r="CWZ47" s="279"/>
      <c r="CXA47" s="279"/>
      <c r="CXB47" s="279"/>
      <c r="CXC47" s="279"/>
      <c r="CXD47" s="279"/>
      <c r="CXE47" s="279"/>
      <c r="CXF47" s="279"/>
      <c r="CXG47" s="279"/>
      <c r="CXH47" s="279"/>
      <c r="CXI47" s="279"/>
      <c r="CXJ47" s="279"/>
      <c r="CXK47" s="279"/>
      <c r="CXL47" s="279"/>
      <c r="CXM47" s="279"/>
      <c r="CXN47" s="279"/>
      <c r="CXO47" s="279"/>
      <c r="CXP47" s="279"/>
      <c r="CXQ47" s="279"/>
      <c r="CXR47" s="279"/>
      <c r="CXS47" s="279"/>
      <c r="CXT47" s="279"/>
      <c r="CXU47" s="279"/>
      <c r="CXV47" s="279"/>
      <c r="CXW47" s="279"/>
      <c r="CXX47" s="279"/>
      <c r="CXY47" s="279"/>
      <c r="CXZ47" s="279"/>
      <c r="CYA47" s="279"/>
      <c r="CYB47" s="279"/>
      <c r="CYC47" s="279"/>
      <c r="CYD47" s="279"/>
      <c r="CYE47" s="279"/>
      <c r="CYF47" s="279"/>
      <c r="CYG47" s="279"/>
      <c r="CYH47" s="279"/>
      <c r="CYI47" s="279"/>
      <c r="CYJ47" s="279"/>
      <c r="CYK47" s="279"/>
      <c r="CYL47" s="279"/>
      <c r="CYM47" s="279"/>
      <c r="CYN47" s="279"/>
      <c r="CYO47" s="279"/>
      <c r="CYP47" s="279"/>
      <c r="CYQ47" s="279"/>
      <c r="CYR47" s="279"/>
      <c r="CYS47" s="279"/>
      <c r="CYT47" s="279"/>
      <c r="CYU47" s="279"/>
      <c r="CYV47" s="279"/>
      <c r="CYW47" s="279"/>
      <c r="CYX47" s="279"/>
      <c r="CYY47" s="279"/>
      <c r="CYZ47" s="279"/>
      <c r="CZA47" s="279"/>
      <c r="CZB47" s="279"/>
      <c r="CZC47" s="279"/>
      <c r="CZD47" s="279"/>
      <c r="CZE47" s="279"/>
      <c r="CZF47" s="279"/>
      <c r="CZG47" s="279"/>
      <c r="CZH47" s="279"/>
      <c r="CZI47" s="279"/>
      <c r="CZJ47" s="279"/>
      <c r="CZK47" s="279"/>
      <c r="CZL47" s="279"/>
      <c r="CZM47" s="279"/>
      <c r="CZN47" s="279"/>
      <c r="CZO47" s="279"/>
      <c r="CZP47" s="279"/>
      <c r="CZQ47" s="279"/>
      <c r="CZR47" s="279"/>
      <c r="CZS47" s="279"/>
      <c r="CZT47" s="279"/>
      <c r="CZU47" s="279"/>
      <c r="CZV47" s="279"/>
      <c r="CZW47" s="279"/>
      <c r="CZX47" s="279"/>
      <c r="CZY47" s="279"/>
      <c r="CZZ47" s="279"/>
      <c r="DAA47" s="279"/>
      <c r="DAB47" s="279"/>
      <c r="DAC47" s="279"/>
      <c r="DAD47" s="279"/>
      <c r="DAE47" s="279"/>
      <c r="DAF47" s="279"/>
      <c r="DAG47" s="279"/>
      <c r="DAH47" s="279"/>
      <c r="DAI47" s="279"/>
      <c r="DAJ47" s="279"/>
      <c r="DAK47" s="279"/>
      <c r="DAL47" s="279"/>
      <c r="DAM47" s="279"/>
      <c r="DAN47" s="279"/>
      <c r="DAO47" s="279"/>
      <c r="DAP47" s="279"/>
      <c r="DAQ47" s="279"/>
      <c r="DAR47" s="279"/>
      <c r="DAS47" s="279"/>
      <c r="DAT47" s="279"/>
      <c r="DAU47" s="279"/>
      <c r="DAV47" s="279"/>
      <c r="DAW47" s="279"/>
      <c r="DAX47" s="279"/>
      <c r="DAY47" s="279"/>
      <c r="DAZ47" s="279"/>
      <c r="DBA47" s="279"/>
      <c r="DBB47" s="279"/>
      <c r="DBC47" s="279"/>
      <c r="DBD47" s="279"/>
      <c r="DBE47" s="279"/>
      <c r="DBF47" s="279"/>
      <c r="DBG47" s="279"/>
      <c r="DBH47" s="279"/>
      <c r="DBI47" s="279"/>
      <c r="DBJ47" s="279"/>
      <c r="DBK47" s="279"/>
      <c r="DBL47" s="279"/>
      <c r="DBM47" s="279"/>
      <c r="DBN47" s="279"/>
      <c r="DBO47" s="279"/>
      <c r="DBP47" s="279"/>
      <c r="DBQ47" s="279"/>
      <c r="DBR47" s="279"/>
      <c r="DBS47" s="279"/>
      <c r="DBT47" s="279"/>
      <c r="DBU47" s="279"/>
      <c r="DBV47" s="279"/>
      <c r="DBW47" s="279"/>
      <c r="DBX47" s="279"/>
      <c r="DBY47" s="279"/>
      <c r="DBZ47" s="279"/>
      <c r="DCA47" s="279"/>
      <c r="DCB47" s="279"/>
      <c r="DCC47" s="279"/>
      <c r="DCD47" s="279"/>
      <c r="DCE47" s="279"/>
      <c r="DCF47" s="279"/>
      <c r="DCG47" s="279"/>
      <c r="DCH47" s="279"/>
      <c r="DCI47" s="279"/>
      <c r="DCJ47" s="279"/>
      <c r="DCK47" s="279"/>
      <c r="DCL47" s="279"/>
      <c r="DCM47" s="279"/>
      <c r="DCN47" s="279"/>
      <c r="DCO47" s="279"/>
      <c r="DCP47" s="279"/>
      <c r="DCQ47" s="279"/>
      <c r="DCR47" s="279"/>
      <c r="DCS47" s="279"/>
      <c r="DCT47" s="279"/>
      <c r="DCU47" s="279"/>
      <c r="DCV47" s="279"/>
      <c r="DCW47" s="279"/>
      <c r="DCX47" s="279"/>
      <c r="DCY47" s="279"/>
      <c r="DCZ47" s="279"/>
      <c r="DDA47" s="279"/>
      <c r="DDB47" s="279"/>
      <c r="DDC47" s="279"/>
      <c r="DDD47" s="279"/>
      <c r="DDE47" s="279"/>
      <c r="DDF47" s="279"/>
      <c r="DDG47" s="279"/>
      <c r="DDH47" s="279"/>
      <c r="DDI47" s="279"/>
      <c r="DDJ47" s="279"/>
      <c r="DDK47" s="279"/>
      <c r="DDL47" s="279"/>
      <c r="DDM47" s="279"/>
      <c r="DDN47" s="279"/>
      <c r="DDO47" s="279"/>
      <c r="DDP47" s="279"/>
      <c r="DDQ47" s="279"/>
      <c r="DDR47" s="279"/>
      <c r="DDS47" s="279"/>
      <c r="DDT47" s="279"/>
      <c r="DDU47" s="279"/>
      <c r="DDV47" s="279"/>
      <c r="DDW47" s="279"/>
      <c r="DDX47" s="279"/>
      <c r="DDY47" s="279"/>
      <c r="DDZ47" s="279"/>
      <c r="DEA47" s="279"/>
      <c r="DEB47" s="279"/>
      <c r="DEC47" s="279"/>
      <c r="DED47" s="279"/>
      <c r="DEE47" s="279"/>
      <c r="DEF47" s="279"/>
      <c r="DEG47" s="279"/>
      <c r="DEH47" s="279"/>
      <c r="DEI47" s="279"/>
      <c r="DEJ47" s="279"/>
      <c r="DEK47" s="279"/>
      <c r="DEL47" s="279"/>
      <c r="DEM47" s="279"/>
      <c r="DEN47" s="279"/>
      <c r="DEO47" s="279"/>
      <c r="DEP47" s="279"/>
      <c r="DEQ47" s="279"/>
      <c r="DER47" s="279"/>
      <c r="DES47" s="279"/>
      <c r="DET47" s="279"/>
      <c r="DEU47" s="279"/>
      <c r="DEV47" s="279"/>
      <c r="DEW47" s="279"/>
      <c r="DEX47" s="279"/>
      <c r="DEY47" s="279"/>
      <c r="DEZ47" s="279"/>
      <c r="DFA47" s="279"/>
      <c r="DFB47" s="279"/>
      <c r="DFC47" s="279"/>
      <c r="DFD47" s="279"/>
      <c r="DFE47" s="279"/>
      <c r="DFF47" s="279"/>
      <c r="DFG47" s="279"/>
      <c r="DFH47" s="279"/>
      <c r="DFI47" s="279"/>
      <c r="DFJ47" s="279"/>
      <c r="DFK47" s="279"/>
      <c r="DFL47" s="279"/>
      <c r="DFM47" s="279"/>
      <c r="DFN47" s="279"/>
      <c r="DFO47" s="279"/>
      <c r="DFP47" s="279"/>
      <c r="DFQ47" s="279"/>
      <c r="DFR47" s="279"/>
      <c r="DFS47" s="279"/>
      <c r="DFT47" s="279"/>
      <c r="DFU47" s="279"/>
      <c r="DFV47" s="279"/>
      <c r="DFW47" s="279"/>
      <c r="DFX47" s="279"/>
      <c r="DFY47" s="279"/>
      <c r="DFZ47" s="279"/>
      <c r="DGA47" s="279"/>
      <c r="DGB47" s="279"/>
      <c r="DGC47" s="279"/>
      <c r="DGD47" s="279"/>
      <c r="DGE47" s="279"/>
      <c r="DGF47" s="279"/>
      <c r="DGG47" s="279"/>
      <c r="DGH47" s="279"/>
      <c r="DGI47" s="279"/>
      <c r="DGJ47" s="279"/>
      <c r="DGK47" s="279"/>
      <c r="DGL47" s="279"/>
      <c r="DGM47" s="279"/>
      <c r="DGN47" s="279"/>
      <c r="DGO47" s="279"/>
      <c r="DGP47" s="279"/>
      <c r="DGQ47" s="279"/>
      <c r="DGR47" s="279"/>
      <c r="DGS47" s="279"/>
      <c r="DGT47" s="279"/>
      <c r="DGU47" s="279"/>
      <c r="DGV47" s="279"/>
      <c r="DGW47" s="279"/>
      <c r="DGX47" s="279"/>
      <c r="DGY47" s="279"/>
      <c r="DGZ47" s="279"/>
      <c r="DHA47" s="279"/>
      <c r="DHB47" s="279"/>
      <c r="DHC47" s="279"/>
      <c r="DHD47" s="279"/>
      <c r="DHE47" s="279"/>
      <c r="DHF47" s="279"/>
      <c r="DHG47" s="279"/>
      <c r="DHH47" s="279"/>
      <c r="DHI47" s="279"/>
      <c r="DHJ47" s="279"/>
      <c r="DHK47" s="279"/>
      <c r="DHL47" s="279"/>
      <c r="DHM47" s="279"/>
      <c r="DHN47" s="279"/>
      <c r="DHO47" s="279"/>
      <c r="DHP47" s="279"/>
      <c r="DHQ47" s="279"/>
      <c r="DHR47" s="279"/>
      <c r="DHS47" s="279"/>
      <c r="DHT47" s="279"/>
      <c r="DHU47" s="279"/>
      <c r="DHV47" s="279"/>
      <c r="DHW47" s="279"/>
      <c r="DHX47" s="279"/>
      <c r="DHY47" s="279"/>
      <c r="DHZ47" s="279"/>
      <c r="DIA47" s="279"/>
      <c r="DIB47" s="279"/>
      <c r="DIC47" s="279"/>
      <c r="DID47" s="279"/>
      <c r="DIE47" s="279"/>
      <c r="DIF47" s="279"/>
      <c r="DIG47" s="279"/>
      <c r="DIH47" s="279"/>
      <c r="DII47" s="279"/>
      <c r="DIJ47" s="279"/>
      <c r="DIK47" s="279"/>
      <c r="DIL47" s="279"/>
      <c r="DIM47" s="279"/>
      <c r="DIN47" s="279"/>
      <c r="DIO47" s="279"/>
      <c r="DIP47" s="279"/>
      <c r="DIQ47" s="279"/>
      <c r="DIR47" s="279"/>
      <c r="DIS47" s="279"/>
      <c r="DIT47" s="279"/>
      <c r="DIU47" s="279"/>
      <c r="DIV47" s="279"/>
      <c r="DIW47" s="279"/>
      <c r="DIX47" s="279"/>
      <c r="DIY47" s="279"/>
      <c r="DIZ47" s="279"/>
      <c r="DJA47" s="279"/>
      <c r="DJB47" s="279"/>
      <c r="DJC47" s="279"/>
      <c r="DJD47" s="279"/>
      <c r="DJE47" s="279"/>
      <c r="DJF47" s="279"/>
      <c r="DJG47" s="279"/>
      <c r="DJH47" s="279"/>
      <c r="DJI47" s="279"/>
      <c r="DJJ47" s="279"/>
      <c r="DJK47" s="279"/>
      <c r="DJL47" s="279"/>
      <c r="DJM47" s="279"/>
      <c r="DJN47" s="279"/>
      <c r="DJO47" s="279"/>
      <c r="DJP47" s="279"/>
      <c r="DJQ47" s="279"/>
      <c r="DJR47" s="279"/>
      <c r="DJS47" s="279"/>
      <c r="DJT47" s="279"/>
      <c r="DJU47" s="279"/>
      <c r="DJV47" s="279"/>
      <c r="DJW47" s="279"/>
      <c r="DJX47" s="279"/>
      <c r="DJY47" s="279"/>
      <c r="DJZ47" s="279"/>
      <c r="DKA47" s="279"/>
      <c r="DKB47" s="279"/>
      <c r="DKC47" s="279"/>
      <c r="DKD47" s="279"/>
      <c r="DKE47" s="279"/>
      <c r="DKF47" s="279"/>
      <c r="DKG47" s="279"/>
      <c r="DKH47" s="279"/>
      <c r="DKI47" s="279"/>
      <c r="DKJ47" s="279"/>
      <c r="DKK47" s="279"/>
      <c r="DKL47" s="279"/>
      <c r="DKM47" s="279"/>
      <c r="DKN47" s="279"/>
      <c r="DKO47" s="279"/>
      <c r="DKP47" s="279"/>
      <c r="DKQ47" s="279"/>
      <c r="DKR47" s="279"/>
      <c r="DKS47" s="279"/>
      <c r="DKT47" s="279"/>
      <c r="DKU47" s="279"/>
      <c r="DKV47" s="279"/>
      <c r="DKW47" s="279"/>
      <c r="DKX47" s="279"/>
      <c r="DKY47" s="279"/>
      <c r="DKZ47" s="279"/>
      <c r="DLA47" s="279"/>
      <c r="DLB47" s="279"/>
      <c r="DLC47" s="279"/>
      <c r="DLD47" s="279"/>
      <c r="DLE47" s="279"/>
      <c r="DLF47" s="279"/>
      <c r="DLG47" s="279"/>
      <c r="DLH47" s="279"/>
      <c r="DLI47" s="279"/>
      <c r="DLJ47" s="279"/>
      <c r="DLK47" s="279"/>
      <c r="DLL47" s="279"/>
      <c r="DLM47" s="279"/>
      <c r="DLN47" s="279"/>
      <c r="DLO47" s="279"/>
      <c r="DLP47" s="279"/>
      <c r="DLQ47" s="279"/>
      <c r="DLR47" s="279"/>
      <c r="DLS47" s="279"/>
      <c r="DLT47" s="279"/>
      <c r="DLU47" s="279"/>
      <c r="DLV47" s="279"/>
      <c r="DLW47" s="279"/>
      <c r="DLX47" s="279"/>
      <c r="DLY47" s="279"/>
      <c r="DLZ47" s="279"/>
      <c r="DMA47" s="279"/>
      <c r="DMB47" s="279"/>
      <c r="DMC47" s="279"/>
      <c r="DMD47" s="279"/>
      <c r="DME47" s="279"/>
      <c r="DMF47" s="279"/>
      <c r="DMG47" s="279"/>
      <c r="DMH47" s="279"/>
      <c r="DMI47" s="279"/>
      <c r="DMJ47" s="279"/>
      <c r="DMK47" s="279"/>
      <c r="DML47" s="279"/>
      <c r="DMM47" s="279"/>
      <c r="DMN47" s="279"/>
      <c r="DMO47" s="279"/>
      <c r="DMP47" s="279"/>
      <c r="DMQ47" s="279"/>
      <c r="DMR47" s="279"/>
      <c r="DMS47" s="279"/>
      <c r="DMT47" s="279"/>
      <c r="DMU47" s="279"/>
      <c r="DMV47" s="279"/>
      <c r="DMW47" s="279"/>
      <c r="DMX47" s="279"/>
      <c r="DMY47" s="279"/>
      <c r="DMZ47" s="279"/>
      <c r="DNA47" s="279"/>
      <c r="DNB47" s="279"/>
      <c r="DNC47" s="279"/>
      <c r="DND47" s="279"/>
      <c r="DNE47" s="279"/>
      <c r="DNF47" s="279"/>
      <c r="DNG47" s="279"/>
      <c r="DNH47" s="279"/>
      <c r="DNI47" s="279"/>
      <c r="DNJ47" s="279"/>
      <c r="DNK47" s="279"/>
      <c r="DNL47" s="279"/>
      <c r="DNM47" s="279"/>
      <c r="DNN47" s="279"/>
      <c r="DNO47" s="279"/>
      <c r="DNP47" s="279"/>
      <c r="DNQ47" s="279"/>
      <c r="DNR47" s="279"/>
      <c r="DNS47" s="279"/>
      <c r="DNT47" s="279"/>
      <c r="DNU47" s="279"/>
      <c r="DNV47" s="279"/>
      <c r="DNW47" s="279"/>
      <c r="DNX47" s="279"/>
      <c r="DNY47" s="279"/>
      <c r="DNZ47" s="279"/>
      <c r="DOA47" s="279"/>
      <c r="DOB47" s="279"/>
      <c r="DOC47" s="279"/>
      <c r="DOD47" s="279"/>
      <c r="DOE47" s="279"/>
      <c r="DOF47" s="279"/>
      <c r="DOG47" s="279"/>
      <c r="DOH47" s="279"/>
      <c r="DOI47" s="279"/>
      <c r="DOJ47" s="279"/>
      <c r="DOK47" s="279"/>
      <c r="DOL47" s="279"/>
      <c r="DOM47" s="279"/>
      <c r="DON47" s="279"/>
      <c r="DOO47" s="279"/>
      <c r="DOP47" s="279"/>
      <c r="DOQ47" s="279"/>
      <c r="DOR47" s="279"/>
      <c r="DOS47" s="279"/>
      <c r="DOT47" s="279"/>
      <c r="DOU47" s="279"/>
      <c r="DOV47" s="279"/>
      <c r="DOW47" s="279"/>
      <c r="DOX47" s="279"/>
      <c r="DOY47" s="279"/>
      <c r="DOZ47" s="279"/>
      <c r="DPA47" s="279"/>
      <c r="DPB47" s="279"/>
      <c r="DPC47" s="279"/>
      <c r="DPD47" s="279"/>
      <c r="DPE47" s="279"/>
      <c r="DPF47" s="279"/>
      <c r="DPG47" s="279"/>
      <c r="DPH47" s="279"/>
      <c r="DPI47" s="279"/>
      <c r="DPJ47" s="279"/>
      <c r="DPK47" s="279"/>
      <c r="DPL47" s="279"/>
      <c r="DPM47" s="279"/>
      <c r="DPN47" s="279"/>
      <c r="DPO47" s="279"/>
      <c r="DPP47" s="279"/>
      <c r="DPQ47" s="279"/>
      <c r="DPR47" s="279"/>
      <c r="DPS47" s="279"/>
      <c r="DPT47" s="279"/>
      <c r="DPU47" s="279"/>
      <c r="DPV47" s="279"/>
      <c r="DPW47" s="279"/>
      <c r="DPX47" s="279"/>
      <c r="DPY47" s="279"/>
      <c r="DPZ47" s="279"/>
      <c r="DQA47" s="279"/>
      <c r="DQB47" s="279"/>
      <c r="DQC47" s="279"/>
      <c r="DQD47" s="279"/>
      <c r="DQE47" s="279"/>
      <c r="DQF47" s="279"/>
      <c r="DQG47" s="279"/>
      <c r="DQH47" s="279"/>
      <c r="DQI47" s="279"/>
      <c r="DQJ47" s="279"/>
      <c r="DQK47" s="279"/>
      <c r="DQL47" s="279"/>
      <c r="DQM47" s="279"/>
      <c r="DQN47" s="279"/>
      <c r="DQO47" s="279"/>
      <c r="DQP47" s="279"/>
      <c r="DQQ47" s="279"/>
      <c r="DQR47" s="279"/>
      <c r="DQS47" s="279"/>
      <c r="DQT47" s="279"/>
      <c r="DQU47" s="279"/>
      <c r="DQV47" s="279"/>
      <c r="DQW47" s="279"/>
      <c r="DQX47" s="279"/>
      <c r="DQY47" s="279"/>
      <c r="DQZ47" s="279"/>
      <c r="DRA47" s="279"/>
      <c r="DRB47" s="279"/>
      <c r="DRC47" s="279"/>
      <c r="DRD47" s="279"/>
      <c r="DRE47" s="279"/>
      <c r="DRF47" s="279"/>
      <c r="DRG47" s="279"/>
      <c r="DRH47" s="279"/>
      <c r="DRI47" s="279"/>
      <c r="DRJ47" s="279"/>
      <c r="DRK47" s="279"/>
      <c r="DRL47" s="279"/>
      <c r="DRM47" s="279"/>
      <c r="DRN47" s="279"/>
      <c r="DRO47" s="279"/>
      <c r="DRP47" s="279"/>
      <c r="DRQ47" s="279"/>
      <c r="DRR47" s="279"/>
      <c r="DRS47" s="279"/>
      <c r="DRT47" s="279"/>
      <c r="DRU47" s="279"/>
      <c r="DRV47" s="279"/>
      <c r="DRW47" s="279"/>
      <c r="DRX47" s="279"/>
      <c r="DRY47" s="279"/>
      <c r="DRZ47" s="279"/>
      <c r="DSA47" s="279"/>
      <c r="DSB47" s="279"/>
      <c r="DSC47" s="279"/>
      <c r="DSD47" s="279"/>
      <c r="DSE47" s="279"/>
      <c r="DSF47" s="279"/>
      <c r="DSG47" s="279"/>
      <c r="DSH47" s="279"/>
      <c r="DSI47" s="279"/>
      <c r="DSJ47" s="279"/>
      <c r="DSK47" s="279"/>
      <c r="DSL47" s="279"/>
      <c r="DSM47" s="279"/>
      <c r="DSN47" s="279"/>
      <c r="DSO47" s="279"/>
      <c r="DSP47" s="279"/>
      <c r="DSQ47" s="279"/>
      <c r="DSR47" s="279"/>
      <c r="DSS47" s="279"/>
      <c r="DST47" s="279"/>
      <c r="DSU47" s="279"/>
      <c r="DSV47" s="279"/>
      <c r="DSW47" s="279"/>
      <c r="DSX47" s="279"/>
      <c r="DSY47" s="279"/>
      <c r="DSZ47" s="279"/>
      <c r="DTA47" s="279"/>
      <c r="DTB47" s="279"/>
      <c r="DTC47" s="279"/>
      <c r="DTD47" s="279"/>
      <c r="DTE47" s="279"/>
      <c r="DTF47" s="279"/>
      <c r="DTG47" s="279"/>
      <c r="DTH47" s="279"/>
      <c r="DTI47" s="279"/>
      <c r="DTJ47" s="279"/>
      <c r="DTK47" s="279"/>
      <c r="DTL47" s="279"/>
      <c r="DTM47" s="279"/>
      <c r="DTN47" s="279"/>
      <c r="DTO47" s="279"/>
      <c r="DTP47" s="279"/>
      <c r="DTQ47" s="279"/>
      <c r="DTR47" s="279"/>
      <c r="DTS47" s="279"/>
      <c r="DTT47" s="279"/>
      <c r="DTU47" s="279"/>
      <c r="DTV47" s="279"/>
      <c r="DTW47" s="279"/>
      <c r="DTX47" s="279"/>
      <c r="DTY47" s="279"/>
      <c r="DTZ47" s="279"/>
      <c r="DUA47" s="279"/>
      <c r="DUB47" s="279"/>
      <c r="DUC47" s="279"/>
      <c r="DUD47" s="279"/>
      <c r="DUE47" s="279"/>
      <c r="DUF47" s="279"/>
      <c r="DUG47" s="279"/>
      <c r="DUH47" s="279"/>
      <c r="DUI47" s="279"/>
      <c r="DUJ47" s="279"/>
      <c r="DUK47" s="279"/>
      <c r="DUL47" s="279"/>
      <c r="DUM47" s="279"/>
      <c r="DUN47" s="279"/>
      <c r="DUO47" s="279"/>
      <c r="DUP47" s="279"/>
      <c r="DUQ47" s="279"/>
      <c r="DUR47" s="279"/>
      <c r="DUS47" s="279"/>
      <c r="DUT47" s="279"/>
      <c r="DUU47" s="279"/>
      <c r="DUV47" s="279"/>
      <c r="DUW47" s="279"/>
      <c r="DUX47" s="279"/>
      <c r="DUY47" s="279"/>
      <c r="DUZ47" s="279"/>
      <c r="DVA47" s="279"/>
      <c r="DVB47" s="279"/>
      <c r="DVC47" s="279"/>
      <c r="DVD47" s="279"/>
      <c r="DVE47" s="279"/>
      <c r="DVF47" s="279"/>
      <c r="DVG47" s="279"/>
      <c r="DVH47" s="279"/>
      <c r="DVI47" s="279"/>
      <c r="DVJ47" s="279"/>
      <c r="DVK47" s="279"/>
      <c r="DVL47" s="279"/>
      <c r="DVM47" s="279"/>
      <c r="DVN47" s="279"/>
      <c r="DVO47" s="279"/>
      <c r="DVP47" s="279"/>
      <c r="DVQ47" s="279"/>
      <c r="DVR47" s="279"/>
      <c r="DVS47" s="279"/>
      <c r="DVT47" s="279"/>
      <c r="DVU47" s="279"/>
      <c r="DVV47" s="279"/>
      <c r="DVW47" s="279"/>
      <c r="DVX47" s="279"/>
      <c r="DVY47" s="279"/>
      <c r="DVZ47" s="279"/>
      <c r="DWA47" s="279"/>
      <c r="DWB47" s="279"/>
      <c r="DWC47" s="279"/>
      <c r="DWD47" s="279"/>
      <c r="DWE47" s="279"/>
      <c r="DWF47" s="279"/>
      <c r="DWG47" s="279"/>
      <c r="DWH47" s="279"/>
      <c r="DWI47" s="279"/>
      <c r="DWJ47" s="279"/>
      <c r="DWK47" s="279"/>
      <c r="DWL47" s="279"/>
      <c r="DWM47" s="279"/>
      <c r="DWN47" s="279"/>
      <c r="DWO47" s="279"/>
      <c r="DWP47" s="279"/>
      <c r="DWQ47" s="279"/>
      <c r="DWR47" s="279"/>
      <c r="DWS47" s="279"/>
      <c r="DWT47" s="279"/>
      <c r="DWU47" s="279"/>
      <c r="DWV47" s="279"/>
      <c r="DWW47" s="279"/>
      <c r="DWX47" s="279"/>
      <c r="DWY47" s="279"/>
      <c r="DWZ47" s="279"/>
      <c r="DXA47" s="279"/>
      <c r="DXB47" s="279"/>
      <c r="DXC47" s="279"/>
      <c r="DXD47" s="279"/>
      <c r="DXE47" s="279"/>
      <c r="DXF47" s="279"/>
      <c r="DXG47" s="279"/>
      <c r="DXH47" s="279"/>
      <c r="DXI47" s="279"/>
      <c r="DXJ47" s="279"/>
      <c r="DXK47" s="279"/>
      <c r="DXL47" s="279"/>
      <c r="DXM47" s="279"/>
      <c r="DXN47" s="279"/>
      <c r="DXO47" s="279"/>
      <c r="DXP47" s="279"/>
      <c r="DXQ47" s="279"/>
      <c r="DXR47" s="279"/>
      <c r="DXS47" s="279"/>
      <c r="DXT47" s="279"/>
      <c r="DXU47" s="279"/>
      <c r="DXV47" s="279"/>
      <c r="DXW47" s="279"/>
      <c r="DXX47" s="279"/>
      <c r="DXY47" s="279"/>
      <c r="DXZ47" s="279"/>
      <c r="DYA47" s="279"/>
      <c r="DYB47" s="279"/>
      <c r="DYC47" s="279"/>
      <c r="DYD47" s="279"/>
      <c r="DYE47" s="279"/>
      <c r="DYF47" s="279"/>
      <c r="DYG47" s="279"/>
      <c r="DYH47" s="279"/>
      <c r="DYI47" s="279"/>
      <c r="DYJ47" s="279"/>
      <c r="DYK47" s="279"/>
      <c r="DYL47" s="279"/>
      <c r="DYM47" s="279"/>
      <c r="DYN47" s="279"/>
      <c r="DYO47" s="279"/>
      <c r="DYP47" s="279"/>
      <c r="DYQ47" s="279"/>
      <c r="DYR47" s="279"/>
      <c r="DYS47" s="279"/>
      <c r="DYT47" s="279"/>
      <c r="DYU47" s="279"/>
      <c r="DYV47" s="279"/>
      <c r="DYW47" s="279"/>
      <c r="DYX47" s="279"/>
      <c r="DYY47" s="279"/>
      <c r="DYZ47" s="279"/>
      <c r="DZA47" s="279"/>
      <c r="DZB47" s="279"/>
      <c r="DZC47" s="279"/>
      <c r="DZD47" s="279"/>
      <c r="DZE47" s="279"/>
      <c r="DZF47" s="279"/>
      <c r="DZG47" s="279"/>
      <c r="DZH47" s="279"/>
      <c r="DZI47" s="279"/>
      <c r="DZJ47" s="279"/>
      <c r="DZK47" s="279"/>
      <c r="DZL47" s="279"/>
      <c r="DZM47" s="279"/>
      <c r="DZN47" s="279"/>
      <c r="DZO47" s="279"/>
      <c r="DZP47" s="279"/>
      <c r="DZQ47" s="279"/>
      <c r="DZR47" s="279"/>
      <c r="DZS47" s="279"/>
      <c r="DZT47" s="279"/>
      <c r="DZU47" s="279"/>
      <c r="DZV47" s="279"/>
      <c r="DZW47" s="279"/>
      <c r="DZX47" s="279"/>
      <c r="DZY47" s="279"/>
      <c r="DZZ47" s="279"/>
      <c r="EAA47" s="279"/>
      <c r="EAB47" s="279"/>
      <c r="EAC47" s="279"/>
      <c r="EAD47" s="279"/>
      <c r="EAE47" s="279"/>
      <c r="EAF47" s="279"/>
      <c r="EAG47" s="279"/>
      <c r="EAH47" s="279"/>
      <c r="EAI47" s="279"/>
      <c r="EAJ47" s="279"/>
      <c r="EAK47" s="279"/>
      <c r="EAL47" s="279"/>
      <c r="EAM47" s="279"/>
      <c r="EAN47" s="279"/>
      <c r="EAO47" s="279"/>
      <c r="EAP47" s="279"/>
      <c r="EAQ47" s="279"/>
      <c r="EAR47" s="279"/>
      <c r="EAS47" s="279"/>
      <c r="EAT47" s="279"/>
      <c r="EAU47" s="279"/>
      <c r="EAV47" s="279"/>
      <c r="EAW47" s="279"/>
      <c r="EAX47" s="279"/>
      <c r="EAY47" s="279"/>
      <c r="EAZ47" s="279"/>
      <c r="EBA47" s="279"/>
      <c r="EBB47" s="279"/>
      <c r="EBC47" s="279"/>
      <c r="EBD47" s="279"/>
      <c r="EBE47" s="279"/>
      <c r="EBF47" s="279"/>
      <c r="EBG47" s="279"/>
      <c r="EBH47" s="279"/>
      <c r="EBI47" s="279"/>
      <c r="EBJ47" s="279"/>
      <c r="EBK47" s="279"/>
      <c r="EBL47" s="279"/>
      <c r="EBM47" s="279"/>
      <c r="EBN47" s="279"/>
      <c r="EBO47" s="279"/>
      <c r="EBP47" s="279"/>
      <c r="EBQ47" s="279"/>
      <c r="EBR47" s="279"/>
      <c r="EBS47" s="279"/>
      <c r="EBT47" s="279"/>
      <c r="EBU47" s="279"/>
      <c r="EBV47" s="279"/>
      <c r="EBW47" s="279"/>
      <c r="EBX47" s="279"/>
      <c r="EBY47" s="279"/>
      <c r="EBZ47" s="279"/>
      <c r="ECA47" s="279"/>
      <c r="ECB47" s="279"/>
      <c r="ECC47" s="279"/>
      <c r="ECD47" s="279"/>
      <c r="ECE47" s="279"/>
      <c r="ECF47" s="279"/>
      <c r="ECG47" s="279"/>
      <c r="ECH47" s="279"/>
      <c r="ECI47" s="279"/>
      <c r="ECJ47" s="279"/>
      <c r="ECK47" s="279"/>
      <c r="ECL47" s="279"/>
      <c r="ECM47" s="279"/>
      <c r="ECN47" s="279"/>
      <c r="ECO47" s="279"/>
      <c r="ECP47" s="279"/>
      <c r="ECQ47" s="279"/>
      <c r="ECR47" s="279"/>
      <c r="ECS47" s="279"/>
      <c r="ECT47" s="279"/>
      <c r="ECU47" s="279"/>
      <c r="ECV47" s="279"/>
      <c r="ECW47" s="279"/>
      <c r="ECX47" s="279"/>
      <c r="ECY47" s="279"/>
      <c r="ECZ47" s="279"/>
      <c r="EDA47" s="279"/>
      <c r="EDB47" s="279"/>
      <c r="EDC47" s="279"/>
      <c r="EDD47" s="279"/>
      <c r="EDE47" s="279"/>
      <c r="EDF47" s="279"/>
      <c r="EDG47" s="279"/>
      <c r="EDH47" s="279"/>
      <c r="EDI47" s="279"/>
      <c r="EDJ47" s="279"/>
      <c r="EDK47" s="279"/>
      <c r="EDL47" s="279"/>
      <c r="EDM47" s="279"/>
      <c r="EDN47" s="279"/>
      <c r="EDO47" s="279"/>
      <c r="EDP47" s="279"/>
      <c r="EDQ47" s="279"/>
      <c r="EDR47" s="279"/>
      <c r="EDS47" s="279"/>
      <c r="EDT47" s="279"/>
      <c r="EDU47" s="279"/>
      <c r="EDV47" s="279"/>
      <c r="EDW47" s="279"/>
      <c r="EDX47" s="279"/>
      <c r="EDY47" s="279"/>
      <c r="EDZ47" s="279"/>
      <c r="EEA47" s="279"/>
      <c r="EEB47" s="279"/>
      <c r="EEC47" s="279"/>
      <c r="EED47" s="279"/>
      <c r="EEE47" s="279"/>
      <c r="EEF47" s="279"/>
      <c r="EEG47" s="279"/>
      <c r="EEH47" s="279"/>
      <c r="EEI47" s="279"/>
      <c r="EEJ47" s="279"/>
      <c r="EEK47" s="279"/>
      <c r="EEL47" s="279"/>
      <c r="EEM47" s="279"/>
      <c r="EEN47" s="279"/>
      <c r="EEO47" s="279"/>
      <c r="EEP47" s="279"/>
      <c r="EEQ47" s="279"/>
      <c r="EER47" s="279"/>
      <c r="EES47" s="279"/>
      <c r="EET47" s="279"/>
      <c r="EEU47" s="279"/>
      <c r="EEV47" s="279"/>
      <c r="EEW47" s="279"/>
      <c r="EEX47" s="279"/>
      <c r="EEY47" s="279"/>
      <c r="EEZ47" s="279"/>
      <c r="EFA47" s="279"/>
      <c r="EFB47" s="279"/>
      <c r="EFC47" s="279"/>
      <c r="EFD47" s="279"/>
      <c r="EFE47" s="279"/>
      <c r="EFF47" s="279"/>
      <c r="EFG47" s="279"/>
      <c r="EFH47" s="279"/>
      <c r="EFI47" s="279"/>
      <c r="EFJ47" s="279"/>
      <c r="EFK47" s="279"/>
      <c r="EFL47" s="279"/>
      <c r="EFM47" s="279"/>
      <c r="EFN47" s="279"/>
      <c r="EFO47" s="279"/>
      <c r="EFP47" s="279"/>
      <c r="EFQ47" s="279"/>
      <c r="EFR47" s="279"/>
      <c r="EFS47" s="279"/>
      <c r="EFT47" s="279"/>
      <c r="EFU47" s="279"/>
      <c r="EFV47" s="279"/>
      <c r="EFW47" s="279"/>
      <c r="EFX47" s="279"/>
      <c r="EFY47" s="279"/>
      <c r="EFZ47" s="279"/>
      <c r="EGA47" s="279"/>
      <c r="EGB47" s="279"/>
      <c r="EGC47" s="279"/>
      <c r="EGD47" s="279"/>
      <c r="EGE47" s="279"/>
      <c r="EGF47" s="279"/>
      <c r="EGG47" s="279"/>
      <c r="EGH47" s="279"/>
      <c r="EGI47" s="279"/>
      <c r="EGJ47" s="279"/>
      <c r="EGK47" s="279"/>
      <c r="EGL47" s="279"/>
      <c r="EGM47" s="279"/>
      <c r="EGN47" s="279"/>
      <c r="EGO47" s="279"/>
      <c r="EGP47" s="279"/>
      <c r="EGQ47" s="279"/>
      <c r="EGR47" s="279"/>
      <c r="EGS47" s="279"/>
      <c r="EGT47" s="279"/>
      <c r="EGU47" s="279"/>
      <c r="EGV47" s="279"/>
      <c r="EGW47" s="279"/>
      <c r="EGX47" s="279"/>
      <c r="EGY47" s="279"/>
      <c r="EGZ47" s="279"/>
      <c r="EHA47" s="279"/>
      <c r="EHB47" s="279"/>
      <c r="EHC47" s="279"/>
      <c r="EHD47" s="279"/>
      <c r="EHE47" s="279"/>
      <c r="EHF47" s="279"/>
      <c r="EHG47" s="279"/>
      <c r="EHH47" s="279"/>
      <c r="EHI47" s="279"/>
      <c r="EHJ47" s="279"/>
      <c r="EHK47" s="279"/>
      <c r="EHL47" s="279"/>
      <c r="EHM47" s="279"/>
      <c r="EHN47" s="279"/>
      <c r="EHO47" s="279"/>
      <c r="EHP47" s="279"/>
      <c r="EHQ47" s="279"/>
      <c r="EHR47" s="279"/>
      <c r="EHS47" s="279"/>
      <c r="EHT47" s="279"/>
      <c r="EHU47" s="279"/>
      <c r="EHV47" s="279"/>
      <c r="EHW47" s="279"/>
      <c r="EHX47" s="279"/>
      <c r="EHY47" s="279"/>
      <c r="EHZ47" s="279"/>
      <c r="EIA47" s="279"/>
      <c r="EIB47" s="279"/>
      <c r="EIC47" s="279"/>
      <c r="EID47" s="279"/>
      <c r="EIE47" s="279"/>
      <c r="EIF47" s="279"/>
      <c r="EIG47" s="279"/>
      <c r="EIH47" s="279"/>
      <c r="EII47" s="279"/>
      <c r="EIJ47" s="279"/>
      <c r="EIK47" s="279"/>
      <c r="EIL47" s="279"/>
      <c r="EIM47" s="279"/>
      <c r="EIN47" s="279"/>
      <c r="EIO47" s="279"/>
      <c r="EIP47" s="279"/>
      <c r="EIQ47" s="279"/>
      <c r="EIR47" s="279"/>
      <c r="EIS47" s="279"/>
      <c r="EIT47" s="279"/>
      <c r="EIU47" s="279"/>
      <c r="EIV47" s="279"/>
      <c r="EIW47" s="279"/>
      <c r="EIX47" s="279"/>
      <c r="EIY47" s="279"/>
      <c r="EIZ47" s="279"/>
      <c r="EJA47" s="279"/>
      <c r="EJB47" s="279"/>
      <c r="EJC47" s="279"/>
      <c r="EJD47" s="279"/>
      <c r="EJE47" s="279"/>
      <c r="EJF47" s="279"/>
      <c r="EJG47" s="279"/>
      <c r="EJH47" s="279"/>
      <c r="EJI47" s="279"/>
      <c r="EJJ47" s="279"/>
      <c r="EJK47" s="279"/>
      <c r="EJL47" s="279"/>
      <c r="EJM47" s="279"/>
      <c r="EJN47" s="279"/>
      <c r="EJO47" s="279"/>
      <c r="EJP47" s="279"/>
      <c r="EJQ47" s="279"/>
      <c r="EJR47" s="279"/>
      <c r="EJS47" s="279"/>
      <c r="EJT47" s="279"/>
      <c r="EJU47" s="279"/>
      <c r="EJV47" s="279"/>
      <c r="EJW47" s="279"/>
      <c r="EJX47" s="279"/>
      <c r="EJY47" s="279"/>
      <c r="EJZ47" s="279"/>
      <c r="EKA47" s="279"/>
      <c r="EKB47" s="279"/>
      <c r="EKC47" s="279"/>
      <c r="EKD47" s="279"/>
      <c r="EKE47" s="279"/>
      <c r="EKF47" s="279"/>
      <c r="EKG47" s="279"/>
      <c r="EKH47" s="279"/>
      <c r="EKI47" s="279"/>
      <c r="EKJ47" s="279"/>
      <c r="EKK47" s="279"/>
      <c r="EKL47" s="279"/>
      <c r="EKM47" s="279"/>
      <c r="EKN47" s="279"/>
      <c r="EKO47" s="279"/>
      <c r="EKP47" s="279"/>
      <c r="EKQ47" s="279"/>
      <c r="EKR47" s="279"/>
      <c r="EKS47" s="279"/>
      <c r="EKT47" s="279"/>
      <c r="EKU47" s="279"/>
      <c r="EKV47" s="279"/>
      <c r="EKW47" s="279"/>
      <c r="EKX47" s="279"/>
      <c r="EKY47" s="279"/>
      <c r="EKZ47" s="279"/>
      <c r="ELA47" s="279"/>
      <c r="ELB47" s="279"/>
      <c r="ELC47" s="279"/>
      <c r="ELD47" s="279"/>
      <c r="ELE47" s="279"/>
      <c r="ELF47" s="279"/>
      <c r="ELG47" s="279"/>
      <c r="ELH47" s="279"/>
      <c r="ELI47" s="279"/>
      <c r="ELJ47" s="279"/>
      <c r="ELK47" s="279"/>
      <c r="ELL47" s="279"/>
      <c r="ELM47" s="279"/>
      <c r="ELN47" s="279"/>
      <c r="ELO47" s="279"/>
      <c r="ELP47" s="279"/>
      <c r="ELQ47" s="279"/>
      <c r="ELR47" s="279"/>
      <c r="ELS47" s="279"/>
      <c r="ELT47" s="279"/>
      <c r="ELU47" s="279"/>
      <c r="ELV47" s="279"/>
      <c r="ELW47" s="279"/>
      <c r="ELX47" s="279"/>
      <c r="ELY47" s="279"/>
      <c r="ELZ47" s="279"/>
      <c r="EMA47" s="279"/>
      <c r="EMB47" s="279"/>
      <c r="EMC47" s="279"/>
      <c r="EMD47" s="279"/>
      <c r="EME47" s="279"/>
      <c r="EMF47" s="279"/>
      <c r="EMG47" s="279"/>
      <c r="EMH47" s="279"/>
      <c r="EMI47" s="279"/>
      <c r="EMJ47" s="279"/>
      <c r="EMK47" s="279"/>
      <c r="EML47" s="279"/>
      <c r="EMM47" s="279"/>
      <c r="EMN47" s="279"/>
      <c r="EMO47" s="279"/>
      <c r="EMP47" s="279"/>
      <c r="EMQ47" s="279"/>
      <c r="EMR47" s="279"/>
      <c r="EMS47" s="279"/>
      <c r="EMT47" s="279"/>
      <c r="EMU47" s="279"/>
      <c r="EMV47" s="279"/>
      <c r="EMW47" s="279"/>
      <c r="EMX47" s="279"/>
      <c r="EMY47" s="279"/>
      <c r="EMZ47" s="279"/>
      <c r="ENA47" s="279"/>
      <c r="ENB47" s="279"/>
      <c r="ENC47" s="279"/>
      <c r="END47" s="279"/>
      <c r="ENE47" s="279"/>
      <c r="ENF47" s="279"/>
      <c r="ENG47" s="279"/>
      <c r="ENH47" s="279"/>
      <c r="ENI47" s="279"/>
      <c r="ENJ47" s="279"/>
      <c r="ENK47" s="279"/>
      <c r="ENL47" s="279"/>
      <c r="ENM47" s="279"/>
      <c r="ENN47" s="279"/>
      <c r="ENO47" s="279"/>
      <c r="ENP47" s="279"/>
      <c r="ENQ47" s="279"/>
      <c r="ENR47" s="279"/>
      <c r="ENS47" s="279"/>
      <c r="ENT47" s="279"/>
      <c r="ENU47" s="279"/>
      <c r="ENV47" s="279"/>
      <c r="ENW47" s="279"/>
      <c r="ENX47" s="279"/>
      <c r="ENY47" s="279"/>
      <c r="ENZ47" s="279"/>
      <c r="EOA47" s="279"/>
      <c r="EOB47" s="279"/>
      <c r="EOC47" s="279"/>
      <c r="EOD47" s="279"/>
      <c r="EOE47" s="279"/>
      <c r="EOF47" s="279"/>
      <c r="EOG47" s="279"/>
      <c r="EOH47" s="279"/>
      <c r="EOI47" s="279"/>
      <c r="EOJ47" s="279"/>
      <c r="EOK47" s="279"/>
      <c r="EOL47" s="279"/>
      <c r="EOM47" s="279"/>
      <c r="EON47" s="279"/>
      <c r="EOO47" s="279"/>
      <c r="EOP47" s="279"/>
      <c r="EOQ47" s="279"/>
      <c r="EOR47" s="279"/>
      <c r="EOS47" s="279"/>
      <c r="EOT47" s="279"/>
      <c r="EOU47" s="279"/>
      <c r="EOV47" s="279"/>
      <c r="EOW47" s="279"/>
      <c r="EOX47" s="279"/>
      <c r="EOY47" s="279"/>
      <c r="EOZ47" s="279"/>
      <c r="EPA47" s="279"/>
      <c r="EPB47" s="279"/>
      <c r="EPC47" s="279"/>
      <c r="EPD47" s="279"/>
      <c r="EPE47" s="279"/>
      <c r="EPF47" s="279"/>
      <c r="EPG47" s="279"/>
      <c r="EPH47" s="279"/>
      <c r="EPI47" s="279"/>
      <c r="EPJ47" s="279"/>
      <c r="EPK47" s="279"/>
      <c r="EPL47" s="279"/>
      <c r="EPM47" s="279"/>
      <c r="EPN47" s="279"/>
      <c r="EPO47" s="279"/>
      <c r="EPP47" s="279"/>
      <c r="EPQ47" s="279"/>
      <c r="EPR47" s="279"/>
      <c r="EPS47" s="279"/>
      <c r="EPT47" s="279"/>
      <c r="EPU47" s="279"/>
      <c r="EPV47" s="279"/>
      <c r="EPW47" s="279"/>
      <c r="EPX47" s="279"/>
      <c r="EPY47" s="279"/>
      <c r="EPZ47" s="279"/>
      <c r="EQA47" s="279"/>
      <c r="EQB47" s="279"/>
      <c r="EQC47" s="279"/>
      <c r="EQD47" s="279"/>
      <c r="EQE47" s="279"/>
      <c r="EQF47" s="279"/>
      <c r="EQG47" s="279"/>
      <c r="EQH47" s="279"/>
      <c r="EQI47" s="279"/>
      <c r="EQJ47" s="279"/>
      <c r="EQK47" s="279"/>
      <c r="EQL47" s="279"/>
      <c r="EQM47" s="279"/>
      <c r="EQN47" s="279"/>
      <c r="EQO47" s="279"/>
      <c r="EQP47" s="279"/>
      <c r="EQQ47" s="279"/>
      <c r="EQR47" s="279"/>
      <c r="EQS47" s="279"/>
      <c r="EQT47" s="279"/>
      <c r="EQU47" s="279"/>
      <c r="EQV47" s="279"/>
      <c r="EQW47" s="279"/>
      <c r="EQX47" s="279"/>
      <c r="EQY47" s="279"/>
      <c r="EQZ47" s="279"/>
      <c r="ERA47" s="279"/>
      <c r="ERB47" s="279"/>
      <c r="ERC47" s="279"/>
      <c r="ERD47" s="279"/>
      <c r="ERE47" s="279"/>
      <c r="ERF47" s="279"/>
      <c r="ERG47" s="279"/>
      <c r="ERH47" s="279"/>
      <c r="ERI47" s="279"/>
      <c r="ERJ47" s="279"/>
      <c r="ERK47" s="279"/>
      <c r="ERL47" s="279"/>
      <c r="ERM47" s="279"/>
      <c r="ERN47" s="279"/>
      <c r="ERO47" s="279"/>
      <c r="ERP47" s="279"/>
      <c r="ERQ47" s="279"/>
      <c r="ERR47" s="279"/>
      <c r="ERS47" s="279"/>
      <c r="ERT47" s="279"/>
      <c r="ERU47" s="279"/>
      <c r="ERV47" s="279"/>
      <c r="ERW47" s="279"/>
      <c r="ERX47" s="279"/>
      <c r="ERY47" s="279"/>
      <c r="ERZ47" s="279"/>
      <c r="ESA47" s="279"/>
      <c r="ESB47" s="279"/>
      <c r="ESC47" s="279"/>
      <c r="ESD47" s="279"/>
      <c r="ESE47" s="279"/>
      <c r="ESF47" s="279"/>
      <c r="ESG47" s="279"/>
      <c r="ESH47" s="279"/>
      <c r="ESI47" s="279"/>
      <c r="ESJ47" s="279"/>
      <c r="ESK47" s="279"/>
      <c r="ESL47" s="279"/>
      <c r="ESM47" s="279"/>
      <c r="ESN47" s="279"/>
      <c r="ESO47" s="279"/>
      <c r="ESP47" s="279"/>
      <c r="ESQ47" s="279"/>
      <c r="ESR47" s="279"/>
      <c r="ESS47" s="279"/>
      <c r="EST47" s="279"/>
      <c r="ESU47" s="279"/>
      <c r="ESV47" s="279"/>
      <c r="ESW47" s="279"/>
      <c r="ESX47" s="279"/>
      <c r="ESY47" s="279"/>
      <c r="ESZ47" s="279"/>
      <c r="ETA47" s="279"/>
      <c r="ETB47" s="279"/>
      <c r="ETC47" s="279"/>
      <c r="ETD47" s="279"/>
      <c r="ETE47" s="279"/>
      <c r="ETF47" s="279"/>
      <c r="ETG47" s="279"/>
      <c r="ETH47" s="279"/>
      <c r="ETI47" s="279"/>
      <c r="ETJ47" s="279"/>
      <c r="ETK47" s="279"/>
      <c r="ETL47" s="279"/>
      <c r="ETM47" s="279"/>
      <c r="ETN47" s="279"/>
      <c r="ETO47" s="279"/>
      <c r="ETP47" s="279"/>
      <c r="ETQ47" s="279"/>
      <c r="ETR47" s="279"/>
      <c r="ETS47" s="279"/>
      <c r="ETT47" s="279"/>
      <c r="ETU47" s="279"/>
      <c r="ETV47" s="279"/>
      <c r="ETW47" s="279"/>
      <c r="ETX47" s="279"/>
      <c r="ETY47" s="279"/>
      <c r="ETZ47" s="279"/>
      <c r="EUA47" s="279"/>
      <c r="EUB47" s="279"/>
      <c r="EUC47" s="279"/>
      <c r="EUD47" s="279"/>
      <c r="EUE47" s="279"/>
      <c r="EUF47" s="279"/>
      <c r="EUG47" s="279"/>
      <c r="EUH47" s="279"/>
      <c r="EUI47" s="279"/>
      <c r="EUJ47" s="279"/>
      <c r="EUK47" s="279"/>
      <c r="EUL47" s="279"/>
      <c r="EUM47" s="279"/>
      <c r="EUN47" s="279"/>
      <c r="EUO47" s="279"/>
      <c r="EUP47" s="279"/>
      <c r="EUQ47" s="279"/>
      <c r="EUR47" s="279"/>
      <c r="EUS47" s="279"/>
      <c r="EUT47" s="279"/>
      <c r="EUU47" s="279"/>
      <c r="EUV47" s="279"/>
      <c r="EUW47" s="279"/>
      <c r="EUX47" s="279"/>
      <c r="EUY47" s="279"/>
      <c r="EUZ47" s="279"/>
      <c r="EVA47" s="279"/>
      <c r="EVB47" s="279"/>
      <c r="EVC47" s="279"/>
      <c r="EVD47" s="279"/>
      <c r="EVE47" s="279"/>
      <c r="EVF47" s="279"/>
      <c r="EVG47" s="279"/>
      <c r="EVH47" s="279"/>
      <c r="EVI47" s="279"/>
      <c r="EVJ47" s="279"/>
      <c r="EVK47" s="279"/>
      <c r="EVL47" s="279"/>
      <c r="EVM47" s="279"/>
      <c r="EVN47" s="279"/>
      <c r="EVO47" s="279"/>
      <c r="EVP47" s="279"/>
      <c r="EVQ47" s="279"/>
      <c r="EVR47" s="279"/>
      <c r="EVS47" s="279"/>
      <c r="EVT47" s="279"/>
      <c r="EVU47" s="279"/>
      <c r="EVV47" s="279"/>
      <c r="EVW47" s="279"/>
      <c r="EVX47" s="279"/>
      <c r="EVY47" s="279"/>
      <c r="EVZ47" s="279"/>
      <c r="EWA47" s="279"/>
      <c r="EWB47" s="279"/>
      <c r="EWC47" s="279"/>
      <c r="EWD47" s="279"/>
      <c r="EWE47" s="279"/>
      <c r="EWF47" s="279"/>
      <c r="EWG47" s="279"/>
      <c r="EWH47" s="279"/>
      <c r="EWI47" s="279"/>
      <c r="EWJ47" s="279"/>
      <c r="EWK47" s="279"/>
      <c r="EWL47" s="279"/>
      <c r="EWM47" s="279"/>
      <c r="EWN47" s="279"/>
      <c r="EWO47" s="279"/>
      <c r="EWP47" s="279"/>
      <c r="EWQ47" s="279"/>
      <c r="EWR47" s="279"/>
      <c r="EWS47" s="279"/>
      <c r="EWT47" s="279"/>
      <c r="EWU47" s="279"/>
      <c r="EWV47" s="279"/>
      <c r="EWW47" s="279"/>
      <c r="EWX47" s="279"/>
      <c r="EWY47" s="279"/>
      <c r="EWZ47" s="279"/>
      <c r="EXA47" s="279"/>
      <c r="EXB47" s="279"/>
      <c r="EXC47" s="279"/>
      <c r="EXD47" s="279"/>
      <c r="EXE47" s="279"/>
      <c r="EXF47" s="279"/>
      <c r="EXG47" s="279"/>
      <c r="EXH47" s="279"/>
      <c r="EXI47" s="279"/>
      <c r="EXJ47" s="279"/>
      <c r="EXK47" s="279"/>
      <c r="EXL47" s="279"/>
      <c r="EXM47" s="279"/>
      <c r="EXN47" s="279"/>
      <c r="EXO47" s="279"/>
      <c r="EXP47" s="279"/>
      <c r="EXQ47" s="279"/>
      <c r="EXR47" s="279"/>
      <c r="EXS47" s="279"/>
      <c r="EXT47" s="279"/>
      <c r="EXU47" s="279"/>
      <c r="EXV47" s="279"/>
      <c r="EXW47" s="279"/>
      <c r="EXX47" s="279"/>
      <c r="EXY47" s="279"/>
      <c r="EXZ47" s="279"/>
      <c r="EYA47" s="279"/>
      <c r="EYB47" s="279"/>
      <c r="EYC47" s="279"/>
      <c r="EYD47" s="279"/>
      <c r="EYE47" s="279"/>
      <c r="EYF47" s="279"/>
      <c r="EYG47" s="279"/>
      <c r="EYH47" s="279"/>
      <c r="EYI47" s="279"/>
      <c r="EYJ47" s="279"/>
      <c r="EYK47" s="279"/>
      <c r="EYL47" s="279"/>
      <c r="EYM47" s="279"/>
      <c r="EYN47" s="279"/>
      <c r="EYO47" s="279"/>
      <c r="EYP47" s="279"/>
      <c r="EYQ47" s="279"/>
      <c r="EYR47" s="279"/>
      <c r="EYS47" s="279"/>
      <c r="EYT47" s="279"/>
      <c r="EYU47" s="279"/>
      <c r="EYV47" s="279"/>
      <c r="EYW47" s="279"/>
      <c r="EYX47" s="279"/>
      <c r="EYY47" s="279"/>
      <c r="EYZ47" s="279"/>
      <c r="EZA47" s="279"/>
      <c r="EZB47" s="279"/>
      <c r="EZC47" s="279"/>
      <c r="EZD47" s="279"/>
      <c r="EZE47" s="279"/>
      <c r="EZF47" s="279"/>
      <c r="EZG47" s="279"/>
      <c r="EZH47" s="279"/>
      <c r="EZI47" s="279"/>
      <c r="EZJ47" s="279"/>
      <c r="EZK47" s="279"/>
      <c r="EZL47" s="279"/>
      <c r="EZM47" s="279"/>
      <c r="EZN47" s="279"/>
      <c r="EZO47" s="279"/>
      <c r="EZP47" s="279"/>
      <c r="EZQ47" s="279"/>
      <c r="EZR47" s="279"/>
      <c r="EZS47" s="279"/>
      <c r="EZT47" s="279"/>
      <c r="EZU47" s="279"/>
      <c r="EZV47" s="279"/>
      <c r="EZW47" s="279"/>
      <c r="EZX47" s="279"/>
      <c r="EZY47" s="279"/>
      <c r="EZZ47" s="279"/>
      <c r="FAA47" s="279"/>
      <c r="FAB47" s="279"/>
      <c r="FAC47" s="279"/>
      <c r="FAD47" s="279"/>
      <c r="FAE47" s="279"/>
      <c r="FAF47" s="279"/>
      <c r="FAG47" s="279"/>
      <c r="FAH47" s="279"/>
      <c r="FAI47" s="279"/>
      <c r="FAJ47" s="279"/>
      <c r="FAK47" s="279"/>
      <c r="FAL47" s="279"/>
      <c r="FAM47" s="279"/>
      <c r="FAN47" s="279"/>
      <c r="FAO47" s="279"/>
      <c r="FAP47" s="279"/>
      <c r="FAQ47" s="279"/>
      <c r="FAR47" s="279"/>
      <c r="FAS47" s="279"/>
      <c r="FAT47" s="279"/>
      <c r="FAU47" s="279"/>
      <c r="FAV47" s="279"/>
      <c r="FAW47" s="279"/>
      <c r="FAX47" s="279"/>
      <c r="FAY47" s="279"/>
      <c r="FAZ47" s="279"/>
      <c r="FBA47" s="279"/>
      <c r="FBB47" s="279"/>
      <c r="FBC47" s="279"/>
      <c r="FBD47" s="279"/>
      <c r="FBE47" s="279"/>
      <c r="FBF47" s="279"/>
      <c r="FBG47" s="279"/>
      <c r="FBH47" s="279"/>
      <c r="FBI47" s="279"/>
      <c r="FBJ47" s="279"/>
      <c r="FBK47" s="279"/>
      <c r="FBL47" s="279"/>
      <c r="FBM47" s="279"/>
      <c r="FBN47" s="279"/>
      <c r="FBO47" s="279"/>
      <c r="FBP47" s="279"/>
      <c r="FBQ47" s="279"/>
      <c r="FBR47" s="279"/>
      <c r="FBS47" s="279"/>
      <c r="FBT47" s="279"/>
      <c r="FBU47" s="279"/>
      <c r="FBV47" s="279"/>
      <c r="FBW47" s="279"/>
      <c r="FBX47" s="279"/>
      <c r="FBY47" s="279"/>
      <c r="FBZ47" s="279"/>
      <c r="FCA47" s="279"/>
      <c r="FCB47" s="279"/>
      <c r="FCC47" s="279"/>
      <c r="FCD47" s="279"/>
      <c r="FCE47" s="279"/>
      <c r="FCF47" s="279"/>
      <c r="FCG47" s="279"/>
      <c r="FCH47" s="279"/>
      <c r="FCI47" s="279"/>
      <c r="FCJ47" s="279"/>
      <c r="FCK47" s="279"/>
      <c r="FCL47" s="279"/>
      <c r="FCM47" s="279"/>
      <c r="FCN47" s="279"/>
      <c r="FCO47" s="279"/>
      <c r="FCP47" s="279"/>
      <c r="FCQ47" s="279"/>
      <c r="FCR47" s="279"/>
      <c r="FCS47" s="279"/>
      <c r="FCT47" s="279"/>
      <c r="FCU47" s="279"/>
      <c r="FCV47" s="279"/>
      <c r="FCW47" s="279"/>
      <c r="FCX47" s="279"/>
      <c r="FCY47" s="279"/>
      <c r="FCZ47" s="279"/>
      <c r="FDA47" s="279"/>
      <c r="FDB47" s="279"/>
      <c r="FDC47" s="279"/>
      <c r="FDD47" s="279"/>
      <c r="FDE47" s="279"/>
      <c r="FDF47" s="279"/>
      <c r="FDG47" s="279"/>
      <c r="FDH47" s="279"/>
      <c r="FDI47" s="279"/>
      <c r="FDJ47" s="279"/>
      <c r="FDK47" s="279"/>
      <c r="FDL47" s="279"/>
      <c r="FDM47" s="279"/>
      <c r="FDN47" s="279"/>
      <c r="FDO47" s="279"/>
      <c r="FDP47" s="279"/>
      <c r="FDQ47" s="279"/>
      <c r="FDR47" s="279"/>
      <c r="FDS47" s="279"/>
      <c r="FDT47" s="279"/>
      <c r="FDU47" s="279"/>
      <c r="FDV47" s="279"/>
      <c r="FDW47" s="279"/>
      <c r="FDX47" s="279"/>
      <c r="FDY47" s="279"/>
      <c r="FDZ47" s="279"/>
      <c r="FEA47" s="279"/>
      <c r="FEB47" s="279"/>
      <c r="FEC47" s="279"/>
      <c r="FED47" s="279"/>
      <c r="FEE47" s="279"/>
      <c r="FEF47" s="279"/>
      <c r="FEG47" s="279"/>
      <c r="FEH47" s="279"/>
      <c r="FEI47" s="279"/>
      <c r="FEJ47" s="279"/>
      <c r="FEK47" s="279"/>
      <c r="FEL47" s="279"/>
      <c r="FEM47" s="279"/>
      <c r="FEN47" s="279"/>
      <c r="FEO47" s="279"/>
      <c r="FEP47" s="279"/>
      <c r="FEQ47" s="279"/>
      <c r="FER47" s="279"/>
      <c r="FES47" s="279"/>
      <c r="FET47" s="279"/>
      <c r="FEU47" s="279"/>
      <c r="FEV47" s="279"/>
      <c r="FEW47" s="279"/>
      <c r="FEX47" s="279"/>
      <c r="FEY47" s="279"/>
      <c r="FEZ47" s="279"/>
      <c r="FFA47" s="279"/>
      <c r="FFB47" s="279"/>
      <c r="FFC47" s="279"/>
      <c r="FFD47" s="279"/>
      <c r="FFE47" s="279"/>
      <c r="FFF47" s="279"/>
      <c r="FFG47" s="279"/>
      <c r="FFH47" s="279"/>
      <c r="FFI47" s="279"/>
      <c r="FFJ47" s="279"/>
      <c r="FFK47" s="279"/>
      <c r="FFL47" s="279"/>
      <c r="FFM47" s="279"/>
      <c r="FFN47" s="279"/>
      <c r="FFO47" s="279"/>
      <c r="FFP47" s="279"/>
      <c r="FFQ47" s="279"/>
      <c r="FFR47" s="279"/>
      <c r="FFS47" s="279"/>
      <c r="FFT47" s="279"/>
      <c r="FFU47" s="279"/>
      <c r="FFV47" s="279"/>
      <c r="FFW47" s="279"/>
      <c r="FFX47" s="279"/>
      <c r="FFY47" s="279"/>
      <c r="FFZ47" s="279"/>
      <c r="FGA47" s="279"/>
      <c r="FGB47" s="279"/>
      <c r="FGC47" s="279"/>
      <c r="FGD47" s="279"/>
      <c r="FGE47" s="279"/>
      <c r="FGF47" s="279"/>
      <c r="FGG47" s="279"/>
      <c r="FGH47" s="279"/>
      <c r="FGI47" s="279"/>
      <c r="FGJ47" s="279"/>
      <c r="FGK47" s="279"/>
      <c r="FGL47" s="279"/>
      <c r="FGM47" s="279"/>
      <c r="FGN47" s="279"/>
      <c r="FGO47" s="279"/>
      <c r="FGP47" s="279"/>
      <c r="FGQ47" s="279"/>
      <c r="FGR47" s="279"/>
      <c r="FGS47" s="279"/>
      <c r="FGT47" s="279"/>
      <c r="FGU47" s="279"/>
      <c r="FGV47" s="279"/>
      <c r="FGW47" s="279"/>
      <c r="FGX47" s="279"/>
      <c r="FGY47" s="279"/>
      <c r="FGZ47" s="279"/>
      <c r="FHA47" s="279"/>
      <c r="FHB47" s="279"/>
      <c r="FHC47" s="279"/>
      <c r="FHD47" s="279"/>
      <c r="FHE47" s="279"/>
      <c r="FHF47" s="279"/>
      <c r="FHG47" s="279"/>
      <c r="FHH47" s="279"/>
      <c r="FHI47" s="279"/>
      <c r="FHJ47" s="279"/>
      <c r="FHK47" s="279"/>
      <c r="FHL47" s="279"/>
      <c r="FHM47" s="279"/>
      <c r="FHN47" s="279"/>
      <c r="FHO47" s="279"/>
      <c r="FHP47" s="279"/>
      <c r="FHQ47" s="279"/>
      <c r="FHR47" s="279"/>
      <c r="FHS47" s="279"/>
      <c r="FHT47" s="279"/>
      <c r="FHU47" s="279"/>
      <c r="FHV47" s="279"/>
      <c r="FHW47" s="279"/>
      <c r="FHX47" s="279"/>
      <c r="FHY47" s="279"/>
      <c r="FHZ47" s="279"/>
      <c r="FIA47" s="279"/>
      <c r="FIB47" s="279"/>
      <c r="FIC47" s="279"/>
      <c r="FID47" s="279"/>
      <c r="FIE47" s="279"/>
      <c r="FIF47" s="279"/>
      <c r="FIG47" s="279"/>
      <c r="FIH47" s="279"/>
      <c r="FII47" s="279"/>
      <c r="FIJ47" s="279"/>
      <c r="FIK47" s="279"/>
      <c r="FIL47" s="279"/>
      <c r="FIM47" s="279"/>
      <c r="FIN47" s="279"/>
      <c r="FIO47" s="279"/>
      <c r="FIP47" s="279"/>
      <c r="FIQ47" s="279"/>
      <c r="FIR47" s="279"/>
      <c r="FIS47" s="279"/>
      <c r="FIT47" s="279"/>
      <c r="FIU47" s="279"/>
      <c r="FIV47" s="279"/>
      <c r="FIW47" s="279"/>
      <c r="FIX47" s="279"/>
      <c r="FIY47" s="279"/>
      <c r="FIZ47" s="279"/>
      <c r="FJA47" s="279"/>
      <c r="FJB47" s="279"/>
      <c r="FJC47" s="279"/>
      <c r="FJD47" s="279"/>
      <c r="FJE47" s="279"/>
      <c r="FJF47" s="279"/>
      <c r="FJG47" s="279"/>
      <c r="FJH47" s="279"/>
      <c r="FJI47" s="279"/>
      <c r="FJJ47" s="279"/>
      <c r="FJK47" s="279"/>
      <c r="FJL47" s="279"/>
      <c r="FJM47" s="279"/>
      <c r="FJN47" s="279"/>
      <c r="FJO47" s="279"/>
      <c r="FJP47" s="279"/>
      <c r="FJQ47" s="279"/>
      <c r="FJR47" s="279"/>
      <c r="FJS47" s="279"/>
      <c r="FJT47" s="279"/>
      <c r="FJU47" s="279"/>
      <c r="FJV47" s="279"/>
      <c r="FJW47" s="279"/>
      <c r="FJX47" s="279"/>
      <c r="FJY47" s="279"/>
      <c r="FJZ47" s="279"/>
      <c r="FKA47" s="279"/>
      <c r="FKB47" s="279"/>
      <c r="FKC47" s="279"/>
      <c r="FKD47" s="279"/>
      <c r="FKE47" s="279"/>
      <c r="FKF47" s="279"/>
      <c r="FKG47" s="279"/>
      <c r="FKH47" s="279"/>
      <c r="FKI47" s="279"/>
      <c r="FKJ47" s="279"/>
      <c r="FKK47" s="279"/>
      <c r="FKL47" s="279"/>
      <c r="FKM47" s="279"/>
      <c r="FKN47" s="279"/>
      <c r="FKO47" s="279"/>
      <c r="FKP47" s="279"/>
      <c r="FKQ47" s="279"/>
      <c r="FKR47" s="279"/>
      <c r="FKS47" s="279"/>
      <c r="FKT47" s="279"/>
      <c r="FKU47" s="279"/>
      <c r="FKV47" s="279"/>
      <c r="FKW47" s="279"/>
      <c r="FKX47" s="279"/>
      <c r="FKY47" s="279"/>
      <c r="FKZ47" s="279"/>
      <c r="FLA47" s="279"/>
      <c r="FLB47" s="279"/>
      <c r="FLC47" s="279"/>
      <c r="FLD47" s="279"/>
      <c r="FLE47" s="279"/>
      <c r="FLF47" s="279"/>
      <c r="FLG47" s="279"/>
      <c r="FLH47" s="279"/>
      <c r="FLI47" s="279"/>
      <c r="FLJ47" s="279"/>
      <c r="FLK47" s="279"/>
      <c r="FLL47" s="279"/>
      <c r="FLM47" s="279"/>
      <c r="FLN47" s="279"/>
      <c r="FLO47" s="279"/>
      <c r="FLP47" s="279"/>
      <c r="FLQ47" s="279"/>
      <c r="FLR47" s="279"/>
      <c r="FLS47" s="279"/>
      <c r="FLT47" s="279"/>
      <c r="FLU47" s="279"/>
      <c r="FLV47" s="279"/>
      <c r="FLW47" s="279"/>
      <c r="FLX47" s="279"/>
      <c r="FLY47" s="279"/>
      <c r="FLZ47" s="279"/>
      <c r="FMA47" s="279"/>
      <c r="FMB47" s="279"/>
      <c r="FMC47" s="279"/>
      <c r="FMD47" s="279"/>
      <c r="FME47" s="279"/>
      <c r="FMF47" s="279"/>
      <c r="FMG47" s="279"/>
      <c r="FMH47" s="279"/>
      <c r="FMI47" s="279"/>
      <c r="FMJ47" s="279"/>
      <c r="FMK47" s="279"/>
      <c r="FML47" s="279"/>
      <c r="FMM47" s="279"/>
      <c r="FMN47" s="279"/>
      <c r="FMO47" s="279"/>
      <c r="FMP47" s="279"/>
      <c r="FMQ47" s="279"/>
      <c r="FMR47" s="279"/>
      <c r="FMS47" s="279"/>
      <c r="FMT47" s="279"/>
      <c r="FMU47" s="279"/>
      <c r="FMV47" s="279"/>
      <c r="FMW47" s="279"/>
      <c r="FMX47" s="279"/>
      <c r="FMY47" s="279"/>
      <c r="FMZ47" s="279"/>
      <c r="FNA47" s="279"/>
      <c r="FNB47" s="279"/>
      <c r="FNC47" s="279"/>
      <c r="FND47" s="279"/>
      <c r="FNE47" s="279"/>
      <c r="FNF47" s="279"/>
      <c r="FNG47" s="279"/>
      <c r="FNH47" s="279"/>
      <c r="FNI47" s="279"/>
      <c r="FNJ47" s="279"/>
      <c r="FNK47" s="279"/>
      <c r="FNL47" s="279"/>
      <c r="FNM47" s="279"/>
      <c r="FNN47" s="279"/>
      <c r="FNO47" s="279"/>
      <c r="FNP47" s="279"/>
      <c r="FNQ47" s="279"/>
      <c r="FNR47" s="279"/>
      <c r="FNS47" s="279"/>
      <c r="FNT47" s="279"/>
      <c r="FNU47" s="279"/>
      <c r="FNV47" s="279"/>
      <c r="FNW47" s="279"/>
      <c r="FNX47" s="279"/>
      <c r="FNY47" s="279"/>
      <c r="FNZ47" s="279"/>
      <c r="FOA47" s="279"/>
      <c r="FOB47" s="279"/>
      <c r="FOC47" s="279"/>
      <c r="FOD47" s="279"/>
      <c r="FOE47" s="279"/>
      <c r="FOF47" s="279"/>
      <c r="FOG47" s="279"/>
      <c r="FOH47" s="279"/>
      <c r="FOI47" s="279"/>
      <c r="FOJ47" s="279"/>
      <c r="FOK47" s="279"/>
      <c r="FOL47" s="279"/>
      <c r="FOM47" s="279"/>
      <c r="FON47" s="279"/>
      <c r="FOO47" s="279"/>
      <c r="FOP47" s="279"/>
      <c r="FOQ47" s="279"/>
      <c r="FOR47" s="279"/>
      <c r="FOS47" s="279"/>
      <c r="FOT47" s="279"/>
      <c r="FOU47" s="279"/>
      <c r="FOV47" s="279"/>
      <c r="FOW47" s="279"/>
      <c r="FOX47" s="279"/>
      <c r="FOY47" s="279"/>
      <c r="FOZ47" s="279"/>
      <c r="FPA47" s="279"/>
      <c r="FPB47" s="279"/>
      <c r="FPC47" s="279"/>
      <c r="FPD47" s="279"/>
      <c r="FPE47" s="279"/>
      <c r="FPF47" s="279"/>
      <c r="FPG47" s="279"/>
      <c r="FPH47" s="279"/>
      <c r="FPI47" s="279"/>
      <c r="FPJ47" s="279"/>
      <c r="FPK47" s="279"/>
      <c r="FPL47" s="279"/>
      <c r="FPM47" s="279"/>
      <c r="FPN47" s="279"/>
      <c r="FPO47" s="279"/>
      <c r="FPP47" s="279"/>
      <c r="FPQ47" s="279"/>
      <c r="FPR47" s="279"/>
      <c r="FPS47" s="279"/>
      <c r="FPT47" s="279"/>
      <c r="FPU47" s="279"/>
      <c r="FPV47" s="279"/>
      <c r="FPW47" s="279"/>
      <c r="FPX47" s="279"/>
      <c r="FPY47" s="279"/>
      <c r="FPZ47" s="279"/>
      <c r="FQA47" s="279"/>
      <c r="FQB47" s="279"/>
      <c r="FQC47" s="279"/>
      <c r="FQD47" s="279"/>
      <c r="FQE47" s="279"/>
      <c r="FQF47" s="279"/>
      <c r="FQG47" s="279"/>
      <c r="FQH47" s="279"/>
      <c r="FQI47" s="279"/>
      <c r="FQJ47" s="279"/>
      <c r="FQK47" s="279"/>
      <c r="FQL47" s="279"/>
      <c r="FQM47" s="279"/>
      <c r="FQN47" s="279"/>
      <c r="FQO47" s="279"/>
      <c r="FQP47" s="279"/>
      <c r="FQQ47" s="279"/>
      <c r="FQR47" s="279"/>
      <c r="FQS47" s="279"/>
      <c r="FQT47" s="279"/>
      <c r="FQU47" s="279"/>
      <c r="FQV47" s="279"/>
      <c r="FQW47" s="279"/>
      <c r="FQX47" s="279"/>
      <c r="FQY47" s="279"/>
      <c r="FQZ47" s="279"/>
      <c r="FRA47" s="279"/>
      <c r="FRB47" s="279"/>
      <c r="FRC47" s="279"/>
      <c r="FRD47" s="279"/>
      <c r="FRE47" s="279"/>
      <c r="FRF47" s="279"/>
      <c r="FRG47" s="279"/>
      <c r="FRH47" s="279"/>
      <c r="FRI47" s="279"/>
      <c r="FRJ47" s="279"/>
      <c r="FRK47" s="279"/>
      <c r="FRL47" s="279"/>
      <c r="FRM47" s="279"/>
      <c r="FRN47" s="279"/>
      <c r="FRO47" s="279"/>
      <c r="FRP47" s="279"/>
      <c r="FRQ47" s="279"/>
      <c r="FRR47" s="279"/>
      <c r="FRS47" s="279"/>
      <c r="FRT47" s="279"/>
      <c r="FRU47" s="279"/>
      <c r="FRV47" s="279"/>
      <c r="FRW47" s="279"/>
      <c r="FRX47" s="279"/>
      <c r="FRY47" s="279"/>
      <c r="FRZ47" s="279"/>
      <c r="FSA47" s="279"/>
      <c r="FSB47" s="279"/>
      <c r="FSC47" s="279"/>
      <c r="FSD47" s="279"/>
      <c r="FSE47" s="279"/>
      <c r="FSF47" s="279"/>
      <c r="FSG47" s="279"/>
      <c r="FSH47" s="279"/>
      <c r="FSI47" s="279"/>
      <c r="FSJ47" s="279"/>
      <c r="FSK47" s="279"/>
      <c r="FSL47" s="279"/>
      <c r="FSM47" s="279"/>
      <c r="FSN47" s="279"/>
      <c r="FSO47" s="279"/>
      <c r="FSP47" s="279"/>
      <c r="FSQ47" s="279"/>
      <c r="FSR47" s="279"/>
      <c r="FSS47" s="279"/>
      <c r="FST47" s="279"/>
      <c r="FSU47" s="279"/>
      <c r="FSV47" s="279"/>
      <c r="FSW47" s="279"/>
      <c r="FSX47" s="279"/>
      <c r="FSY47" s="279"/>
      <c r="FSZ47" s="279"/>
      <c r="FTA47" s="279"/>
      <c r="FTB47" s="279"/>
      <c r="FTC47" s="279"/>
      <c r="FTD47" s="279"/>
      <c r="FTE47" s="279"/>
      <c r="FTF47" s="279"/>
      <c r="FTG47" s="279"/>
      <c r="FTH47" s="279"/>
      <c r="FTI47" s="279"/>
      <c r="FTJ47" s="279"/>
      <c r="FTK47" s="279"/>
      <c r="FTL47" s="279"/>
      <c r="FTM47" s="279"/>
      <c r="FTN47" s="279"/>
      <c r="FTO47" s="279"/>
      <c r="FTP47" s="279"/>
      <c r="FTQ47" s="279"/>
      <c r="FTR47" s="279"/>
      <c r="FTS47" s="279"/>
      <c r="FTT47" s="279"/>
      <c r="FTU47" s="279"/>
      <c r="FTV47" s="279"/>
      <c r="FTW47" s="279"/>
      <c r="FTX47" s="279"/>
      <c r="FTY47" s="279"/>
      <c r="FTZ47" s="279"/>
      <c r="FUA47" s="279"/>
      <c r="FUB47" s="279"/>
      <c r="FUC47" s="279"/>
      <c r="FUD47" s="279"/>
      <c r="FUE47" s="279"/>
      <c r="FUF47" s="279"/>
      <c r="FUG47" s="279"/>
      <c r="FUH47" s="279"/>
      <c r="FUI47" s="279"/>
      <c r="FUJ47" s="279"/>
      <c r="FUK47" s="279"/>
      <c r="FUL47" s="279"/>
      <c r="FUM47" s="279"/>
      <c r="FUN47" s="279"/>
      <c r="FUO47" s="279"/>
      <c r="FUP47" s="279"/>
      <c r="FUQ47" s="279"/>
      <c r="FUR47" s="279"/>
      <c r="FUS47" s="279"/>
      <c r="FUT47" s="279"/>
      <c r="FUU47" s="279"/>
      <c r="FUV47" s="279"/>
      <c r="FUW47" s="279"/>
      <c r="FUX47" s="279"/>
      <c r="FUY47" s="279"/>
      <c r="FUZ47" s="279"/>
      <c r="FVA47" s="279"/>
      <c r="FVB47" s="279"/>
      <c r="FVC47" s="279"/>
      <c r="FVD47" s="279"/>
      <c r="FVE47" s="279"/>
      <c r="FVF47" s="279"/>
      <c r="FVG47" s="279"/>
      <c r="FVH47" s="279"/>
      <c r="FVI47" s="279"/>
      <c r="FVJ47" s="279"/>
      <c r="FVK47" s="279"/>
      <c r="FVL47" s="279"/>
      <c r="FVM47" s="279"/>
      <c r="FVN47" s="279"/>
      <c r="FVO47" s="279"/>
      <c r="FVP47" s="279"/>
      <c r="FVQ47" s="279"/>
      <c r="FVR47" s="279"/>
      <c r="FVS47" s="279"/>
      <c r="FVT47" s="279"/>
      <c r="FVU47" s="279"/>
      <c r="FVV47" s="279"/>
      <c r="FVW47" s="279"/>
      <c r="FVX47" s="279"/>
      <c r="FVY47" s="279"/>
      <c r="FVZ47" s="279"/>
      <c r="FWA47" s="279"/>
      <c r="FWB47" s="279"/>
      <c r="FWC47" s="279"/>
      <c r="FWD47" s="279"/>
      <c r="FWE47" s="279"/>
      <c r="FWF47" s="279"/>
      <c r="FWG47" s="279"/>
      <c r="FWH47" s="279"/>
      <c r="FWI47" s="279"/>
      <c r="FWJ47" s="279"/>
      <c r="FWK47" s="279"/>
      <c r="FWL47" s="279"/>
      <c r="FWM47" s="279"/>
      <c r="FWN47" s="279"/>
      <c r="FWO47" s="279"/>
      <c r="FWP47" s="279"/>
      <c r="FWQ47" s="279"/>
      <c r="FWR47" s="279"/>
      <c r="FWS47" s="279"/>
      <c r="FWT47" s="279"/>
      <c r="FWU47" s="279"/>
      <c r="FWV47" s="279"/>
      <c r="FWW47" s="279"/>
      <c r="FWX47" s="279"/>
      <c r="FWY47" s="279"/>
      <c r="FWZ47" s="279"/>
      <c r="FXA47" s="279"/>
      <c r="FXB47" s="279"/>
      <c r="FXC47" s="279"/>
      <c r="FXD47" s="279"/>
      <c r="FXE47" s="279"/>
      <c r="FXF47" s="279"/>
      <c r="FXG47" s="279"/>
      <c r="FXH47" s="279"/>
      <c r="FXI47" s="279"/>
      <c r="FXJ47" s="279"/>
      <c r="FXK47" s="279"/>
      <c r="FXL47" s="279"/>
      <c r="FXM47" s="279"/>
      <c r="FXN47" s="279"/>
      <c r="FXO47" s="279"/>
      <c r="FXP47" s="279"/>
      <c r="FXQ47" s="279"/>
      <c r="FXR47" s="279"/>
      <c r="FXS47" s="279"/>
      <c r="FXT47" s="279"/>
      <c r="FXU47" s="279"/>
      <c r="FXV47" s="279"/>
      <c r="FXW47" s="279"/>
      <c r="FXX47" s="279"/>
      <c r="FXY47" s="279"/>
      <c r="FXZ47" s="279"/>
      <c r="FYA47" s="279"/>
      <c r="FYB47" s="279"/>
      <c r="FYC47" s="279"/>
      <c r="FYD47" s="279"/>
      <c r="FYE47" s="279"/>
      <c r="FYF47" s="279"/>
      <c r="FYG47" s="279"/>
      <c r="FYH47" s="279"/>
      <c r="FYI47" s="279"/>
      <c r="FYJ47" s="279"/>
      <c r="FYK47" s="279"/>
      <c r="FYL47" s="279"/>
      <c r="FYM47" s="279"/>
      <c r="FYN47" s="279"/>
      <c r="FYO47" s="279"/>
      <c r="FYP47" s="279"/>
      <c r="FYQ47" s="279"/>
      <c r="FYR47" s="279"/>
      <c r="FYS47" s="279"/>
      <c r="FYT47" s="279"/>
      <c r="FYU47" s="279"/>
      <c r="FYV47" s="279"/>
      <c r="FYW47" s="279"/>
      <c r="FYX47" s="279"/>
      <c r="FYY47" s="279"/>
      <c r="FYZ47" s="279"/>
      <c r="FZA47" s="279"/>
      <c r="FZB47" s="279"/>
      <c r="FZC47" s="279"/>
      <c r="FZD47" s="279"/>
      <c r="FZE47" s="279"/>
      <c r="FZF47" s="279"/>
      <c r="FZG47" s="279"/>
      <c r="FZH47" s="279"/>
      <c r="FZI47" s="279"/>
      <c r="FZJ47" s="279"/>
      <c r="FZK47" s="279"/>
      <c r="FZL47" s="279"/>
      <c r="FZM47" s="279"/>
      <c r="FZN47" s="279"/>
      <c r="FZO47" s="279"/>
      <c r="FZP47" s="279"/>
      <c r="FZQ47" s="279"/>
      <c r="FZR47" s="279"/>
      <c r="FZS47" s="279"/>
      <c r="FZT47" s="279"/>
      <c r="FZU47" s="279"/>
      <c r="FZV47" s="279"/>
      <c r="FZW47" s="279"/>
      <c r="FZX47" s="279"/>
      <c r="FZY47" s="279"/>
      <c r="FZZ47" s="279"/>
      <c r="GAA47" s="279"/>
      <c r="GAB47" s="279"/>
      <c r="GAC47" s="279"/>
      <c r="GAD47" s="279"/>
      <c r="GAE47" s="279"/>
      <c r="GAF47" s="279"/>
      <c r="GAG47" s="279"/>
      <c r="GAH47" s="279"/>
      <c r="GAI47" s="279"/>
      <c r="GAJ47" s="279"/>
      <c r="GAK47" s="279"/>
      <c r="GAL47" s="279"/>
      <c r="GAM47" s="279"/>
      <c r="GAN47" s="279"/>
      <c r="GAO47" s="279"/>
      <c r="GAP47" s="279"/>
      <c r="GAQ47" s="279"/>
      <c r="GAR47" s="279"/>
      <c r="GAS47" s="279"/>
      <c r="GAT47" s="279"/>
      <c r="GAU47" s="279"/>
      <c r="GAV47" s="279"/>
      <c r="GAW47" s="279"/>
      <c r="GAX47" s="279"/>
      <c r="GAY47" s="279"/>
      <c r="GAZ47" s="279"/>
      <c r="GBA47" s="279"/>
      <c r="GBB47" s="279"/>
      <c r="GBC47" s="279"/>
      <c r="GBD47" s="279"/>
      <c r="GBE47" s="279"/>
      <c r="GBF47" s="279"/>
      <c r="GBG47" s="279"/>
      <c r="GBH47" s="279"/>
      <c r="GBI47" s="279"/>
      <c r="GBJ47" s="279"/>
      <c r="GBK47" s="279"/>
      <c r="GBL47" s="279"/>
      <c r="GBM47" s="279"/>
      <c r="GBN47" s="279"/>
      <c r="GBO47" s="279"/>
      <c r="GBP47" s="279"/>
      <c r="GBQ47" s="279"/>
      <c r="GBR47" s="279"/>
      <c r="GBS47" s="279"/>
      <c r="GBT47" s="279"/>
      <c r="GBU47" s="279"/>
      <c r="GBV47" s="279"/>
      <c r="GBW47" s="279"/>
      <c r="GBX47" s="279"/>
      <c r="GBY47" s="279"/>
      <c r="GBZ47" s="279"/>
      <c r="GCA47" s="279"/>
      <c r="GCB47" s="279"/>
      <c r="GCC47" s="279"/>
      <c r="GCD47" s="279"/>
      <c r="GCE47" s="279"/>
      <c r="GCF47" s="279"/>
      <c r="GCG47" s="279"/>
      <c r="GCH47" s="279"/>
      <c r="GCI47" s="279"/>
      <c r="GCJ47" s="279"/>
      <c r="GCK47" s="279"/>
      <c r="GCL47" s="279"/>
      <c r="GCM47" s="279"/>
      <c r="GCN47" s="279"/>
      <c r="GCO47" s="279"/>
      <c r="GCP47" s="279"/>
      <c r="GCQ47" s="279"/>
      <c r="GCR47" s="279"/>
      <c r="GCS47" s="279"/>
      <c r="GCT47" s="279"/>
      <c r="GCU47" s="279"/>
      <c r="GCV47" s="279"/>
      <c r="GCW47" s="279"/>
      <c r="GCX47" s="279"/>
      <c r="GCY47" s="279"/>
      <c r="GCZ47" s="279"/>
      <c r="GDA47" s="279"/>
      <c r="GDB47" s="279"/>
      <c r="GDC47" s="279"/>
      <c r="GDD47" s="279"/>
      <c r="GDE47" s="279"/>
      <c r="GDF47" s="279"/>
      <c r="GDG47" s="279"/>
      <c r="GDH47" s="279"/>
      <c r="GDI47" s="279"/>
      <c r="GDJ47" s="279"/>
      <c r="GDK47" s="279"/>
      <c r="GDL47" s="279"/>
      <c r="GDM47" s="279"/>
      <c r="GDN47" s="279"/>
      <c r="GDO47" s="279"/>
      <c r="GDP47" s="279"/>
      <c r="GDQ47" s="279"/>
      <c r="GDR47" s="279"/>
      <c r="GDS47" s="279"/>
      <c r="GDT47" s="279"/>
      <c r="GDU47" s="279"/>
      <c r="GDV47" s="279"/>
      <c r="GDW47" s="279"/>
      <c r="GDX47" s="279"/>
      <c r="GDY47" s="279"/>
      <c r="GDZ47" s="279"/>
      <c r="GEA47" s="279"/>
      <c r="GEB47" s="279"/>
      <c r="GEC47" s="279"/>
      <c r="GED47" s="279"/>
      <c r="GEE47" s="279"/>
      <c r="GEF47" s="279"/>
      <c r="GEG47" s="279"/>
      <c r="GEH47" s="279"/>
      <c r="GEI47" s="279"/>
      <c r="GEJ47" s="279"/>
      <c r="GEK47" s="279"/>
      <c r="GEL47" s="279"/>
      <c r="GEM47" s="279"/>
      <c r="GEN47" s="279"/>
      <c r="GEO47" s="279"/>
      <c r="GEP47" s="279"/>
      <c r="GEQ47" s="279"/>
      <c r="GER47" s="279"/>
      <c r="GES47" s="279"/>
      <c r="GET47" s="279"/>
      <c r="GEU47" s="279"/>
      <c r="GEV47" s="279"/>
      <c r="GEW47" s="279"/>
      <c r="GEX47" s="279"/>
      <c r="GEY47" s="279"/>
      <c r="GEZ47" s="279"/>
      <c r="GFA47" s="279"/>
      <c r="GFB47" s="279"/>
      <c r="GFC47" s="279"/>
      <c r="GFD47" s="279"/>
      <c r="GFE47" s="279"/>
      <c r="GFF47" s="279"/>
      <c r="GFG47" s="279"/>
      <c r="GFH47" s="279"/>
      <c r="GFI47" s="279"/>
      <c r="GFJ47" s="279"/>
      <c r="GFK47" s="279"/>
      <c r="GFL47" s="279"/>
      <c r="GFM47" s="279"/>
      <c r="GFN47" s="279"/>
      <c r="GFO47" s="279"/>
      <c r="GFP47" s="279"/>
      <c r="GFQ47" s="279"/>
      <c r="GFR47" s="279"/>
      <c r="GFS47" s="279"/>
      <c r="GFT47" s="279"/>
      <c r="GFU47" s="279"/>
      <c r="GFV47" s="279"/>
      <c r="GFW47" s="279"/>
      <c r="GFX47" s="279"/>
      <c r="GFY47" s="279"/>
      <c r="GFZ47" s="279"/>
      <c r="GGA47" s="279"/>
      <c r="GGB47" s="279"/>
      <c r="GGC47" s="279"/>
      <c r="GGD47" s="279"/>
      <c r="GGE47" s="279"/>
      <c r="GGF47" s="279"/>
      <c r="GGG47" s="279"/>
      <c r="GGH47" s="279"/>
      <c r="GGI47" s="279"/>
      <c r="GGJ47" s="279"/>
      <c r="GGK47" s="279"/>
      <c r="GGL47" s="279"/>
      <c r="GGM47" s="279"/>
      <c r="GGN47" s="279"/>
      <c r="GGO47" s="279"/>
      <c r="GGP47" s="279"/>
      <c r="GGQ47" s="279"/>
      <c r="GGR47" s="279"/>
      <c r="GGS47" s="279"/>
      <c r="GGT47" s="279"/>
      <c r="GGU47" s="279"/>
      <c r="GGV47" s="279"/>
      <c r="GGW47" s="279"/>
      <c r="GGX47" s="279"/>
      <c r="GGY47" s="279"/>
      <c r="GGZ47" s="279"/>
      <c r="GHA47" s="279"/>
      <c r="GHB47" s="279"/>
      <c r="GHC47" s="279"/>
      <c r="GHD47" s="279"/>
      <c r="GHE47" s="279"/>
      <c r="GHF47" s="279"/>
      <c r="GHG47" s="279"/>
      <c r="GHH47" s="279"/>
      <c r="GHI47" s="279"/>
      <c r="GHJ47" s="279"/>
      <c r="GHK47" s="279"/>
      <c r="GHL47" s="279"/>
      <c r="GHM47" s="279"/>
      <c r="GHN47" s="279"/>
      <c r="GHO47" s="279"/>
      <c r="GHP47" s="279"/>
      <c r="GHQ47" s="279"/>
      <c r="GHR47" s="279"/>
      <c r="GHS47" s="279"/>
      <c r="GHT47" s="279"/>
      <c r="GHU47" s="279"/>
      <c r="GHV47" s="279"/>
      <c r="GHW47" s="279"/>
      <c r="GHX47" s="279"/>
      <c r="GHY47" s="279"/>
      <c r="GHZ47" s="279"/>
      <c r="GIA47" s="279"/>
      <c r="GIB47" s="279"/>
      <c r="GIC47" s="279"/>
      <c r="GID47" s="279"/>
      <c r="GIE47" s="279"/>
      <c r="GIF47" s="279"/>
      <c r="GIG47" s="279"/>
      <c r="GIH47" s="279"/>
      <c r="GII47" s="279"/>
      <c r="GIJ47" s="279"/>
      <c r="GIK47" s="279"/>
      <c r="GIL47" s="279"/>
      <c r="GIM47" s="279"/>
      <c r="GIN47" s="279"/>
      <c r="GIO47" s="279"/>
      <c r="GIP47" s="279"/>
      <c r="GIQ47" s="279"/>
      <c r="GIR47" s="279"/>
      <c r="GIS47" s="279"/>
      <c r="GIT47" s="279"/>
      <c r="GIU47" s="279"/>
      <c r="GIV47" s="279"/>
      <c r="GIW47" s="279"/>
      <c r="GIX47" s="279"/>
      <c r="GIY47" s="279"/>
      <c r="GIZ47" s="279"/>
      <c r="GJA47" s="279"/>
      <c r="GJB47" s="279"/>
      <c r="GJC47" s="279"/>
      <c r="GJD47" s="279"/>
      <c r="GJE47" s="279"/>
      <c r="GJF47" s="279"/>
      <c r="GJG47" s="279"/>
      <c r="GJH47" s="279"/>
      <c r="GJI47" s="279"/>
      <c r="GJJ47" s="279"/>
      <c r="GJK47" s="279"/>
      <c r="GJL47" s="279"/>
      <c r="GJM47" s="279"/>
      <c r="GJN47" s="279"/>
      <c r="GJO47" s="279"/>
      <c r="GJP47" s="279"/>
      <c r="GJQ47" s="279"/>
      <c r="GJR47" s="279"/>
      <c r="GJS47" s="279"/>
      <c r="GJT47" s="279"/>
      <c r="GJU47" s="279"/>
      <c r="GJV47" s="279"/>
      <c r="GJW47" s="279"/>
      <c r="GJX47" s="279"/>
      <c r="GJY47" s="279"/>
      <c r="GJZ47" s="279"/>
      <c r="GKA47" s="279"/>
      <c r="GKB47" s="279"/>
      <c r="GKC47" s="279"/>
      <c r="GKD47" s="279"/>
      <c r="GKE47" s="279"/>
      <c r="GKF47" s="279"/>
      <c r="GKG47" s="279"/>
      <c r="GKH47" s="279"/>
      <c r="GKI47" s="279"/>
      <c r="GKJ47" s="279"/>
      <c r="GKK47" s="279"/>
      <c r="GKL47" s="279"/>
      <c r="GKM47" s="279"/>
      <c r="GKN47" s="279"/>
      <c r="GKO47" s="279"/>
      <c r="GKP47" s="279"/>
      <c r="GKQ47" s="279"/>
      <c r="GKR47" s="279"/>
      <c r="GKS47" s="279"/>
      <c r="GKT47" s="279"/>
      <c r="GKU47" s="279"/>
      <c r="GKV47" s="279"/>
      <c r="GKW47" s="279"/>
      <c r="GKX47" s="279"/>
      <c r="GKY47" s="279"/>
      <c r="GKZ47" s="279"/>
      <c r="GLA47" s="279"/>
      <c r="GLB47" s="279"/>
      <c r="GLC47" s="279"/>
      <c r="GLD47" s="279"/>
      <c r="GLE47" s="279"/>
      <c r="GLF47" s="279"/>
      <c r="GLG47" s="279"/>
      <c r="GLH47" s="279"/>
      <c r="GLI47" s="279"/>
      <c r="GLJ47" s="279"/>
      <c r="GLK47" s="279"/>
      <c r="GLL47" s="279"/>
      <c r="GLM47" s="279"/>
      <c r="GLN47" s="279"/>
      <c r="GLO47" s="279"/>
      <c r="GLP47" s="279"/>
      <c r="GLQ47" s="279"/>
      <c r="GLR47" s="279"/>
      <c r="GLS47" s="279"/>
      <c r="GLT47" s="279"/>
      <c r="GLU47" s="279"/>
      <c r="GLV47" s="279"/>
      <c r="GLW47" s="279"/>
      <c r="GLX47" s="279"/>
      <c r="GLY47" s="279"/>
      <c r="GLZ47" s="279"/>
      <c r="GMA47" s="279"/>
      <c r="GMB47" s="279"/>
      <c r="GMC47" s="279"/>
      <c r="GMD47" s="279"/>
      <c r="GME47" s="279"/>
      <c r="GMF47" s="279"/>
      <c r="GMG47" s="279"/>
      <c r="GMH47" s="279"/>
      <c r="GMI47" s="279"/>
      <c r="GMJ47" s="279"/>
      <c r="GMK47" s="279"/>
      <c r="GML47" s="279"/>
      <c r="GMM47" s="279"/>
      <c r="GMN47" s="279"/>
      <c r="GMO47" s="279"/>
      <c r="GMP47" s="279"/>
      <c r="GMQ47" s="279"/>
      <c r="GMR47" s="279"/>
      <c r="GMS47" s="279"/>
      <c r="GMT47" s="279"/>
      <c r="GMU47" s="279"/>
      <c r="GMV47" s="279"/>
      <c r="GMW47" s="279"/>
      <c r="GMX47" s="279"/>
      <c r="GMY47" s="279"/>
      <c r="GMZ47" s="279"/>
      <c r="GNA47" s="279"/>
      <c r="GNB47" s="279"/>
      <c r="GNC47" s="279"/>
      <c r="GND47" s="279"/>
      <c r="GNE47" s="279"/>
      <c r="GNF47" s="279"/>
      <c r="GNG47" s="279"/>
      <c r="GNH47" s="279"/>
      <c r="GNI47" s="279"/>
      <c r="GNJ47" s="279"/>
      <c r="GNK47" s="279"/>
      <c r="GNL47" s="279"/>
      <c r="GNM47" s="279"/>
      <c r="GNN47" s="279"/>
      <c r="GNO47" s="279"/>
      <c r="GNP47" s="279"/>
      <c r="GNQ47" s="279"/>
      <c r="GNR47" s="279"/>
      <c r="GNS47" s="279"/>
      <c r="GNT47" s="279"/>
      <c r="GNU47" s="279"/>
      <c r="GNV47" s="279"/>
      <c r="GNW47" s="279"/>
      <c r="GNX47" s="279"/>
      <c r="GNY47" s="279"/>
      <c r="GNZ47" s="279"/>
      <c r="GOA47" s="279"/>
      <c r="GOB47" s="279"/>
      <c r="GOC47" s="279"/>
      <c r="GOD47" s="279"/>
      <c r="GOE47" s="279"/>
      <c r="GOF47" s="279"/>
      <c r="GOG47" s="279"/>
      <c r="GOH47" s="279"/>
      <c r="GOI47" s="279"/>
      <c r="GOJ47" s="279"/>
      <c r="GOK47" s="279"/>
      <c r="GOL47" s="279"/>
      <c r="GOM47" s="279"/>
      <c r="GON47" s="279"/>
      <c r="GOO47" s="279"/>
      <c r="GOP47" s="279"/>
      <c r="GOQ47" s="279"/>
      <c r="GOR47" s="279"/>
      <c r="GOS47" s="279"/>
      <c r="GOT47" s="279"/>
      <c r="GOU47" s="279"/>
      <c r="GOV47" s="279"/>
      <c r="GOW47" s="279"/>
      <c r="GOX47" s="279"/>
      <c r="GOY47" s="279"/>
      <c r="GOZ47" s="279"/>
      <c r="GPA47" s="279"/>
      <c r="GPB47" s="279"/>
      <c r="GPC47" s="279"/>
      <c r="GPD47" s="279"/>
      <c r="GPE47" s="279"/>
      <c r="GPF47" s="279"/>
      <c r="GPG47" s="279"/>
      <c r="GPH47" s="279"/>
      <c r="GPI47" s="279"/>
      <c r="GPJ47" s="279"/>
      <c r="GPK47" s="279"/>
      <c r="GPL47" s="279"/>
      <c r="GPM47" s="279"/>
      <c r="GPN47" s="279"/>
      <c r="GPO47" s="279"/>
      <c r="GPP47" s="279"/>
      <c r="GPQ47" s="279"/>
      <c r="GPR47" s="279"/>
      <c r="GPS47" s="279"/>
      <c r="GPT47" s="279"/>
      <c r="GPU47" s="279"/>
      <c r="GPV47" s="279"/>
      <c r="GPW47" s="279"/>
      <c r="GPX47" s="279"/>
      <c r="GPY47" s="279"/>
      <c r="GPZ47" s="279"/>
      <c r="GQA47" s="279"/>
      <c r="GQB47" s="279"/>
      <c r="GQC47" s="279"/>
      <c r="GQD47" s="279"/>
      <c r="GQE47" s="279"/>
      <c r="GQF47" s="279"/>
      <c r="GQG47" s="279"/>
      <c r="GQH47" s="279"/>
      <c r="GQI47" s="279"/>
      <c r="GQJ47" s="279"/>
      <c r="GQK47" s="279"/>
      <c r="GQL47" s="279"/>
      <c r="GQM47" s="279"/>
      <c r="GQN47" s="279"/>
      <c r="GQO47" s="279"/>
      <c r="GQP47" s="279"/>
      <c r="GQQ47" s="279"/>
      <c r="GQR47" s="279"/>
      <c r="GQS47" s="279"/>
      <c r="GQT47" s="279"/>
      <c r="GQU47" s="279"/>
      <c r="GQV47" s="279"/>
      <c r="GQW47" s="279"/>
      <c r="GQX47" s="279"/>
      <c r="GQY47" s="279"/>
      <c r="GQZ47" s="279"/>
      <c r="GRA47" s="279"/>
      <c r="GRB47" s="279"/>
      <c r="GRC47" s="279"/>
      <c r="GRD47" s="279"/>
      <c r="GRE47" s="279"/>
      <c r="GRF47" s="279"/>
      <c r="GRG47" s="279"/>
      <c r="GRH47" s="279"/>
      <c r="GRI47" s="279"/>
      <c r="GRJ47" s="279"/>
      <c r="GRK47" s="279"/>
      <c r="GRL47" s="279"/>
      <c r="GRM47" s="279"/>
      <c r="GRN47" s="279"/>
      <c r="GRO47" s="279"/>
      <c r="GRP47" s="279"/>
      <c r="GRQ47" s="279"/>
      <c r="GRR47" s="279"/>
      <c r="GRS47" s="279"/>
      <c r="GRT47" s="279"/>
      <c r="GRU47" s="279"/>
      <c r="GRV47" s="279"/>
      <c r="GRW47" s="279"/>
      <c r="GRX47" s="279"/>
      <c r="GRY47" s="279"/>
      <c r="GRZ47" s="279"/>
      <c r="GSA47" s="279"/>
      <c r="GSB47" s="279"/>
      <c r="GSC47" s="279"/>
      <c r="GSD47" s="279"/>
      <c r="GSE47" s="279"/>
      <c r="GSF47" s="279"/>
      <c r="GSG47" s="279"/>
      <c r="GSH47" s="279"/>
      <c r="GSI47" s="279"/>
      <c r="GSJ47" s="279"/>
      <c r="GSK47" s="279"/>
      <c r="GSL47" s="279"/>
      <c r="GSM47" s="279"/>
      <c r="GSN47" s="279"/>
      <c r="GSO47" s="279"/>
      <c r="GSP47" s="279"/>
      <c r="GSQ47" s="279"/>
      <c r="GSR47" s="279"/>
      <c r="GSS47" s="279"/>
      <c r="GST47" s="279"/>
      <c r="GSU47" s="279"/>
      <c r="GSV47" s="279"/>
      <c r="GSW47" s="279"/>
      <c r="GSX47" s="279"/>
      <c r="GSY47" s="279"/>
      <c r="GSZ47" s="279"/>
      <c r="GTA47" s="279"/>
      <c r="GTB47" s="279"/>
      <c r="GTC47" s="279"/>
      <c r="GTD47" s="279"/>
      <c r="GTE47" s="279"/>
      <c r="GTF47" s="279"/>
      <c r="GTG47" s="279"/>
      <c r="GTH47" s="279"/>
      <c r="GTI47" s="279"/>
      <c r="GTJ47" s="279"/>
      <c r="GTK47" s="279"/>
      <c r="GTL47" s="279"/>
      <c r="GTM47" s="279"/>
      <c r="GTN47" s="279"/>
      <c r="GTO47" s="279"/>
      <c r="GTP47" s="279"/>
      <c r="GTQ47" s="279"/>
      <c r="GTR47" s="279"/>
      <c r="GTS47" s="279"/>
      <c r="GTT47" s="279"/>
      <c r="GTU47" s="279"/>
      <c r="GTV47" s="279"/>
      <c r="GTW47" s="279"/>
      <c r="GTX47" s="279"/>
      <c r="GTY47" s="279"/>
      <c r="GTZ47" s="279"/>
      <c r="GUA47" s="279"/>
      <c r="GUB47" s="279"/>
      <c r="GUC47" s="279"/>
      <c r="GUD47" s="279"/>
      <c r="GUE47" s="279"/>
      <c r="GUF47" s="279"/>
      <c r="GUG47" s="279"/>
      <c r="GUH47" s="279"/>
      <c r="GUI47" s="279"/>
      <c r="GUJ47" s="279"/>
      <c r="GUK47" s="279"/>
      <c r="GUL47" s="279"/>
      <c r="GUM47" s="279"/>
      <c r="GUN47" s="279"/>
      <c r="GUO47" s="279"/>
      <c r="GUP47" s="279"/>
      <c r="GUQ47" s="279"/>
      <c r="GUR47" s="279"/>
      <c r="GUS47" s="279"/>
      <c r="GUT47" s="279"/>
      <c r="GUU47" s="279"/>
      <c r="GUV47" s="279"/>
      <c r="GUW47" s="279"/>
      <c r="GUX47" s="279"/>
      <c r="GUY47" s="279"/>
      <c r="GUZ47" s="279"/>
      <c r="GVA47" s="279"/>
      <c r="GVB47" s="279"/>
      <c r="GVC47" s="279"/>
      <c r="GVD47" s="279"/>
      <c r="GVE47" s="279"/>
      <c r="GVF47" s="279"/>
      <c r="GVG47" s="279"/>
      <c r="GVH47" s="279"/>
      <c r="GVI47" s="279"/>
      <c r="GVJ47" s="279"/>
      <c r="GVK47" s="279"/>
      <c r="GVL47" s="279"/>
      <c r="GVM47" s="279"/>
      <c r="GVN47" s="279"/>
      <c r="GVO47" s="279"/>
      <c r="GVP47" s="279"/>
      <c r="GVQ47" s="279"/>
      <c r="GVR47" s="279"/>
      <c r="GVS47" s="279"/>
      <c r="GVT47" s="279"/>
      <c r="GVU47" s="279"/>
      <c r="GVV47" s="279"/>
      <c r="GVW47" s="279"/>
      <c r="GVX47" s="279"/>
      <c r="GVY47" s="279"/>
      <c r="GVZ47" s="279"/>
      <c r="GWA47" s="279"/>
      <c r="GWB47" s="279"/>
      <c r="GWC47" s="279"/>
      <c r="GWD47" s="279"/>
      <c r="GWE47" s="279"/>
      <c r="GWF47" s="279"/>
      <c r="GWG47" s="279"/>
      <c r="GWH47" s="279"/>
      <c r="GWI47" s="279"/>
      <c r="GWJ47" s="279"/>
      <c r="GWK47" s="279"/>
      <c r="GWL47" s="279"/>
      <c r="GWM47" s="279"/>
      <c r="GWN47" s="279"/>
      <c r="GWO47" s="279"/>
      <c r="GWP47" s="279"/>
      <c r="GWQ47" s="279"/>
      <c r="GWR47" s="279"/>
      <c r="GWS47" s="279"/>
      <c r="GWT47" s="279"/>
      <c r="GWU47" s="279"/>
      <c r="GWV47" s="279"/>
      <c r="GWW47" s="279"/>
      <c r="GWX47" s="279"/>
      <c r="GWY47" s="279"/>
      <c r="GWZ47" s="279"/>
      <c r="GXA47" s="279"/>
      <c r="GXB47" s="279"/>
      <c r="GXC47" s="279"/>
      <c r="GXD47" s="279"/>
      <c r="GXE47" s="279"/>
      <c r="GXF47" s="279"/>
      <c r="GXG47" s="279"/>
      <c r="GXH47" s="279"/>
      <c r="GXI47" s="279"/>
      <c r="GXJ47" s="279"/>
      <c r="GXK47" s="279"/>
      <c r="GXL47" s="279"/>
      <c r="GXM47" s="279"/>
      <c r="GXN47" s="279"/>
      <c r="GXO47" s="279"/>
      <c r="GXP47" s="279"/>
      <c r="GXQ47" s="279"/>
      <c r="GXR47" s="279"/>
      <c r="GXS47" s="279"/>
      <c r="GXT47" s="279"/>
      <c r="GXU47" s="279"/>
      <c r="GXV47" s="279"/>
      <c r="GXW47" s="279"/>
      <c r="GXX47" s="279"/>
      <c r="GXY47" s="279"/>
      <c r="GXZ47" s="279"/>
      <c r="GYA47" s="279"/>
      <c r="GYB47" s="279"/>
      <c r="GYC47" s="279"/>
      <c r="GYD47" s="279"/>
      <c r="GYE47" s="279"/>
      <c r="GYF47" s="279"/>
      <c r="GYG47" s="279"/>
      <c r="GYH47" s="279"/>
      <c r="GYI47" s="279"/>
      <c r="GYJ47" s="279"/>
      <c r="GYK47" s="279"/>
      <c r="GYL47" s="279"/>
      <c r="GYM47" s="279"/>
      <c r="GYN47" s="279"/>
      <c r="GYO47" s="279"/>
      <c r="GYP47" s="279"/>
      <c r="GYQ47" s="279"/>
      <c r="GYR47" s="279"/>
      <c r="GYS47" s="279"/>
      <c r="GYT47" s="279"/>
      <c r="GYU47" s="279"/>
      <c r="GYV47" s="279"/>
      <c r="GYW47" s="279"/>
      <c r="GYX47" s="279"/>
      <c r="GYY47" s="279"/>
      <c r="GYZ47" s="279"/>
      <c r="GZA47" s="279"/>
      <c r="GZB47" s="279"/>
      <c r="GZC47" s="279"/>
      <c r="GZD47" s="279"/>
      <c r="GZE47" s="279"/>
      <c r="GZF47" s="279"/>
      <c r="GZG47" s="279"/>
      <c r="GZH47" s="279"/>
      <c r="GZI47" s="279"/>
      <c r="GZJ47" s="279"/>
      <c r="GZK47" s="279"/>
      <c r="GZL47" s="279"/>
      <c r="GZM47" s="279"/>
      <c r="GZN47" s="279"/>
      <c r="GZO47" s="279"/>
      <c r="GZP47" s="279"/>
      <c r="GZQ47" s="279"/>
      <c r="GZR47" s="279"/>
      <c r="GZS47" s="279"/>
      <c r="GZT47" s="279"/>
      <c r="GZU47" s="279"/>
      <c r="GZV47" s="279"/>
      <c r="GZW47" s="279"/>
      <c r="GZX47" s="279"/>
      <c r="GZY47" s="279"/>
      <c r="GZZ47" s="279"/>
      <c r="HAA47" s="279"/>
      <c r="HAB47" s="279"/>
      <c r="HAC47" s="279"/>
      <c r="HAD47" s="279"/>
      <c r="HAE47" s="279"/>
      <c r="HAF47" s="279"/>
      <c r="HAG47" s="279"/>
      <c r="HAH47" s="279"/>
      <c r="HAI47" s="279"/>
      <c r="HAJ47" s="279"/>
      <c r="HAK47" s="279"/>
      <c r="HAL47" s="279"/>
      <c r="HAM47" s="279"/>
      <c r="HAN47" s="279"/>
      <c r="HAO47" s="279"/>
      <c r="HAP47" s="279"/>
      <c r="HAQ47" s="279"/>
      <c r="HAR47" s="279"/>
      <c r="HAS47" s="279"/>
      <c r="HAT47" s="279"/>
      <c r="HAU47" s="279"/>
      <c r="HAV47" s="279"/>
      <c r="HAW47" s="279"/>
      <c r="HAX47" s="279"/>
      <c r="HAY47" s="279"/>
      <c r="HAZ47" s="279"/>
      <c r="HBA47" s="279"/>
      <c r="HBB47" s="279"/>
      <c r="HBC47" s="279"/>
      <c r="HBD47" s="279"/>
      <c r="HBE47" s="279"/>
      <c r="HBF47" s="279"/>
      <c r="HBG47" s="279"/>
      <c r="HBH47" s="279"/>
      <c r="HBI47" s="279"/>
      <c r="HBJ47" s="279"/>
      <c r="HBK47" s="279"/>
      <c r="HBL47" s="279"/>
      <c r="HBM47" s="279"/>
      <c r="HBN47" s="279"/>
      <c r="HBO47" s="279"/>
      <c r="HBP47" s="279"/>
      <c r="HBQ47" s="279"/>
      <c r="HBR47" s="279"/>
      <c r="HBS47" s="279"/>
      <c r="HBT47" s="279"/>
      <c r="HBU47" s="279"/>
      <c r="HBV47" s="279"/>
      <c r="HBW47" s="279"/>
      <c r="HBX47" s="279"/>
      <c r="HBY47" s="279"/>
      <c r="HBZ47" s="279"/>
      <c r="HCA47" s="279"/>
      <c r="HCB47" s="279"/>
      <c r="HCC47" s="279"/>
      <c r="HCD47" s="279"/>
      <c r="HCE47" s="279"/>
      <c r="HCF47" s="279"/>
      <c r="HCG47" s="279"/>
      <c r="HCH47" s="279"/>
      <c r="HCI47" s="279"/>
      <c r="HCJ47" s="279"/>
      <c r="HCK47" s="279"/>
      <c r="HCL47" s="279"/>
      <c r="HCM47" s="279"/>
      <c r="HCN47" s="279"/>
      <c r="HCO47" s="279"/>
      <c r="HCP47" s="279"/>
      <c r="HCQ47" s="279"/>
      <c r="HCR47" s="279"/>
      <c r="HCS47" s="279"/>
      <c r="HCT47" s="279"/>
      <c r="HCU47" s="279"/>
      <c r="HCV47" s="279"/>
      <c r="HCW47" s="279"/>
      <c r="HCX47" s="279"/>
      <c r="HCY47" s="279"/>
      <c r="HCZ47" s="279"/>
      <c r="HDA47" s="279"/>
      <c r="HDB47" s="279"/>
      <c r="HDC47" s="279"/>
      <c r="HDD47" s="279"/>
      <c r="HDE47" s="279"/>
      <c r="HDF47" s="279"/>
      <c r="HDG47" s="279"/>
      <c r="HDH47" s="279"/>
      <c r="HDI47" s="279"/>
      <c r="HDJ47" s="279"/>
      <c r="HDK47" s="279"/>
      <c r="HDL47" s="279"/>
      <c r="HDM47" s="279"/>
      <c r="HDN47" s="279"/>
      <c r="HDO47" s="279"/>
      <c r="HDP47" s="279"/>
      <c r="HDQ47" s="279"/>
      <c r="HDR47" s="279"/>
      <c r="HDS47" s="279"/>
      <c r="HDT47" s="279"/>
      <c r="HDU47" s="279"/>
      <c r="HDV47" s="279"/>
      <c r="HDW47" s="279"/>
      <c r="HDX47" s="279"/>
      <c r="HDY47" s="279"/>
      <c r="HDZ47" s="279"/>
      <c r="HEA47" s="279"/>
      <c r="HEB47" s="279"/>
      <c r="HEC47" s="279"/>
      <c r="HED47" s="279"/>
      <c r="HEE47" s="279"/>
      <c r="HEF47" s="279"/>
      <c r="HEG47" s="279"/>
      <c r="HEH47" s="279"/>
      <c r="HEI47" s="279"/>
      <c r="HEJ47" s="279"/>
      <c r="HEK47" s="279"/>
      <c r="HEL47" s="279"/>
      <c r="HEM47" s="279"/>
      <c r="HEN47" s="279"/>
      <c r="HEO47" s="279"/>
      <c r="HEP47" s="279"/>
      <c r="HEQ47" s="279"/>
      <c r="HER47" s="279"/>
      <c r="HES47" s="279"/>
      <c r="HET47" s="279"/>
      <c r="HEU47" s="279"/>
      <c r="HEV47" s="279"/>
      <c r="HEW47" s="279"/>
      <c r="HEX47" s="279"/>
      <c r="HEY47" s="279"/>
      <c r="HEZ47" s="279"/>
      <c r="HFA47" s="279"/>
      <c r="HFB47" s="279"/>
      <c r="HFC47" s="279"/>
      <c r="HFD47" s="279"/>
      <c r="HFE47" s="279"/>
      <c r="HFF47" s="279"/>
      <c r="HFG47" s="279"/>
      <c r="HFH47" s="279"/>
      <c r="HFI47" s="279"/>
      <c r="HFJ47" s="279"/>
      <c r="HFK47" s="279"/>
      <c r="HFL47" s="279"/>
      <c r="HFM47" s="279"/>
      <c r="HFN47" s="279"/>
      <c r="HFO47" s="279"/>
      <c r="HFP47" s="279"/>
      <c r="HFQ47" s="279"/>
      <c r="HFR47" s="279"/>
      <c r="HFS47" s="279"/>
      <c r="HFT47" s="279"/>
      <c r="HFU47" s="279"/>
      <c r="HFV47" s="279"/>
      <c r="HFW47" s="279"/>
      <c r="HFX47" s="279"/>
      <c r="HFY47" s="279"/>
      <c r="HFZ47" s="279"/>
      <c r="HGA47" s="279"/>
      <c r="HGB47" s="279"/>
      <c r="HGC47" s="279"/>
      <c r="HGD47" s="279"/>
      <c r="HGE47" s="279"/>
      <c r="HGF47" s="279"/>
      <c r="HGG47" s="279"/>
      <c r="HGH47" s="279"/>
      <c r="HGI47" s="279"/>
      <c r="HGJ47" s="279"/>
      <c r="HGK47" s="279"/>
      <c r="HGL47" s="279"/>
      <c r="HGM47" s="279"/>
      <c r="HGN47" s="279"/>
      <c r="HGO47" s="279"/>
      <c r="HGP47" s="279"/>
      <c r="HGQ47" s="279"/>
      <c r="HGR47" s="279"/>
      <c r="HGS47" s="279"/>
      <c r="HGT47" s="279"/>
      <c r="HGU47" s="279"/>
      <c r="HGV47" s="279"/>
      <c r="HGW47" s="279"/>
      <c r="HGX47" s="279"/>
      <c r="HGY47" s="279"/>
      <c r="HGZ47" s="279"/>
      <c r="HHA47" s="279"/>
      <c r="HHB47" s="279"/>
      <c r="HHC47" s="279"/>
      <c r="HHD47" s="279"/>
      <c r="HHE47" s="279"/>
      <c r="HHF47" s="279"/>
      <c r="HHG47" s="279"/>
      <c r="HHH47" s="279"/>
      <c r="HHI47" s="279"/>
      <c r="HHJ47" s="279"/>
      <c r="HHK47" s="279"/>
      <c r="HHL47" s="279"/>
      <c r="HHM47" s="279"/>
      <c r="HHN47" s="279"/>
      <c r="HHO47" s="279"/>
      <c r="HHP47" s="279"/>
      <c r="HHQ47" s="279"/>
      <c r="HHR47" s="279"/>
      <c r="HHS47" s="279"/>
      <c r="HHT47" s="279"/>
      <c r="HHU47" s="279"/>
      <c r="HHV47" s="279"/>
      <c r="HHW47" s="279"/>
      <c r="HHX47" s="279"/>
      <c r="HHY47" s="279"/>
      <c r="HHZ47" s="279"/>
      <c r="HIA47" s="279"/>
      <c r="HIB47" s="279"/>
      <c r="HIC47" s="279"/>
      <c r="HID47" s="279"/>
      <c r="HIE47" s="279"/>
      <c r="HIF47" s="279"/>
      <c r="HIG47" s="279"/>
      <c r="HIH47" s="279"/>
      <c r="HII47" s="279"/>
      <c r="HIJ47" s="279"/>
      <c r="HIK47" s="279"/>
      <c r="HIL47" s="279"/>
      <c r="HIM47" s="279"/>
      <c r="HIN47" s="279"/>
      <c r="HIO47" s="279"/>
      <c r="HIP47" s="279"/>
      <c r="HIQ47" s="279"/>
      <c r="HIR47" s="279"/>
      <c r="HIS47" s="279"/>
      <c r="HIT47" s="279"/>
      <c r="HIU47" s="279"/>
      <c r="HIV47" s="279"/>
      <c r="HIW47" s="279"/>
      <c r="HIX47" s="279"/>
      <c r="HIY47" s="279"/>
      <c r="HIZ47" s="279"/>
      <c r="HJA47" s="279"/>
      <c r="HJB47" s="279"/>
      <c r="HJC47" s="279"/>
      <c r="HJD47" s="279"/>
      <c r="HJE47" s="279"/>
      <c r="HJF47" s="279"/>
      <c r="HJG47" s="279"/>
      <c r="HJH47" s="279"/>
      <c r="HJI47" s="279"/>
      <c r="HJJ47" s="279"/>
      <c r="HJK47" s="279"/>
      <c r="HJL47" s="279"/>
      <c r="HJM47" s="279"/>
      <c r="HJN47" s="279"/>
      <c r="HJO47" s="279"/>
      <c r="HJP47" s="279"/>
      <c r="HJQ47" s="279"/>
      <c r="HJR47" s="279"/>
      <c r="HJS47" s="279"/>
      <c r="HJT47" s="279"/>
      <c r="HJU47" s="279"/>
      <c r="HJV47" s="279"/>
      <c r="HJW47" s="279"/>
      <c r="HJX47" s="279"/>
      <c r="HJY47" s="279"/>
      <c r="HJZ47" s="279"/>
      <c r="HKA47" s="279"/>
      <c r="HKB47" s="279"/>
      <c r="HKC47" s="279"/>
      <c r="HKD47" s="279"/>
      <c r="HKE47" s="279"/>
      <c r="HKF47" s="279"/>
      <c r="HKG47" s="279"/>
      <c r="HKH47" s="279"/>
      <c r="HKI47" s="279"/>
      <c r="HKJ47" s="279"/>
      <c r="HKK47" s="279"/>
      <c r="HKL47" s="279"/>
      <c r="HKM47" s="279"/>
      <c r="HKN47" s="279"/>
      <c r="HKO47" s="279"/>
      <c r="HKP47" s="279"/>
      <c r="HKQ47" s="279"/>
      <c r="HKR47" s="279"/>
      <c r="HKS47" s="279"/>
      <c r="HKT47" s="279"/>
      <c r="HKU47" s="279"/>
      <c r="HKV47" s="279"/>
      <c r="HKW47" s="279"/>
      <c r="HKX47" s="279"/>
      <c r="HKY47" s="279"/>
      <c r="HKZ47" s="279"/>
      <c r="HLA47" s="279"/>
      <c r="HLB47" s="279"/>
      <c r="HLC47" s="279"/>
      <c r="HLD47" s="279"/>
      <c r="HLE47" s="279"/>
      <c r="HLF47" s="279"/>
      <c r="HLG47" s="279"/>
      <c r="HLH47" s="279"/>
      <c r="HLI47" s="279"/>
      <c r="HLJ47" s="279"/>
      <c r="HLK47" s="279"/>
      <c r="HLL47" s="279"/>
      <c r="HLM47" s="279"/>
      <c r="HLN47" s="279"/>
      <c r="HLO47" s="279"/>
      <c r="HLP47" s="279"/>
      <c r="HLQ47" s="279"/>
      <c r="HLR47" s="279"/>
      <c r="HLS47" s="279"/>
      <c r="HLT47" s="279"/>
      <c r="HLU47" s="279"/>
      <c r="HLV47" s="279"/>
      <c r="HLW47" s="279"/>
      <c r="HLX47" s="279"/>
      <c r="HLY47" s="279"/>
      <c r="HLZ47" s="279"/>
      <c r="HMA47" s="279"/>
      <c r="HMB47" s="279"/>
      <c r="HMC47" s="279"/>
      <c r="HMD47" s="279"/>
      <c r="HME47" s="279"/>
      <c r="HMF47" s="279"/>
      <c r="HMG47" s="279"/>
      <c r="HMH47" s="279"/>
      <c r="HMI47" s="279"/>
      <c r="HMJ47" s="279"/>
      <c r="HMK47" s="279"/>
      <c r="HML47" s="279"/>
      <c r="HMM47" s="279"/>
      <c r="HMN47" s="279"/>
      <c r="HMO47" s="279"/>
      <c r="HMP47" s="279"/>
      <c r="HMQ47" s="279"/>
      <c r="HMR47" s="279"/>
      <c r="HMS47" s="279"/>
      <c r="HMT47" s="279"/>
      <c r="HMU47" s="279"/>
      <c r="HMV47" s="279"/>
      <c r="HMW47" s="279"/>
      <c r="HMX47" s="279"/>
      <c r="HMY47" s="279"/>
      <c r="HMZ47" s="279"/>
      <c r="HNA47" s="279"/>
      <c r="HNB47" s="279"/>
      <c r="HNC47" s="279"/>
      <c r="HND47" s="279"/>
      <c r="HNE47" s="279"/>
      <c r="HNF47" s="279"/>
      <c r="HNG47" s="279"/>
      <c r="HNH47" s="279"/>
      <c r="HNI47" s="279"/>
      <c r="HNJ47" s="279"/>
      <c r="HNK47" s="279"/>
      <c r="HNL47" s="279"/>
      <c r="HNM47" s="279"/>
      <c r="HNN47" s="279"/>
      <c r="HNO47" s="279"/>
      <c r="HNP47" s="279"/>
      <c r="HNQ47" s="279"/>
      <c r="HNR47" s="279"/>
      <c r="HNS47" s="279"/>
      <c r="HNT47" s="279"/>
      <c r="HNU47" s="279"/>
      <c r="HNV47" s="279"/>
      <c r="HNW47" s="279"/>
      <c r="HNX47" s="279"/>
      <c r="HNY47" s="279"/>
      <c r="HNZ47" s="279"/>
      <c r="HOA47" s="279"/>
      <c r="HOB47" s="279"/>
      <c r="HOC47" s="279"/>
      <c r="HOD47" s="279"/>
      <c r="HOE47" s="279"/>
      <c r="HOF47" s="279"/>
      <c r="HOG47" s="279"/>
      <c r="HOH47" s="279"/>
      <c r="HOI47" s="279"/>
      <c r="HOJ47" s="279"/>
      <c r="HOK47" s="279"/>
      <c r="HOL47" s="279"/>
      <c r="HOM47" s="279"/>
      <c r="HON47" s="279"/>
      <c r="HOO47" s="279"/>
      <c r="HOP47" s="279"/>
      <c r="HOQ47" s="279"/>
      <c r="HOR47" s="279"/>
      <c r="HOS47" s="279"/>
      <c r="HOT47" s="279"/>
      <c r="HOU47" s="279"/>
      <c r="HOV47" s="279"/>
      <c r="HOW47" s="279"/>
      <c r="HOX47" s="279"/>
      <c r="HOY47" s="279"/>
      <c r="HOZ47" s="279"/>
      <c r="HPA47" s="279"/>
      <c r="HPB47" s="279"/>
      <c r="HPC47" s="279"/>
      <c r="HPD47" s="279"/>
      <c r="HPE47" s="279"/>
      <c r="HPF47" s="279"/>
      <c r="HPG47" s="279"/>
      <c r="HPH47" s="279"/>
      <c r="HPI47" s="279"/>
      <c r="HPJ47" s="279"/>
      <c r="HPK47" s="279"/>
      <c r="HPL47" s="279"/>
      <c r="HPM47" s="279"/>
      <c r="HPN47" s="279"/>
      <c r="HPO47" s="279"/>
      <c r="HPP47" s="279"/>
      <c r="HPQ47" s="279"/>
      <c r="HPR47" s="279"/>
      <c r="HPS47" s="279"/>
      <c r="HPT47" s="279"/>
      <c r="HPU47" s="279"/>
      <c r="HPV47" s="279"/>
      <c r="HPW47" s="279"/>
      <c r="HPX47" s="279"/>
      <c r="HPY47" s="279"/>
      <c r="HPZ47" s="279"/>
      <c r="HQA47" s="279"/>
      <c r="HQB47" s="279"/>
      <c r="HQC47" s="279"/>
      <c r="HQD47" s="279"/>
      <c r="HQE47" s="279"/>
      <c r="HQF47" s="279"/>
      <c r="HQG47" s="279"/>
      <c r="HQH47" s="279"/>
      <c r="HQI47" s="279"/>
      <c r="HQJ47" s="279"/>
      <c r="HQK47" s="279"/>
      <c r="HQL47" s="279"/>
      <c r="HQM47" s="279"/>
      <c r="HQN47" s="279"/>
      <c r="HQO47" s="279"/>
      <c r="HQP47" s="279"/>
      <c r="HQQ47" s="279"/>
      <c r="HQR47" s="279"/>
      <c r="HQS47" s="279"/>
      <c r="HQT47" s="279"/>
      <c r="HQU47" s="279"/>
      <c r="HQV47" s="279"/>
      <c r="HQW47" s="279"/>
      <c r="HQX47" s="279"/>
      <c r="HQY47" s="279"/>
      <c r="HQZ47" s="279"/>
      <c r="HRA47" s="279"/>
      <c r="HRB47" s="279"/>
      <c r="HRC47" s="279"/>
      <c r="HRD47" s="279"/>
      <c r="HRE47" s="279"/>
      <c r="HRF47" s="279"/>
      <c r="HRG47" s="279"/>
      <c r="HRH47" s="279"/>
      <c r="HRI47" s="279"/>
      <c r="HRJ47" s="279"/>
      <c r="HRK47" s="279"/>
      <c r="HRL47" s="279"/>
      <c r="HRM47" s="279"/>
      <c r="HRN47" s="279"/>
      <c r="HRO47" s="279"/>
      <c r="HRP47" s="279"/>
      <c r="HRQ47" s="279"/>
      <c r="HRR47" s="279"/>
      <c r="HRS47" s="279"/>
      <c r="HRT47" s="279"/>
      <c r="HRU47" s="279"/>
      <c r="HRV47" s="279"/>
      <c r="HRW47" s="279"/>
      <c r="HRX47" s="279"/>
      <c r="HRY47" s="279"/>
      <c r="HRZ47" s="279"/>
      <c r="HSA47" s="279"/>
      <c r="HSB47" s="279"/>
      <c r="HSC47" s="279"/>
      <c r="HSD47" s="279"/>
      <c r="HSE47" s="279"/>
      <c r="HSF47" s="279"/>
      <c r="HSG47" s="279"/>
      <c r="HSH47" s="279"/>
      <c r="HSI47" s="279"/>
      <c r="HSJ47" s="279"/>
      <c r="HSK47" s="279"/>
      <c r="HSL47" s="279"/>
      <c r="HSM47" s="279"/>
      <c r="HSN47" s="279"/>
      <c r="HSO47" s="279"/>
      <c r="HSP47" s="279"/>
      <c r="HSQ47" s="279"/>
      <c r="HSR47" s="279"/>
      <c r="HSS47" s="279"/>
      <c r="HST47" s="279"/>
      <c r="HSU47" s="279"/>
      <c r="HSV47" s="279"/>
      <c r="HSW47" s="279"/>
      <c r="HSX47" s="279"/>
      <c r="HSY47" s="279"/>
      <c r="HSZ47" s="279"/>
      <c r="HTA47" s="279"/>
      <c r="HTB47" s="279"/>
      <c r="HTC47" s="279"/>
      <c r="HTD47" s="279"/>
      <c r="HTE47" s="279"/>
      <c r="HTF47" s="279"/>
      <c r="HTG47" s="279"/>
      <c r="HTH47" s="279"/>
      <c r="HTI47" s="279"/>
      <c r="HTJ47" s="279"/>
      <c r="HTK47" s="279"/>
      <c r="HTL47" s="279"/>
      <c r="HTM47" s="279"/>
      <c r="HTN47" s="279"/>
      <c r="HTO47" s="279"/>
      <c r="HTP47" s="279"/>
      <c r="HTQ47" s="279"/>
      <c r="HTR47" s="279"/>
      <c r="HTS47" s="279"/>
      <c r="HTT47" s="279"/>
      <c r="HTU47" s="279"/>
      <c r="HTV47" s="279"/>
      <c r="HTW47" s="279"/>
      <c r="HTX47" s="279"/>
      <c r="HTY47" s="279"/>
      <c r="HTZ47" s="279"/>
      <c r="HUA47" s="279"/>
      <c r="HUB47" s="279"/>
      <c r="HUC47" s="279"/>
      <c r="HUD47" s="279"/>
      <c r="HUE47" s="279"/>
      <c r="HUF47" s="279"/>
      <c r="HUG47" s="279"/>
      <c r="HUH47" s="279"/>
      <c r="HUI47" s="279"/>
      <c r="HUJ47" s="279"/>
      <c r="HUK47" s="279"/>
      <c r="HUL47" s="279"/>
      <c r="HUM47" s="279"/>
      <c r="HUN47" s="279"/>
      <c r="HUO47" s="279"/>
      <c r="HUP47" s="279"/>
      <c r="HUQ47" s="279"/>
      <c r="HUR47" s="279"/>
      <c r="HUS47" s="279"/>
      <c r="HUT47" s="279"/>
      <c r="HUU47" s="279"/>
      <c r="HUV47" s="279"/>
      <c r="HUW47" s="279"/>
      <c r="HUX47" s="279"/>
      <c r="HUY47" s="279"/>
      <c r="HUZ47" s="279"/>
      <c r="HVA47" s="279"/>
      <c r="HVB47" s="279"/>
      <c r="HVC47" s="279"/>
      <c r="HVD47" s="279"/>
      <c r="HVE47" s="279"/>
      <c r="HVF47" s="279"/>
      <c r="HVG47" s="279"/>
      <c r="HVH47" s="279"/>
      <c r="HVI47" s="279"/>
      <c r="HVJ47" s="279"/>
      <c r="HVK47" s="279"/>
      <c r="HVL47" s="279"/>
      <c r="HVM47" s="279"/>
      <c r="HVN47" s="279"/>
      <c r="HVO47" s="279"/>
      <c r="HVP47" s="279"/>
      <c r="HVQ47" s="279"/>
      <c r="HVR47" s="279"/>
      <c r="HVS47" s="279"/>
      <c r="HVT47" s="279"/>
      <c r="HVU47" s="279"/>
      <c r="HVV47" s="279"/>
      <c r="HVW47" s="279"/>
      <c r="HVX47" s="279"/>
      <c r="HVY47" s="279"/>
      <c r="HVZ47" s="279"/>
      <c r="HWA47" s="279"/>
      <c r="HWB47" s="279"/>
      <c r="HWC47" s="279"/>
      <c r="HWD47" s="279"/>
      <c r="HWE47" s="279"/>
      <c r="HWF47" s="279"/>
      <c r="HWG47" s="279"/>
      <c r="HWH47" s="279"/>
      <c r="HWI47" s="279"/>
      <c r="HWJ47" s="279"/>
      <c r="HWK47" s="279"/>
      <c r="HWL47" s="279"/>
      <c r="HWM47" s="279"/>
      <c r="HWN47" s="279"/>
      <c r="HWO47" s="279"/>
      <c r="HWP47" s="279"/>
      <c r="HWQ47" s="279"/>
      <c r="HWR47" s="279"/>
      <c r="HWS47" s="279"/>
      <c r="HWT47" s="279"/>
      <c r="HWU47" s="279"/>
      <c r="HWV47" s="279"/>
      <c r="HWW47" s="279"/>
      <c r="HWX47" s="279"/>
      <c r="HWY47" s="279"/>
      <c r="HWZ47" s="279"/>
      <c r="HXA47" s="279"/>
      <c r="HXB47" s="279"/>
      <c r="HXC47" s="279"/>
      <c r="HXD47" s="279"/>
      <c r="HXE47" s="279"/>
      <c r="HXF47" s="279"/>
      <c r="HXG47" s="279"/>
      <c r="HXH47" s="279"/>
      <c r="HXI47" s="279"/>
      <c r="HXJ47" s="279"/>
      <c r="HXK47" s="279"/>
      <c r="HXL47" s="279"/>
      <c r="HXM47" s="279"/>
      <c r="HXN47" s="279"/>
      <c r="HXO47" s="279"/>
      <c r="HXP47" s="279"/>
      <c r="HXQ47" s="279"/>
      <c r="HXR47" s="279"/>
      <c r="HXS47" s="279"/>
      <c r="HXT47" s="279"/>
      <c r="HXU47" s="279"/>
      <c r="HXV47" s="279"/>
      <c r="HXW47" s="279"/>
      <c r="HXX47" s="279"/>
      <c r="HXY47" s="279"/>
      <c r="HXZ47" s="279"/>
      <c r="HYA47" s="279"/>
      <c r="HYB47" s="279"/>
      <c r="HYC47" s="279"/>
      <c r="HYD47" s="279"/>
      <c r="HYE47" s="279"/>
      <c r="HYF47" s="279"/>
      <c r="HYG47" s="279"/>
      <c r="HYH47" s="279"/>
      <c r="HYI47" s="279"/>
      <c r="HYJ47" s="279"/>
      <c r="HYK47" s="279"/>
      <c r="HYL47" s="279"/>
      <c r="HYM47" s="279"/>
      <c r="HYN47" s="279"/>
      <c r="HYO47" s="279"/>
      <c r="HYP47" s="279"/>
      <c r="HYQ47" s="279"/>
      <c r="HYR47" s="279"/>
      <c r="HYS47" s="279"/>
      <c r="HYT47" s="279"/>
      <c r="HYU47" s="279"/>
      <c r="HYV47" s="279"/>
      <c r="HYW47" s="279"/>
      <c r="HYX47" s="279"/>
      <c r="HYY47" s="279"/>
      <c r="HYZ47" s="279"/>
      <c r="HZA47" s="279"/>
      <c r="HZB47" s="279"/>
      <c r="HZC47" s="279"/>
      <c r="HZD47" s="279"/>
      <c r="HZE47" s="279"/>
      <c r="HZF47" s="279"/>
      <c r="HZG47" s="279"/>
      <c r="HZH47" s="279"/>
      <c r="HZI47" s="279"/>
      <c r="HZJ47" s="279"/>
      <c r="HZK47" s="279"/>
      <c r="HZL47" s="279"/>
      <c r="HZM47" s="279"/>
      <c r="HZN47" s="279"/>
      <c r="HZO47" s="279"/>
      <c r="HZP47" s="279"/>
      <c r="HZQ47" s="279"/>
      <c r="HZR47" s="279"/>
      <c r="HZS47" s="279"/>
      <c r="HZT47" s="279"/>
      <c r="HZU47" s="279"/>
      <c r="HZV47" s="279"/>
      <c r="HZW47" s="279"/>
      <c r="HZX47" s="279"/>
      <c r="HZY47" s="279"/>
      <c r="HZZ47" s="279"/>
      <c r="IAA47" s="279"/>
      <c r="IAB47" s="279"/>
      <c r="IAC47" s="279"/>
      <c r="IAD47" s="279"/>
      <c r="IAE47" s="279"/>
      <c r="IAF47" s="279"/>
      <c r="IAG47" s="279"/>
      <c r="IAH47" s="279"/>
      <c r="IAI47" s="279"/>
      <c r="IAJ47" s="279"/>
      <c r="IAK47" s="279"/>
      <c r="IAL47" s="279"/>
      <c r="IAM47" s="279"/>
      <c r="IAN47" s="279"/>
      <c r="IAO47" s="279"/>
      <c r="IAP47" s="279"/>
      <c r="IAQ47" s="279"/>
      <c r="IAR47" s="279"/>
      <c r="IAS47" s="279"/>
      <c r="IAT47" s="279"/>
      <c r="IAU47" s="279"/>
      <c r="IAV47" s="279"/>
      <c r="IAW47" s="279"/>
      <c r="IAX47" s="279"/>
      <c r="IAY47" s="279"/>
      <c r="IAZ47" s="279"/>
      <c r="IBA47" s="279"/>
      <c r="IBB47" s="279"/>
      <c r="IBC47" s="279"/>
      <c r="IBD47" s="279"/>
      <c r="IBE47" s="279"/>
      <c r="IBF47" s="279"/>
      <c r="IBG47" s="279"/>
      <c r="IBH47" s="279"/>
      <c r="IBI47" s="279"/>
      <c r="IBJ47" s="279"/>
      <c r="IBK47" s="279"/>
      <c r="IBL47" s="279"/>
      <c r="IBM47" s="279"/>
      <c r="IBN47" s="279"/>
      <c r="IBO47" s="279"/>
      <c r="IBP47" s="279"/>
      <c r="IBQ47" s="279"/>
      <c r="IBR47" s="279"/>
      <c r="IBS47" s="279"/>
      <c r="IBT47" s="279"/>
      <c r="IBU47" s="279"/>
      <c r="IBV47" s="279"/>
      <c r="IBW47" s="279"/>
      <c r="IBX47" s="279"/>
      <c r="IBY47" s="279"/>
      <c r="IBZ47" s="279"/>
      <c r="ICA47" s="279"/>
      <c r="ICB47" s="279"/>
      <c r="ICC47" s="279"/>
      <c r="ICD47" s="279"/>
      <c r="ICE47" s="279"/>
      <c r="ICF47" s="279"/>
      <c r="ICG47" s="279"/>
      <c r="ICH47" s="279"/>
      <c r="ICI47" s="279"/>
      <c r="ICJ47" s="279"/>
      <c r="ICK47" s="279"/>
      <c r="ICL47" s="279"/>
      <c r="ICM47" s="279"/>
      <c r="ICN47" s="279"/>
      <c r="ICO47" s="279"/>
      <c r="ICP47" s="279"/>
      <c r="ICQ47" s="279"/>
      <c r="ICR47" s="279"/>
      <c r="ICS47" s="279"/>
      <c r="ICT47" s="279"/>
      <c r="ICU47" s="279"/>
      <c r="ICV47" s="279"/>
      <c r="ICW47" s="279"/>
      <c r="ICX47" s="279"/>
      <c r="ICY47" s="279"/>
      <c r="ICZ47" s="279"/>
      <c r="IDA47" s="279"/>
      <c r="IDB47" s="279"/>
      <c r="IDC47" s="279"/>
      <c r="IDD47" s="279"/>
      <c r="IDE47" s="279"/>
      <c r="IDF47" s="279"/>
      <c r="IDG47" s="279"/>
      <c r="IDH47" s="279"/>
      <c r="IDI47" s="279"/>
      <c r="IDJ47" s="279"/>
      <c r="IDK47" s="279"/>
      <c r="IDL47" s="279"/>
      <c r="IDM47" s="279"/>
      <c r="IDN47" s="279"/>
      <c r="IDO47" s="279"/>
      <c r="IDP47" s="279"/>
      <c r="IDQ47" s="279"/>
      <c r="IDR47" s="279"/>
      <c r="IDS47" s="279"/>
      <c r="IDT47" s="279"/>
      <c r="IDU47" s="279"/>
      <c r="IDV47" s="279"/>
      <c r="IDW47" s="279"/>
      <c r="IDX47" s="279"/>
      <c r="IDY47" s="279"/>
      <c r="IDZ47" s="279"/>
      <c r="IEA47" s="279"/>
      <c r="IEB47" s="279"/>
      <c r="IEC47" s="279"/>
      <c r="IED47" s="279"/>
      <c r="IEE47" s="279"/>
      <c r="IEF47" s="279"/>
      <c r="IEG47" s="279"/>
      <c r="IEH47" s="279"/>
      <c r="IEI47" s="279"/>
      <c r="IEJ47" s="279"/>
      <c r="IEK47" s="279"/>
      <c r="IEL47" s="279"/>
      <c r="IEM47" s="279"/>
      <c r="IEN47" s="279"/>
      <c r="IEO47" s="279"/>
      <c r="IEP47" s="279"/>
      <c r="IEQ47" s="279"/>
      <c r="IER47" s="279"/>
      <c r="IES47" s="279"/>
      <c r="IET47" s="279"/>
      <c r="IEU47" s="279"/>
      <c r="IEV47" s="279"/>
      <c r="IEW47" s="279"/>
      <c r="IEX47" s="279"/>
      <c r="IEY47" s="279"/>
      <c r="IEZ47" s="279"/>
      <c r="IFA47" s="279"/>
      <c r="IFB47" s="279"/>
      <c r="IFC47" s="279"/>
      <c r="IFD47" s="279"/>
      <c r="IFE47" s="279"/>
      <c r="IFF47" s="279"/>
      <c r="IFG47" s="279"/>
      <c r="IFH47" s="279"/>
      <c r="IFI47" s="279"/>
      <c r="IFJ47" s="279"/>
      <c r="IFK47" s="279"/>
      <c r="IFL47" s="279"/>
      <c r="IFM47" s="279"/>
      <c r="IFN47" s="279"/>
      <c r="IFO47" s="279"/>
      <c r="IFP47" s="279"/>
      <c r="IFQ47" s="279"/>
      <c r="IFR47" s="279"/>
      <c r="IFS47" s="279"/>
      <c r="IFT47" s="279"/>
      <c r="IFU47" s="279"/>
      <c r="IFV47" s="279"/>
      <c r="IFW47" s="279"/>
      <c r="IFX47" s="279"/>
      <c r="IFY47" s="279"/>
      <c r="IFZ47" s="279"/>
      <c r="IGA47" s="279"/>
      <c r="IGB47" s="279"/>
      <c r="IGC47" s="279"/>
      <c r="IGD47" s="279"/>
      <c r="IGE47" s="279"/>
      <c r="IGF47" s="279"/>
      <c r="IGG47" s="279"/>
      <c r="IGH47" s="279"/>
      <c r="IGI47" s="279"/>
      <c r="IGJ47" s="279"/>
      <c r="IGK47" s="279"/>
      <c r="IGL47" s="279"/>
      <c r="IGM47" s="279"/>
      <c r="IGN47" s="279"/>
      <c r="IGO47" s="279"/>
      <c r="IGP47" s="279"/>
      <c r="IGQ47" s="279"/>
      <c r="IGR47" s="279"/>
      <c r="IGS47" s="279"/>
      <c r="IGT47" s="279"/>
      <c r="IGU47" s="279"/>
      <c r="IGV47" s="279"/>
      <c r="IGW47" s="279"/>
      <c r="IGX47" s="279"/>
      <c r="IGY47" s="279"/>
      <c r="IGZ47" s="279"/>
      <c r="IHA47" s="279"/>
      <c r="IHB47" s="279"/>
      <c r="IHC47" s="279"/>
      <c r="IHD47" s="279"/>
      <c r="IHE47" s="279"/>
      <c r="IHF47" s="279"/>
      <c r="IHG47" s="279"/>
      <c r="IHH47" s="279"/>
      <c r="IHI47" s="279"/>
      <c r="IHJ47" s="279"/>
      <c r="IHK47" s="279"/>
      <c r="IHL47" s="279"/>
      <c r="IHM47" s="279"/>
      <c r="IHN47" s="279"/>
      <c r="IHO47" s="279"/>
      <c r="IHP47" s="279"/>
      <c r="IHQ47" s="279"/>
      <c r="IHR47" s="279"/>
      <c r="IHS47" s="279"/>
      <c r="IHT47" s="279"/>
      <c r="IHU47" s="279"/>
      <c r="IHV47" s="279"/>
      <c r="IHW47" s="279"/>
      <c r="IHX47" s="279"/>
      <c r="IHY47" s="279"/>
      <c r="IHZ47" s="279"/>
      <c r="IIA47" s="279"/>
      <c r="IIB47" s="279"/>
      <c r="IIC47" s="279"/>
      <c r="IID47" s="279"/>
      <c r="IIE47" s="279"/>
      <c r="IIF47" s="279"/>
      <c r="IIG47" s="279"/>
      <c r="IIH47" s="279"/>
      <c r="III47" s="279"/>
      <c r="IIJ47" s="279"/>
      <c r="IIK47" s="279"/>
      <c r="IIL47" s="279"/>
      <c r="IIM47" s="279"/>
      <c r="IIN47" s="279"/>
      <c r="IIO47" s="279"/>
      <c r="IIP47" s="279"/>
      <c r="IIQ47" s="279"/>
      <c r="IIR47" s="279"/>
      <c r="IIS47" s="279"/>
      <c r="IIT47" s="279"/>
      <c r="IIU47" s="279"/>
      <c r="IIV47" s="279"/>
      <c r="IIW47" s="279"/>
      <c r="IIX47" s="279"/>
      <c r="IIY47" s="279"/>
      <c r="IIZ47" s="279"/>
      <c r="IJA47" s="279"/>
      <c r="IJB47" s="279"/>
      <c r="IJC47" s="279"/>
      <c r="IJD47" s="279"/>
      <c r="IJE47" s="279"/>
      <c r="IJF47" s="279"/>
      <c r="IJG47" s="279"/>
      <c r="IJH47" s="279"/>
      <c r="IJI47" s="279"/>
      <c r="IJJ47" s="279"/>
      <c r="IJK47" s="279"/>
      <c r="IJL47" s="279"/>
      <c r="IJM47" s="279"/>
      <c r="IJN47" s="279"/>
      <c r="IJO47" s="279"/>
      <c r="IJP47" s="279"/>
      <c r="IJQ47" s="279"/>
      <c r="IJR47" s="279"/>
      <c r="IJS47" s="279"/>
      <c r="IJT47" s="279"/>
      <c r="IJU47" s="279"/>
      <c r="IJV47" s="279"/>
      <c r="IJW47" s="279"/>
      <c r="IJX47" s="279"/>
      <c r="IJY47" s="279"/>
      <c r="IJZ47" s="279"/>
      <c r="IKA47" s="279"/>
      <c r="IKB47" s="279"/>
      <c r="IKC47" s="279"/>
      <c r="IKD47" s="279"/>
      <c r="IKE47" s="279"/>
      <c r="IKF47" s="279"/>
      <c r="IKG47" s="279"/>
      <c r="IKH47" s="279"/>
      <c r="IKI47" s="279"/>
      <c r="IKJ47" s="279"/>
      <c r="IKK47" s="279"/>
      <c r="IKL47" s="279"/>
      <c r="IKM47" s="279"/>
      <c r="IKN47" s="279"/>
      <c r="IKO47" s="279"/>
      <c r="IKP47" s="279"/>
      <c r="IKQ47" s="279"/>
      <c r="IKR47" s="279"/>
      <c r="IKS47" s="279"/>
      <c r="IKT47" s="279"/>
      <c r="IKU47" s="279"/>
      <c r="IKV47" s="279"/>
      <c r="IKW47" s="279"/>
      <c r="IKX47" s="279"/>
      <c r="IKY47" s="279"/>
      <c r="IKZ47" s="279"/>
      <c r="ILA47" s="279"/>
      <c r="ILB47" s="279"/>
      <c r="ILC47" s="279"/>
      <c r="ILD47" s="279"/>
      <c r="ILE47" s="279"/>
      <c r="ILF47" s="279"/>
      <c r="ILG47" s="279"/>
      <c r="ILH47" s="279"/>
      <c r="ILI47" s="279"/>
      <c r="ILJ47" s="279"/>
      <c r="ILK47" s="279"/>
      <c r="ILL47" s="279"/>
      <c r="ILM47" s="279"/>
      <c r="ILN47" s="279"/>
      <c r="ILO47" s="279"/>
      <c r="ILP47" s="279"/>
      <c r="ILQ47" s="279"/>
      <c r="ILR47" s="279"/>
      <c r="ILS47" s="279"/>
      <c r="ILT47" s="279"/>
      <c r="ILU47" s="279"/>
      <c r="ILV47" s="279"/>
      <c r="ILW47" s="279"/>
      <c r="ILX47" s="279"/>
      <c r="ILY47" s="279"/>
      <c r="ILZ47" s="279"/>
      <c r="IMA47" s="279"/>
      <c r="IMB47" s="279"/>
      <c r="IMC47" s="279"/>
      <c r="IMD47" s="279"/>
      <c r="IME47" s="279"/>
      <c r="IMF47" s="279"/>
      <c r="IMG47" s="279"/>
      <c r="IMH47" s="279"/>
      <c r="IMI47" s="279"/>
      <c r="IMJ47" s="279"/>
      <c r="IMK47" s="279"/>
      <c r="IML47" s="279"/>
      <c r="IMM47" s="279"/>
      <c r="IMN47" s="279"/>
      <c r="IMO47" s="279"/>
      <c r="IMP47" s="279"/>
      <c r="IMQ47" s="279"/>
      <c r="IMR47" s="279"/>
      <c r="IMS47" s="279"/>
      <c r="IMT47" s="279"/>
      <c r="IMU47" s="279"/>
      <c r="IMV47" s="279"/>
      <c r="IMW47" s="279"/>
      <c r="IMX47" s="279"/>
      <c r="IMY47" s="279"/>
      <c r="IMZ47" s="279"/>
      <c r="INA47" s="279"/>
      <c r="INB47" s="279"/>
      <c r="INC47" s="279"/>
      <c r="IND47" s="279"/>
      <c r="INE47" s="279"/>
      <c r="INF47" s="279"/>
      <c r="ING47" s="279"/>
      <c r="INH47" s="279"/>
      <c r="INI47" s="279"/>
      <c r="INJ47" s="279"/>
      <c r="INK47" s="279"/>
      <c r="INL47" s="279"/>
      <c r="INM47" s="279"/>
      <c r="INN47" s="279"/>
      <c r="INO47" s="279"/>
      <c r="INP47" s="279"/>
      <c r="INQ47" s="279"/>
      <c r="INR47" s="279"/>
      <c r="INS47" s="279"/>
      <c r="INT47" s="279"/>
      <c r="INU47" s="279"/>
      <c r="INV47" s="279"/>
      <c r="INW47" s="279"/>
      <c r="INX47" s="279"/>
      <c r="INY47" s="279"/>
      <c r="INZ47" s="279"/>
      <c r="IOA47" s="279"/>
      <c r="IOB47" s="279"/>
      <c r="IOC47" s="279"/>
      <c r="IOD47" s="279"/>
      <c r="IOE47" s="279"/>
      <c r="IOF47" s="279"/>
      <c r="IOG47" s="279"/>
      <c r="IOH47" s="279"/>
      <c r="IOI47" s="279"/>
      <c r="IOJ47" s="279"/>
      <c r="IOK47" s="279"/>
      <c r="IOL47" s="279"/>
      <c r="IOM47" s="279"/>
      <c r="ION47" s="279"/>
      <c r="IOO47" s="279"/>
      <c r="IOP47" s="279"/>
      <c r="IOQ47" s="279"/>
      <c r="IOR47" s="279"/>
      <c r="IOS47" s="279"/>
      <c r="IOT47" s="279"/>
      <c r="IOU47" s="279"/>
      <c r="IOV47" s="279"/>
      <c r="IOW47" s="279"/>
      <c r="IOX47" s="279"/>
      <c r="IOY47" s="279"/>
      <c r="IOZ47" s="279"/>
      <c r="IPA47" s="279"/>
      <c r="IPB47" s="279"/>
      <c r="IPC47" s="279"/>
      <c r="IPD47" s="279"/>
      <c r="IPE47" s="279"/>
      <c r="IPF47" s="279"/>
      <c r="IPG47" s="279"/>
      <c r="IPH47" s="279"/>
      <c r="IPI47" s="279"/>
      <c r="IPJ47" s="279"/>
      <c r="IPK47" s="279"/>
      <c r="IPL47" s="279"/>
      <c r="IPM47" s="279"/>
      <c r="IPN47" s="279"/>
      <c r="IPO47" s="279"/>
      <c r="IPP47" s="279"/>
      <c r="IPQ47" s="279"/>
      <c r="IPR47" s="279"/>
      <c r="IPS47" s="279"/>
      <c r="IPT47" s="279"/>
      <c r="IPU47" s="279"/>
      <c r="IPV47" s="279"/>
      <c r="IPW47" s="279"/>
      <c r="IPX47" s="279"/>
      <c r="IPY47" s="279"/>
      <c r="IPZ47" s="279"/>
      <c r="IQA47" s="279"/>
      <c r="IQB47" s="279"/>
      <c r="IQC47" s="279"/>
      <c r="IQD47" s="279"/>
      <c r="IQE47" s="279"/>
      <c r="IQF47" s="279"/>
      <c r="IQG47" s="279"/>
      <c r="IQH47" s="279"/>
      <c r="IQI47" s="279"/>
      <c r="IQJ47" s="279"/>
      <c r="IQK47" s="279"/>
      <c r="IQL47" s="279"/>
      <c r="IQM47" s="279"/>
      <c r="IQN47" s="279"/>
      <c r="IQO47" s="279"/>
      <c r="IQP47" s="279"/>
      <c r="IQQ47" s="279"/>
      <c r="IQR47" s="279"/>
      <c r="IQS47" s="279"/>
      <c r="IQT47" s="279"/>
      <c r="IQU47" s="279"/>
      <c r="IQV47" s="279"/>
      <c r="IQW47" s="279"/>
      <c r="IQX47" s="279"/>
      <c r="IQY47" s="279"/>
      <c r="IQZ47" s="279"/>
      <c r="IRA47" s="279"/>
      <c r="IRB47" s="279"/>
      <c r="IRC47" s="279"/>
      <c r="IRD47" s="279"/>
      <c r="IRE47" s="279"/>
      <c r="IRF47" s="279"/>
      <c r="IRG47" s="279"/>
      <c r="IRH47" s="279"/>
      <c r="IRI47" s="279"/>
      <c r="IRJ47" s="279"/>
      <c r="IRK47" s="279"/>
      <c r="IRL47" s="279"/>
      <c r="IRM47" s="279"/>
      <c r="IRN47" s="279"/>
      <c r="IRO47" s="279"/>
      <c r="IRP47" s="279"/>
      <c r="IRQ47" s="279"/>
      <c r="IRR47" s="279"/>
      <c r="IRS47" s="279"/>
      <c r="IRT47" s="279"/>
      <c r="IRU47" s="279"/>
      <c r="IRV47" s="279"/>
      <c r="IRW47" s="279"/>
      <c r="IRX47" s="279"/>
      <c r="IRY47" s="279"/>
      <c r="IRZ47" s="279"/>
      <c r="ISA47" s="279"/>
      <c r="ISB47" s="279"/>
      <c r="ISC47" s="279"/>
      <c r="ISD47" s="279"/>
      <c r="ISE47" s="279"/>
      <c r="ISF47" s="279"/>
      <c r="ISG47" s="279"/>
      <c r="ISH47" s="279"/>
      <c r="ISI47" s="279"/>
      <c r="ISJ47" s="279"/>
      <c r="ISK47" s="279"/>
      <c r="ISL47" s="279"/>
      <c r="ISM47" s="279"/>
      <c r="ISN47" s="279"/>
      <c r="ISO47" s="279"/>
      <c r="ISP47" s="279"/>
      <c r="ISQ47" s="279"/>
      <c r="ISR47" s="279"/>
      <c r="ISS47" s="279"/>
      <c r="IST47" s="279"/>
      <c r="ISU47" s="279"/>
      <c r="ISV47" s="279"/>
      <c r="ISW47" s="279"/>
      <c r="ISX47" s="279"/>
      <c r="ISY47" s="279"/>
      <c r="ISZ47" s="279"/>
      <c r="ITA47" s="279"/>
      <c r="ITB47" s="279"/>
      <c r="ITC47" s="279"/>
      <c r="ITD47" s="279"/>
      <c r="ITE47" s="279"/>
      <c r="ITF47" s="279"/>
      <c r="ITG47" s="279"/>
      <c r="ITH47" s="279"/>
      <c r="ITI47" s="279"/>
      <c r="ITJ47" s="279"/>
      <c r="ITK47" s="279"/>
      <c r="ITL47" s="279"/>
      <c r="ITM47" s="279"/>
      <c r="ITN47" s="279"/>
      <c r="ITO47" s="279"/>
      <c r="ITP47" s="279"/>
      <c r="ITQ47" s="279"/>
      <c r="ITR47" s="279"/>
      <c r="ITS47" s="279"/>
      <c r="ITT47" s="279"/>
      <c r="ITU47" s="279"/>
      <c r="ITV47" s="279"/>
      <c r="ITW47" s="279"/>
      <c r="ITX47" s="279"/>
      <c r="ITY47" s="279"/>
      <c r="ITZ47" s="279"/>
      <c r="IUA47" s="279"/>
      <c r="IUB47" s="279"/>
      <c r="IUC47" s="279"/>
      <c r="IUD47" s="279"/>
      <c r="IUE47" s="279"/>
      <c r="IUF47" s="279"/>
      <c r="IUG47" s="279"/>
      <c r="IUH47" s="279"/>
      <c r="IUI47" s="279"/>
      <c r="IUJ47" s="279"/>
      <c r="IUK47" s="279"/>
      <c r="IUL47" s="279"/>
      <c r="IUM47" s="279"/>
      <c r="IUN47" s="279"/>
      <c r="IUO47" s="279"/>
      <c r="IUP47" s="279"/>
      <c r="IUQ47" s="279"/>
      <c r="IUR47" s="279"/>
      <c r="IUS47" s="279"/>
      <c r="IUT47" s="279"/>
      <c r="IUU47" s="279"/>
      <c r="IUV47" s="279"/>
      <c r="IUW47" s="279"/>
      <c r="IUX47" s="279"/>
      <c r="IUY47" s="279"/>
      <c r="IUZ47" s="279"/>
      <c r="IVA47" s="279"/>
      <c r="IVB47" s="279"/>
      <c r="IVC47" s="279"/>
      <c r="IVD47" s="279"/>
      <c r="IVE47" s="279"/>
      <c r="IVF47" s="279"/>
      <c r="IVG47" s="279"/>
      <c r="IVH47" s="279"/>
      <c r="IVI47" s="279"/>
      <c r="IVJ47" s="279"/>
      <c r="IVK47" s="279"/>
      <c r="IVL47" s="279"/>
      <c r="IVM47" s="279"/>
      <c r="IVN47" s="279"/>
      <c r="IVO47" s="279"/>
      <c r="IVP47" s="279"/>
      <c r="IVQ47" s="279"/>
      <c r="IVR47" s="279"/>
      <c r="IVS47" s="279"/>
      <c r="IVT47" s="279"/>
      <c r="IVU47" s="279"/>
      <c r="IVV47" s="279"/>
      <c r="IVW47" s="279"/>
      <c r="IVX47" s="279"/>
      <c r="IVY47" s="279"/>
      <c r="IVZ47" s="279"/>
      <c r="IWA47" s="279"/>
      <c r="IWB47" s="279"/>
      <c r="IWC47" s="279"/>
      <c r="IWD47" s="279"/>
      <c r="IWE47" s="279"/>
      <c r="IWF47" s="279"/>
      <c r="IWG47" s="279"/>
      <c r="IWH47" s="279"/>
      <c r="IWI47" s="279"/>
      <c r="IWJ47" s="279"/>
      <c r="IWK47" s="279"/>
      <c r="IWL47" s="279"/>
      <c r="IWM47" s="279"/>
      <c r="IWN47" s="279"/>
      <c r="IWO47" s="279"/>
      <c r="IWP47" s="279"/>
      <c r="IWQ47" s="279"/>
      <c r="IWR47" s="279"/>
      <c r="IWS47" s="279"/>
      <c r="IWT47" s="279"/>
      <c r="IWU47" s="279"/>
      <c r="IWV47" s="279"/>
      <c r="IWW47" s="279"/>
      <c r="IWX47" s="279"/>
      <c r="IWY47" s="279"/>
      <c r="IWZ47" s="279"/>
      <c r="IXA47" s="279"/>
      <c r="IXB47" s="279"/>
      <c r="IXC47" s="279"/>
      <c r="IXD47" s="279"/>
      <c r="IXE47" s="279"/>
      <c r="IXF47" s="279"/>
      <c r="IXG47" s="279"/>
      <c r="IXH47" s="279"/>
      <c r="IXI47" s="279"/>
      <c r="IXJ47" s="279"/>
      <c r="IXK47" s="279"/>
      <c r="IXL47" s="279"/>
      <c r="IXM47" s="279"/>
      <c r="IXN47" s="279"/>
      <c r="IXO47" s="279"/>
      <c r="IXP47" s="279"/>
      <c r="IXQ47" s="279"/>
      <c r="IXR47" s="279"/>
      <c r="IXS47" s="279"/>
      <c r="IXT47" s="279"/>
      <c r="IXU47" s="279"/>
      <c r="IXV47" s="279"/>
      <c r="IXW47" s="279"/>
      <c r="IXX47" s="279"/>
      <c r="IXY47" s="279"/>
      <c r="IXZ47" s="279"/>
      <c r="IYA47" s="279"/>
      <c r="IYB47" s="279"/>
      <c r="IYC47" s="279"/>
      <c r="IYD47" s="279"/>
      <c r="IYE47" s="279"/>
      <c r="IYF47" s="279"/>
      <c r="IYG47" s="279"/>
      <c r="IYH47" s="279"/>
      <c r="IYI47" s="279"/>
      <c r="IYJ47" s="279"/>
      <c r="IYK47" s="279"/>
      <c r="IYL47" s="279"/>
      <c r="IYM47" s="279"/>
      <c r="IYN47" s="279"/>
      <c r="IYO47" s="279"/>
      <c r="IYP47" s="279"/>
      <c r="IYQ47" s="279"/>
      <c r="IYR47" s="279"/>
      <c r="IYS47" s="279"/>
      <c r="IYT47" s="279"/>
      <c r="IYU47" s="279"/>
      <c r="IYV47" s="279"/>
      <c r="IYW47" s="279"/>
      <c r="IYX47" s="279"/>
      <c r="IYY47" s="279"/>
      <c r="IYZ47" s="279"/>
      <c r="IZA47" s="279"/>
      <c r="IZB47" s="279"/>
      <c r="IZC47" s="279"/>
      <c r="IZD47" s="279"/>
      <c r="IZE47" s="279"/>
      <c r="IZF47" s="279"/>
      <c r="IZG47" s="279"/>
      <c r="IZH47" s="279"/>
      <c r="IZI47" s="279"/>
      <c r="IZJ47" s="279"/>
      <c r="IZK47" s="279"/>
      <c r="IZL47" s="279"/>
      <c r="IZM47" s="279"/>
      <c r="IZN47" s="279"/>
      <c r="IZO47" s="279"/>
      <c r="IZP47" s="279"/>
      <c r="IZQ47" s="279"/>
      <c r="IZR47" s="279"/>
      <c r="IZS47" s="279"/>
      <c r="IZT47" s="279"/>
      <c r="IZU47" s="279"/>
      <c r="IZV47" s="279"/>
      <c r="IZW47" s="279"/>
      <c r="IZX47" s="279"/>
      <c r="IZY47" s="279"/>
      <c r="IZZ47" s="279"/>
      <c r="JAA47" s="279"/>
      <c r="JAB47" s="279"/>
      <c r="JAC47" s="279"/>
      <c r="JAD47" s="279"/>
      <c r="JAE47" s="279"/>
      <c r="JAF47" s="279"/>
      <c r="JAG47" s="279"/>
      <c r="JAH47" s="279"/>
      <c r="JAI47" s="279"/>
      <c r="JAJ47" s="279"/>
      <c r="JAK47" s="279"/>
      <c r="JAL47" s="279"/>
      <c r="JAM47" s="279"/>
      <c r="JAN47" s="279"/>
      <c r="JAO47" s="279"/>
      <c r="JAP47" s="279"/>
      <c r="JAQ47" s="279"/>
      <c r="JAR47" s="279"/>
      <c r="JAS47" s="279"/>
      <c r="JAT47" s="279"/>
      <c r="JAU47" s="279"/>
      <c r="JAV47" s="279"/>
      <c r="JAW47" s="279"/>
      <c r="JAX47" s="279"/>
      <c r="JAY47" s="279"/>
      <c r="JAZ47" s="279"/>
      <c r="JBA47" s="279"/>
      <c r="JBB47" s="279"/>
      <c r="JBC47" s="279"/>
      <c r="JBD47" s="279"/>
      <c r="JBE47" s="279"/>
      <c r="JBF47" s="279"/>
      <c r="JBG47" s="279"/>
      <c r="JBH47" s="279"/>
      <c r="JBI47" s="279"/>
      <c r="JBJ47" s="279"/>
      <c r="JBK47" s="279"/>
      <c r="JBL47" s="279"/>
      <c r="JBM47" s="279"/>
      <c r="JBN47" s="279"/>
      <c r="JBO47" s="279"/>
      <c r="JBP47" s="279"/>
      <c r="JBQ47" s="279"/>
      <c r="JBR47" s="279"/>
      <c r="JBS47" s="279"/>
      <c r="JBT47" s="279"/>
      <c r="JBU47" s="279"/>
      <c r="JBV47" s="279"/>
      <c r="JBW47" s="279"/>
      <c r="JBX47" s="279"/>
      <c r="JBY47" s="279"/>
      <c r="JBZ47" s="279"/>
      <c r="JCA47" s="279"/>
      <c r="JCB47" s="279"/>
      <c r="JCC47" s="279"/>
      <c r="JCD47" s="279"/>
      <c r="JCE47" s="279"/>
      <c r="JCF47" s="279"/>
      <c r="JCG47" s="279"/>
      <c r="JCH47" s="279"/>
      <c r="JCI47" s="279"/>
      <c r="JCJ47" s="279"/>
      <c r="JCK47" s="279"/>
      <c r="JCL47" s="279"/>
      <c r="JCM47" s="279"/>
      <c r="JCN47" s="279"/>
      <c r="JCO47" s="279"/>
      <c r="JCP47" s="279"/>
      <c r="JCQ47" s="279"/>
      <c r="JCR47" s="279"/>
      <c r="JCS47" s="279"/>
      <c r="JCT47" s="279"/>
      <c r="JCU47" s="279"/>
      <c r="JCV47" s="279"/>
      <c r="JCW47" s="279"/>
      <c r="JCX47" s="279"/>
      <c r="JCY47" s="279"/>
      <c r="JCZ47" s="279"/>
      <c r="JDA47" s="279"/>
      <c r="JDB47" s="279"/>
      <c r="JDC47" s="279"/>
      <c r="JDD47" s="279"/>
      <c r="JDE47" s="279"/>
      <c r="JDF47" s="279"/>
      <c r="JDG47" s="279"/>
      <c r="JDH47" s="279"/>
      <c r="JDI47" s="279"/>
      <c r="JDJ47" s="279"/>
      <c r="JDK47" s="279"/>
      <c r="JDL47" s="279"/>
      <c r="JDM47" s="279"/>
      <c r="JDN47" s="279"/>
      <c r="JDO47" s="279"/>
      <c r="JDP47" s="279"/>
      <c r="JDQ47" s="279"/>
      <c r="JDR47" s="279"/>
      <c r="JDS47" s="279"/>
      <c r="JDT47" s="279"/>
      <c r="JDU47" s="279"/>
      <c r="JDV47" s="279"/>
      <c r="JDW47" s="279"/>
      <c r="JDX47" s="279"/>
      <c r="JDY47" s="279"/>
      <c r="JDZ47" s="279"/>
      <c r="JEA47" s="279"/>
      <c r="JEB47" s="279"/>
      <c r="JEC47" s="279"/>
      <c r="JED47" s="279"/>
      <c r="JEE47" s="279"/>
      <c r="JEF47" s="279"/>
      <c r="JEG47" s="279"/>
      <c r="JEH47" s="279"/>
      <c r="JEI47" s="279"/>
      <c r="JEJ47" s="279"/>
      <c r="JEK47" s="279"/>
      <c r="JEL47" s="279"/>
      <c r="JEM47" s="279"/>
      <c r="JEN47" s="279"/>
      <c r="JEO47" s="279"/>
      <c r="JEP47" s="279"/>
      <c r="JEQ47" s="279"/>
      <c r="JER47" s="279"/>
      <c r="JES47" s="279"/>
      <c r="JET47" s="279"/>
      <c r="JEU47" s="279"/>
      <c r="JEV47" s="279"/>
      <c r="JEW47" s="279"/>
      <c r="JEX47" s="279"/>
      <c r="JEY47" s="279"/>
      <c r="JEZ47" s="279"/>
      <c r="JFA47" s="279"/>
      <c r="JFB47" s="279"/>
      <c r="JFC47" s="279"/>
      <c r="JFD47" s="279"/>
      <c r="JFE47" s="279"/>
      <c r="JFF47" s="279"/>
      <c r="JFG47" s="279"/>
      <c r="JFH47" s="279"/>
      <c r="JFI47" s="279"/>
      <c r="JFJ47" s="279"/>
      <c r="JFK47" s="279"/>
      <c r="JFL47" s="279"/>
      <c r="JFM47" s="279"/>
      <c r="JFN47" s="279"/>
      <c r="JFO47" s="279"/>
      <c r="JFP47" s="279"/>
      <c r="JFQ47" s="279"/>
      <c r="JFR47" s="279"/>
      <c r="JFS47" s="279"/>
      <c r="JFT47" s="279"/>
      <c r="JFU47" s="279"/>
      <c r="JFV47" s="279"/>
      <c r="JFW47" s="279"/>
      <c r="JFX47" s="279"/>
      <c r="JFY47" s="279"/>
      <c r="JFZ47" s="279"/>
      <c r="JGA47" s="279"/>
      <c r="JGB47" s="279"/>
      <c r="JGC47" s="279"/>
      <c r="JGD47" s="279"/>
      <c r="JGE47" s="279"/>
      <c r="JGF47" s="279"/>
      <c r="JGG47" s="279"/>
      <c r="JGH47" s="279"/>
      <c r="JGI47" s="279"/>
      <c r="JGJ47" s="279"/>
      <c r="JGK47" s="279"/>
      <c r="JGL47" s="279"/>
      <c r="JGM47" s="279"/>
      <c r="JGN47" s="279"/>
      <c r="JGO47" s="279"/>
      <c r="JGP47" s="279"/>
      <c r="JGQ47" s="279"/>
      <c r="JGR47" s="279"/>
      <c r="JGS47" s="279"/>
      <c r="JGT47" s="279"/>
      <c r="JGU47" s="279"/>
      <c r="JGV47" s="279"/>
      <c r="JGW47" s="279"/>
      <c r="JGX47" s="279"/>
      <c r="JGY47" s="279"/>
      <c r="JGZ47" s="279"/>
      <c r="JHA47" s="279"/>
      <c r="JHB47" s="279"/>
      <c r="JHC47" s="279"/>
      <c r="JHD47" s="279"/>
      <c r="JHE47" s="279"/>
      <c r="JHF47" s="279"/>
      <c r="JHG47" s="279"/>
      <c r="JHH47" s="279"/>
      <c r="JHI47" s="279"/>
      <c r="JHJ47" s="279"/>
      <c r="JHK47" s="279"/>
      <c r="JHL47" s="279"/>
      <c r="JHM47" s="279"/>
      <c r="JHN47" s="279"/>
      <c r="JHO47" s="279"/>
      <c r="JHP47" s="279"/>
      <c r="JHQ47" s="279"/>
      <c r="JHR47" s="279"/>
      <c r="JHS47" s="279"/>
      <c r="JHT47" s="279"/>
      <c r="JHU47" s="279"/>
      <c r="JHV47" s="279"/>
      <c r="JHW47" s="279"/>
      <c r="JHX47" s="279"/>
      <c r="JHY47" s="279"/>
      <c r="JHZ47" s="279"/>
      <c r="JIA47" s="279"/>
      <c r="JIB47" s="279"/>
      <c r="JIC47" s="279"/>
      <c r="JID47" s="279"/>
      <c r="JIE47" s="279"/>
      <c r="JIF47" s="279"/>
      <c r="JIG47" s="279"/>
      <c r="JIH47" s="279"/>
      <c r="JII47" s="279"/>
      <c r="JIJ47" s="279"/>
      <c r="JIK47" s="279"/>
      <c r="JIL47" s="279"/>
      <c r="JIM47" s="279"/>
      <c r="JIN47" s="279"/>
      <c r="JIO47" s="279"/>
      <c r="JIP47" s="279"/>
      <c r="JIQ47" s="279"/>
      <c r="JIR47" s="279"/>
      <c r="JIS47" s="279"/>
      <c r="JIT47" s="279"/>
      <c r="JIU47" s="279"/>
      <c r="JIV47" s="279"/>
      <c r="JIW47" s="279"/>
      <c r="JIX47" s="279"/>
      <c r="JIY47" s="279"/>
      <c r="JIZ47" s="279"/>
      <c r="JJA47" s="279"/>
      <c r="JJB47" s="279"/>
      <c r="JJC47" s="279"/>
      <c r="JJD47" s="279"/>
      <c r="JJE47" s="279"/>
      <c r="JJF47" s="279"/>
      <c r="JJG47" s="279"/>
      <c r="JJH47" s="279"/>
      <c r="JJI47" s="279"/>
      <c r="JJJ47" s="279"/>
      <c r="JJK47" s="279"/>
      <c r="JJL47" s="279"/>
      <c r="JJM47" s="279"/>
      <c r="JJN47" s="279"/>
      <c r="JJO47" s="279"/>
      <c r="JJP47" s="279"/>
      <c r="JJQ47" s="279"/>
      <c r="JJR47" s="279"/>
      <c r="JJS47" s="279"/>
      <c r="JJT47" s="279"/>
      <c r="JJU47" s="279"/>
      <c r="JJV47" s="279"/>
      <c r="JJW47" s="279"/>
      <c r="JJX47" s="279"/>
      <c r="JJY47" s="279"/>
      <c r="JJZ47" s="279"/>
      <c r="JKA47" s="279"/>
      <c r="JKB47" s="279"/>
      <c r="JKC47" s="279"/>
      <c r="JKD47" s="279"/>
      <c r="JKE47" s="279"/>
      <c r="JKF47" s="279"/>
      <c r="JKG47" s="279"/>
      <c r="JKH47" s="279"/>
      <c r="JKI47" s="279"/>
      <c r="JKJ47" s="279"/>
      <c r="JKK47" s="279"/>
      <c r="JKL47" s="279"/>
      <c r="JKM47" s="279"/>
      <c r="JKN47" s="279"/>
      <c r="JKO47" s="279"/>
      <c r="JKP47" s="279"/>
      <c r="JKQ47" s="279"/>
      <c r="JKR47" s="279"/>
      <c r="JKS47" s="279"/>
      <c r="JKT47" s="279"/>
      <c r="JKU47" s="279"/>
      <c r="JKV47" s="279"/>
      <c r="JKW47" s="279"/>
      <c r="JKX47" s="279"/>
      <c r="JKY47" s="279"/>
      <c r="JKZ47" s="279"/>
      <c r="JLA47" s="279"/>
      <c r="JLB47" s="279"/>
      <c r="JLC47" s="279"/>
      <c r="JLD47" s="279"/>
      <c r="JLE47" s="279"/>
      <c r="JLF47" s="279"/>
      <c r="JLG47" s="279"/>
      <c r="JLH47" s="279"/>
      <c r="JLI47" s="279"/>
      <c r="JLJ47" s="279"/>
      <c r="JLK47" s="279"/>
      <c r="JLL47" s="279"/>
      <c r="JLM47" s="279"/>
      <c r="JLN47" s="279"/>
      <c r="JLO47" s="279"/>
      <c r="JLP47" s="279"/>
      <c r="JLQ47" s="279"/>
      <c r="JLR47" s="279"/>
      <c r="JLS47" s="279"/>
      <c r="JLT47" s="279"/>
      <c r="JLU47" s="279"/>
      <c r="JLV47" s="279"/>
      <c r="JLW47" s="279"/>
      <c r="JLX47" s="279"/>
      <c r="JLY47" s="279"/>
      <c r="JLZ47" s="279"/>
      <c r="JMA47" s="279"/>
      <c r="JMB47" s="279"/>
      <c r="JMC47" s="279"/>
      <c r="JMD47" s="279"/>
      <c r="JME47" s="279"/>
      <c r="JMF47" s="279"/>
      <c r="JMG47" s="279"/>
      <c r="JMH47" s="279"/>
      <c r="JMI47" s="279"/>
      <c r="JMJ47" s="279"/>
      <c r="JMK47" s="279"/>
      <c r="JML47" s="279"/>
      <c r="JMM47" s="279"/>
      <c r="JMN47" s="279"/>
      <c r="JMO47" s="279"/>
      <c r="JMP47" s="279"/>
      <c r="JMQ47" s="279"/>
      <c r="JMR47" s="279"/>
      <c r="JMS47" s="279"/>
      <c r="JMT47" s="279"/>
      <c r="JMU47" s="279"/>
      <c r="JMV47" s="279"/>
      <c r="JMW47" s="279"/>
      <c r="JMX47" s="279"/>
      <c r="JMY47" s="279"/>
      <c r="JMZ47" s="279"/>
      <c r="JNA47" s="279"/>
      <c r="JNB47" s="279"/>
      <c r="JNC47" s="279"/>
      <c r="JND47" s="279"/>
      <c r="JNE47" s="279"/>
      <c r="JNF47" s="279"/>
      <c r="JNG47" s="279"/>
      <c r="JNH47" s="279"/>
      <c r="JNI47" s="279"/>
      <c r="JNJ47" s="279"/>
      <c r="JNK47" s="279"/>
      <c r="JNL47" s="279"/>
      <c r="JNM47" s="279"/>
      <c r="JNN47" s="279"/>
      <c r="JNO47" s="279"/>
      <c r="JNP47" s="279"/>
      <c r="JNQ47" s="279"/>
      <c r="JNR47" s="279"/>
      <c r="JNS47" s="279"/>
      <c r="JNT47" s="279"/>
      <c r="JNU47" s="279"/>
      <c r="JNV47" s="279"/>
      <c r="JNW47" s="279"/>
      <c r="JNX47" s="279"/>
      <c r="JNY47" s="279"/>
      <c r="JNZ47" s="279"/>
      <c r="JOA47" s="279"/>
      <c r="JOB47" s="279"/>
      <c r="JOC47" s="279"/>
      <c r="JOD47" s="279"/>
      <c r="JOE47" s="279"/>
      <c r="JOF47" s="279"/>
      <c r="JOG47" s="279"/>
      <c r="JOH47" s="279"/>
      <c r="JOI47" s="279"/>
      <c r="JOJ47" s="279"/>
      <c r="JOK47" s="279"/>
      <c r="JOL47" s="279"/>
      <c r="JOM47" s="279"/>
      <c r="JON47" s="279"/>
      <c r="JOO47" s="279"/>
      <c r="JOP47" s="279"/>
      <c r="JOQ47" s="279"/>
      <c r="JOR47" s="279"/>
      <c r="JOS47" s="279"/>
      <c r="JOT47" s="279"/>
      <c r="JOU47" s="279"/>
      <c r="JOV47" s="279"/>
      <c r="JOW47" s="279"/>
      <c r="JOX47" s="279"/>
      <c r="JOY47" s="279"/>
      <c r="JOZ47" s="279"/>
      <c r="JPA47" s="279"/>
      <c r="JPB47" s="279"/>
      <c r="JPC47" s="279"/>
      <c r="JPD47" s="279"/>
      <c r="JPE47" s="279"/>
      <c r="JPF47" s="279"/>
      <c r="JPG47" s="279"/>
      <c r="JPH47" s="279"/>
      <c r="JPI47" s="279"/>
      <c r="JPJ47" s="279"/>
      <c r="JPK47" s="279"/>
      <c r="JPL47" s="279"/>
      <c r="JPM47" s="279"/>
      <c r="JPN47" s="279"/>
      <c r="JPO47" s="279"/>
      <c r="JPP47" s="279"/>
      <c r="JPQ47" s="279"/>
      <c r="JPR47" s="279"/>
      <c r="JPS47" s="279"/>
      <c r="JPT47" s="279"/>
      <c r="JPU47" s="279"/>
      <c r="JPV47" s="279"/>
      <c r="JPW47" s="279"/>
      <c r="JPX47" s="279"/>
      <c r="JPY47" s="279"/>
      <c r="JPZ47" s="279"/>
      <c r="JQA47" s="279"/>
      <c r="JQB47" s="279"/>
      <c r="JQC47" s="279"/>
      <c r="JQD47" s="279"/>
      <c r="JQE47" s="279"/>
      <c r="JQF47" s="279"/>
      <c r="JQG47" s="279"/>
      <c r="JQH47" s="279"/>
      <c r="JQI47" s="279"/>
      <c r="JQJ47" s="279"/>
      <c r="JQK47" s="279"/>
      <c r="JQL47" s="279"/>
      <c r="JQM47" s="279"/>
      <c r="JQN47" s="279"/>
      <c r="JQO47" s="279"/>
      <c r="JQP47" s="279"/>
      <c r="JQQ47" s="279"/>
      <c r="JQR47" s="279"/>
      <c r="JQS47" s="279"/>
      <c r="JQT47" s="279"/>
      <c r="JQU47" s="279"/>
      <c r="JQV47" s="279"/>
      <c r="JQW47" s="279"/>
      <c r="JQX47" s="279"/>
      <c r="JQY47" s="279"/>
      <c r="JQZ47" s="279"/>
      <c r="JRA47" s="279"/>
      <c r="JRB47" s="279"/>
      <c r="JRC47" s="279"/>
      <c r="JRD47" s="279"/>
      <c r="JRE47" s="279"/>
      <c r="JRF47" s="279"/>
      <c r="JRG47" s="279"/>
      <c r="JRH47" s="279"/>
      <c r="JRI47" s="279"/>
      <c r="JRJ47" s="279"/>
      <c r="JRK47" s="279"/>
      <c r="JRL47" s="279"/>
      <c r="JRM47" s="279"/>
      <c r="JRN47" s="279"/>
      <c r="JRO47" s="279"/>
      <c r="JRP47" s="279"/>
      <c r="JRQ47" s="279"/>
      <c r="JRR47" s="279"/>
      <c r="JRS47" s="279"/>
      <c r="JRT47" s="279"/>
      <c r="JRU47" s="279"/>
      <c r="JRV47" s="279"/>
      <c r="JRW47" s="279"/>
      <c r="JRX47" s="279"/>
      <c r="JRY47" s="279"/>
      <c r="JRZ47" s="279"/>
      <c r="JSA47" s="279"/>
      <c r="JSB47" s="279"/>
      <c r="JSC47" s="279"/>
      <c r="JSD47" s="279"/>
      <c r="JSE47" s="279"/>
      <c r="JSF47" s="279"/>
      <c r="JSG47" s="279"/>
      <c r="JSH47" s="279"/>
      <c r="JSI47" s="279"/>
      <c r="JSJ47" s="279"/>
      <c r="JSK47" s="279"/>
      <c r="JSL47" s="279"/>
      <c r="JSM47" s="279"/>
      <c r="JSN47" s="279"/>
      <c r="JSO47" s="279"/>
      <c r="JSP47" s="279"/>
      <c r="JSQ47" s="279"/>
      <c r="JSR47" s="279"/>
      <c r="JSS47" s="279"/>
      <c r="JST47" s="279"/>
      <c r="JSU47" s="279"/>
      <c r="JSV47" s="279"/>
      <c r="JSW47" s="279"/>
      <c r="JSX47" s="279"/>
      <c r="JSY47" s="279"/>
      <c r="JSZ47" s="279"/>
      <c r="JTA47" s="279"/>
      <c r="JTB47" s="279"/>
      <c r="JTC47" s="279"/>
      <c r="JTD47" s="279"/>
      <c r="JTE47" s="279"/>
      <c r="JTF47" s="279"/>
      <c r="JTG47" s="279"/>
      <c r="JTH47" s="279"/>
      <c r="JTI47" s="279"/>
      <c r="JTJ47" s="279"/>
      <c r="JTK47" s="279"/>
      <c r="JTL47" s="279"/>
      <c r="JTM47" s="279"/>
      <c r="JTN47" s="279"/>
      <c r="JTO47" s="279"/>
      <c r="JTP47" s="279"/>
      <c r="JTQ47" s="279"/>
      <c r="JTR47" s="279"/>
      <c r="JTS47" s="279"/>
      <c r="JTT47" s="279"/>
      <c r="JTU47" s="279"/>
      <c r="JTV47" s="279"/>
      <c r="JTW47" s="279"/>
      <c r="JTX47" s="279"/>
      <c r="JTY47" s="279"/>
      <c r="JTZ47" s="279"/>
      <c r="JUA47" s="279"/>
      <c r="JUB47" s="279"/>
      <c r="JUC47" s="279"/>
      <c r="JUD47" s="279"/>
      <c r="JUE47" s="279"/>
      <c r="JUF47" s="279"/>
      <c r="JUG47" s="279"/>
      <c r="JUH47" s="279"/>
      <c r="JUI47" s="279"/>
      <c r="JUJ47" s="279"/>
      <c r="JUK47" s="279"/>
      <c r="JUL47" s="279"/>
      <c r="JUM47" s="279"/>
      <c r="JUN47" s="279"/>
      <c r="JUO47" s="279"/>
      <c r="JUP47" s="279"/>
      <c r="JUQ47" s="279"/>
      <c r="JUR47" s="279"/>
      <c r="JUS47" s="279"/>
      <c r="JUT47" s="279"/>
      <c r="JUU47" s="279"/>
      <c r="JUV47" s="279"/>
      <c r="JUW47" s="279"/>
      <c r="JUX47" s="279"/>
      <c r="JUY47" s="279"/>
      <c r="JUZ47" s="279"/>
      <c r="JVA47" s="279"/>
      <c r="JVB47" s="279"/>
      <c r="JVC47" s="279"/>
      <c r="JVD47" s="279"/>
      <c r="JVE47" s="279"/>
      <c r="JVF47" s="279"/>
      <c r="JVG47" s="279"/>
      <c r="JVH47" s="279"/>
      <c r="JVI47" s="279"/>
      <c r="JVJ47" s="279"/>
      <c r="JVK47" s="279"/>
      <c r="JVL47" s="279"/>
      <c r="JVM47" s="279"/>
      <c r="JVN47" s="279"/>
      <c r="JVO47" s="279"/>
      <c r="JVP47" s="279"/>
      <c r="JVQ47" s="279"/>
      <c r="JVR47" s="279"/>
      <c r="JVS47" s="279"/>
      <c r="JVT47" s="279"/>
      <c r="JVU47" s="279"/>
      <c r="JVV47" s="279"/>
      <c r="JVW47" s="279"/>
      <c r="JVX47" s="279"/>
      <c r="JVY47" s="279"/>
      <c r="JVZ47" s="279"/>
      <c r="JWA47" s="279"/>
      <c r="JWB47" s="279"/>
      <c r="JWC47" s="279"/>
      <c r="JWD47" s="279"/>
      <c r="JWE47" s="279"/>
      <c r="JWF47" s="279"/>
      <c r="JWG47" s="279"/>
      <c r="JWH47" s="279"/>
      <c r="JWI47" s="279"/>
      <c r="JWJ47" s="279"/>
      <c r="JWK47" s="279"/>
      <c r="JWL47" s="279"/>
      <c r="JWM47" s="279"/>
      <c r="JWN47" s="279"/>
      <c r="JWO47" s="279"/>
      <c r="JWP47" s="279"/>
      <c r="JWQ47" s="279"/>
      <c r="JWR47" s="279"/>
      <c r="JWS47" s="279"/>
      <c r="JWT47" s="279"/>
      <c r="JWU47" s="279"/>
      <c r="JWV47" s="279"/>
      <c r="JWW47" s="279"/>
      <c r="JWX47" s="279"/>
      <c r="JWY47" s="279"/>
      <c r="JWZ47" s="279"/>
      <c r="JXA47" s="279"/>
      <c r="JXB47" s="279"/>
      <c r="JXC47" s="279"/>
      <c r="JXD47" s="279"/>
      <c r="JXE47" s="279"/>
      <c r="JXF47" s="279"/>
      <c r="JXG47" s="279"/>
      <c r="JXH47" s="279"/>
      <c r="JXI47" s="279"/>
      <c r="JXJ47" s="279"/>
      <c r="JXK47" s="279"/>
      <c r="JXL47" s="279"/>
      <c r="JXM47" s="279"/>
      <c r="JXN47" s="279"/>
      <c r="JXO47" s="279"/>
      <c r="JXP47" s="279"/>
      <c r="JXQ47" s="279"/>
      <c r="JXR47" s="279"/>
      <c r="JXS47" s="279"/>
      <c r="JXT47" s="279"/>
      <c r="JXU47" s="279"/>
      <c r="JXV47" s="279"/>
      <c r="JXW47" s="279"/>
      <c r="JXX47" s="279"/>
      <c r="JXY47" s="279"/>
      <c r="JXZ47" s="279"/>
      <c r="JYA47" s="279"/>
      <c r="JYB47" s="279"/>
      <c r="JYC47" s="279"/>
      <c r="JYD47" s="279"/>
      <c r="JYE47" s="279"/>
      <c r="JYF47" s="279"/>
      <c r="JYG47" s="279"/>
      <c r="JYH47" s="279"/>
      <c r="JYI47" s="279"/>
      <c r="JYJ47" s="279"/>
      <c r="JYK47" s="279"/>
      <c r="JYL47" s="279"/>
      <c r="JYM47" s="279"/>
      <c r="JYN47" s="279"/>
      <c r="JYO47" s="279"/>
      <c r="JYP47" s="279"/>
      <c r="JYQ47" s="279"/>
      <c r="JYR47" s="279"/>
      <c r="JYS47" s="279"/>
      <c r="JYT47" s="279"/>
      <c r="JYU47" s="279"/>
      <c r="JYV47" s="279"/>
      <c r="JYW47" s="279"/>
      <c r="JYX47" s="279"/>
      <c r="JYY47" s="279"/>
      <c r="JYZ47" s="279"/>
      <c r="JZA47" s="279"/>
      <c r="JZB47" s="279"/>
      <c r="JZC47" s="279"/>
      <c r="JZD47" s="279"/>
      <c r="JZE47" s="279"/>
      <c r="JZF47" s="279"/>
      <c r="JZG47" s="279"/>
      <c r="JZH47" s="279"/>
      <c r="JZI47" s="279"/>
      <c r="JZJ47" s="279"/>
      <c r="JZK47" s="279"/>
      <c r="JZL47" s="279"/>
      <c r="JZM47" s="279"/>
      <c r="JZN47" s="279"/>
      <c r="JZO47" s="279"/>
      <c r="JZP47" s="279"/>
      <c r="JZQ47" s="279"/>
      <c r="JZR47" s="279"/>
      <c r="JZS47" s="279"/>
      <c r="JZT47" s="279"/>
      <c r="JZU47" s="279"/>
      <c r="JZV47" s="279"/>
      <c r="JZW47" s="279"/>
      <c r="JZX47" s="279"/>
      <c r="JZY47" s="279"/>
      <c r="JZZ47" s="279"/>
      <c r="KAA47" s="279"/>
      <c r="KAB47" s="279"/>
      <c r="KAC47" s="279"/>
      <c r="KAD47" s="279"/>
      <c r="KAE47" s="279"/>
      <c r="KAF47" s="279"/>
      <c r="KAG47" s="279"/>
      <c r="KAH47" s="279"/>
      <c r="KAI47" s="279"/>
      <c r="KAJ47" s="279"/>
      <c r="KAK47" s="279"/>
      <c r="KAL47" s="279"/>
      <c r="KAM47" s="279"/>
      <c r="KAN47" s="279"/>
      <c r="KAO47" s="279"/>
      <c r="KAP47" s="279"/>
      <c r="KAQ47" s="279"/>
      <c r="KAR47" s="279"/>
      <c r="KAS47" s="279"/>
      <c r="KAT47" s="279"/>
      <c r="KAU47" s="279"/>
      <c r="KAV47" s="279"/>
      <c r="KAW47" s="279"/>
      <c r="KAX47" s="279"/>
      <c r="KAY47" s="279"/>
      <c r="KAZ47" s="279"/>
      <c r="KBA47" s="279"/>
      <c r="KBB47" s="279"/>
      <c r="KBC47" s="279"/>
      <c r="KBD47" s="279"/>
      <c r="KBE47" s="279"/>
      <c r="KBF47" s="279"/>
      <c r="KBG47" s="279"/>
      <c r="KBH47" s="279"/>
      <c r="KBI47" s="279"/>
      <c r="KBJ47" s="279"/>
      <c r="KBK47" s="279"/>
      <c r="KBL47" s="279"/>
      <c r="KBM47" s="279"/>
      <c r="KBN47" s="279"/>
      <c r="KBO47" s="279"/>
      <c r="KBP47" s="279"/>
      <c r="KBQ47" s="279"/>
      <c r="KBR47" s="279"/>
      <c r="KBS47" s="279"/>
      <c r="KBT47" s="279"/>
      <c r="KBU47" s="279"/>
      <c r="KBV47" s="279"/>
      <c r="KBW47" s="279"/>
      <c r="KBX47" s="279"/>
      <c r="KBY47" s="279"/>
      <c r="KBZ47" s="279"/>
      <c r="KCA47" s="279"/>
      <c r="KCB47" s="279"/>
      <c r="KCC47" s="279"/>
      <c r="KCD47" s="279"/>
      <c r="KCE47" s="279"/>
      <c r="KCF47" s="279"/>
      <c r="KCG47" s="279"/>
      <c r="KCH47" s="279"/>
      <c r="KCI47" s="279"/>
      <c r="KCJ47" s="279"/>
      <c r="KCK47" s="279"/>
      <c r="KCL47" s="279"/>
      <c r="KCM47" s="279"/>
      <c r="KCN47" s="279"/>
      <c r="KCO47" s="279"/>
      <c r="KCP47" s="279"/>
      <c r="KCQ47" s="279"/>
      <c r="KCR47" s="279"/>
      <c r="KCS47" s="279"/>
      <c r="KCT47" s="279"/>
      <c r="KCU47" s="279"/>
      <c r="KCV47" s="279"/>
      <c r="KCW47" s="279"/>
      <c r="KCX47" s="279"/>
      <c r="KCY47" s="279"/>
      <c r="KCZ47" s="279"/>
      <c r="KDA47" s="279"/>
      <c r="KDB47" s="279"/>
      <c r="KDC47" s="279"/>
      <c r="KDD47" s="279"/>
      <c r="KDE47" s="279"/>
      <c r="KDF47" s="279"/>
      <c r="KDG47" s="279"/>
      <c r="KDH47" s="279"/>
      <c r="KDI47" s="279"/>
      <c r="KDJ47" s="279"/>
      <c r="KDK47" s="279"/>
      <c r="KDL47" s="279"/>
      <c r="KDM47" s="279"/>
      <c r="KDN47" s="279"/>
      <c r="KDO47" s="279"/>
      <c r="KDP47" s="279"/>
      <c r="KDQ47" s="279"/>
      <c r="KDR47" s="279"/>
      <c r="KDS47" s="279"/>
      <c r="KDT47" s="279"/>
      <c r="KDU47" s="279"/>
      <c r="KDV47" s="279"/>
      <c r="KDW47" s="279"/>
      <c r="KDX47" s="279"/>
      <c r="KDY47" s="279"/>
      <c r="KDZ47" s="279"/>
      <c r="KEA47" s="279"/>
      <c r="KEB47" s="279"/>
      <c r="KEC47" s="279"/>
      <c r="KED47" s="279"/>
      <c r="KEE47" s="279"/>
      <c r="KEF47" s="279"/>
      <c r="KEG47" s="279"/>
      <c r="KEH47" s="279"/>
      <c r="KEI47" s="279"/>
      <c r="KEJ47" s="279"/>
      <c r="KEK47" s="279"/>
      <c r="KEL47" s="279"/>
      <c r="KEM47" s="279"/>
      <c r="KEN47" s="279"/>
      <c r="KEO47" s="279"/>
      <c r="KEP47" s="279"/>
      <c r="KEQ47" s="279"/>
      <c r="KER47" s="279"/>
      <c r="KES47" s="279"/>
      <c r="KET47" s="279"/>
      <c r="KEU47" s="279"/>
      <c r="KEV47" s="279"/>
      <c r="KEW47" s="279"/>
      <c r="KEX47" s="279"/>
      <c r="KEY47" s="279"/>
      <c r="KEZ47" s="279"/>
      <c r="KFA47" s="279"/>
      <c r="KFB47" s="279"/>
      <c r="KFC47" s="279"/>
      <c r="KFD47" s="279"/>
      <c r="KFE47" s="279"/>
      <c r="KFF47" s="279"/>
      <c r="KFG47" s="279"/>
      <c r="KFH47" s="279"/>
      <c r="KFI47" s="279"/>
      <c r="KFJ47" s="279"/>
      <c r="KFK47" s="279"/>
      <c r="KFL47" s="279"/>
      <c r="KFM47" s="279"/>
      <c r="KFN47" s="279"/>
      <c r="KFO47" s="279"/>
      <c r="KFP47" s="279"/>
      <c r="KFQ47" s="279"/>
      <c r="KFR47" s="279"/>
      <c r="KFS47" s="279"/>
      <c r="KFT47" s="279"/>
      <c r="KFU47" s="279"/>
      <c r="KFV47" s="279"/>
      <c r="KFW47" s="279"/>
      <c r="KFX47" s="279"/>
      <c r="KFY47" s="279"/>
      <c r="KFZ47" s="279"/>
      <c r="KGA47" s="279"/>
      <c r="KGB47" s="279"/>
      <c r="KGC47" s="279"/>
      <c r="KGD47" s="279"/>
      <c r="KGE47" s="279"/>
      <c r="KGF47" s="279"/>
      <c r="KGG47" s="279"/>
      <c r="KGH47" s="279"/>
      <c r="KGI47" s="279"/>
      <c r="KGJ47" s="279"/>
      <c r="KGK47" s="279"/>
      <c r="KGL47" s="279"/>
      <c r="KGM47" s="279"/>
      <c r="KGN47" s="279"/>
      <c r="KGO47" s="279"/>
      <c r="KGP47" s="279"/>
      <c r="KGQ47" s="279"/>
      <c r="KGR47" s="279"/>
      <c r="KGS47" s="279"/>
      <c r="KGT47" s="279"/>
      <c r="KGU47" s="279"/>
      <c r="KGV47" s="279"/>
      <c r="KGW47" s="279"/>
      <c r="KGX47" s="279"/>
      <c r="KGY47" s="279"/>
      <c r="KGZ47" s="279"/>
      <c r="KHA47" s="279"/>
      <c r="KHB47" s="279"/>
      <c r="KHC47" s="279"/>
      <c r="KHD47" s="279"/>
      <c r="KHE47" s="279"/>
      <c r="KHF47" s="279"/>
      <c r="KHG47" s="279"/>
      <c r="KHH47" s="279"/>
      <c r="KHI47" s="279"/>
      <c r="KHJ47" s="279"/>
      <c r="KHK47" s="279"/>
      <c r="KHL47" s="279"/>
      <c r="KHM47" s="279"/>
      <c r="KHN47" s="279"/>
      <c r="KHO47" s="279"/>
      <c r="KHP47" s="279"/>
      <c r="KHQ47" s="279"/>
      <c r="KHR47" s="279"/>
      <c r="KHS47" s="279"/>
      <c r="KHT47" s="279"/>
      <c r="KHU47" s="279"/>
      <c r="KHV47" s="279"/>
      <c r="KHW47" s="279"/>
      <c r="KHX47" s="279"/>
      <c r="KHY47" s="279"/>
      <c r="KHZ47" s="279"/>
      <c r="KIA47" s="279"/>
      <c r="KIB47" s="279"/>
      <c r="KIC47" s="279"/>
      <c r="KID47" s="279"/>
      <c r="KIE47" s="279"/>
      <c r="KIF47" s="279"/>
      <c r="KIG47" s="279"/>
      <c r="KIH47" s="279"/>
      <c r="KII47" s="279"/>
      <c r="KIJ47" s="279"/>
      <c r="KIK47" s="279"/>
      <c r="KIL47" s="279"/>
      <c r="KIM47" s="279"/>
      <c r="KIN47" s="279"/>
      <c r="KIO47" s="279"/>
      <c r="KIP47" s="279"/>
      <c r="KIQ47" s="279"/>
      <c r="KIR47" s="279"/>
      <c r="KIS47" s="279"/>
      <c r="KIT47" s="279"/>
      <c r="KIU47" s="279"/>
      <c r="KIV47" s="279"/>
      <c r="KIW47" s="279"/>
      <c r="KIX47" s="279"/>
      <c r="KIY47" s="279"/>
      <c r="KIZ47" s="279"/>
      <c r="KJA47" s="279"/>
      <c r="KJB47" s="279"/>
      <c r="KJC47" s="279"/>
      <c r="KJD47" s="279"/>
      <c r="KJE47" s="279"/>
      <c r="KJF47" s="279"/>
      <c r="KJG47" s="279"/>
      <c r="KJH47" s="279"/>
      <c r="KJI47" s="279"/>
      <c r="KJJ47" s="279"/>
      <c r="KJK47" s="279"/>
      <c r="KJL47" s="279"/>
      <c r="KJM47" s="279"/>
      <c r="KJN47" s="279"/>
      <c r="KJO47" s="279"/>
      <c r="KJP47" s="279"/>
      <c r="KJQ47" s="279"/>
      <c r="KJR47" s="279"/>
      <c r="KJS47" s="279"/>
      <c r="KJT47" s="279"/>
      <c r="KJU47" s="279"/>
      <c r="KJV47" s="279"/>
      <c r="KJW47" s="279"/>
      <c r="KJX47" s="279"/>
      <c r="KJY47" s="279"/>
      <c r="KJZ47" s="279"/>
      <c r="KKA47" s="279"/>
      <c r="KKB47" s="279"/>
      <c r="KKC47" s="279"/>
      <c r="KKD47" s="279"/>
      <c r="KKE47" s="279"/>
      <c r="KKF47" s="279"/>
      <c r="KKG47" s="279"/>
      <c r="KKH47" s="279"/>
      <c r="KKI47" s="279"/>
      <c r="KKJ47" s="279"/>
      <c r="KKK47" s="279"/>
      <c r="KKL47" s="279"/>
      <c r="KKM47" s="279"/>
      <c r="KKN47" s="279"/>
      <c r="KKO47" s="279"/>
      <c r="KKP47" s="279"/>
      <c r="KKQ47" s="279"/>
      <c r="KKR47" s="279"/>
      <c r="KKS47" s="279"/>
      <c r="KKT47" s="279"/>
      <c r="KKU47" s="279"/>
      <c r="KKV47" s="279"/>
      <c r="KKW47" s="279"/>
      <c r="KKX47" s="279"/>
      <c r="KKY47" s="279"/>
      <c r="KKZ47" s="279"/>
      <c r="KLA47" s="279"/>
      <c r="KLB47" s="279"/>
      <c r="KLC47" s="279"/>
      <c r="KLD47" s="279"/>
      <c r="KLE47" s="279"/>
      <c r="KLF47" s="279"/>
      <c r="KLG47" s="279"/>
      <c r="KLH47" s="279"/>
      <c r="KLI47" s="279"/>
      <c r="KLJ47" s="279"/>
      <c r="KLK47" s="279"/>
      <c r="KLL47" s="279"/>
      <c r="KLM47" s="279"/>
      <c r="KLN47" s="279"/>
      <c r="KLO47" s="279"/>
      <c r="KLP47" s="279"/>
      <c r="KLQ47" s="279"/>
      <c r="KLR47" s="279"/>
      <c r="KLS47" s="279"/>
      <c r="KLT47" s="279"/>
      <c r="KLU47" s="279"/>
      <c r="KLV47" s="279"/>
      <c r="KLW47" s="279"/>
      <c r="KLX47" s="279"/>
      <c r="KLY47" s="279"/>
      <c r="KLZ47" s="279"/>
      <c r="KMA47" s="279"/>
      <c r="KMB47" s="279"/>
      <c r="KMC47" s="279"/>
      <c r="KMD47" s="279"/>
      <c r="KME47" s="279"/>
      <c r="KMF47" s="279"/>
      <c r="KMG47" s="279"/>
      <c r="KMH47" s="279"/>
      <c r="KMI47" s="279"/>
      <c r="KMJ47" s="279"/>
      <c r="KMK47" s="279"/>
      <c r="KML47" s="279"/>
      <c r="KMM47" s="279"/>
      <c r="KMN47" s="279"/>
      <c r="KMO47" s="279"/>
      <c r="KMP47" s="279"/>
      <c r="KMQ47" s="279"/>
      <c r="KMR47" s="279"/>
      <c r="KMS47" s="279"/>
      <c r="KMT47" s="279"/>
      <c r="KMU47" s="279"/>
      <c r="KMV47" s="279"/>
      <c r="KMW47" s="279"/>
      <c r="KMX47" s="279"/>
      <c r="KMY47" s="279"/>
      <c r="KMZ47" s="279"/>
      <c r="KNA47" s="279"/>
      <c r="KNB47" s="279"/>
      <c r="KNC47" s="279"/>
      <c r="KND47" s="279"/>
      <c r="KNE47" s="279"/>
      <c r="KNF47" s="279"/>
      <c r="KNG47" s="279"/>
      <c r="KNH47" s="279"/>
      <c r="KNI47" s="279"/>
      <c r="KNJ47" s="279"/>
      <c r="KNK47" s="279"/>
      <c r="KNL47" s="279"/>
      <c r="KNM47" s="279"/>
      <c r="KNN47" s="279"/>
      <c r="KNO47" s="279"/>
      <c r="KNP47" s="279"/>
      <c r="KNQ47" s="279"/>
      <c r="KNR47" s="279"/>
      <c r="KNS47" s="279"/>
      <c r="KNT47" s="279"/>
      <c r="KNU47" s="279"/>
      <c r="KNV47" s="279"/>
      <c r="KNW47" s="279"/>
      <c r="KNX47" s="279"/>
      <c r="KNY47" s="279"/>
      <c r="KNZ47" s="279"/>
      <c r="KOA47" s="279"/>
      <c r="KOB47" s="279"/>
      <c r="KOC47" s="279"/>
      <c r="KOD47" s="279"/>
      <c r="KOE47" s="279"/>
      <c r="KOF47" s="279"/>
      <c r="KOG47" s="279"/>
      <c r="KOH47" s="279"/>
      <c r="KOI47" s="279"/>
      <c r="KOJ47" s="279"/>
      <c r="KOK47" s="279"/>
      <c r="KOL47" s="279"/>
      <c r="KOM47" s="279"/>
      <c r="KON47" s="279"/>
      <c r="KOO47" s="279"/>
      <c r="KOP47" s="279"/>
      <c r="KOQ47" s="279"/>
      <c r="KOR47" s="279"/>
      <c r="KOS47" s="279"/>
      <c r="KOT47" s="279"/>
      <c r="KOU47" s="279"/>
      <c r="KOV47" s="279"/>
      <c r="KOW47" s="279"/>
      <c r="KOX47" s="279"/>
      <c r="KOY47" s="279"/>
      <c r="KOZ47" s="279"/>
      <c r="KPA47" s="279"/>
      <c r="KPB47" s="279"/>
      <c r="KPC47" s="279"/>
      <c r="KPD47" s="279"/>
      <c r="KPE47" s="279"/>
      <c r="KPF47" s="279"/>
      <c r="KPG47" s="279"/>
      <c r="KPH47" s="279"/>
      <c r="KPI47" s="279"/>
      <c r="KPJ47" s="279"/>
      <c r="KPK47" s="279"/>
      <c r="KPL47" s="279"/>
      <c r="KPM47" s="279"/>
      <c r="KPN47" s="279"/>
      <c r="KPO47" s="279"/>
      <c r="KPP47" s="279"/>
      <c r="KPQ47" s="279"/>
      <c r="KPR47" s="279"/>
      <c r="KPS47" s="279"/>
      <c r="KPT47" s="279"/>
      <c r="KPU47" s="279"/>
      <c r="KPV47" s="279"/>
      <c r="KPW47" s="279"/>
      <c r="KPX47" s="279"/>
      <c r="KPY47" s="279"/>
      <c r="KPZ47" s="279"/>
      <c r="KQA47" s="279"/>
      <c r="KQB47" s="279"/>
      <c r="KQC47" s="279"/>
      <c r="KQD47" s="279"/>
      <c r="KQE47" s="279"/>
      <c r="KQF47" s="279"/>
      <c r="KQG47" s="279"/>
      <c r="KQH47" s="279"/>
      <c r="KQI47" s="279"/>
      <c r="KQJ47" s="279"/>
      <c r="KQK47" s="279"/>
      <c r="KQL47" s="279"/>
      <c r="KQM47" s="279"/>
      <c r="KQN47" s="279"/>
      <c r="KQO47" s="279"/>
      <c r="KQP47" s="279"/>
      <c r="KQQ47" s="279"/>
      <c r="KQR47" s="279"/>
      <c r="KQS47" s="279"/>
      <c r="KQT47" s="279"/>
      <c r="KQU47" s="279"/>
      <c r="KQV47" s="279"/>
      <c r="KQW47" s="279"/>
      <c r="KQX47" s="279"/>
      <c r="KQY47" s="279"/>
      <c r="KQZ47" s="279"/>
      <c r="KRA47" s="279"/>
      <c r="KRB47" s="279"/>
      <c r="KRC47" s="279"/>
      <c r="KRD47" s="279"/>
      <c r="KRE47" s="279"/>
      <c r="KRF47" s="279"/>
      <c r="KRG47" s="279"/>
      <c r="KRH47" s="279"/>
      <c r="KRI47" s="279"/>
      <c r="KRJ47" s="279"/>
      <c r="KRK47" s="279"/>
      <c r="KRL47" s="279"/>
      <c r="KRM47" s="279"/>
      <c r="KRN47" s="279"/>
      <c r="KRO47" s="279"/>
      <c r="KRP47" s="279"/>
      <c r="KRQ47" s="279"/>
      <c r="KRR47" s="279"/>
      <c r="KRS47" s="279"/>
      <c r="KRT47" s="279"/>
      <c r="KRU47" s="279"/>
      <c r="KRV47" s="279"/>
      <c r="KRW47" s="279"/>
      <c r="KRX47" s="279"/>
      <c r="KRY47" s="279"/>
      <c r="KRZ47" s="279"/>
      <c r="KSA47" s="279"/>
      <c r="KSB47" s="279"/>
      <c r="KSC47" s="279"/>
      <c r="KSD47" s="279"/>
      <c r="KSE47" s="279"/>
      <c r="KSF47" s="279"/>
      <c r="KSG47" s="279"/>
      <c r="KSH47" s="279"/>
      <c r="KSI47" s="279"/>
      <c r="KSJ47" s="279"/>
      <c r="KSK47" s="279"/>
      <c r="KSL47" s="279"/>
      <c r="KSM47" s="279"/>
      <c r="KSN47" s="279"/>
      <c r="KSO47" s="279"/>
      <c r="KSP47" s="279"/>
      <c r="KSQ47" s="279"/>
      <c r="KSR47" s="279"/>
      <c r="KSS47" s="279"/>
      <c r="KST47" s="279"/>
      <c r="KSU47" s="279"/>
      <c r="KSV47" s="279"/>
      <c r="KSW47" s="279"/>
      <c r="KSX47" s="279"/>
      <c r="KSY47" s="279"/>
      <c r="KSZ47" s="279"/>
      <c r="KTA47" s="279"/>
      <c r="KTB47" s="279"/>
      <c r="KTC47" s="279"/>
      <c r="KTD47" s="279"/>
      <c r="KTE47" s="279"/>
      <c r="KTF47" s="279"/>
      <c r="KTG47" s="279"/>
      <c r="KTH47" s="279"/>
      <c r="KTI47" s="279"/>
      <c r="KTJ47" s="279"/>
      <c r="KTK47" s="279"/>
      <c r="KTL47" s="279"/>
      <c r="KTM47" s="279"/>
      <c r="KTN47" s="279"/>
      <c r="KTO47" s="279"/>
      <c r="KTP47" s="279"/>
      <c r="KTQ47" s="279"/>
      <c r="KTR47" s="279"/>
      <c r="KTS47" s="279"/>
      <c r="KTT47" s="279"/>
      <c r="KTU47" s="279"/>
      <c r="KTV47" s="279"/>
      <c r="KTW47" s="279"/>
      <c r="KTX47" s="279"/>
      <c r="KTY47" s="279"/>
      <c r="KTZ47" s="279"/>
      <c r="KUA47" s="279"/>
      <c r="KUB47" s="279"/>
      <c r="KUC47" s="279"/>
      <c r="KUD47" s="279"/>
      <c r="KUE47" s="279"/>
      <c r="KUF47" s="279"/>
      <c r="KUG47" s="279"/>
      <c r="KUH47" s="279"/>
      <c r="KUI47" s="279"/>
      <c r="KUJ47" s="279"/>
      <c r="KUK47" s="279"/>
      <c r="KUL47" s="279"/>
      <c r="KUM47" s="279"/>
      <c r="KUN47" s="279"/>
      <c r="KUO47" s="279"/>
      <c r="KUP47" s="279"/>
      <c r="KUQ47" s="279"/>
      <c r="KUR47" s="279"/>
      <c r="KUS47" s="279"/>
      <c r="KUT47" s="279"/>
      <c r="KUU47" s="279"/>
      <c r="KUV47" s="279"/>
      <c r="KUW47" s="279"/>
      <c r="KUX47" s="279"/>
      <c r="KUY47" s="279"/>
      <c r="KUZ47" s="279"/>
      <c r="KVA47" s="279"/>
      <c r="KVB47" s="279"/>
      <c r="KVC47" s="279"/>
      <c r="KVD47" s="279"/>
      <c r="KVE47" s="279"/>
      <c r="KVF47" s="279"/>
      <c r="KVG47" s="279"/>
      <c r="KVH47" s="279"/>
      <c r="KVI47" s="279"/>
      <c r="KVJ47" s="279"/>
      <c r="KVK47" s="279"/>
      <c r="KVL47" s="279"/>
      <c r="KVM47" s="279"/>
      <c r="KVN47" s="279"/>
      <c r="KVO47" s="279"/>
      <c r="KVP47" s="279"/>
      <c r="KVQ47" s="279"/>
      <c r="KVR47" s="279"/>
      <c r="KVS47" s="279"/>
      <c r="KVT47" s="279"/>
      <c r="KVU47" s="279"/>
      <c r="KVV47" s="279"/>
      <c r="KVW47" s="279"/>
      <c r="KVX47" s="279"/>
      <c r="KVY47" s="279"/>
      <c r="KVZ47" s="279"/>
      <c r="KWA47" s="279"/>
      <c r="KWB47" s="279"/>
      <c r="KWC47" s="279"/>
      <c r="KWD47" s="279"/>
      <c r="KWE47" s="279"/>
      <c r="KWF47" s="279"/>
      <c r="KWG47" s="279"/>
      <c r="KWH47" s="279"/>
      <c r="KWI47" s="279"/>
      <c r="KWJ47" s="279"/>
      <c r="KWK47" s="279"/>
      <c r="KWL47" s="279"/>
      <c r="KWM47" s="279"/>
      <c r="KWN47" s="279"/>
      <c r="KWO47" s="279"/>
      <c r="KWP47" s="279"/>
      <c r="KWQ47" s="279"/>
      <c r="KWR47" s="279"/>
      <c r="KWS47" s="279"/>
      <c r="KWT47" s="279"/>
      <c r="KWU47" s="279"/>
      <c r="KWV47" s="279"/>
      <c r="KWW47" s="279"/>
      <c r="KWX47" s="279"/>
      <c r="KWY47" s="279"/>
      <c r="KWZ47" s="279"/>
      <c r="KXA47" s="279"/>
      <c r="KXB47" s="279"/>
      <c r="KXC47" s="279"/>
      <c r="KXD47" s="279"/>
      <c r="KXE47" s="279"/>
      <c r="KXF47" s="279"/>
      <c r="KXG47" s="279"/>
      <c r="KXH47" s="279"/>
      <c r="KXI47" s="279"/>
      <c r="KXJ47" s="279"/>
      <c r="KXK47" s="279"/>
      <c r="KXL47" s="279"/>
      <c r="KXM47" s="279"/>
      <c r="KXN47" s="279"/>
      <c r="KXO47" s="279"/>
      <c r="KXP47" s="279"/>
      <c r="KXQ47" s="279"/>
      <c r="KXR47" s="279"/>
      <c r="KXS47" s="279"/>
      <c r="KXT47" s="279"/>
      <c r="KXU47" s="279"/>
      <c r="KXV47" s="279"/>
      <c r="KXW47" s="279"/>
      <c r="KXX47" s="279"/>
      <c r="KXY47" s="279"/>
      <c r="KXZ47" s="279"/>
      <c r="KYA47" s="279"/>
      <c r="KYB47" s="279"/>
      <c r="KYC47" s="279"/>
      <c r="KYD47" s="279"/>
      <c r="KYE47" s="279"/>
      <c r="KYF47" s="279"/>
      <c r="KYG47" s="279"/>
      <c r="KYH47" s="279"/>
      <c r="KYI47" s="279"/>
      <c r="KYJ47" s="279"/>
      <c r="KYK47" s="279"/>
      <c r="KYL47" s="279"/>
      <c r="KYM47" s="279"/>
      <c r="KYN47" s="279"/>
      <c r="KYO47" s="279"/>
      <c r="KYP47" s="279"/>
      <c r="KYQ47" s="279"/>
      <c r="KYR47" s="279"/>
      <c r="KYS47" s="279"/>
      <c r="KYT47" s="279"/>
      <c r="KYU47" s="279"/>
      <c r="KYV47" s="279"/>
      <c r="KYW47" s="279"/>
      <c r="KYX47" s="279"/>
      <c r="KYY47" s="279"/>
      <c r="KYZ47" s="279"/>
      <c r="KZA47" s="279"/>
      <c r="KZB47" s="279"/>
      <c r="KZC47" s="279"/>
      <c r="KZD47" s="279"/>
      <c r="KZE47" s="279"/>
      <c r="KZF47" s="279"/>
      <c r="KZG47" s="279"/>
      <c r="KZH47" s="279"/>
      <c r="KZI47" s="279"/>
      <c r="KZJ47" s="279"/>
      <c r="KZK47" s="279"/>
      <c r="KZL47" s="279"/>
      <c r="KZM47" s="279"/>
      <c r="KZN47" s="279"/>
      <c r="KZO47" s="279"/>
      <c r="KZP47" s="279"/>
      <c r="KZQ47" s="279"/>
      <c r="KZR47" s="279"/>
      <c r="KZS47" s="279"/>
      <c r="KZT47" s="279"/>
      <c r="KZU47" s="279"/>
      <c r="KZV47" s="279"/>
      <c r="KZW47" s="279"/>
      <c r="KZX47" s="279"/>
      <c r="KZY47" s="279"/>
      <c r="KZZ47" s="279"/>
      <c r="LAA47" s="279"/>
      <c r="LAB47" s="279"/>
      <c r="LAC47" s="279"/>
      <c r="LAD47" s="279"/>
      <c r="LAE47" s="279"/>
      <c r="LAF47" s="279"/>
      <c r="LAG47" s="279"/>
      <c r="LAH47" s="279"/>
      <c r="LAI47" s="279"/>
      <c r="LAJ47" s="279"/>
      <c r="LAK47" s="279"/>
      <c r="LAL47" s="279"/>
      <c r="LAM47" s="279"/>
      <c r="LAN47" s="279"/>
      <c r="LAO47" s="279"/>
      <c r="LAP47" s="279"/>
      <c r="LAQ47" s="279"/>
      <c r="LAR47" s="279"/>
      <c r="LAS47" s="279"/>
      <c r="LAT47" s="279"/>
      <c r="LAU47" s="279"/>
      <c r="LAV47" s="279"/>
      <c r="LAW47" s="279"/>
      <c r="LAX47" s="279"/>
      <c r="LAY47" s="279"/>
      <c r="LAZ47" s="279"/>
      <c r="LBA47" s="279"/>
      <c r="LBB47" s="279"/>
      <c r="LBC47" s="279"/>
      <c r="LBD47" s="279"/>
      <c r="LBE47" s="279"/>
      <c r="LBF47" s="279"/>
      <c r="LBG47" s="279"/>
      <c r="LBH47" s="279"/>
      <c r="LBI47" s="279"/>
      <c r="LBJ47" s="279"/>
      <c r="LBK47" s="279"/>
      <c r="LBL47" s="279"/>
      <c r="LBM47" s="279"/>
      <c r="LBN47" s="279"/>
      <c r="LBO47" s="279"/>
      <c r="LBP47" s="279"/>
      <c r="LBQ47" s="279"/>
      <c r="LBR47" s="279"/>
      <c r="LBS47" s="279"/>
      <c r="LBT47" s="279"/>
      <c r="LBU47" s="279"/>
      <c r="LBV47" s="279"/>
      <c r="LBW47" s="279"/>
      <c r="LBX47" s="279"/>
      <c r="LBY47" s="279"/>
      <c r="LBZ47" s="279"/>
      <c r="LCA47" s="279"/>
      <c r="LCB47" s="279"/>
      <c r="LCC47" s="279"/>
      <c r="LCD47" s="279"/>
      <c r="LCE47" s="279"/>
      <c r="LCF47" s="279"/>
      <c r="LCG47" s="279"/>
      <c r="LCH47" s="279"/>
      <c r="LCI47" s="279"/>
      <c r="LCJ47" s="279"/>
      <c r="LCK47" s="279"/>
      <c r="LCL47" s="279"/>
      <c r="LCM47" s="279"/>
      <c r="LCN47" s="279"/>
      <c r="LCO47" s="279"/>
      <c r="LCP47" s="279"/>
      <c r="LCQ47" s="279"/>
      <c r="LCR47" s="279"/>
      <c r="LCS47" s="279"/>
      <c r="LCT47" s="279"/>
      <c r="LCU47" s="279"/>
      <c r="LCV47" s="279"/>
      <c r="LCW47" s="279"/>
      <c r="LCX47" s="279"/>
      <c r="LCY47" s="279"/>
      <c r="LCZ47" s="279"/>
      <c r="LDA47" s="279"/>
      <c r="LDB47" s="279"/>
      <c r="LDC47" s="279"/>
      <c r="LDD47" s="279"/>
      <c r="LDE47" s="279"/>
      <c r="LDF47" s="279"/>
      <c r="LDG47" s="279"/>
      <c r="LDH47" s="279"/>
      <c r="LDI47" s="279"/>
      <c r="LDJ47" s="279"/>
      <c r="LDK47" s="279"/>
      <c r="LDL47" s="279"/>
      <c r="LDM47" s="279"/>
      <c r="LDN47" s="279"/>
      <c r="LDO47" s="279"/>
      <c r="LDP47" s="279"/>
      <c r="LDQ47" s="279"/>
      <c r="LDR47" s="279"/>
      <c r="LDS47" s="279"/>
      <c r="LDT47" s="279"/>
      <c r="LDU47" s="279"/>
      <c r="LDV47" s="279"/>
      <c r="LDW47" s="279"/>
      <c r="LDX47" s="279"/>
      <c r="LDY47" s="279"/>
      <c r="LDZ47" s="279"/>
      <c r="LEA47" s="279"/>
      <c r="LEB47" s="279"/>
      <c r="LEC47" s="279"/>
      <c r="LED47" s="279"/>
      <c r="LEE47" s="279"/>
      <c r="LEF47" s="279"/>
      <c r="LEG47" s="279"/>
      <c r="LEH47" s="279"/>
      <c r="LEI47" s="279"/>
      <c r="LEJ47" s="279"/>
      <c r="LEK47" s="279"/>
      <c r="LEL47" s="279"/>
      <c r="LEM47" s="279"/>
      <c r="LEN47" s="279"/>
      <c r="LEO47" s="279"/>
      <c r="LEP47" s="279"/>
      <c r="LEQ47" s="279"/>
      <c r="LER47" s="279"/>
      <c r="LES47" s="279"/>
      <c r="LET47" s="279"/>
      <c r="LEU47" s="279"/>
      <c r="LEV47" s="279"/>
      <c r="LEW47" s="279"/>
      <c r="LEX47" s="279"/>
      <c r="LEY47" s="279"/>
      <c r="LEZ47" s="279"/>
      <c r="LFA47" s="279"/>
      <c r="LFB47" s="279"/>
      <c r="LFC47" s="279"/>
      <c r="LFD47" s="279"/>
      <c r="LFE47" s="279"/>
      <c r="LFF47" s="279"/>
      <c r="LFG47" s="279"/>
      <c r="LFH47" s="279"/>
      <c r="LFI47" s="279"/>
      <c r="LFJ47" s="279"/>
      <c r="LFK47" s="279"/>
      <c r="LFL47" s="279"/>
      <c r="LFM47" s="279"/>
      <c r="LFN47" s="279"/>
      <c r="LFO47" s="279"/>
      <c r="LFP47" s="279"/>
      <c r="LFQ47" s="279"/>
      <c r="LFR47" s="279"/>
      <c r="LFS47" s="279"/>
      <c r="LFT47" s="279"/>
      <c r="LFU47" s="279"/>
      <c r="LFV47" s="279"/>
      <c r="LFW47" s="279"/>
      <c r="LFX47" s="279"/>
      <c r="LFY47" s="279"/>
      <c r="LFZ47" s="279"/>
      <c r="LGA47" s="279"/>
      <c r="LGB47" s="279"/>
      <c r="LGC47" s="279"/>
      <c r="LGD47" s="279"/>
      <c r="LGE47" s="279"/>
      <c r="LGF47" s="279"/>
      <c r="LGG47" s="279"/>
      <c r="LGH47" s="279"/>
      <c r="LGI47" s="279"/>
      <c r="LGJ47" s="279"/>
      <c r="LGK47" s="279"/>
      <c r="LGL47" s="279"/>
      <c r="LGM47" s="279"/>
      <c r="LGN47" s="279"/>
      <c r="LGO47" s="279"/>
      <c r="LGP47" s="279"/>
      <c r="LGQ47" s="279"/>
      <c r="LGR47" s="279"/>
      <c r="LGS47" s="279"/>
      <c r="LGT47" s="279"/>
      <c r="LGU47" s="279"/>
      <c r="LGV47" s="279"/>
      <c r="LGW47" s="279"/>
      <c r="LGX47" s="279"/>
      <c r="LGY47" s="279"/>
      <c r="LGZ47" s="279"/>
      <c r="LHA47" s="279"/>
      <c r="LHB47" s="279"/>
      <c r="LHC47" s="279"/>
      <c r="LHD47" s="279"/>
      <c r="LHE47" s="279"/>
      <c r="LHF47" s="279"/>
      <c r="LHG47" s="279"/>
      <c r="LHH47" s="279"/>
      <c r="LHI47" s="279"/>
      <c r="LHJ47" s="279"/>
      <c r="LHK47" s="279"/>
      <c r="LHL47" s="279"/>
      <c r="LHM47" s="279"/>
      <c r="LHN47" s="279"/>
      <c r="LHO47" s="279"/>
      <c r="LHP47" s="279"/>
      <c r="LHQ47" s="279"/>
      <c r="LHR47" s="279"/>
      <c r="LHS47" s="279"/>
      <c r="LHT47" s="279"/>
      <c r="LHU47" s="279"/>
      <c r="LHV47" s="279"/>
      <c r="LHW47" s="279"/>
      <c r="LHX47" s="279"/>
      <c r="LHY47" s="279"/>
      <c r="LHZ47" s="279"/>
      <c r="LIA47" s="279"/>
      <c r="LIB47" s="279"/>
      <c r="LIC47" s="279"/>
      <c r="LID47" s="279"/>
      <c r="LIE47" s="279"/>
      <c r="LIF47" s="279"/>
      <c r="LIG47" s="279"/>
      <c r="LIH47" s="279"/>
      <c r="LII47" s="279"/>
      <c r="LIJ47" s="279"/>
      <c r="LIK47" s="279"/>
      <c r="LIL47" s="279"/>
      <c r="LIM47" s="279"/>
      <c r="LIN47" s="279"/>
      <c r="LIO47" s="279"/>
      <c r="LIP47" s="279"/>
      <c r="LIQ47" s="279"/>
      <c r="LIR47" s="279"/>
      <c r="LIS47" s="279"/>
      <c r="LIT47" s="279"/>
      <c r="LIU47" s="279"/>
      <c r="LIV47" s="279"/>
      <c r="LIW47" s="279"/>
      <c r="LIX47" s="279"/>
      <c r="LIY47" s="279"/>
      <c r="LIZ47" s="279"/>
      <c r="LJA47" s="279"/>
      <c r="LJB47" s="279"/>
      <c r="LJC47" s="279"/>
      <c r="LJD47" s="279"/>
      <c r="LJE47" s="279"/>
      <c r="LJF47" s="279"/>
      <c r="LJG47" s="279"/>
      <c r="LJH47" s="279"/>
      <c r="LJI47" s="279"/>
      <c r="LJJ47" s="279"/>
      <c r="LJK47" s="279"/>
      <c r="LJL47" s="279"/>
      <c r="LJM47" s="279"/>
      <c r="LJN47" s="279"/>
      <c r="LJO47" s="279"/>
      <c r="LJP47" s="279"/>
      <c r="LJQ47" s="279"/>
      <c r="LJR47" s="279"/>
      <c r="LJS47" s="279"/>
      <c r="LJT47" s="279"/>
      <c r="LJU47" s="279"/>
      <c r="LJV47" s="279"/>
      <c r="LJW47" s="279"/>
      <c r="LJX47" s="279"/>
      <c r="LJY47" s="279"/>
      <c r="LJZ47" s="279"/>
      <c r="LKA47" s="279"/>
      <c r="LKB47" s="279"/>
      <c r="LKC47" s="279"/>
      <c r="LKD47" s="279"/>
      <c r="LKE47" s="279"/>
      <c r="LKF47" s="279"/>
      <c r="LKG47" s="279"/>
      <c r="LKH47" s="279"/>
      <c r="LKI47" s="279"/>
      <c r="LKJ47" s="279"/>
      <c r="LKK47" s="279"/>
      <c r="LKL47" s="279"/>
      <c r="LKM47" s="279"/>
      <c r="LKN47" s="279"/>
      <c r="LKO47" s="279"/>
      <c r="LKP47" s="279"/>
      <c r="LKQ47" s="279"/>
      <c r="LKR47" s="279"/>
      <c r="LKS47" s="279"/>
      <c r="LKT47" s="279"/>
      <c r="LKU47" s="279"/>
      <c r="LKV47" s="279"/>
      <c r="LKW47" s="279"/>
      <c r="LKX47" s="279"/>
      <c r="LKY47" s="279"/>
      <c r="LKZ47" s="279"/>
      <c r="LLA47" s="279"/>
      <c r="LLB47" s="279"/>
      <c r="LLC47" s="279"/>
      <c r="LLD47" s="279"/>
      <c r="LLE47" s="279"/>
      <c r="LLF47" s="279"/>
      <c r="LLG47" s="279"/>
      <c r="LLH47" s="279"/>
      <c r="LLI47" s="279"/>
      <c r="LLJ47" s="279"/>
      <c r="LLK47" s="279"/>
      <c r="LLL47" s="279"/>
      <c r="LLM47" s="279"/>
      <c r="LLN47" s="279"/>
      <c r="LLO47" s="279"/>
      <c r="LLP47" s="279"/>
      <c r="LLQ47" s="279"/>
      <c r="LLR47" s="279"/>
      <c r="LLS47" s="279"/>
      <c r="LLT47" s="279"/>
      <c r="LLU47" s="279"/>
      <c r="LLV47" s="279"/>
      <c r="LLW47" s="279"/>
      <c r="LLX47" s="279"/>
      <c r="LLY47" s="279"/>
      <c r="LLZ47" s="279"/>
      <c r="LMA47" s="279"/>
      <c r="LMB47" s="279"/>
      <c r="LMC47" s="279"/>
      <c r="LMD47" s="279"/>
      <c r="LME47" s="279"/>
      <c r="LMF47" s="279"/>
      <c r="LMG47" s="279"/>
      <c r="LMH47" s="279"/>
      <c r="LMI47" s="279"/>
      <c r="LMJ47" s="279"/>
      <c r="LMK47" s="279"/>
      <c r="LML47" s="279"/>
      <c r="LMM47" s="279"/>
      <c r="LMN47" s="279"/>
      <c r="LMO47" s="279"/>
      <c r="LMP47" s="279"/>
      <c r="LMQ47" s="279"/>
      <c r="LMR47" s="279"/>
      <c r="LMS47" s="279"/>
      <c r="LMT47" s="279"/>
      <c r="LMU47" s="279"/>
      <c r="LMV47" s="279"/>
      <c r="LMW47" s="279"/>
      <c r="LMX47" s="279"/>
      <c r="LMY47" s="279"/>
      <c r="LMZ47" s="279"/>
      <c r="LNA47" s="279"/>
      <c r="LNB47" s="279"/>
      <c r="LNC47" s="279"/>
      <c r="LND47" s="279"/>
      <c r="LNE47" s="279"/>
      <c r="LNF47" s="279"/>
      <c r="LNG47" s="279"/>
      <c r="LNH47" s="279"/>
      <c r="LNI47" s="279"/>
      <c r="LNJ47" s="279"/>
      <c r="LNK47" s="279"/>
      <c r="LNL47" s="279"/>
      <c r="LNM47" s="279"/>
      <c r="LNN47" s="279"/>
      <c r="LNO47" s="279"/>
      <c r="LNP47" s="279"/>
      <c r="LNQ47" s="279"/>
      <c r="LNR47" s="279"/>
      <c r="LNS47" s="279"/>
      <c r="LNT47" s="279"/>
      <c r="LNU47" s="279"/>
      <c r="LNV47" s="279"/>
      <c r="LNW47" s="279"/>
      <c r="LNX47" s="279"/>
      <c r="LNY47" s="279"/>
      <c r="LNZ47" s="279"/>
      <c r="LOA47" s="279"/>
      <c r="LOB47" s="279"/>
      <c r="LOC47" s="279"/>
      <c r="LOD47" s="279"/>
      <c r="LOE47" s="279"/>
      <c r="LOF47" s="279"/>
      <c r="LOG47" s="279"/>
      <c r="LOH47" s="279"/>
      <c r="LOI47" s="279"/>
      <c r="LOJ47" s="279"/>
      <c r="LOK47" s="279"/>
      <c r="LOL47" s="279"/>
      <c r="LOM47" s="279"/>
      <c r="LON47" s="279"/>
      <c r="LOO47" s="279"/>
      <c r="LOP47" s="279"/>
      <c r="LOQ47" s="279"/>
      <c r="LOR47" s="279"/>
      <c r="LOS47" s="279"/>
      <c r="LOT47" s="279"/>
      <c r="LOU47" s="279"/>
      <c r="LOV47" s="279"/>
      <c r="LOW47" s="279"/>
      <c r="LOX47" s="279"/>
      <c r="LOY47" s="279"/>
      <c r="LOZ47" s="279"/>
      <c r="LPA47" s="279"/>
      <c r="LPB47" s="279"/>
      <c r="LPC47" s="279"/>
      <c r="LPD47" s="279"/>
      <c r="LPE47" s="279"/>
      <c r="LPF47" s="279"/>
      <c r="LPG47" s="279"/>
      <c r="LPH47" s="279"/>
      <c r="LPI47" s="279"/>
      <c r="LPJ47" s="279"/>
      <c r="LPK47" s="279"/>
      <c r="LPL47" s="279"/>
      <c r="LPM47" s="279"/>
      <c r="LPN47" s="279"/>
      <c r="LPO47" s="279"/>
      <c r="LPP47" s="279"/>
      <c r="LPQ47" s="279"/>
      <c r="LPR47" s="279"/>
      <c r="LPS47" s="279"/>
      <c r="LPT47" s="279"/>
      <c r="LPU47" s="279"/>
      <c r="LPV47" s="279"/>
      <c r="LPW47" s="279"/>
      <c r="LPX47" s="279"/>
      <c r="LPY47" s="279"/>
      <c r="LPZ47" s="279"/>
      <c r="LQA47" s="279"/>
      <c r="LQB47" s="279"/>
      <c r="LQC47" s="279"/>
      <c r="LQD47" s="279"/>
      <c r="LQE47" s="279"/>
      <c r="LQF47" s="279"/>
      <c r="LQG47" s="279"/>
      <c r="LQH47" s="279"/>
      <c r="LQI47" s="279"/>
      <c r="LQJ47" s="279"/>
      <c r="LQK47" s="279"/>
      <c r="LQL47" s="279"/>
      <c r="LQM47" s="279"/>
      <c r="LQN47" s="279"/>
      <c r="LQO47" s="279"/>
      <c r="LQP47" s="279"/>
      <c r="LQQ47" s="279"/>
      <c r="LQR47" s="279"/>
      <c r="LQS47" s="279"/>
      <c r="LQT47" s="279"/>
      <c r="LQU47" s="279"/>
      <c r="LQV47" s="279"/>
      <c r="LQW47" s="279"/>
      <c r="LQX47" s="279"/>
      <c r="LQY47" s="279"/>
      <c r="LQZ47" s="279"/>
      <c r="LRA47" s="279"/>
      <c r="LRB47" s="279"/>
      <c r="LRC47" s="279"/>
      <c r="LRD47" s="279"/>
      <c r="LRE47" s="279"/>
      <c r="LRF47" s="279"/>
      <c r="LRG47" s="279"/>
      <c r="LRH47" s="279"/>
      <c r="LRI47" s="279"/>
      <c r="LRJ47" s="279"/>
      <c r="LRK47" s="279"/>
      <c r="LRL47" s="279"/>
      <c r="LRM47" s="279"/>
      <c r="LRN47" s="279"/>
      <c r="LRO47" s="279"/>
      <c r="LRP47" s="279"/>
      <c r="LRQ47" s="279"/>
      <c r="LRR47" s="279"/>
      <c r="LRS47" s="279"/>
      <c r="LRT47" s="279"/>
      <c r="LRU47" s="279"/>
      <c r="LRV47" s="279"/>
      <c r="LRW47" s="279"/>
      <c r="LRX47" s="279"/>
      <c r="LRY47" s="279"/>
      <c r="LRZ47" s="279"/>
      <c r="LSA47" s="279"/>
      <c r="LSB47" s="279"/>
      <c r="LSC47" s="279"/>
      <c r="LSD47" s="279"/>
      <c r="LSE47" s="279"/>
      <c r="LSF47" s="279"/>
      <c r="LSG47" s="279"/>
      <c r="LSH47" s="279"/>
      <c r="LSI47" s="279"/>
      <c r="LSJ47" s="279"/>
      <c r="LSK47" s="279"/>
      <c r="LSL47" s="279"/>
      <c r="LSM47" s="279"/>
      <c r="LSN47" s="279"/>
      <c r="LSO47" s="279"/>
      <c r="LSP47" s="279"/>
      <c r="LSQ47" s="279"/>
      <c r="LSR47" s="279"/>
      <c r="LSS47" s="279"/>
      <c r="LST47" s="279"/>
      <c r="LSU47" s="279"/>
      <c r="LSV47" s="279"/>
      <c r="LSW47" s="279"/>
      <c r="LSX47" s="279"/>
      <c r="LSY47" s="279"/>
      <c r="LSZ47" s="279"/>
      <c r="LTA47" s="279"/>
      <c r="LTB47" s="279"/>
      <c r="LTC47" s="279"/>
      <c r="LTD47" s="279"/>
      <c r="LTE47" s="279"/>
      <c r="LTF47" s="279"/>
      <c r="LTG47" s="279"/>
      <c r="LTH47" s="279"/>
      <c r="LTI47" s="279"/>
      <c r="LTJ47" s="279"/>
      <c r="LTK47" s="279"/>
      <c r="LTL47" s="279"/>
      <c r="LTM47" s="279"/>
      <c r="LTN47" s="279"/>
      <c r="LTO47" s="279"/>
      <c r="LTP47" s="279"/>
      <c r="LTQ47" s="279"/>
      <c r="LTR47" s="279"/>
      <c r="LTS47" s="279"/>
      <c r="LTT47" s="279"/>
      <c r="LTU47" s="279"/>
      <c r="LTV47" s="279"/>
      <c r="LTW47" s="279"/>
      <c r="LTX47" s="279"/>
      <c r="LTY47" s="279"/>
      <c r="LTZ47" s="279"/>
      <c r="LUA47" s="279"/>
      <c r="LUB47" s="279"/>
      <c r="LUC47" s="279"/>
      <c r="LUD47" s="279"/>
      <c r="LUE47" s="279"/>
      <c r="LUF47" s="279"/>
      <c r="LUG47" s="279"/>
      <c r="LUH47" s="279"/>
      <c r="LUI47" s="279"/>
      <c r="LUJ47" s="279"/>
      <c r="LUK47" s="279"/>
      <c r="LUL47" s="279"/>
      <c r="LUM47" s="279"/>
      <c r="LUN47" s="279"/>
      <c r="LUO47" s="279"/>
      <c r="LUP47" s="279"/>
      <c r="LUQ47" s="279"/>
      <c r="LUR47" s="279"/>
      <c r="LUS47" s="279"/>
      <c r="LUT47" s="279"/>
      <c r="LUU47" s="279"/>
      <c r="LUV47" s="279"/>
      <c r="LUW47" s="279"/>
      <c r="LUX47" s="279"/>
      <c r="LUY47" s="279"/>
      <c r="LUZ47" s="279"/>
      <c r="LVA47" s="279"/>
      <c r="LVB47" s="279"/>
      <c r="LVC47" s="279"/>
      <c r="LVD47" s="279"/>
      <c r="LVE47" s="279"/>
      <c r="LVF47" s="279"/>
      <c r="LVG47" s="279"/>
      <c r="LVH47" s="279"/>
      <c r="LVI47" s="279"/>
      <c r="LVJ47" s="279"/>
      <c r="LVK47" s="279"/>
      <c r="LVL47" s="279"/>
      <c r="LVM47" s="279"/>
      <c r="LVN47" s="279"/>
      <c r="LVO47" s="279"/>
      <c r="LVP47" s="279"/>
      <c r="LVQ47" s="279"/>
      <c r="LVR47" s="279"/>
      <c r="LVS47" s="279"/>
      <c r="LVT47" s="279"/>
      <c r="LVU47" s="279"/>
      <c r="LVV47" s="279"/>
      <c r="LVW47" s="279"/>
      <c r="LVX47" s="279"/>
      <c r="LVY47" s="279"/>
      <c r="LVZ47" s="279"/>
      <c r="LWA47" s="279"/>
      <c r="LWB47" s="279"/>
      <c r="LWC47" s="279"/>
      <c r="LWD47" s="279"/>
      <c r="LWE47" s="279"/>
      <c r="LWF47" s="279"/>
      <c r="LWG47" s="279"/>
      <c r="LWH47" s="279"/>
      <c r="LWI47" s="279"/>
      <c r="LWJ47" s="279"/>
      <c r="LWK47" s="279"/>
      <c r="LWL47" s="279"/>
      <c r="LWM47" s="279"/>
      <c r="LWN47" s="279"/>
      <c r="LWO47" s="279"/>
      <c r="LWP47" s="279"/>
      <c r="LWQ47" s="279"/>
      <c r="LWR47" s="279"/>
      <c r="LWS47" s="279"/>
      <c r="LWT47" s="279"/>
      <c r="LWU47" s="279"/>
      <c r="LWV47" s="279"/>
      <c r="LWW47" s="279"/>
      <c r="LWX47" s="279"/>
      <c r="LWY47" s="279"/>
      <c r="LWZ47" s="279"/>
      <c r="LXA47" s="279"/>
      <c r="LXB47" s="279"/>
      <c r="LXC47" s="279"/>
      <c r="LXD47" s="279"/>
      <c r="LXE47" s="279"/>
      <c r="LXF47" s="279"/>
      <c r="LXG47" s="279"/>
      <c r="LXH47" s="279"/>
      <c r="LXI47" s="279"/>
      <c r="LXJ47" s="279"/>
      <c r="LXK47" s="279"/>
      <c r="LXL47" s="279"/>
      <c r="LXM47" s="279"/>
      <c r="LXN47" s="279"/>
      <c r="LXO47" s="279"/>
      <c r="LXP47" s="279"/>
      <c r="LXQ47" s="279"/>
      <c r="LXR47" s="279"/>
      <c r="LXS47" s="279"/>
      <c r="LXT47" s="279"/>
      <c r="LXU47" s="279"/>
      <c r="LXV47" s="279"/>
      <c r="LXW47" s="279"/>
      <c r="LXX47" s="279"/>
      <c r="LXY47" s="279"/>
      <c r="LXZ47" s="279"/>
      <c r="LYA47" s="279"/>
      <c r="LYB47" s="279"/>
      <c r="LYC47" s="279"/>
      <c r="LYD47" s="279"/>
      <c r="LYE47" s="279"/>
      <c r="LYF47" s="279"/>
      <c r="LYG47" s="279"/>
      <c r="LYH47" s="279"/>
      <c r="LYI47" s="279"/>
      <c r="LYJ47" s="279"/>
      <c r="LYK47" s="279"/>
      <c r="LYL47" s="279"/>
      <c r="LYM47" s="279"/>
      <c r="LYN47" s="279"/>
      <c r="LYO47" s="279"/>
      <c r="LYP47" s="279"/>
      <c r="LYQ47" s="279"/>
      <c r="LYR47" s="279"/>
      <c r="LYS47" s="279"/>
      <c r="LYT47" s="279"/>
      <c r="LYU47" s="279"/>
      <c r="LYV47" s="279"/>
      <c r="LYW47" s="279"/>
      <c r="LYX47" s="279"/>
      <c r="LYY47" s="279"/>
      <c r="LYZ47" s="279"/>
      <c r="LZA47" s="279"/>
      <c r="LZB47" s="279"/>
      <c r="LZC47" s="279"/>
      <c r="LZD47" s="279"/>
      <c r="LZE47" s="279"/>
      <c r="LZF47" s="279"/>
      <c r="LZG47" s="279"/>
      <c r="LZH47" s="279"/>
      <c r="LZI47" s="279"/>
      <c r="LZJ47" s="279"/>
      <c r="LZK47" s="279"/>
      <c r="LZL47" s="279"/>
      <c r="LZM47" s="279"/>
      <c r="LZN47" s="279"/>
      <c r="LZO47" s="279"/>
      <c r="LZP47" s="279"/>
      <c r="LZQ47" s="279"/>
      <c r="LZR47" s="279"/>
      <c r="LZS47" s="279"/>
      <c r="LZT47" s="279"/>
      <c r="LZU47" s="279"/>
      <c r="LZV47" s="279"/>
      <c r="LZW47" s="279"/>
      <c r="LZX47" s="279"/>
      <c r="LZY47" s="279"/>
      <c r="LZZ47" s="279"/>
      <c r="MAA47" s="279"/>
      <c r="MAB47" s="279"/>
      <c r="MAC47" s="279"/>
      <c r="MAD47" s="279"/>
      <c r="MAE47" s="279"/>
      <c r="MAF47" s="279"/>
      <c r="MAG47" s="279"/>
      <c r="MAH47" s="279"/>
      <c r="MAI47" s="279"/>
      <c r="MAJ47" s="279"/>
      <c r="MAK47" s="279"/>
      <c r="MAL47" s="279"/>
      <c r="MAM47" s="279"/>
      <c r="MAN47" s="279"/>
      <c r="MAO47" s="279"/>
      <c r="MAP47" s="279"/>
      <c r="MAQ47" s="279"/>
      <c r="MAR47" s="279"/>
      <c r="MAS47" s="279"/>
      <c r="MAT47" s="279"/>
      <c r="MAU47" s="279"/>
      <c r="MAV47" s="279"/>
      <c r="MAW47" s="279"/>
      <c r="MAX47" s="279"/>
      <c r="MAY47" s="279"/>
      <c r="MAZ47" s="279"/>
      <c r="MBA47" s="279"/>
      <c r="MBB47" s="279"/>
      <c r="MBC47" s="279"/>
      <c r="MBD47" s="279"/>
      <c r="MBE47" s="279"/>
      <c r="MBF47" s="279"/>
      <c r="MBG47" s="279"/>
      <c r="MBH47" s="279"/>
      <c r="MBI47" s="279"/>
      <c r="MBJ47" s="279"/>
      <c r="MBK47" s="279"/>
      <c r="MBL47" s="279"/>
      <c r="MBM47" s="279"/>
      <c r="MBN47" s="279"/>
      <c r="MBO47" s="279"/>
      <c r="MBP47" s="279"/>
      <c r="MBQ47" s="279"/>
      <c r="MBR47" s="279"/>
      <c r="MBS47" s="279"/>
      <c r="MBT47" s="279"/>
      <c r="MBU47" s="279"/>
      <c r="MBV47" s="279"/>
      <c r="MBW47" s="279"/>
      <c r="MBX47" s="279"/>
      <c r="MBY47" s="279"/>
      <c r="MBZ47" s="279"/>
      <c r="MCA47" s="279"/>
      <c r="MCB47" s="279"/>
      <c r="MCC47" s="279"/>
      <c r="MCD47" s="279"/>
      <c r="MCE47" s="279"/>
      <c r="MCF47" s="279"/>
      <c r="MCG47" s="279"/>
      <c r="MCH47" s="279"/>
      <c r="MCI47" s="279"/>
      <c r="MCJ47" s="279"/>
      <c r="MCK47" s="279"/>
      <c r="MCL47" s="279"/>
      <c r="MCM47" s="279"/>
      <c r="MCN47" s="279"/>
      <c r="MCO47" s="279"/>
      <c r="MCP47" s="279"/>
      <c r="MCQ47" s="279"/>
      <c r="MCR47" s="279"/>
      <c r="MCS47" s="279"/>
      <c r="MCT47" s="279"/>
      <c r="MCU47" s="279"/>
      <c r="MCV47" s="279"/>
      <c r="MCW47" s="279"/>
      <c r="MCX47" s="279"/>
      <c r="MCY47" s="279"/>
      <c r="MCZ47" s="279"/>
      <c r="MDA47" s="279"/>
      <c r="MDB47" s="279"/>
      <c r="MDC47" s="279"/>
      <c r="MDD47" s="279"/>
      <c r="MDE47" s="279"/>
      <c r="MDF47" s="279"/>
      <c r="MDG47" s="279"/>
      <c r="MDH47" s="279"/>
      <c r="MDI47" s="279"/>
      <c r="MDJ47" s="279"/>
      <c r="MDK47" s="279"/>
      <c r="MDL47" s="279"/>
      <c r="MDM47" s="279"/>
      <c r="MDN47" s="279"/>
      <c r="MDO47" s="279"/>
      <c r="MDP47" s="279"/>
      <c r="MDQ47" s="279"/>
      <c r="MDR47" s="279"/>
      <c r="MDS47" s="279"/>
      <c r="MDT47" s="279"/>
      <c r="MDU47" s="279"/>
      <c r="MDV47" s="279"/>
      <c r="MDW47" s="279"/>
      <c r="MDX47" s="279"/>
      <c r="MDY47" s="279"/>
      <c r="MDZ47" s="279"/>
      <c r="MEA47" s="279"/>
      <c r="MEB47" s="279"/>
      <c r="MEC47" s="279"/>
      <c r="MED47" s="279"/>
      <c r="MEE47" s="279"/>
      <c r="MEF47" s="279"/>
      <c r="MEG47" s="279"/>
      <c r="MEH47" s="279"/>
      <c r="MEI47" s="279"/>
      <c r="MEJ47" s="279"/>
      <c r="MEK47" s="279"/>
      <c r="MEL47" s="279"/>
      <c r="MEM47" s="279"/>
      <c r="MEN47" s="279"/>
      <c r="MEO47" s="279"/>
      <c r="MEP47" s="279"/>
      <c r="MEQ47" s="279"/>
      <c r="MER47" s="279"/>
      <c r="MES47" s="279"/>
      <c r="MET47" s="279"/>
      <c r="MEU47" s="279"/>
      <c r="MEV47" s="279"/>
      <c r="MEW47" s="279"/>
      <c r="MEX47" s="279"/>
      <c r="MEY47" s="279"/>
      <c r="MEZ47" s="279"/>
      <c r="MFA47" s="279"/>
      <c r="MFB47" s="279"/>
      <c r="MFC47" s="279"/>
      <c r="MFD47" s="279"/>
      <c r="MFE47" s="279"/>
      <c r="MFF47" s="279"/>
      <c r="MFG47" s="279"/>
      <c r="MFH47" s="279"/>
      <c r="MFI47" s="279"/>
      <c r="MFJ47" s="279"/>
      <c r="MFK47" s="279"/>
      <c r="MFL47" s="279"/>
      <c r="MFM47" s="279"/>
      <c r="MFN47" s="279"/>
      <c r="MFO47" s="279"/>
      <c r="MFP47" s="279"/>
      <c r="MFQ47" s="279"/>
      <c r="MFR47" s="279"/>
      <c r="MFS47" s="279"/>
      <c r="MFT47" s="279"/>
      <c r="MFU47" s="279"/>
      <c r="MFV47" s="279"/>
      <c r="MFW47" s="279"/>
      <c r="MFX47" s="279"/>
      <c r="MFY47" s="279"/>
      <c r="MFZ47" s="279"/>
      <c r="MGA47" s="279"/>
      <c r="MGB47" s="279"/>
      <c r="MGC47" s="279"/>
      <c r="MGD47" s="279"/>
      <c r="MGE47" s="279"/>
      <c r="MGF47" s="279"/>
      <c r="MGG47" s="279"/>
      <c r="MGH47" s="279"/>
      <c r="MGI47" s="279"/>
      <c r="MGJ47" s="279"/>
      <c r="MGK47" s="279"/>
      <c r="MGL47" s="279"/>
      <c r="MGM47" s="279"/>
      <c r="MGN47" s="279"/>
      <c r="MGO47" s="279"/>
      <c r="MGP47" s="279"/>
      <c r="MGQ47" s="279"/>
      <c r="MGR47" s="279"/>
      <c r="MGS47" s="279"/>
      <c r="MGT47" s="279"/>
      <c r="MGU47" s="279"/>
      <c r="MGV47" s="279"/>
      <c r="MGW47" s="279"/>
      <c r="MGX47" s="279"/>
      <c r="MGY47" s="279"/>
      <c r="MGZ47" s="279"/>
      <c r="MHA47" s="279"/>
      <c r="MHB47" s="279"/>
      <c r="MHC47" s="279"/>
      <c r="MHD47" s="279"/>
      <c r="MHE47" s="279"/>
      <c r="MHF47" s="279"/>
      <c r="MHG47" s="279"/>
      <c r="MHH47" s="279"/>
      <c r="MHI47" s="279"/>
      <c r="MHJ47" s="279"/>
      <c r="MHK47" s="279"/>
      <c r="MHL47" s="279"/>
      <c r="MHM47" s="279"/>
      <c r="MHN47" s="279"/>
      <c r="MHO47" s="279"/>
      <c r="MHP47" s="279"/>
      <c r="MHQ47" s="279"/>
      <c r="MHR47" s="279"/>
      <c r="MHS47" s="279"/>
      <c r="MHT47" s="279"/>
      <c r="MHU47" s="279"/>
      <c r="MHV47" s="279"/>
      <c r="MHW47" s="279"/>
      <c r="MHX47" s="279"/>
      <c r="MHY47" s="279"/>
      <c r="MHZ47" s="279"/>
      <c r="MIA47" s="279"/>
      <c r="MIB47" s="279"/>
      <c r="MIC47" s="279"/>
      <c r="MID47" s="279"/>
      <c r="MIE47" s="279"/>
      <c r="MIF47" s="279"/>
      <c r="MIG47" s="279"/>
      <c r="MIH47" s="279"/>
      <c r="MII47" s="279"/>
      <c r="MIJ47" s="279"/>
      <c r="MIK47" s="279"/>
      <c r="MIL47" s="279"/>
      <c r="MIM47" s="279"/>
      <c r="MIN47" s="279"/>
      <c r="MIO47" s="279"/>
      <c r="MIP47" s="279"/>
      <c r="MIQ47" s="279"/>
      <c r="MIR47" s="279"/>
      <c r="MIS47" s="279"/>
      <c r="MIT47" s="279"/>
      <c r="MIU47" s="279"/>
      <c r="MIV47" s="279"/>
      <c r="MIW47" s="279"/>
      <c r="MIX47" s="279"/>
      <c r="MIY47" s="279"/>
      <c r="MIZ47" s="279"/>
      <c r="MJA47" s="279"/>
      <c r="MJB47" s="279"/>
      <c r="MJC47" s="279"/>
      <c r="MJD47" s="279"/>
      <c r="MJE47" s="279"/>
      <c r="MJF47" s="279"/>
      <c r="MJG47" s="279"/>
      <c r="MJH47" s="279"/>
      <c r="MJI47" s="279"/>
      <c r="MJJ47" s="279"/>
      <c r="MJK47" s="279"/>
      <c r="MJL47" s="279"/>
      <c r="MJM47" s="279"/>
      <c r="MJN47" s="279"/>
      <c r="MJO47" s="279"/>
      <c r="MJP47" s="279"/>
      <c r="MJQ47" s="279"/>
      <c r="MJR47" s="279"/>
      <c r="MJS47" s="279"/>
      <c r="MJT47" s="279"/>
      <c r="MJU47" s="279"/>
      <c r="MJV47" s="279"/>
      <c r="MJW47" s="279"/>
      <c r="MJX47" s="279"/>
      <c r="MJY47" s="279"/>
      <c r="MJZ47" s="279"/>
      <c r="MKA47" s="279"/>
      <c r="MKB47" s="279"/>
      <c r="MKC47" s="279"/>
      <c r="MKD47" s="279"/>
      <c r="MKE47" s="279"/>
      <c r="MKF47" s="279"/>
      <c r="MKG47" s="279"/>
      <c r="MKH47" s="279"/>
      <c r="MKI47" s="279"/>
      <c r="MKJ47" s="279"/>
      <c r="MKK47" s="279"/>
      <c r="MKL47" s="279"/>
      <c r="MKM47" s="279"/>
      <c r="MKN47" s="279"/>
      <c r="MKO47" s="279"/>
      <c r="MKP47" s="279"/>
      <c r="MKQ47" s="279"/>
      <c r="MKR47" s="279"/>
      <c r="MKS47" s="279"/>
      <c r="MKT47" s="279"/>
      <c r="MKU47" s="279"/>
      <c r="MKV47" s="279"/>
      <c r="MKW47" s="279"/>
      <c r="MKX47" s="279"/>
      <c r="MKY47" s="279"/>
      <c r="MKZ47" s="279"/>
      <c r="MLA47" s="279"/>
      <c r="MLB47" s="279"/>
      <c r="MLC47" s="279"/>
      <c r="MLD47" s="279"/>
      <c r="MLE47" s="279"/>
      <c r="MLF47" s="279"/>
      <c r="MLG47" s="279"/>
      <c r="MLH47" s="279"/>
      <c r="MLI47" s="279"/>
      <c r="MLJ47" s="279"/>
      <c r="MLK47" s="279"/>
      <c r="MLL47" s="279"/>
      <c r="MLM47" s="279"/>
      <c r="MLN47" s="279"/>
      <c r="MLO47" s="279"/>
      <c r="MLP47" s="279"/>
      <c r="MLQ47" s="279"/>
      <c r="MLR47" s="279"/>
      <c r="MLS47" s="279"/>
      <c r="MLT47" s="279"/>
      <c r="MLU47" s="279"/>
      <c r="MLV47" s="279"/>
      <c r="MLW47" s="279"/>
      <c r="MLX47" s="279"/>
      <c r="MLY47" s="279"/>
      <c r="MLZ47" s="279"/>
      <c r="MMA47" s="279"/>
      <c r="MMB47" s="279"/>
      <c r="MMC47" s="279"/>
      <c r="MMD47" s="279"/>
      <c r="MME47" s="279"/>
      <c r="MMF47" s="279"/>
      <c r="MMG47" s="279"/>
      <c r="MMH47" s="279"/>
      <c r="MMI47" s="279"/>
      <c r="MMJ47" s="279"/>
      <c r="MMK47" s="279"/>
      <c r="MML47" s="279"/>
      <c r="MMM47" s="279"/>
      <c r="MMN47" s="279"/>
      <c r="MMO47" s="279"/>
      <c r="MMP47" s="279"/>
      <c r="MMQ47" s="279"/>
      <c r="MMR47" s="279"/>
      <c r="MMS47" s="279"/>
      <c r="MMT47" s="279"/>
      <c r="MMU47" s="279"/>
      <c r="MMV47" s="279"/>
      <c r="MMW47" s="279"/>
      <c r="MMX47" s="279"/>
      <c r="MMY47" s="279"/>
      <c r="MMZ47" s="279"/>
      <c r="MNA47" s="279"/>
      <c r="MNB47" s="279"/>
      <c r="MNC47" s="279"/>
      <c r="MND47" s="279"/>
      <c r="MNE47" s="279"/>
      <c r="MNF47" s="279"/>
      <c r="MNG47" s="279"/>
      <c r="MNH47" s="279"/>
      <c r="MNI47" s="279"/>
      <c r="MNJ47" s="279"/>
      <c r="MNK47" s="279"/>
      <c r="MNL47" s="279"/>
      <c r="MNM47" s="279"/>
      <c r="MNN47" s="279"/>
      <c r="MNO47" s="279"/>
      <c r="MNP47" s="279"/>
      <c r="MNQ47" s="279"/>
      <c r="MNR47" s="279"/>
      <c r="MNS47" s="279"/>
      <c r="MNT47" s="279"/>
      <c r="MNU47" s="279"/>
      <c r="MNV47" s="279"/>
      <c r="MNW47" s="279"/>
      <c r="MNX47" s="279"/>
      <c r="MNY47" s="279"/>
      <c r="MNZ47" s="279"/>
      <c r="MOA47" s="279"/>
      <c r="MOB47" s="279"/>
      <c r="MOC47" s="279"/>
      <c r="MOD47" s="279"/>
      <c r="MOE47" s="279"/>
      <c r="MOF47" s="279"/>
      <c r="MOG47" s="279"/>
      <c r="MOH47" s="279"/>
      <c r="MOI47" s="279"/>
      <c r="MOJ47" s="279"/>
      <c r="MOK47" s="279"/>
      <c r="MOL47" s="279"/>
      <c r="MOM47" s="279"/>
      <c r="MON47" s="279"/>
      <c r="MOO47" s="279"/>
      <c r="MOP47" s="279"/>
      <c r="MOQ47" s="279"/>
      <c r="MOR47" s="279"/>
      <c r="MOS47" s="279"/>
      <c r="MOT47" s="279"/>
      <c r="MOU47" s="279"/>
      <c r="MOV47" s="279"/>
      <c r="MOW47" s="279"/>
      <c r="MOX47" s="279"/>
      <c r="MOY47" s="279"/>
      <c r="MOZ47" s="279"/>
      <c r="MPA47" s="279"/>
      <c r="MPB47" s="279"/>
      <c r="MPC47" s="279"/>
      <c r="MPD47" s="279"/>
      <c r="MPE47" s="279"/>
      <c r="MPF47" s="279"/>
      <c r="MPG47" s="279"/>
      <c r="MPH47" s="279"/>
      <c r="MPI47" s="279"/>
      <c r="MPJ47" s="279"/>
      <c r="MPK47" s="279"/>
      <c r="MPL47" s="279"/>
      <c r="MPM47" s="279"/>
      <c r="MPN47" s="279"/>
      <c r="MPO47" s="279"/>
      <c r="MPP47" s="279"/>
      <c r="MPQ47" s="279"/>
      <c r="MPR47" s="279"/>
      <c r="MPS47" s="279"/>
      <c r="MPT47" s="279"/>
      <c r="MPU47" s="279"/>
      <c r="MPV47" s="279"/>
      <c r="MPW47" s="279"/>
      <c r="MPX47" s="279"/>
      <c r="MPY47" s="279"/>
      <c r="MPZ47" s="279"/>
      <c r="MQA47" s="279"/>
      <c r="MQB47" s="279"/>
      <c r="MQC47" s="279"/>
      <c r="MQD47" s="279"/>
      <c r="MQE47" s="279"/>
      <c r="MQF47" s="279"/>
      <c r="MQG47" s="279"/>
      <c r="MQH47" s="279"/>
      <c r="MQI47" s="279"/>
      <c r="MQJ47" s="279"/>
      <c r="MQK47" s="279"/>
      <c r="MQL47" s="279"/>
      <c r="MQM47" s="279"/>
      <c r="MQN47" s="279"/>
      <c r="MQO47" s="279"/>
      <c r="MQP47" s="279"/>
      <c r="MQQ47" s="279"/>
      <c r="MQR47" s="279"/>
      <c r="MQS47" s="279"/>
      <c r="MQT47" s="279"/>
      <c r="MQU47" s="279"/>
      <c r="MQV47" s="279"/>
      <c r="MQW47" s="279"/>
      <c r="MQX47" s="279"/>
      <c r="MQY47" s="279"/>
      <c r="MQZ47" s="279"/>
      <c r="MRA47" s="279"/>
      <c r="MRB47" s="279"/>
      <c r="MRC47" s="279"/>
      <c r="MRD47" s="279"/>
      <c r="MRE47" s="279"/>
      <c r="MRF47" s="279"/>
      <c r="MRG47" s="279"/>
      <c r="MRH47" s="279"/>
      <c r="MRI47" s="279"/>
      <c r="MRJ47" s="279"/>
      <c r="MRK47" s="279"/>
      <c r="MRL47" s="279"/>
      <c r="MRM47" s="279"/>
      <c r="MRN47" s="279"/>
      <c r="MRO47" s="279"/>
      <c r="MRP47" s="279"/>
      <c r="MRQ47" s="279"/>
      <c r="MRR47" s="279"/>
      <c r="MRS47" s="279"/>
      <c r="MRT47" s="279"/>
      <c r="MRU47" s="279"/>
      <c r="MRV47" s="279"/>
      <c r="MRW47" s="279"/>
      <c r="MRX47" s="279"/>
      <c r="MRY47" s="279"/>
      <c r="MRZ47" s="279"/>
      <c r="MSA47" s="279"/>
      <c r="MSB47" s="279"/>
      <c r="MSC47" s="279"/>
      <c r="MSD47" s="279"/>
      <c r="MSE47" s="279"/>
      <c r="MSF47" s="279"/>
      <c r="MSG47" s="279"/>
      <c r="MSH47" s="279"/>
      <c r="MSI47" s="279"/>
      <c r="MSJ47" s="279"/>
      <c r="MSK47" s="279"/>
      <c r="MSL47" s="279"/>
      <c r="MSM47" s="279"/>
      <c r="MSN47" s="279"/>
      <c r="MSO47" s="279"/>
      <c r="MSP47" s="279"/>
      <c r="MSQ47" s="279"/>
      <c r="MSR47" s="279"/>
      <c r="MSS47" s="279"/>
      <c r="MST47" s="279"/>
      <c r="MSU47" s="279"/>
      <c r="MSV47" s="279"/>
      <c r="MSW47" s="279"/>
      <c r="MSX47" s="279"/>
      <c r="MSY47" s="279"/>
      <c r="MSZ47" s="279"/>
      <c r="MTA47" s="279"/>
      <c r="MTB47" s="279"/>
      <c r="MTC47" s="279"/>
      <c r="MTD47" s="279"/>
      <c r="MTE47" s="279"/>
      <c r="MTF47" s="279"/>
      <c r="MTG47" s="279"/>
      <c r="MTH47" s="279"/>
      <c r="MTI47" s="279"/>
      <c r="MTJ47" s="279"/>
      <c r="MTK47" s="279"/>
      <c r="MTL47" s="279"/>
      <c r="MTM47" s="279"/>
      <c r="MTN47" s="279"/>
      <c r="MTO47" s="279"/>
      <c r="MTP47" s="279"/>
      <c r="MTQ47" s="279"/>
      <c r="MTR47" s="279"/>
      <c r="MTS47" s="279"/>
      <c r="MTT47" s="279"/>
      <c r="MTU47" s="279"/>
      <c r="MTV47" s="279"/>
      <c r="MTW47" s="279"/>
      <c r="MTX47" s="279"/>
      <c r="MTY47" s="279"/>
      <c r="MTZ47" s="279"/>
      <c r="MUA47" s="279"/>
      <c r="MUB47" s="279"/>
      <c r="MUC47" s="279"/>
      <c r="MUD47" s="279"/>
      <c r="MUE47" s="279"/>
      <c r="MUF47" s="279"/>
      <c r="MUG47" s="279"/>
      <c r="MUH47" s="279"/>
      <c r="MUI47" s="279"/>
      <c r="MUJ47" s="279"/>
      <c r="MUK47" s="279"/>
      <c r="MUL47" s="279"/>
      <c r="MUM47" s="279"/>
      <c r="MUN47" s="279"/>
      <c r="MUO47" s="279"/>
      <c r="MUP47" s="279"/>
      <c r="MUQ47" s="279"/>
      <c r="MUR47" s="279"/>
      <c r="MUS47" s="279"/>
      <c r="MUT47" s="279"/>
      <c r="MUU47" s="279"/>
      <c r="MUV47" s="279"/>
      <c r="MUW47" s="279"/>
      <c r="MUX47" s="279"/>
      <c r="MUY47" s="279"/>
      <c r="MUZ47" s="279"/>
      <c r="MVA47" s="279"/>
      <c r="MVB47" s="279"/>
      <c r="MVC47" s="279"/>
      <c r="MVD47" s="279"/>
      <c r="MVE47" s="279"/>
      <c r="MVF47" s="279"/>
      <c r="MVG47" s="279"/>
      <c r="MVH47" s="279"/>
      <c r="MVI47" s="279"/>
      <c r="MVJ47" s="279"/>
      <c r="MVK47" s="279"/>
      <c r="MVL47" s="279"/>
      <c r="MVM47" s="279"/>
      <c r="MVN47" s="279"/>
      <c r="MVO47" s="279"/>
      <c r="MVP47" s="279"/>
      <c r="MVQ47" s="279"/>
      <c r="MVR47" s="279"/>
      <c r="MVS47" s="279"/>
      <c r="MVT47" s="279"/>
      <c r="MVU47" s="279"/>
      <c r="MVV47" s="279"/>
      <c r="MVW47" s="279"/>
      <c r="MVX47" s="279"/>
      <c r="MVY47" s="279"/>
      <c r="MVZ47" s="279"/>
      <c r="MWA47" s="279"/>
      <c r="MWB47" s="279"/>
      <c r="MWC47" s="279"/>
      <c r="MWD47" s="279"/>
      <c r="MWE47" s="279"/>
      <c r="MWF47" s="279"/>
      <c r="MWG47" s="279"/>
      <c r="MWH47" s="279"/>
      <c r="MWI47" s="279"/>
      <c r="MWJ47" s="279"/>
      <c r="MWK47" s="279"/>
      <c r="MWL47" s="279"/>
      <c r="MWM47" s="279"/>
      <c r="MWN47" s="279"/>
      <c r="MWO47" s="279"/>
      <c r="MWP47" s="279"/>
      <c r="MWQ47" s="279"/>
      <c r="MWR47" s="279"/>
      <c r="MWS47" s="279"/>
      <c r="MWT47" s="279"/>
      <c r="MWU47" s="279"/>
      <c r="MWV47" s="279"/>
      <c r="MWW47" s="279"/>
      <c r="MWX47" s="279"/>
      <c r="MWY47" s="279"/>
      <c r="MWZ47" s="279"/>
      <c r="MXA47" s="279"/>
      <c r="MXB47" s="279"/>
      <c r="MXC47" s="279"/>
      <c r="MXD47" s="279"/>
      <c r="MXE47" s="279"/>
      <c r="MXF47" s="279"/>
      <c r="MXG47" s="279"/>
      <c r="MXH47" s="279"/>
      <c r="MXI47" s="279"/>
      <c r="MXJ47" s="279"/>
      <c r="MXK47" s="279"/>
      <c r="MXL47" s="279"/>
      <c r="MXM47" s="279"/>
      <c r="MXN47" s="279"/>
      <c r="MXO47" s="279"/>
      <c r="MXP47" s="279"/>
      <c r="MXQ47" s="279"/>
      <c r="MXR47" s="279"/>
      <c r="MXS47" s="279"/>
      <c r="MXT47" s="279"/>
      <c r="MXU47" s="279"/>
      <c r="MXV47" s="279"/>
      <c r="MXW47" s="279"/>
      <c r="MXX47" s="279"/>
      <c r="MXY47" s="279"/>
      <c r="MXZ47" s="279"/>
      <c r="MYA47" s="279"/>
      <c r="MYB47" s="279"/>
      <c r="MYC47" s="279"/>
      <c r="MYD47" s="279"/>
      <c r="MYE47" s="279"/>
      <c r="MYF47" s="279"/>
      <c r="MYG47" s="279"/>
      <c r="MYH47" s="279"/>
      <c r="MYI47" s="279"/>
      <c r="MYJ47" s="279"/>
      <c r="MYK47" s="279"/>
      <c r="MYL47" s="279"/>
      <c r="MYM47" s="279"/>
      <c r="MYN47" s="279"/>
      <c r="MYO47" s="279"/>
      <c r="MYP47" s="279"/>
      <c r="MYQ47" s="279"/>
      <c r="MYR47" s="279"/>
      <c r="MYS47" s="279"/>
      <c r="MYT47" s="279"/>
      <c r="MYU47" s="279"/>
      <c r="MYV47" s="279"/>
      <c r="MYW47" s="279"/>
      <c r="MYX47" s="279"/>
      <c r="MYY47" s="279"/>
      <c r="MYZ47" s="279"/>
      <c r="MZA47" s="279"/>
      <c r="MZB47" s="279"/>
      <c r="MZC47" s="279"/>
      <c r="MZD47" s="279"/>
      <c r="MZE47" s="279"/>
      <c r="MZF47" s="279"/>
      <c r="MZG47" s="279"/>
      <c r="MZH47" s="279"/>
      <c r="MZI47" s="279"/>
      <c r="MZJ47" s="279"/>
      <c r="MZK47" s="279"/>
      <c r="MZL47" s="279"/>
      <c r="MZM47" s="279"/>
      <c r="MZN47" s="279"/>
      <c r="MZO47" s="279"/>
      <c r="MZP47" s="279"/>
      <c r="MZQ47" s="279"/>
      <c r="MZR47" s="279"/>
      <c r="MZS47" s="279"/>
      <c r="MZT47" s="279"/>
      <c r="MZU47" s="279"/>
      <c r="MZV47" s="279"/>
      <c r="MZW47" s="279"/>
      <c r="MZX47" s="279"/>
      <c r="MZY47" s="279"/>
      <c r="MZZ47" s="279"/>
      <c r="NAA47" s="279"/>
      <c r="NAB47" s="279"/>
      <c r="NAC47" s="279"/>
      <c r="NAD47" s="279"/>
      <c r="NAE47" s="279"/>
      <c r="NAF47" s="279"/>
      <c r="NAG47" s="279"/>
      <c r="NAH47" s="279"/>
      <c r="NAI47" s="279"/>
      <c r="NAJ47" s="279"/>
      <c r="NAK47" s="279"/>
      <c r="NAL47" s="279"/>
      <c r="NAM47" s="279"/>
      <c r="NAN47" s="279"/>
      <c r="NAO47" s="279"/>
      <c r="NAP47" s="279"/>
      <c r="NAQ47" s="279"/>
      <c r="NAR47" s="279"/>
      <c r="NAS47" s="279"/>
      <c r="NAT47" s="279"/>
      <c r="NAU47" s="279"/>
      <c r="NAV47" s="279"/>
      <c r="NAW47" s="279"/>
      <c r="NAX47" s="279"/>
      <c r="NAY47" s="279"/>
      <c r="NAZ47" s="279"/>
      <c r="NBA47" s="279"/>
      <c r="NBB47" s="279"/>
      <c r="NBC47" s="279"/>
      <c r="NBD47" s="279"/>
      <c r="NBE47" s="279"/>
      <c r="NBF47" s="279"/>
      <c r="NBG47" s="279"/>
      <c r="NBH47" s="279"/>
      <c r="NBI47" s="279"/>
      <c r="NBJ47" s="279"/>
      <c r="NBK47" s="279"/>
      <c r="NBL47" s="279"/>
      <c r="NBM47" s="279"/>
      <c r="NBN47" s="279"/>
      <c r="NBO47" s="279"/>
      <c r="NBP47" s="279"/>
      <c r="NBQ47" s="279"/>
      <c r="NBR47" s="279"/>
      <c r="NBS47" s="279"/>
      <c r="NBT47" s="279"/>
      <c r="NBU47" s="279"/>
      <c r="NBV47" s="279"/>
      <c r="NBW47" s="279"/>
      <c r="NBX47" s="279"/>
      <c r="NBY47" s="279"/>
      <c r="NBZ47" s="279"/>
      <c r="NCA47" s="279"/>
      <c r="NCB47" s="279"/>
      <c r="NCC47" s="279"/>
      <c r="NCD47" s="279"/>
      <c r="NCE47" s="279"/>
      <c r="NCF47" s="279"/>
      <c r="NCG47" s="279"/>
      <c r="NCH47" s="279"/>
      <c r="NCI47" s="279"/>
      <c r="NCJ47" s="279"/>
      <c r="NCK47" s="279"/>
      <c r="NCL47" s="279"/>
      <c r="NCM47" s="279"/>
      <c r="NCN47" s="279"/>
      <c r="NCO47" s="279"/>
      <c r="NCP47" s="279"/>
      <c r="NCQ47" s="279"/>
      <c r="NCR47" s="279"/>
      <c r="NCS47" s="279"/>
      <c r="NCT47" s="279"/>
      <c r="NCU47" s="279"/>
      <c r="NCV47" s="279"/>
      <c r="NCW47" s="279"/>
      <c r="NCX47" s="279"/>
      <c r="NCY47" s="279"/>
      <c r="NCZ47" s="279"/>
      <c r="NDA47" s="279"/>
      <c r="NDB47" s="279"/>
      <c r="NDC47" s="279"/>
      <c r="NDD47" s="279"/>
      <c r="NDE47" s="279"/>
      <c r="NDF47" s="279"/>
      <c r="NDG47" s="279"/>
      <c r="NDH47" s="279"/>
      <c r="NDI47" s="279"/>
      <c r="NDJ47" s="279"/>
      <c r="NDK47" s="279"/>
      <c r="NDL47" s="279"/>
      <c r="NDM47" s="279"/>
      <c r="NDN47" s="279"/>
      <c r="NDO47" s="279"/>
      <c r="NDP47" s="279"/>
      <c r="NDQ47" s="279"/>
      <c r="NDR47" s="279"/>
      <c r="NDS47" s="279"/>
      <c r="NDT47" s="279"/>
      <c r="NDU47" s="279"/>
      <c r="NDV47" s="279"/>
      <c r="NDW47" s="279"/>
      <c r="NDX47" s="279"/>
      <c r="NDY47" s="279"/>
      <c r="NDZ47" s="279"/>
      <c r="NEA47" s="279"/>
      <c r="NEB47" s="279"/>
      <c r="NEC47" s="279"/>
      <c r="NED47" s="279"/>
      <c r="NEE47" s="279"/>
      <c r="NEF47" s="279"/>
      <c r="NEG47" s="279"/>
      <c r="NEH47" s="279"/>
      <c r="NEI47" s="279"/>
      <c r="NEJ47" s="279"/>
      <c r="NEK47" s="279"/>
      <c r="NEL47" s="279"/>
      <c r="NEM47" s="279"/>
      <c r="NEN47" s="279"/>
      <c r="NEO47" s="279"/>
      <c r="NEP47" s="279"/>
      <c r="NEQ47" s="279"/>
      <c r="NER47" s="279"/>
      <c r="NES47" s="279"/>
      <c r="NET47" s="279"/>
      <c r="NEU47" s="279"/>
      <c r="NEV47" s="279"/>
      <c r="NEW47" s="279"/>
      <c r="NEX47" s="279"/>
      <c r="NEY47" s="279"/>
      <c r="NEZ47" s="279"/>
      <c r="NFA47" s="279"/>
      <c r="NFB47" s="279"/>
      <c r="NFC47" s="279"/>
      <c r="NFD47" s="279"/>
      <c r="NFE47" s="279"/>
      <c r="NFF47" s="279"/>
      <c r="NFG47" s="279"/>
      <c r="NFH47" s="279"/>
      <c r="NFI47" s="279"/>
      <c r="NFJ47" s="279"/>
      <c r="NFK47" s="279"/>
      <c r="NFL47" s="279"/>
      <c r="NFM47" s="279"/>
      <c r="NFN47" s="279"/>
      <c r="NFO47" s="279"/>
      <c r="NFP47" s="279"/>
      <c r="NFQ47" s="279"/>
      <c r="NFR47" s="279"/>
      <c r="NFS47" s="279"/>
      <c r="NFT47" s="279"/>
      <c r="NFU47" s="279"/>
      <c r="NFV47" s="279"/>
      <c r="NFW47" s="279"/>
      <c r="NFX47" s="279"/>
      <c r="NFY47" s="279"/>
      <c r="NFZ47" s="279"/>
      <c r="NGA47" s="279"/>
      <c r="NGB47" s="279"/>
      <c r="NGC47" s="279"/>
      <c r="NGD47" s="279"/>
      <c r="NGE47" s="279"/>
      <c r="NGF47" s="279"/>
      <c r="NGG47" s="279"/>
      <c r="NGH47" s="279"/>
      <c r="NGI47" s="279"/>
      <c r="NGJ47" s="279"/>
      <c r="NGK47" s="279"/>
      <c r="NGL47" s="279"/>
      <c r="NGM47" s="279"/>
      <c r="NGN47" s="279"/>
      <c r="NGO47" s="279"/>
      <c r="NGP47" s="279"/>
      <c r="NGQ47" s="279"/>
      <c r="NGR47" s="279"/>
      <c r="NGS47" s="279"/>
      <c r="NGT47" s="279"/>
      <c r="NGU47" s="279"/>
      <c r="NGV47" s="279"/>
      <c r="NGW47" s="279"/>
      <c r="NGX47" s="279"/>
      <c r="NGY47" s="279"/>
      <c r="NGZ47" s="279"/>
      <c r="NHA47" s="279"/>
      <c r="NHB47" s="279"/>
      <c r="NHC47" s="279"/>
      <c r="NHD47" s="279"/>
      <c r="NHE47" s="279"/>
      <c r="NHF47" s="279"/>
      <c r="NHG47" s="279"/>
      <c r="NHH47" s="279"/>
      <c r="NHI47" s="279"/>
      <c r="NHJ47" s="279"/>
      <c r="NHK47" s="279"/>
      <c r="NHL47" s="279"/>
      <c r="NHM47" s="279"/>
      <c r="NHN47" s="279"/>
      <c r="NHO47" s="279"/>
      <c r="NHP47" s="279"/>
      <c r="NHQ47" s="279"/>
      <c r="NHR47" s="279"/>
      <c r="NHS47" s="279"/>
      <c r="NHT47" s="279"/>
      <c r="NHU47" s="279"/>
      <c r="NHV47" s="279"/>
      <c r="NHW47" s="279"/>
      <c r="NHX47" s="279"/>
      <c r="NHY47" s="279"/>
      <c r="NHZ47" s="279"/>
      <c r="NIA47" s="279"/>
      <c r="NIB47" s="279"/>
      <c r="NIC47" s="279"/>
      <c r="NID47" s="279"/>
      <c r="NIE47" s="279"/>
      <c r="NIF47" s="279"/>
      <c r="NIG47" s="279"/>
      <c r="NIH47" s="279"/>
      <c r="NII47" s="279"/>
      <c r="NIJ47" s="279"/>
      <c r="NIK47" s="279"/>
      <c r="NIL47" s="279"/>
      <c r="NIM47" s="279"/>
      <c r="NIN47" s="279"/>
      <c r="NIO47" s="279"/>
      <c r="NIP47" s="279"/>
      <c r="NIQ47" s="279"/>
      <c r="NIR47" s="279"/>
      <c r="NIS47" s="279"/>
      <c r="NIT47" s="279"/>
      <c r="NIU47" s="279"/>
      <c r="NIV47" s="279"/>
      <c r="NIW47" s="279"/>
      <c r="NIX47" s="279"/>
      <c r="NIY47" s="279"/>
      <c r="NIZ47" s="279"/>
      <c r="NJA47" s="279"/>
      <c r="NJB47" s="279"/>
      <c r="NJC47" s="279"/>
      <c r="NJD47" s="279"/>
      <c r="NJE47" s="279"/>
      <c r="NJF47" s="279"/>
      <c r="NJG47" s="279"/>
      <c r="NJH47" s="279"/>
      <c r="NJI47" s="279"/>
      <c r="NJJ47" s="279"/>
      <c r="NJK47" s="279"/>
      <c r="NJL47" s="279"/>
      <c r="NJM47" s="279"/>
      <c r="NJN47" s="279"/>
      <c r="NJO47" s="279"/>
      <c r="NJP47" s="279"/>
      <c r="NJQ47" s="279"/>
      <c r="NJR47" s="279"/>
      <c r="NJS47" s="279"/>
      <c r="NJT47" s="279"/>
      <c r="NJU47" s="279"/>
      <c r="NJV47" s="279"/>
      <c r="NJW47" s="279"/>
      <c r="NJX47" s="279"/>
      <c r="NJY47" s="279"/>
      <c r="NJZ47" s="279"/>
      <c r="NKA47" s="279"/>
      <c r="NKB47" s="279"/>
      <c r="NKC47" s="279"/>
      <c r="NKD47" s="279"/>
      <c r="NKE47" s="279"/>
      <c r="NKF47" s="279"/>
      <c r="NKG47" s="279"/>
      <c r="NKH47" s="279"/>
      <c r="NKI47" s="279"/>
      <c r="NKJ47" s="279"/>
      <c r="NKK47" s="279"/>
      <c r="NKL47" s="279"/>
      <c r="NKM47" s="279"/>
      <c r="NKN47" s="279"/>
      <c r="NKO47" s="279"/>
      <c r="NKP47" s="279"/>
      <c r="NKQ47" s="279"/>
      <c r="NKR47" s="279"/>
      <c r="NKS47" s="279"/>
      <c r="NKT47" s="279"/>
      <c r="NKU47" s="279"/>
      <c r="NKV47" s="279"/>
      <c r="NKW47" s="279"/>
      <c r="NKX47" s="279"/>
      <c r="NKY47" s="279"/>
      <c r="NKZ47" s="279"/>
      <c r="NLA47" s="279"/>
      <c r="NLB47" s="279"/>
      <c r="NLC47" s="279"/>
      <c r="NLD47" s="279"/>
      <c r="NLE47" s="279"/>
      <c r="NLF47" s="279"/>
      <c r="NLG47" s="279"/>
      <c r="NLH47" s="279"/>
      <c r="NLI47" s="279"/>
      <c r="NLJ47" s="279"/>
      <c r="NLK47" s="279"/>
      <c r="NLL47" s="279"/>
      <c r="NLM47" s="279"/>
      <c r="NLN47" s="279"/>
      <c r="NLO47" s="279"/>
      <c r="NLP47" s="279"/>
      <c r="NLQ47" s="279"/>
      <c r="NLR47" s="279"/>
      <c r="NLS47" s="279"/>
      <c r="NLT47" s="279"/>
      <c r="NLU47" s="279"/>
      <c r="NLV47" s="279"/>
      <c r="NLW47" s="279"/>
      <c r="NLX47" s="279"/>
      <c r="NLY47" s="279"/>
      <c r="NLZ47" s="279"/>
      <c r="NMA47" s="279"/>
      <c r="NMB47" s="279"/>
      <c r="NMC47" s="279"/>
      <c r="NMD47" s="279"/>
      <c r="NME47" s="279"/>
      <c r="NMF47" s="279"/>
      <c r="NMG47" s="279"/>
      <c r="NMH47" s="279"/>
      <c r="NMI47" s="279"/>
      <c r="NMJ47" s="279"/>
      <c r="NMK47" s="279"/>
      <c r="NML47" s="279"/>
      <c r="NMM47" s="279"/>
      <c r="NMN47" s="279"/>
      <c r="NMO47" s="279"/>
      <c r="NMP47" s="279"/>
      <c r="NMQ47" s="279"/>
      <c r="NMR47" s="279"/>
      <c r="NMS47" s="279"/>
      <c r="NMT47" s="279"/>
      <c r="NMU47" s="279"/>
      <c r="NMV47" s="279"/>
      <c r="NMW47" s="279"/>
      <c r="NMX47" s="279"/>
      <c r="NMY47" s="279"/>
      <c r="NMZ47" s="279"/>
      <c r="NNA47" s="279"/>
      <c r="NNB47" s="279"/>
      <c r="NNC47" s="279"/>
      <c r="NND47" s="279"/>
      <c r="NNE47" s="279"/>
      <c r="NNF47" s="279"/>
      <c r="NNG47" s="279"/>
      <c r="NNH47" s="279"/>
      <c r="NNI47" s="279"/>
      <c r="NNJ47" s="279"/>
      <c r="NNK47" s="279"/>
      <c r="NNL47" s="279"/>
      <c r="NNM47" s="279"/>
      <c r="NNN47" s="279"/>
      <c r="NNO47" s="279"/>
      <c r="NNP47" s="279"/>
      <c r="NNQ47" s="279"/>
      <c r="NNR47" s="279"/>
      <c r="NNS47" s="279"/>
      <c r="NNT47" s="279"/>
      <c r="NNU47" s="279"/>
      <c r="NNV47" s="279"/>
      <c r="NNW47" s="279"/>
      <c r="NNX47" s="279"/>
      <c r="NNY47" s="279"/>
      <c r="NNZ47" s="279"/>
      <c r="NOA47" s="279"/>
      <c r="NOB47" s="279"/>
      <c r="NOC47" s="279"/>
      <c r="NOD47" s="279"/>
      <c r="NOE47" s="279"/>
      <c r="NOF47" s="279"/>
      <c r="NOG47" s="279"/>
      <c r="NOH47" s="279"/>
      <c r="NOI47" s="279"/>
      <c r="NOJ47" s="279"/>
      <c r="NOK47" s="279"/>
      <c r="NOL47" s="279"/>
      <c r="NOM47" s="279"/>
      <c r="NON47" s="279"/>
      <c r="NOO47" s="279"/>
      <c r="NOP47" s="279"/>
      <c r="NOQ47" s="279"/>
      <c r="NOR47" s="279"/>
      <c r="NOS47" s="279"/>
      <c r="NOT47" s="279"/>
      <c r="NOU47" s="279"/>
      <c r="NOV47" s="279"/>
      <c r="NOW47" s="279"/>
      <c r="NOX47" s="279"/>
      <c r="NOY47" s="279"/>
      <c r="NOZ47" s="279"/>
      <c r="NPA47" s="279"/>
      <c r="NPB47" s="279"/>
      <c r="NPC47" s="279"/>
      <c r="NPD47" s="279"/>
      <c r="NPE47" s="279"/>
      <c r="NPF47" s="279"/>
      <c r="NPG47" s="279"/>
      <c r="NPH47" s="279"/>
      <c r="NPI47" s="279"/>
      <c r="NPJ47" s="279"/>
      <c r="NPK47" s="279"/>
      <c r="NPL47" s="279"/>
      <c r="NPM47" s="279"/>
      <c r="NPN47" s="279"/>
      <c r="NPO47" s="279"/>
      <c r="NPP47" s="279"/>
      <c r="NPQ47" s="279"/>
      <c r="NPR47" s="279"/>
      <c r="NPS47" s="279"/>
      <c r="NPT47" s="279"/>
      <c r="NPU47" s="279"/>
      <c r="NPV47" s="279"/>
      <c r="NPW47" s="279"/>
      <c r="NPX47" s="279"/>
      <c r="NPY47" s="279"/>
      <c r="NPZ47" s="279"/>
      <c r="NQA47" s="279"/>
      <c r="NQB47" s="279"/>
      <c r="NQC47" s="279"/>
      <c r="NQD47" s="279"/>
      <c r="NQE47" s="279"/>
      <c r="NQF47" s="279"/>
      <c r="NQG47" s="279"/>
      <c r="NQH47" s="279"/>
      <c r="NQI47" s="279"/>
      <c r="NQJ47" s="279"/>
      <c r="NQK47" s="279"/>
      <c r="NQL47" s="279"/>
      <c r="NQM47" s="279"/>
      <c r="NQN47" s="279"/>
      <c r="NQO47" s="279"/>
      <c r="NQP47" s="279"/>
      <c r="NQQ47" s="279"/>
      <c r="NQR47" s="279"/>
      <c r="NQS47" s="279"/>
      <c r="NQT47" s="279"/>
      <c r="NQU47" s="279"/>
      <c r="NQV47" s="279"/>
      <c r="NQW47" s="279"/>
      <c r="NQX47" s="279"/>
      <c r="NQY47" s="279"/>
      <c r="NQZ47" s="279"/>
      <c r="NRA47" s="279"/>
      <c r="NRB47" s="279"/>
      <c r="NRC47" s="279"/>
      <c r="NRD47" s="279"/>
      <c r="NRE47" s="279"/>
      <c r="NRF47" s="279"/>
      <c r="NRG47" s="279"/>
      <c r="NRH47" s="279"/>
      <c r="NRI47" s="279"/>
      <c r="NRJ47" s="279"/>
      <c r="NRK47" s="279"/>
      <c r="NRL47" s="279"/>
      <c r="NRM47" s="279"/>
      <c r="NRN47" s="279"/>
      <c r="NRO47" s="279"/>
      <c r="NRP47" s="279"/>
      <c r="NRQ47" s="279"/>
      <c r="NRR47" s="279"/>
      <c r="NRS47" s="279"/>
      <c r="NRT47" s="279"/>
      <c r="NRU47" s="279"/>
      <c r="NRV47" s="279"/>
      <c r="NRW47" s="279"/>
      <c r="NRX47" s="279"/>
      <c r="NRY47" s="279"/>
      <c r="NRZ47" s="279"/>
      <c r="NSA47" s="279"/>
      <c r="NSB47" s="279"/>
      <c r="NSC47" s="279"/>
      <c r="NSD47" s="279"/>
      <c r="NSE47" s="279"/>
      <c r="NSF47" s="279"/>
      <c r="NSG47" s="279"/>
      <c r="NSH47" s="279"/>
      <c r="NSI47" s="279"/>
      <c r="NSJ47" s="279"/>
      <c r="NSK47" s="279"/>
      <c r="NSL47" s="279"/>
      <c r="NSM47" s="279"/>
      <c r="NSN47" s="279"/>
      <c r="NSO47" s="279"/>
      <c r="NSP47" s="279"/>
      <c r="NSQ47" s="279"/>
      <c r="NSR47" s="279"/>
      <c r="NSS47" s="279"/>
      <c r="NST47" s="279"/>
      <c r="NSU47" s="279"/>
      <c r="NSV47" s="279"/>
      <c r="NSW47" s="279"/>
      <c r="NSX47" s="279"/>
      <c r="NSY47" s="279"/>
      <c r="NSZ47" s="279"/>
      <c r="NTA47" s="279"/>
      <c r="NTB47" s="279"/>
      <c r="NTC47" s="279"/>
      <c r="NTD47" s="279"/>
      <c r="NTE47" s="279"/>
      <c r="NTF47" s="279"/>
      <c r="NTG47" s="279"/>
      <c r="NTH47" s="279"/>
      <c r="NTI47" s="279"/>
      <c r="NTJ47" s="279"/>
      <c r="NTK47" s="279"/>
      <c r="NTL47" s="279"/>
      <c r="NTM47" s="279"/>
      <c r="NTN47" s="279"/>
      <c r="NTO47" s="279"/>
      <c r="NTP47" s="279"/>
      <c r="NTQ47" s="279"/>
      <c r="NTR47" s="279"/>
      <c r="NTS47" s="279"/>
      <c r="NTT47" s="279"/>
      <c r="NTU47" s="279"/>
      <c r="NTV47" s="279"/>
      <c r="NTW47" s="279"/>
      <c r="NTX47" s="279"/>
      <c r="NTY47" s="279"/>
      <c r="NTZ47" s="279"/>
      <c r="NUA47" s="279"/>
      <c r="NUB47" s="279"/>
      <c r="NUC47" s="279"/>
      <c r="NUD47" s="279"/>
      <c r="NUE47" s="279"/>
      <c r="NUF47" s="279"/>
      <c r="NUG47" s="279"/>
      <c r="NUH47" s="279"/>
      <c r="NUI47" s="279"/>
      <c r="NUJ47" s="279"/>
      <c r="NUK47" s="279"/>
      <c r="NUL47" s="279"/>
      <c r="NUM47" s="279"/>
      <c r="NUN47" s="279"/>
      <c r="NUO47" s="279"/>
      <c r="NUP47" s="279"/>
      <c r="NUQ47" s="279"/>
      <c r="NUR47" s="279"/>
      <c r="NUS47" s="279"/>
      <c r="NUT47" s="279"/>
      <c r="NUU47" s="279"/>
      <c r="NUV47" s="279"/>
      <c r="NUW47" s="279"/>
      <c r="NUX47" s="279"/>
      <c r="NUY47" s="279"/>
      <c r="NUZ47" s="279"/>
      <c r="NVA47" s="279"/>
      <c r="NVB47" s="279"/>
      <c r="NVC47" s="279"/>
      <c r="NVD47" s="279"/>
      <c r="NVE47" s="279"/>
      <c r="NVF47" s="279"/>
      <c r="NVG47" s="279"/>
      <c r="NVH47" s="279"/>
      <c r="NVI47" s="279"/>
      <c r="NVJ47" s="279"/>
      <c r="NVK47" s="279"/>
      <c r="NVL47" s="279"/>
      <c r="NVM47" s="279"/>
      <c r="NVN47" s="279"/>
      <c r="NVO47" s="279"/>
      <c r="NVP47" s="279"/>
      <c r="NVQ47" s="279"/>
      <c r="NVR47" s="279"/>
      <c r="NVS47" s="279"/>
      <c r="NVT47" s="279"/>
      <c r="NVU47" s="279"/>
      <c r="NVV47" s="279"/>
      <c r="NVW47" s="279"/>
      <c r="NVX47" s="279"/>
      <c r="NVY47" s="279"/>
      <c r="NVZ47" s="279"/>
      <c r="NWA47" s="279"/>
      <c r="NWB47" s="279"/>
      <c r="NWC47" s="279"/>
      <c r="NWD47" s="279"/>
      <c r="NWE47" s="279"/>
      <c r="NWF47" s="279"/>
      <c r="NWG47" s="279"/>
      <c r="NWH47" s="279"/>
      <c r="NWI47" s="279"/>
      <c r="NWJ47" s="279"/>
      <c r="NWK47" s="279"/>
      <c r="NWL47" s="279"/>
      <c r="NWM47" s="279"/>
      <c r="NWN47" s="279"/>
      <c r="NWO47" s="279"/>
      <c r="NWP47" s="279"/>
      <c r="NWQ47" s="279"/>
      <c r="NWR47" s="279"/>
      <c r="NWS47" s="279"/>
      <c r="NWT47" s="279"/>
      <c r="NWU47" s="279"/>
      <c r="NWV47" s="279"/>
      <c r="NWW47" s="279"/>
      <c r="NWX47" s="279"/>
      <c r="NWY47" s="279"/>
      <c r="NWZ47" s="279"/>
      <c r="NXA47" s="279"/>
      <c r="NXB47" s="279"/>
      <c r="NXC47" s="279"/>
      <c r="NXD47" s="279"/>
      <c r="NXE47" s="279"/>
      <c r="NXF47" s="279"/>
      <c r="NXG47" s="279"/>
      <c r="NXH47" s="279"/>
      <c r="NXI47" s="279"/>
      <c r="NXJ47" s="279"/>
      <c r="NXK47" s="279"/>
      <c r="NXL47" s="279"/>
      <c r="NXM47" s="279"/>
      <c r="NXN47" s="279"/>
      <c r="NXO47" s="279"/>
      <c r="NXP47" s="279"/>
      <c r="NXQ47" s="279"/>
      <c r="NXR47" s="279"/>
      <c r="NXS47" s="279"/>
      <c r="NXT47" s="279"/>
      <c r="NXU47" s="279"/>
      <c r="NXV47" s="279"/>
      <c r="NXW47" s="279"/>
      <c r="NXX47" s="279"/>
      <c r="NXY47" s="279"/>
      <c r="NXZ47" s="279"/>
      <c r="NYA47" s="279"/>
      <c r="NYB47" s="279"/>
      <c r="NYC47" s="279"/>
      <c r="NYD47" s="279"/>
      <c r="NYE47" s="279"/>
      <c r="NYF47" s="279"/>
      <c r="NYG47" s="279"/>
      <c r="NYH47" s="279"/>
      <c r="NYI47" s="279"/>
      <c r="NYJ47" s="279"/>
      <c r="NYK47" s="279"/>
      <c r="NYL47" s="279"/>
      <c r="NYM47" s="279"/>
      <c r="NYN47" s="279"/>
      <c r="NYO47" s="279"/>
      <c r="NYP47" s="279"/>
      <c r="NYQ47" s="279"/>
      <c r="NYR47" s="279"/>
      <c r="NYS47" s="279"/>
      <c r="NYT47" s="279"/>
      <c r="NYU47" s="279"/>
      <c r="NYV47" s="279"/>
      <c r="NYW47" s="279"/>
      <c r="NYX47" s="279"/>
      <c r="NYY47" s="279"/>
      <c r="NYZ47" s="279"/>
      <c r="NZA47" s="279"/>
      <c r="NZB47" s="279"/>
      <c r="NZC47" s="279"/>
      <c r="NZD47" s="279"/>
      <c r="NZE47" s="279"/>
      <c r="NZF47" s="279"/>
      <c r="NZG47" s="279"/>
      <c r="NZH47" s="279"/>
      <c r="NZI47" s="279"/>
      <c r="NZJ47" s="279"/>
      <c r="NZK47" s="279"/>
      <c r="NZL47" s="279"/>
      <c r="NZM47" s="279"/>
      <c r="NZN47" s="279"/>
      <c r="NZO47" s="279"/>
      <c r="NZP47" s="279"/>
      <c r="NZQ47" s="279"/>
      <c r="NZR47" s="279"/>
      <c r="NZS47" s="279"/>
      <c r="NZT47" s="279"/>
      <c r="NZU47" s="279"/>
      <c r="NZV47" s="279"/>
      <c r="NZW47" s="279"/>
      <c r="NZX47" s="279"/>
      <c r="NZY47" s="279"/>
      <c r="NZZ47" s="279"/>
      <c r="OAA47" s="279"/>
      <c r="OAB47" s="279"/>
      <c r="OAC47" s="279"/>
      <c r="OAD47" s="279"/>
      <c r="OAE47" s="279"/>
      <c r="OAF47" s="279"/>
      <c r="OAG47" s="279"/>
      <c r="OAH47" s="279"/>
      <c r="OAI47" s="279"/>
      <c r="OAJ47" s="279"/>
      <c r="OAK47" s="279"/>
      <c r="OAL47" s="279"/>
      <c r="OAM47" s="279"/>
      <c r="OAN47" s="279"/>
      <c r="OAO47" s="279"/>
      <c r="OAP47" s="279"/>
      <c r="OAQ47" s="279"/>
      <c r="OAR47" s="279"/>
      <c r="OAS47" s="279"/>
      <c r="OAT47" s="279"/>
      <c r="OAU47" s="279"/>
      <c r="OAV47" s="279"/>
      <c r="OAW47" s="279"/>
      <c r="OAX47" s="279"/>
      <c r="OAY47" s="279"/>
      <c r="OAZ47" s="279"/>
      <c r="OBA47" s="279"/>
      <c r="OBB47" s="279"/>
      <c r="OBC47" s="279"/>
      <c r="OBD47" s="279"/>
      <c r="OBE47" s="279"/>
      <c r="OBF47" s="279"/>
      <c r="OBG47" s="279"/>
      <c r="OBH47" s="279"/>
      <c r="OBI47" s="279"/>
      <c r="OBJ47" s="279"/>
      <c r="OBK47" s="279"/>
      <c r="OBL47" s="279"/>
      <c r="OBM47" s="279"/>
      <c r="OBN47" s="279"/>
      <c r="OBO47" s="279"/>
      <c r="OBP47" s="279"/>
      <c r="OBQ47" s="279"/>
      <c r="OBR47" s="279"/>
      <c r="OBS47" s="279"/>
      <c r="OBT47" s="279"/>
      <c r="OBU47" s="279"/>
      <c r="OBV47" s="279"/>
      <c r="OBW47" s="279"/>
      <c r="OBX47" s="279"/>
      <c r="OBY47" s="279"/>
      <c r="OBZ47" s="279"/>
      <c r="OCA47" s="279"/>
      <c r="OCB47" s="279"/>
      <c r="OCC47" s="279"/>
      <c r="OCD47" s="279"/>
      <c r="OCE47" s="279"/>
      <c r="OCF47" s="279"/>
      <c r="OCG47" s="279"/>
      <c r="OCH47" s="279"/>
      <c r="OCI47" s="279"/>
      <c r="OCJ47" s="279"/>
      <c r="OCK47" s="279"/>
      <c r="OCL47" s="279"/>
      <c r="OCM47" s="279"/>
      <c r="OCN47" s="279"/>
      <c r="OCO47" s="279"/>
      <c r="OCP47" s="279"/>
      <c r="OCQ47" s="279"/>
      <c r="OCR47" s="279"/>
      <c r="OCS47" s="279"/>
      <c r="OCT47" s="279"/>
      <c r="OCU47" s="279"/>
      <c r="OCV47" s="279"/>
      <c r="OCW47" s="279"/>
      <c r="OCX47" s="279"/>
      <c r="OCY47" s="279"/>
      <c r="OCZ47" s="279"/>
      <c r="ODA47" s="279"/>
      <c r="ODB47" s="279"/>
      <c r="ODC47" s="279"/>
      <c r="ODD47" s="279"/>
      <c r="ODE47" s="279"/>
      <c r="ODF47" s="279"/>
      <c r="ODG47" s="279"/>
      <c r="ODH47" s="279"/>
      <c r="ODI47" s="279"/>
      <c r="ODJ47" s="279"/>
      <c r="ODK47" s="279"/>
      <c r="ODL47" s="279"/>
      <c r="ODM47" s="279"/>
      <c r="ODN47" s="279"/>
      <c r="ODO47" s="279"/>
      <c r="ODP47" s="279"/>
      <c r="ODQ47" s="279"/>
      <c r="ODR47" s="279"/>
      <c r="ODS47" s="279"/>
      <c r="ODT47" s="279"/>
      <c r="ODU47" s="279"/>
      <c r="ODV47" s="279"/>
      <c r="ODW47" s="279"/>
      <c r="ODX47" s="279"/>
      <c r="ODY47" s="279"/>
      <c r="ODZ47" s="279"/>
      <c r="OEA47" s="279"/>
      <c r="OEB47" s="279"/>
      <c r="OEC47" s="279"/>
      <c r="OED47" s="279"/>
      <c r="OEE47" s="279"/>
      <c r="OEF47" s="279"/>
      <c r="OEG47" s="279"/>
      <c r="OEH47" s="279"/>
      <c r="OEI47" s="279"/>
      <c r="OEJ47" s="279"/>
      <c r="OEK47" s="279"/>
      <c r="OEL47" s="279"/>
      <c r="OEM47" s="279"/>
      <c r="OEN47" s="279"/>
      <c r="OEO47" s="279"/>
      <c r="OEP47" s="279"/>
      <c r="OEQ47" s="279"/>
      <c r="OER47" s="279"/>
      <c r="OES47" s="279"/>
      <c r="OET47" s="279"/>
      <c r="OEU47" s="279"/>
      <c r="OEV47" s="279"/>
      <c r="OEW47" s="279"/>
      <c r="OEX47" s="279"/>
      <c r="OEY47" s="279"/>
      <c r="OEZ47" s="279"/>
      <c r="OFA47" s="279"/>
      <c r="OFB47" s="279"/>
      <c r="OFC47" s="279"/>
      <c r="OFD47" s="279"/>
      <c r="OFE47" s="279"/>
      <c r="OFF47" s="279"/>
      <c r="OFG47" s="279"/>
      <c r="OFH47" s="279"/>
      <c r="OFI47" s="279"/>
      <c r="OFJ47" s="279"/>
      <c r="OFK47" s="279"/>
      <c r="OFL47" s="279"/>
      <c r="OFM47" s="279"/>
      <c r="OFN47" s="279"/>
      <c r="OFO47" s="279"/>
      <c r="OFP47" s="279"/>
      <c r="OFQ47" s="279"/>
      <c r="OFR47" s="279"/>
      <c r="OFS47" s="279"/>
      <c r="OFT47" s="279"/>
      <c r="OFU47" s="279"/>
      <c r="OFV47" s="279"/>
      <c r="OFW47" s="279"/>
      <c r="OFX47" s="279"/>
      <c r="OFY47" s="279"/>
      <c r="OFZ47" s="279"/>
      <c r="OGA47" s="279"/>
      <c r="OGB47" s="279"/>
      <c r="OGC47" s="279"/>
      <c r="OGD47" s="279"/>
      <c r="OGE47" s="279"/>
      <c r="OGF47" s="279"/>
      <c r="OGG47" s="279"/>
      <c r="OGH47" s="279"/>
      <c r="OGI47" s="279"/>
      <c r="OGJ47" s="279"/>
      <c r="OGK47" s="279"/>
      <c r="OGL47" s="279"/>
      <c r="OGM47" s="279"/>
      <c r="OGN47" s="279"/>
      <c r="OGO47" s="279"/>
      <c r="OGP47" s="279"/>
      <c r="OGQ47" s="279"/>
      <c r="OGR47" s="279"/>
      <c r="OGS47" s="279"/>
      <c r="OGT47" s="279"/>
      <c r="OGU47" s="279"/>
      <c r="OGV47" s="279"/>
      <c r="OGW47" s="279"/>
      <c r="OGX47" s="279"/>
      <c r="OGY47" s="279"/>
      <c r="OGZ47" s="279"/>
      <c r="OHA47" s="279"/>
      <c r="OHB47" s="279"/>
      <c r="OHC47" s="279"/>
      <c r="OHD47" s="279"/>
      <c r="OHE47" s="279"/>
      <c r="OHF47" s="279"/>
      <c r="OHG47" s="279"/>
      <c r="OHH47" s="279"/>
      <c r="OHI47" s="279"/>
      <c r="OHJ47" s="279"/>
      <c r="OHK47" s="279"/>
      <c r="OHL47" s="279"/>
      <c r="OHM47" s="279"/>
      <c r="OHN47" s="279"/>
      <c r="OHO47" s="279"/>
      <c r="OHP47" s="279"/>
      <c r="OHQ47" s="279"/>
      <c r="OHR47" s="279"/>
      <c r="OHS47" s="279"/>
      <c r="OHT47" s="279"/>
      <c r="OHU47" s="279"/>
      <c r="OHV47" s="279"/>
      <c r="OHW47" s="279"/>
      <c r="OHX47" s="279"/>
      <c r="OHY47" s="279"/>
      <c r="OHZ47" s="279"/>
      <c r="OIA47" s="279"/>
      <c r="OIB47" s="279"/>
      <c r="OIC47" s="279"/>
      <c r="OID47" s="279"/>
      <c r="OIE47" s="279"/>
      <c r="OIF47" s="279"/>
      <c r="OIG47" s="279"/>
      <c r="OIH47" s="279"/>
      <c r="OII47" s="279"/>
      <c r="OIJ47" s="279"/>
      <c r="OIK47" s="279"/>
      <c r="OIL47" s="279"/>
      <c r="OIM47" s="279"/>
      <c r="OIN47" s="279"/>
      <c r="OIO47" s="279"/>
      <c r="OIP47" s="279"/>
      <c r="OIQ47" s="279"/>
      <c r="OIR47" s="279"/>
      <c r="OIS47" s="279"/>
      <c r="OIT47" s="279"/>
      <c r="OIU47" s="279"/>
      <c r="OIV47" s="279"/>
      <c r="OIW47" s="279"/>
      <c r="OIX47" s="279"/>
      <c r="OIY47" s="279"/>
      <c r="OIZ47" s="279"/>
      <c r="OJA47" s="279"/>
      <c r="OJB47" s="279"/>
      <c r="OJC47" s="279"/>
      <c r="OJD47" s="279"/>
      <c r="OJE47" s="279"/>
      <c r="OJF47" s="279"/>
      <c r="OJG47" s="279"/>
      <c r="OJH47" s="279"/>
      <c r="OJI47" s="279"/>
      <c r="OJJ47" s="279"/>
      <c r="OJK47" s="279"/>
      <c r="OJL47" s="279"/>
      <c r="OJM47" s="279"/>
      <c r="OJN47" s="279"/>
      <c r="OJO47" s="279"/>
      <c r="OJP47" s="279"/>
      <c r="OJQ47" s="279"/>
      <c r="OJR47" s="279"/>
      <c r="OJS47" s="279"/>
      <c r="OJT47" s="279"/>
      <c r="OJU47" s="279"/>
      <c r="OJV47" s="279"/>
      <c r="OJW47" s="279"/>
      <c r="OJX47" s="279"/>
      <c r="OJY47" s="279"/>
      <c r="OJZ47" s="279"/>
      <c r="OKA47" s="279"/>
      <c r="OKB47" s="279"/>
      <c r="OKC47" s="279"/>
      <c r="OKD47" s="279"/>
      <c r="OKE47" s="279"/>
      <c r="OKF47" s="279"/>
      <c r="OKG47" s="279"/>
      <c r="OKH47" s="279"/>
      <c r="OKI47" s="279"/>
      <c r="OKJ47" s="279"/>
      <c r="OKK47" s="279"/>
      <c r="OKL47" s="279"/>
      <c r="OKM47" s="279"/>
      <c r="OKN47" s="279"/>
      <c r="OKO47" s="279"/>
      <c r="OKP47" s="279"/>
      <c r="OKQ47" s="279"/>
      <c r="OKR47" s="279"/>
      <c r="OKS47" s="279"/>
      <c r="OKT47" s="279"/>
      <c r="OKU47" s="279"/>
      <c r="OKV47" s="279"/>
      <c r="OKW47" s="279"/>
      <c r="OKX47" s="279"/>
      <c r="OKY47" s="279"/>
      <c r="OKZ47" s="279"/>
      <c r="OLA47" s="279"/>
      <c r="OLB47" s="279"/>
      <c r="OLC47" s="279"/>
      <c r="OLD47" s="279"/>
      <c r="OLE47" s="279"/>
      <c r="OLF47" s="279"/>
      <c r="OLG47" s="279"/>
      <c r="OLH47" s="279"/>
      <c r="OLI47" s="279"/>
      <c r="OLJ47" s="279"/>
      <c r="OLK47" s="279"/>
      <c r="OLL47" s="279"/>
      <c r="OLM47" s="279"/>
      <c r="OLN47" s="279"/>
      <c r="OLO47" s="279"/>
      <c r="OLP47" s="279"/>
      <c r="OLQ47" s="279"/>
      <c r="OLR47" s="279"/>
      <c r="OLS47" s="279"/>
      <c r="OLT47" s="279"/>
      <c r="OLU47" s="279"/>
      <c r="OLV47" s="279"/>
      <c r="OLW47" s="279"/>
      <c r="OLX47" s="279"/>
      <c r="OLY47" s="279"/>
      <c r="OLZ47" s="279"/>
      <c r="OMA47" s="279"/>
      <c r="OMB47" s="279"/>
      <c r="OMC47" s="279"/>
      <c r="OMD47" s="279"/>
      <c r="OME47" s="279"/>
      <c r="OMF47" s="279"/>
      <c r="OMG47" s="279"/>
      <c r="OMH47" s="279"/>
      <c r="OMI47" s="279"/>
      <c r="OMJ47" s="279"/>
      <c r="OMK47" s="279"/>
      <c r="OML47" s="279"/>
      <c r="OMM47" s="279"/>
      <c r="OMN47" s="279"/>
      <c r="OMO47" s="279"/>
      <c r="OMP47" s="279"/>
      <c r="OMQ47" s="279"/>
      <c r="OMR47" s="279"/>
      <c r="OMS47" s="279"/>
      <c r="OMT47" s="279"/>
      <c r="OMU47" s="279"/>
      <c r="OMV47" s="279"/>
      <c r="OMW47" s="279"/>
      <c r="OMX47" s="279"/>
      <c r="OMY47" s="279"/>
      <c r="OMZ47" s="279"/>
      <c r="ONA47" s="279"/>
      <c r="ONB47" s="279"/>
      <c r="ONC47" s="279"/>
      <c r="OND47" s="279"/>
      <c r="ONE47" s="279"/>
      <c r="ONF47" s="279"/>
      <c r="ONG47" s="279"/>
      <c r="ONH47" s="279"/>
      <c r="ONI47" s="279"/>
      <c r="ONJ47" s="279"/>
      <c r="ONK47" s="279"/>
      <c r="ONL47" s="279"/>
      <c r="ONM47" s="279"/>
      <c r="ONN47" s="279"/>
      <c r="ONO47" s="279"/>
      <c r="ONP47" s="279"/>
      <c r="ONQ47" s="279"/>
      <c r="ONR47" s="279"/>
      <c r="ONS47" s="279"/>
      <c r="ONT47" s="279"/>
      <c r="ONU47" s="279"/>
      <c r="ONV47" s="279"/>
      <c r="ONW47" s="279"/>
      <c r="ONX47" s="279"/>
      <c r="ONY47" s="279"/>
      <c r="ONZ47" s="279"/>
      <c r="OOA47" s="279"/>
      <c r="OOB47" s="279"/>
      <c r="OOC47" s="279"/>
      <c r="OOD47" s="279"/>
      <c r="OOE47" s="279"/>
      <c r="OOF47" s="279"/>
      <c r="OOG47" s="279"/>
      <c r="OOH47" s="279"/>
      <c r="OOI47" s="279"/>
      <c r="OOJ47" s="279"/>
      <c r="OOK47" s="279"/>
      <c r="OOL47" s="279"/>
      <c r="OOM47" s="279"/>
      <c r="OON47" s="279"/>
      <c r="OOO47" s="279"/>
      <c r="OOP47" s="279"/>
      <c r="OOQ47" s="279"/>
      <c r="OOR47" s="279"/>
      <c r="OOS47" s="279"/>
      <c r="OOT47" s="279"/>
      <c r="OOU47" s="279"/>
      <c r="OOV47" s="279"/>
      <c r="OOW47" s="279"/>
      <c r="OOX47" s="279"/>
      <c r="OOY47" s="279"/>
      <c r="OOZ47" s="279"/>
      <c r="OPA47" s="279"/>
      <c r="OPB47" s="279"/>
      <c r="OPC47" s="279"/>
      <c r="OPD47" s="279"/>
      <c r="OPE47" s="279"/>
      <c r="OPF47" s="279"/>
      <c r="OPG47" s="279"/>
      <c r="OPH47" s="279"/>
      <c r="OPI47" s="279"/>
      <c r="OPJ47" s="279"/>
      <c r="OPK47" s="279"/>
      <c r="OPL47" s="279"/>
      <c r="OPM47" s="279"/>
      <c r="OPN47" s="279"/>
      <c r="OPO47" s="279"/>
      <c r="OPP47" s="279"/>
      <c r="OPQ47" s="279"/>
      <c r="OPR47" s="279"/>
      <c r="OPS47" s="279"/>
      <c r="OPT47" s="279"/>
      <c r="OPU47" s="279"/>
      <c r="OPV47" s="279"/>
      <c r="OPW47" s="279"/>
      <c r="OPX47" s="279"/>
      <c r="OPY47" s="279"/>
      <c r="OPZ47" s="279"/>
      <c r="OQA47" s="279"/>
      <c r="OQB47" s="279"/>
      <c r="OQC47" s="279"/>
      <c r="OQD47" s="279"/>
      <c r="OQE47" s="279"/>
      <c r="OQF47" s="279"/>
      <c r="OQG47" s="279"/>
      <c r="OQH47" s="279"/>
      <c r="OQI47" s="279"/>
      <c r="OQJ47" s="279"/>
      <c r="OQK47" s="279"/>
      <c r="OQL47" s="279"/>
      <c r="OQM47" s="279"/>
      <c r="OQN47" s="279"/>
      <c r="OQO47" s="279"/>
      <c r="OQP47" s="279"/>
      <c r="OQQ47" s="279"/>
      <c r="OQR47" s="279"/>
      <c r="OQS47" s="279"/>
      <c r="OQT47" s="279"/>
      <c r="OQU47" s="279"/>
      <c r="OQV47" s="279"/>
      <c r="OQW47" s="279"/>
      <c r="OQX47" s="279"/>
      <c r="OQY47" s="279"/>
      <c r="OQZ47" s="279"/>
      <c r="ORA47" s="279"/>
      <c r="ORB47" s="279"/>
      <c r="ORC47" s="279"/>
      <c r="ORD47" s="279"/>
      <c r="ORE47" s="279"/>
      <c r="ORF47" s="279"/>
      <c r="ORG47" s="279"/>
      <c r="ORH47" s="279"/>
      <c r="ORI47" s="279"/>
      <c r="ORJ47" s="279"/>
      <c r="ORK47" s="279"/>
      <c r="ORL47" s="279"/>
      <c r="ORM47" s="279"/>
      <c r="ORN47" s="279"/>
      <c r="ORO47" s="279"/>
      <c r="ORP47" s="279"/>
      <c r="ORQ47" s="279"/>
      <c r="ORR47" s="279"/>
      <c r="ORS47" s="279"/>
      <c r="ORT47" s="279"/>
      <c r="ORU47" s="279"/>
      <c r="ORV47" s="279"/>
      <c r="ORW47" s="279"/>
      <c r="ORX47" s="279"/>
      <c r="ORY47" s="279"/>
      <c r="ORZ47" s="279"/>
      <c r="OSA47" s="279"/>
      <c r="OSB47" s="279"/>
      <c r="OSC47" s="279"/>
      <c r="OSD47" s="279"/>
      <c r="OSE47" s="279"/>
      <c r="OSF47" s="279"/>
      <c r="OSG47" s="279"/>
      <c r="OSH47" s="279"/>
      <c r="OSI47" s="279"/>
      <c r="OSJ47" s="279"/>
      <c r="OSK47" s="279"/>
      <c r="OSL47" s="279"/>
      <c r="OSM47" s="279"/>
      <c r="OSN47" s="279"/>
      <c r="OSO47" s="279"/>
      <c r="OSP47" s="279"/>
      <c r="OSQ47" s="279"/>
      <c r="OSR47" s="279"/>
      <c r="OSS47" s="279"/>
      <c r="OST47" s="279"/>
      <c r="OSU47" s="279"/>
      <c r="OSV47" s="279"/>
      <c r="OSW47" s="279"/>
      <c r="OSX47" s="279"/>
      <c r="OSY47" s="279"/>
      <c r="OSZ47" s="279"/>
      <c r="OTA47" s="279"/>
      <c r="OTB47" s="279"/>
      <c r="OTC47" s="279"/>
      <c r="OTD47" s="279"/>
      <c r="OTE47" s="279"/>
      <c r="OTF47" s="279"/>
      <c r="OTG47" s="279"/>
      <c r="OTH47" s="279"/>
      <c r="OTI47" s="279"/>
      <c r="OTJ47" s="279"/>
      <c r="OTK47" s="279"/>
      <c r="OTL47" s="279"/>
      <c r="OTM47" s="279"/>
      <c r="OTN47" s="279"/>
      <c r="OTO47" s="279"/>
      <c r="OTP47" s="279"/>
      <c r="OTQ47" s="279"/>
      <c r="OTR47" s="279"/>
      <c r="OTS47" s="279"/>
      <c r="OTT47" s="279"/>
      <c r="OTU47" s="279"/>
      <c r="OTV47" s="279"/>
      <c r="OTW47" s="279"/>
      <c r="OTX47" s="279"/>
      <c r="OTY47" s="279"/>
      <c r="OTZ47" s="279"/>
      <c r="OUA47" s="279"/>
      <c r="OUB47" s="279"/>
      <c r="OUC47" s="279"/>
      <c r="OUD47" s="279"/>
      <c r="OUE47" s="279"/>
      <c r="OUF47" s="279"/>
      <c r="OUG47" s="279"/>
      <c r="OUH47" s="279"/>
      <c r="OUI47" s="279"/>
      <c r="OUJ47" s="279"/>
      <c r="OUK47" s="279"/>
      <c r="OUL47" s="279"/>
      <c r="OUM47" s="279"/>
      <c r="OUN47" s="279"/>
      <c r="OUO47" s="279"/>
      <c r="OUP47" s="279"/>
      <c r="OUQ47" s="279"/>
      <c r="OUR47" s="279"/>
      <c r="OUS47" s="279"/>
      <c r="OUT47" s="279"/>
      <c r="OUU47" s="279"/>
      <c r="OUV47" s="279"/>
      <c r="OUW47" s="279"/>
      <c r="OUX47" s="279"/>
      <c r="OUY47" s="279"/>
      <c r="OUZ47" s="279"/>
      <c r="OVA47" s="279"/>
      <c r="OVB47" s="279"/>
      <c r="OVC47" s="279"/>
      <c r="OVD47" s="279"/>
      <c r="OVE47" s="279"/>
      <c r="OVF47" s="279"/>
      <c r="OVG47" s="279"/>
      <c r="OVH47" s="279"/>
      <c r="OVI47" s="279"/>
      <c r="OVJ47" s="279"/>
      <c r="OVK47" s="279"/>
      <c r="OVL47" s="279"/>
      <c r="OVM47" s="279"/>
      <c r="OVN47" s="279"/>
      <c r="OVO47" s="279"/>
      <c r="OVP47" s="279"/>
      <c r="OVQ47" s="279"/>
      <c r="OVR47" s="279"/>
      <c r="OVS47" s="279"/>
      <c r="OVT47" s="279"/>
      <c r="OVU47" s="279"/>
      <c r="OVV47" s="279"/>
      <c r="OVW47" s="279"/>
      <c r="OVX47" s="279"/>
      <c r="OVY47" s="279"/>
      <c r="OVZ47" s="279"/>
      <c r="OWA47" s="279"/>
      <c r="OWB47" s="279"/>
      <c r="OWC47" s="279"/>
      <c r="OWD47" s="279"/>
      <c r="OWE47" s="279"/>
      <c r="OWF47" s="279"/>
      <c r="OWG47" s="279"/>
      <c r="OWH47" s="279"/>
      <c r="OWI47" s="279"/>
      <c r="OWJ47" s="279"/>
      <c r="OWK47" s="279"/>
      <c r="OWL47" s="279"/>
      <c r="OWM47" s="279"/>
      <c r="OWN47" s="279"/>
      <c r="OWO47" s="279"/>
      <c r="OWP47" s="279"/>
      <c r="OWQ47" s="279"/>
      <c r="OWR47" s="279"/>
      <c r="OWS47" s="279"/>
      <c r="OWT47" s="279"/>
      <c r="OWU47" s="279"/>
      <c r="OWV47" s="279"/>
      <c r="OWW47" s="279"/>
      <c r="OWX47" s="279"/>
      <c r="OWY47" s="279"/>
      <c r="OWZ47" s="279"/>
      <c r="OXA47" s="279"/>
      <c r="OXB47" s="279"/>
      <c r="OXC47" s="279"/>
      <c r="OXD47" s="279"/>
      <c r="OXE47" s="279"/>
      <c r="OXF47" s="279"/>
      <c r="OXG47" s="279"/>
      <c r="OXH47" s="279"/>
      <c r="OXI47" s="279"/>
      <c r="OXJ47" s="279"/>
      <c r="OXK47" s="279"/>
      <c r="OXL47" s="279"/>
      <c r="OXM47" s="279"/>
      <c r="OXN47" s="279"/>
      <c r="OXO47" s="279"/>
      <c r="OXP47" s="279"/>
      <c r="OXQ47" s="279"/>
      <c r="OXR47" s="279"/>
      <c r="OXS47" s="279"/>
      <c r="OXT47" s="279"/>
      <c r="OXU47" s="279"/>
      <c r="OXV47" s="279"/>
      <c r="OXW47" s="279"/>
      <c r="OXX47" s="279"/>
      <c r="OXY47" s="279"/>
      <c r="OXZ47" s="279"/>
      <c r="OYA47" s="279"/>
      <c r="OYB47" s="279"/>
      <c r="OYC47" s="279"/>
      <c r="OYD47" s="279"/>
      <c r="OYE47" s="279"/>
      <c r="OYF47" s="279"/>
      <c r="OYG47" s="279"/>
      <c r="OYH47" s="279"/>
      <c r="OYI47" s="279"/>
      <c r="OYJ47" s="279"/>
      <c r="OYK47" s="279"/>
      <c r="OYL47" s="279"/>
      <c r="OYM47" s="279"/>
      <c r="OYN47" s="279"/>
      <c r="OYO47" s="279"/>
      <c r="OYP47" s="279"/>
      <c r="OYQ47" s="279"/>
      <c r="OYR47" s="279"/>
      <c r="OYS47" s="279"/>
      <c r="OYT47" s="279"/>
      <c r="OYU47" s="279"/>
      <c r="OYV47" s="279"/>
      <c r="OYW47" s="279"/>
      <c r="OYX47" s="279"/>
      <c r="OYY47" s="279"/>
      <c r="OYZ47" s="279"/>
      <c r="OZA47" s="279"/>
      <c r="OZB47" s="279"/>
      <c r="OZC47" s="279"/>
      <c r="OZD47" s="279"/>
      <c r="OZE47" s="279"/>
      <c r="OZF47" s="279"/>
      <c r="OZG47" s="279"/>
      <c r="OZH47" s="279"/>
      <c r="OZI47" s="279"/>
      <c r="OZJ47" s="279"/>
      <c r="OZK47" s="279"/>
      <c r="OZL47" s="279"/>
      <c r="OZM47" s="279"/>
      <c r="OZN47" s="279"/>
      <c r="OZO47" s="279"/>
      <c r="OZP47" s="279"/>
      <c r="OZQ47" s="279"/>
      <c r="OZR47" s="279"/>
      <c r="OZS47" s="279"/>
      <c r="OZT47" s="279"/>
      <c r="OZU47" s="279"/>
      <c r="OZV47" s="279"/>
      <c r="OZW47" s="279"/>
      <c r="OZX47" s="279"/>
      <c r="OZY47" s="279"/>
      <c r="OZZ47" s="279"/>
      <c r="PAA47" s="279"/>
      <c r="PAB47" s="279"/>
      <c r="PAC47" s="279"/>
      <c r="PAD47" s="279"/>
      <c r="PAE47" s="279"/>
      <c r="PAF47" s="279"/>
      <c r="PAG47" s="279"/>
      <c r="PAH47" s="279"/>
      <c r="PAI47" s="279"/>
      <c r="PAJ47" s="279"/>
      <c r="PAK47" s="279"/>
      <c r="PAL47" s="279"/>
      <c r="PAM47" s="279"/>
      <c r="PAN47" s="279"/>
      <c r="PAO47" s="279"/>
      <c r="PAP47" s="279"/>
      <c r="PAQ47" s="279"/>
      <c r="PAR47" s="279"/>
      <c r="PAS47" s="279"/>
      <c r="PAT47" s="279"/>
      <c r="PAU47" s="279"/>
      <c r="PAV47" s="279"/>
      <c r="PAW47" s="279"/>
      <c r="PAX47" s="279"/>
      <c r="PAY47" s="279"/>
      <c r="PAZ47" s="279"/>
      <c r="PBA47" s="279"/>
      <c r="PBB47" s="279"/>
      <c r="PBC47" s="279"/>
      <c r="PBD47" s="279"/>
      <c r="PBE47" s="279"/>
      <c r="PBF47" s="279"/>
      <c r="PBG47" s="279"/>
      <c r="PBH47" s="279"/>
      <c r="PBI47" s="279"/>
      <c r="PBJ47" s="279"/>
      <c r="PBK47" s="279"/>
      <c r="PBL47" s="279"/>
      <c r="PBM47" s="279"/>
      <c r="PBN47" s="279"/>
      <c r="PBO47" s="279"/>
      <c r="PBP47" s="279"/>
      <c r="PBQ47" s="279"/>
      <c r="PBR47" s="279"/>
      <c r="PBS47" s="279"/>
      <c r="PBT47" s="279"/>
      <c r="PBU47" s="279"/>
      <c r="PBV47" s="279"/>
      <c r="PBW47" s="279"/>
      <c r="PBX47" s="279"/>
      <c r="PBY47" s="279"/>
      <c r="PBZ47" s="279"/>
      <c r="PCA47" s="279"/>
      <c r="PCB47" s="279"/>
      <c r="PCC47" s="279"/>
      <c r="PCD47" s="279"/>
      <c r="PCE47" s="279"/>
      <c r="PCF47" s="279"/>
      <c r="PCG47" s="279"/>
      <c r="PCH47" s="279"/>
      <c r="PCI47" s="279"/>
      <c r="PCJ47" s="279"/>
      <c r="PCK47" s="279"/>
      <c r="PCL47" s="279"/>
      <c r="PCM47" s="279"/>
      <c r="PCN47" s="279"/>
      <c r="PCO47" s="279"/>
      <c r="PCP47" s="279"/>
      <c r="PCQ47" s="279"/>
      <c r="PCR47" s="279"/>
      <c r="PCS47" s="279"/>
      <c r="PCT47" s="279"/>
      <c r="PCU47" s="279"/>
      <c r="PCV47" s="279"/>
      <c r="PCW47" s="279"/>
      <c r="PCX47" s="279"/>
      <c r="PCY47" s="279"/>
      <c r="PCZ47" s="279"/>
      <c r="PDA47" s="279"/>
      <c r="PDB47" s="279"/>
      <c r="PDC47" s="279"/>
      <c r="PDD47" s="279"/>
      <c r="PDE47" s="279"/>
      <c r="PDF47" s="279"/>
      <c r="PDG47" s="279"/>
      <c r="PDH47" s="279"/>
      <c r="PDI47" s="279"/>
      <c r="PDJ47" s="279"/>
      <c r="PDK47" s="279"/>
      <c r="PDL47" s="279"/>
      <c r="PDM47" s="279"/>
      <c r="PDN47" s="279"/>
      <c r="PDO47" s="279"/>
      <c r="PDP47" s="279"/>
      <c r="PDQ47" s="279"/>
      <c r="PDR47" s="279"/>
      <c r="PDS47" s="279"/>
      <c r="PDT47" s="279"/>
      <c r="PDU47" s="279"/>
      <c r="PDV47" s="279"/>
      <c r="PDW47" s="279"/>
      <c r="PDX47" s="279"/>
      <c r="PDY47" s="279"/>
      <c r="PDZ47" s="279"/>
      <c r="PEA47" s="279"/>
      <c r="PEB47" s="279"/>
      <c r="PEC47" s="279"/>
      <c r="PED47" s="279"/>
      <c r="PEE47" s="279"/>
      <c r="PEF47" s="279"/>
      <c r="PEG47" s="279"/>
      <c r="PEH47" s="279"/>
      <c r="PEI47" s="279"/>
      <c r="PEJ47" s="279"/>
      <c r="PEK47" s="279"/>
      <c r="PEL47" s="279"/>
      <c r="PEM47" s="279"/>
      <c r="PEN47" s="279"/>
      <c r="PEO47" s="279"/>
      <c r="PEP47" s="279"/>
      <c r="PEQ47" s="279"/>
      <c r="PER47" s="279"/>
      <c r="PES47" s="279"/>
      <c r="PET47" s="279"/>
      <c r="PEU47" s="279"/>
      <c r="PEV47" s="279"/>
      <c r="PEW47" s="279"/>
      <c r="PEX47" s="279"/>
      <c r="PEY47" s="279"/>
      <c r="PEZ47" s="279"/>
      <c r="PFA47" s="279"/>
      <c r="PFB47" s="279"/>
      <c r="PFC47" s="279"/>
      <c r="PFD47" s="279"/>
      <c r="PFE47" s="279"/>
      <c r="PFF47" s="279"/>
      <c r="PFG47" s="279"/>
      <c r="PFH47" s="279"/>
      <c r="PFI47" s="279"/>
      <c r="PFJ47" s="279"/>
      <c r="PFK47" s="279"/>
      <c r="PFL47" s="279"/>
      <c r="PFM47" s="279"/>
      <c r="PFN47" s="279"/>
      <c r="PFO47" s="279"/>
      <c r="PFP47" s="279"/>
      <c r="PFQ47" s="279"/>
      <c r="PFR47" s="279"/>
      <c r="PFS47" s="279"/>
      <c r="PFT47" s="279"/>
      <c r="PFU47" s="279"/>
      <c r="PFV47" s="279"/>
      <c r="PFW47" s="279"/>
      <c r="PFX47" s="279"/>
      <c r="PFY47" s="279"/>
      <c r="PFZ47" s="279"/>
      <c r="PGA47" s="279"/>
      <c r="PGB47" s="279"/>
      <c r="PGC47" s="279"/>
      <c r="PGD47" s="279"/>
      <c r="PGE47" s="279"/>
      <c r="PGF47" s="279"/>
      <c r="PGG47" s="279"/>
      <c r="PGH47" s="279"/>
      <c r="PGI47" s="279"/>
      <c r="PGJ47" s="279"/>
      <c r="PGK47" s="279"/>
      <c r="PGL47" s="279"/>
      <c r="PGM47" s="279"/>
      <c r="PGN47" s="279"/>
      <c r="PGO47" s="279"/>
      <c r="PGP47" s="279"/>
      <c r="PGQ47" s="279"/>
      <c r="PGR47" s="279"/>
      <c r="PGS47" s="279"/>
      <c r="PGT47" s="279"/>
      <c r="PGU47" s="279"/>
      <c r="PGV47" s="279"/>
      <c r="PGW47" s="279"/>
      <c r="PGX47" s="279"/>
      <c r="PGY47" s="279"/>
      <c r="PGZ47" s="279"/>
      <c r="PHA47" s="279"/>
      <c r="PHB47" s="279"/>
      <c r="PHC47" s="279"/>
      <c r="PHD47" s="279"/>
      <c r="PHE47" s="279"/>
      <c r="PHF47" s="279"/>
      <c r="PHG47" s="279"/>
      <c r="PHH47" s="279"/>
      <c r="PHI47" s="279"/>
      <c r="PHJ47" s="279"/>
      <c r="PHK47" s="279"/>
      <c r="PHL47" s="279"/>
      <c r="PHM47" s="279"/>
      <c r="PHN47" s="279"/>
      <c r="PHO47" s="279"/>
      <c r="PHP47" s="279"/>
      <c r="PHQ47" s="279"/>
      <c r="PHR47" s="279"/>
      <c r="PHS47" s="279"/>
      <c r="PHT47" s="279"/>
      <c r="PHU47" s="279"/>
      <c r="PHV47" s="279"/>
      <c r="PHW47" s="279"/>
      <c r="PHX47" s="279"/>
      <c r="PHY47" s="279"/>
      <c r="PHZ47" s="279"/>
      <c r="PIA47" s="279"/>
      <c r="PIB47" s="279"/>
      <c r="PIC47" s="279"/>
      <c r="PID47" s="279"/>
      <c r="PIE47" s="279"/>
      <c r="PIF47" s="279"/>
      <c r="PIG47" s="279"/>
      <c r="PIH47" s="279"/>
      <c r="PII47" s="279"/>
      <c r="PIJ47" s="279"/>
      <c r="PIK47" s="279"/>
      <c r="PIL47" s="279"/>
      <c r="PIM47" s="279"/>
      <c r="PIN47" s="279"/>
      <c r="PIO47" s="279"/>
      <c r="PIP47" s="279"/>
      <c r="PIQ47" s="279"/>
      <c r="PIR47" s="279"/>
      <c r="PIS47" s="279"/>
      <c r="PIT47" s="279"/>
      <c r="PIU47" s="279"/>
      <c r="PIV47" s="279"/>
      <c r="PIW47" s="279"/>
      <c r="PIX47" s="279"/>
      <c r="PIY47" s="279"/>
      <c r="PIZ47" s="279"/>
      <c r="PJA47" s="279"/>
      <c r="PJB47" s="279"/>
      <c r="PJC47" s="279"/>
      <c r="PJD47" s="279"/>
      <c r="PJE47" s="279"/>
      <c r="PJF47" s="279"/>
      <c r="PJG47" s="279"/>
      <c r="PJH47" s="279"/>
      <c r="PJI47" s="279"/>
      <c r="PJJ47" s="279"/>
      <c r="PJK47" s="279"/>
      <c r="PJL47" s="279"/>
      <c r="PJM47" s="279"/>
      <c r="PJN47" s="279"/>
      <c r="PJO47" s="279"/>
      <c r="PJP47" s="279"/>
      <c r="PJQ47" s="279"/>
      <c r="PJR47" s="279"/>
      <c r="PJS47" s="279"/>
      <c r="PJT47" s="279"/>
      <c r="PJU47" s="279"/>
      <c r="PJV47" s="279"/>
      <c r="PJW47" s="279"/>
      <c r="PJX47" s="279"/>
      <c r="PJY47" s="279"/>
      <c r="PJZ47" s="279"/>
      <c r="PKA47" s="279"/>
      <c r="PKB47" s="279"/>
      <c r="PKC47" s="279"/>
      <c r="PKD47" s="279"/>
      <c r="PKE47" s="279"/>
      <c r="PKF47" s="279"/>
      <c r="PKG47" s="279"/>
      <c r="PKH47" s="279"/>
      <c r="PKI47" s="279"/>
      <c r="PKJ47" s="279"/>
      <c r="PKK47" s="279"/>
      <c r="PKL47" s="279"/>
      <c r="PKM47" s="279"/>
      <c r="PKN47" s="279"/>
      <c r="PKO47" s="279"/>
      <c r="PKP47" s="279"/>
      <c r="PKQ47" s="279"/>
      <c r="PKR47" s="279"/>
      <c r="PKS47" s="279"/>
      <c r="PKT47" s="279"/>
      <c r="PKU47" s="279"/>
      <c r="PKV47" s="279"/>
      <c r="PKW47" s="279"/>
      <c r="PKX47" s="279"/>
      <c r="PKY47" s="279"/>
      <c r="PKZ47" s="279"/>
      <c r="PLA47" s="279"/>
      <c r="PLB47" s="279"/>
      <c r="PLC47" s="279"/>
      <c r="PLD47" s="279"/>
      <c r="PLE47" s="279"/>
      <c r="PLF47" s="279"/>
      <c r="PLG47" s="279"/>
      <c r="PLH47" s="279"/>
      <c r="PLI47" s="279"/>
      <c r="PLJ47" s="279"/>
      <c r="PLK47" s="279"/>
      <c r="PLL47" s="279"/>
      <c r="PLM47" s="279"/>
      <c r="PLN47" s="279"/>
      <c r="PLO47" s="279"/>
      <c r="PLP47" s="279"/>
      <c r="PLQ47" s="279"/>
      <c r="PLR47" s="279"/>
      <c r="PLS47" s="279"/>
      <c r="PLT47" s="279"/>
      <c r="PLU47" s="279"/>
      <c r="PLV47" s="279"/>
      <c r="PLW47" s="279"/>
      <c r="PLX47" s="279"/>
      <c r="PLY47" s="279"/>
      <c r="PLZ47" s="279"/>
      <c r="PMA47" s="279"/>
      <c r="PMB47" s="279"/>
      <c r="PMC47" s="279"/>
      <c r="PMD47" s="279"/>
      <c r="PME47" s="279"/>
      <c r="PMF47" s="279"/>
      <c r="PMG47" s="279"/>
      <c r="PMH47" s="279"/>
      <c r="PMI47" s="279"/>
      <c r="PMJ47" s="279"/>
      <c r="PMK47" s="279"/>
      <c r="PML47" s="279"/>
      <c r="PMM47" s="279"/>
      <c r="PMN47" s="279"/>
      <c r="PMO47" s="279"/>
      <c r="PMP47" s="279"/>
      <c r="PMQ47" s="279"/>
      <c r="PMR47" s="279"/>
      <c r="PMS47" s="279"/>
      <c r="PMT47" s="279"/>
      <c r="PMU47" s="279"/>
      <c r="PMV47" s="279"/>
      <c r="PMW47" s="279"/>
      <c r="PMX47" s="279"/>
      <c r="PMY47" s="279"/>
      <c r="PMZ47" s="279"/>
      <c r="PNA47" s="279"/>
      <c r="PNB47" s="279"/>
      <c r="PNC47" s="279"/>
      <c r="PND47" s="279"/>
      <c r="PNE47" s="279"/>
      <c r="PNF47" s="279"/>
      <c r="PNG47" s="279"/>
      <c r="PNH47" s="279"/>
      <c r="PNI47" s="279"/>
      <c r="PNJ47" s="279"/>
      <c r="PNK47" s="279"/>
      <c r="PNL47" s="279"/>
      <c r="PNM47" s="279"/>
      <c r="PNN47" s="279"/>
      <c r="PNO47" s="279"/>
      <c r="PNP47" s="279"/>
      <c r="PNQ47" s="279"/>
      <c r="PNR47" s="279"/>
      <c r="PNS47" s="279"/>
      <c r="PNT47" s="279"/>
      <c r="PNU47" s="279"/>
      <c r="PNV47" s="279"/>
      <c r="PNW47" s="279"/>
      <c r="PNX47" s="279"/>
      <c r="PNY47" s="279"/>
      <c r="PNZ47" s="279"/>
      <c r="POA47" s="279"/>
      <c r="POB47" s="279"/>
      <c r="POC47" s="279"/>
      <c r="POD47" s="279"/>
      <c r="POE47" s="279"/>
      <c r="POF47" s="279"/>
      <c r="POG47" s="279"/>
      <c r="POH47" s="279"/>
      <c r="POI47" s="279"/>
      <c r="POJ47" s="279"/>
      <c r="POK47" s="279"/>
      <c r="POL47" s="279"/>
      <c r="POM47" s="279"/>
      <c r="PON47" s="279"/>
      <c r="POO47" s="279"/>
      <c r="POP47" s="279"/>
      <c r="POQ47" s="279"/>
      <c r="POR47" s="279"/>
      <c r="POS47" s="279"/>
      <c r="POT47" s="279"/>
      <c r="POU47" s="279"/>
      <c r="POV47" s="279"/>
      <c r="POW47" s="279"/>
      <c r="POX47" s="279"/>
      <c r="POY47" s="279"/>
      <c r="POZ47" s="279"/>
      <c r="PPA47" s="279"/>
      <c r="PPB47" s="279"/>
      <c r="PPC47" s="279"/>
      <c r="PPD47" s="279"/>
      <c r="PPE47" s="279"/>
      <c r="PPF47" s="279"/>
      <c r="PPG47" s="279"/>
      <c r="PPH47" s="279"/>
      <c r="PPI47" s="279"/>
      <c r="PPJ47" s="279"/>
      <c r="PPK47" s="279"/>
      <c r="PPL47" s="279"/>
      <c r="PPM47" s="279"/>
      <c r="PPN47" s="279"/>
      <c r="PPO47" s="279"/>
      <c r="PPP47" s="279"/>
      <c r="PPQ47" s="279"/>
      <c r="PPR47" s="279"/>
      <c r="PPS47" s="279"/>
      <c r="PPT47" s="279"/>
      <c r="PPU47" s="279"/>
      <c r="PPV47" s="279"/>
      <c r="PPW47" s="279"/>
      <c r="PPX47" s="279"/>
      <c r="PPY47" s="279"/>
      <c r="PPZ47" s="279"/>
      <c r="PQA47" s="279"/>
      <c r="PQB47" s="279"/>
      <c r="PQC47" s="279"/>
      <c r="PQD47" s="279"/>
      <c r="PQE47" s="279"/>
      <c r="PQF47" s="279"/>
      <c r="PQG47" s="279"/>
      <c r="PQH47" s="279"/>
      <c r="PQI47" s="279"/>
      <c r="PQJ47" s="279"/>
      <c r="PQK47" s="279"/>
      <c r="PQL47" s="279"/>
      <c r="PQM47" s="279"/>
      <c r="PQN47" s="279"/>
      <c r="PQO47" s="279"/>
      <c r="PQP47" s="279"/>
      <c r="PQQ47" s="279"/>
      <c r="PQR47" s="279"/>
      <c r="PQS47" s="279"/>
      <c r="PQT47" s="279"/>
      <c r="PQU47" s="279"/>
      <c r="PQV47" s="279"/>
      <c r="PQW47" s="279"/>
      <c r="PQX47" s="279"/>
      <c r="PQY47" s="279"/>
      <c r="PQZ47" s="279"/>
      <c r="PRA47" s="279"/>
      <c r="PRB47" s="279"/>
      <c r="PRC47" s="279"/>
      <c r="PRD47" s="279"/>
      <c r="PRE47" s="279"/>
      <c r="PRF47" s="279"/>
      <c r="PRG47" s="279"/>
      <c r="PRH47" s="279"/>
      <c r="PRI47" s="279"/>
      <c r="PRJ47" s="279"/>
      <c r="PRK47" s="279"/>
      <c r="PRL47" s="279"/>
      <c r="PRM47" s="279"/>
      <c r="PRN47" s="279"/>
      <c r="PRO47" s="279"/>
      <c r="PRP47" s="279"/>
      <c r="PRQ47" s="279"/>
      <c r="PRR47" s="279"/>
      <c r="PRS47" s="279"/>
      <c r="PRT47" s="279"/>
      <c r="PRU47" s="279"/>
      <c r="PRV47" s="279"/>
      <c r="PRW47" s="279"/>
      <c r="PRX47" s="279"/>
      <c r="PRY47" s="279"/>
      <c r="PRZ47" s="279"/>
      <c r="PSA47" s="279"/>
      <c r="PSB47" s="279"/>
      <c r="PSC47" s="279"/>
      <c r="PSD47" s="279"/>
      <c r="PSE47" s="279"/>
      <c r="PSF47" s="279"/>
      <c r="PSG47" s="279"/>
      <c r="PSH47" s="279"/>
      <c r="PSI47" s="279"/>
      <c r="PSJ47" s="279"/>
      <c r="PSK47" s="279"/>
      <c r="PSL47" s="279"/>
      <c r="PSM47" s="279"/>
      <c r="PSN47" s="279"/>
      <c r="PSO47" s="279"/>
      <c r="PSP47" s="279"/>
      <c r="PSQ47" s="279"/>
      <c r="PSR47" s="279"/>
      <c r="PSS47" s="279"/>
      <c r="PST47" s="279"/>
      <c r="PSU47" s="279"/>
      <c r="PSV47" s="279"/>
      <c r="PSW47" s="279"/>
      <c r="PSX47" s="279"/>
      <c r="PSY47" s="279"/>
      <c r="PSZ47" s="279"/>
      <c r="PTA47" s="279"/>
      <c r="PTB47" s="279"/>
      <c r="PTC47" s="279"/>
      <c r="PTD47" s="279"/>
      <c r="PTE47" s="279"/>
      <c r="PTF47" s="279"/>
      <c r="PTG47" s="279"/>
      <c r="PTH47" s="279"/>
      <c r="PTI47" s="279"/>
      <c r="PTJ47" s="279"/>
      <c r="PTK47" s="279"/>
      <c r="PTL47" s="279"/>
      <c r="PTM47" s="279"/>
      <c r="PTN47" s="279"/>
      <c r="PTO47" s="279"/>
      <c r="PTP47" s="279"/>
      <c r="PTQ47" s="279"/>
      <c r="PTR47" s="279"/>
      <c r="PTS47" s="279"/>
      <c r="PTT47" s="279"/>
      <c r="PTU47" s="279"/>
      <c r="PTV47" s="279"/>
      <c r="PTW47" s="279"/>
      <c r="PTX47" s="279"/>
      <c r="PTY47" s="279"/>
      <c r="PTZ47" s="279"/>
      <c r="PUA47" s="279"/>
      <c r="PUB47" s="279"/>
      <c r="PUC47" s="279"/>
      <c r="PUD47" s="279"/>
      <c r="PUE47" s="279"/>
      <c r="PUF47" s="279"/>
      <c r="PUG47" s="279"/>
      <c r="PUH47" s="279"/>
      <c r="PUI47" s="279"/>
      <c r="PUJ47" s="279"/>
      <c r="PUK47" s="279"/>
      <c r="PUL47" s="279"/>
      <c r="PUM47" s="279"/>
      <c r="PUN47" s="279"/>
      <c r="PUO47" s="279"/>
      <c r="PUP47" s="279"/>
      <c r="PUQ47" s="279"/>
      <c r="PUR47" s="279"/>
      <c r="PUS47" s="279"/>
      <c r="PUT47" s="279"/>
      <c r="PUU47" s="279"/>
      <c r="PUV47" s="279"/>
      <c r="PUW47" s="279"/>
      <c r="PUX47" s="279"/>
      <c r="PUY47" s="279"/>
      <c r="PUZ47" s="279"/>
      <c r="PVA47" s="279"/>
      <c r="PVB47" s="279"/>
      <c r="PVC47" s="279"/>
      <c r="PVD47" s="279"/>
      <c r="PVE47" s="279"/>
      <c r="PVF47" s="279"/>
      <c r="PVG47" s="279"/>
      <c r="PVH47" s="279"/>
      <c r="PVI47" s="279"/>
      <c r="PVJ47" s="279"/>
      <c r="PVK47" s="279"/>
      <c r="PVL47" s="279"/>
      <c r="PVM47" s="279"/>
      <c r="PVN47" s="279"/>
      <c r="PVO47" s="279"/>
      <c r="PVP47" s="279"/>
      <c r="PVQ47" s="279"/>
      <c r="PVR47" s="279"/>
      <c r="PVS47" s="279"/>
      <c r="PVT47" s="279"/>
      <c r="PVU47" s="279"/>
      <c r="PVV47" s="279"/>
      <c r="PVW47" s="279"/>
      <c r="PVX47" s="279"/>
      <c r="PVY47" s="279"/>
      <c r="PVZ47" s="279"/>
      <c r="PWA47" s="279"/>
      <c r="PWB47" s="279"/>
      <c r="PWC47" s="279"/>
      <c r="PWD47" s="279"/>
      <c r="PWE47" s="279"/>
      <c r="PWF47" s="279"/>
      <c r="PWG47" s="279"/>
      <c r="PWH47" s="279"/>
      <c r="PWI47" s="279"/>
      <c r="PWJ47" s="279"/>
      <c r="PWK47" s="279"/>
      <c r="PWL47" s="279"/>
      <c r="PWM47" s="279"/>
      <c r="PWN47" s="279"/>
      <c r="PWO47" s="279"/>
      <c r="PWP47" s="279"/>
      <c r="PWQ47" s="279"/>
      <c r="PWR47" s="279"/>
      <c r="PWS47" s="279"/>
      <c r="PWT47" s="279"/>
      <c r="PWU47" s="279"/>
      <c r="PWV47" s="279"/>
      <c r="PWW47" s="279"/>
      <c r="PWX47" s="279"/>
      <c r="PWY47" s="279"/>
      <c r="PWZ47" s="279"/>
      <c r="PXA47" s="279"/>
      <c r="PXB47" s="279"/>
      <c r="PXC47" s="279"/>
      <c r="PXD47" s="279"/>
      <c r="PXE47" s="279"/>
      <c r="PXF47" s="279"/>
      <c r="PXG47" s="279"/>
      <c r="PXH47" s="279"/>
      <c r="PXI47" s="279"/>
      <c r="PXJ47" s="279"/>
      <c r="PXK47" s="279"/>
      <c r="PXL47" s="279"/>
      <c r="PXM47" s="279"/>
      <c r="PXN47" s="279"/>
      <c r="PXO47" s="279"/>
      <c r="PXP47" s="279"/>
      <c r="PXQ47" s="279"/>
      <c r="PXR47" s="279"/>
      <c r="PXS47" s="279"/>
      <c r="PXT47" s="279"/>
      <c r="PXU47" s="279"/>
      <c r="PXV47" s="279"/>
      <c r="PXW47" s="279"/>
      <c r="PXX47" s="279"/>
      <c r="PXY47" s="279"/>
      <c r="PXZ47" s="279"/>
      <c r="PYA47" s="279"/>
      <c r="PYB47" s="279"/>
      <c r="PYC47" s="279"/>
      <c r="PYD47" s="279"/>
      <c r="PYE47" s="279"/>
      <c r="PYF47" s="279"/>
      <c r="PYG47" s="279"/>
      <c r="PYH47" s="279"/>
      <c r="PYI47" s="279"/>
      <c r="PYJ47" s="279"/>
      <c r="PYK47" s="279"/>
      <c r="PYL47" s="279"/>
      <c r="PYM47" s="279"/>
      <c r="PYN47" s="279"/>
      <c r="PYO47" s="279"/>
      <c r="PYP47" s="279"/>
      <c r="PYQ47" s="279"/>
      <c r="PYR47" s="279"/>
      <c r="PYS47" s="279"/>
      <c r="PYT47" s="279"/>
      <c r="PYU47" s="279"/>
      <c r="PYV47" s="279"/>
      <c r="PYW47" s="279"/>
      <c r="PYX47" s="279"/>
      <c r="PYY47" s="279"/>
      <c r="PYZ47" s="279"/>
      <c r="PZA47" s="279"/>
      <c r="PZB47" s="279"/>
      <c r="PZC47" s="279"/>
      <c r="PZD47" s="279"/>
      <c r="PZE47" s="279"/>
      <c r="PZF47" s="279"/>
      <c r="PZG47" s="279"/>
      <c r="PZH47" s="279"/>
      <c r="PZI47" s="279"/>
      <c r="PZJ47" s="279"/>
      <c r="PZK47" s="279"/>
      <c r="PZL47" s="279"/>
      <c r="PZM47" s="279"/>
      <c r="PZN47" s="279"/>
      <c r="PZO47" s="279"/>
      <c r="PZP47" s="279"/>
      <c r="PZQ47" s="279"/>
      <c r="PZR47" s="279"/>
      <c r="PZS47" s="279"/>
      <c r="PZT47" s="279"/>
      <c r="PZU47" s="279"/>
      <c r="PZV47" s="279"/>
      <c r="PZW47" s="279"/>
      <c r="PZX47" s="279"/>
      <c r="PZY47" s="279"/>
      <c r="PZZ47" s="279"/>
      <c r="QAA47" s="279"/>
      <c r="QAB47" s="279"/>
      <c r="QAC47" s="279"/>
      <c r="QAD47" s="279"/>
      <c r="QAE47" s="279"/>
      <c r="QAF47" s="279"/>
      <c r="QAG47" s="279"/>
      <c r="QAH47" s="279"/>
      <c r="QAI47" s="279"/>
      <c r="QAJ47" s="279"/>
      <c r="QAK47" s="279"/>
      <c r="QAL47" s="279"/>
      <c r="QAM47" s="279"/>
      <c r="QAN47" s="279"/>
      <c r="QAO47" s="279"/>
      <c r="QAP47" s="279"/>
      <c r="QAQ47" s="279"/>
      <c r="QAR47" s="279"/>
      <c r="QAS47" s="279"/>
      <c r="QAT47" s="279"/>
      <c r="QAU47" s="279"/>
      <c r="QAV47" s="279"/>
      <c r="QAW47" s="279"/>
      <c r="QAX47" s="279"/>
      <c r="QAY47" s="279"/>
      <c r="QAZ47" s="279"/>
      <c r="QBA47" s="279"/>
      <c r="QBB47" s="279"/>
      <c r="QBC47" s="279"/>
      <c r="QBD47" s="279"/>
      <c r="QBE47" s="279"/>
      <c r="QBF47" s="279"/>
      <c r="QBG47" s="279"/>
      <c r="QBH47" s="279"/>
      <c r="QBI47" s="279"/>
      <c r="QBJ47" s="279"/>
      <c r="QBK47" s="279"/>
      <c r="QBL47" s="279"/>
      <c r="QBM47" s="279"/>
      <c r="QBN47" s="279"/>
      <c r="QBO47" s="279"/>
      <c r="QBP47" s="279"/>
      <c r="QBQ47" s="279"/>
      <c r="QBR47" s="279"/>
      <c r="QBS47" s="279"/>
      <c r="QBT47" s="279"/>
      <c r="QBU47" s="279"/>
      <c r="QBV47" s="279"/>
      <c r="QBW47" s="279"/>
      <c r="QBX47" s="279"/>
      <c r="QBY47" s="279"/>
      <c r="QBZ47" s="279"/>
      <c r="QCA47" s="279"/>
      <c r="QCB47" s="279"/>
      <c r="QCC47" s="279"/>
      <c r="QCD47" s="279"/>
      <c r="QCE47" s="279"/>
      <c r="QCF47" s="279"/>
      <c r="QCG47" s="279"/>
      <c r="QCH47" s="279"/>
      <c r="QCI47" s="279"/>
      <c r="QCJ47" s="279"/>
      <c r="QCK47" s="279"/>
      <c r="QCL47" s="279"/>
      <c r="QCM47" s="279"/>
      <c r="QCN47" s="279"/>
      <c r="QCO47" s="279"/>
      <c r="QCP47" s="279"/>
      <c r="QCQ47" s="279"/>
      <c r="QCR47" s="279"/>
      <c r="QCS47" s="279"/>
      <c r="QCT47" s="279"/>
      <c r="QCU47" s="279"/>
      <c r="QCV47" s="279"/>
      <c r="QCW47" s="279"/>
      <c r="QCX47" s="279"/>
      <c r="QCY47" s="279"/>
      <c r="QCZ47" s="279"/>
      <c r="QDA47" s="279"/>
      <c r="QDB47" s="279"/>
      <c r="QDC47" s="279"/>
      <c r="QDD47" s="279"/>
      <c r="QDE47" s="279"/>
      <c r="QDF47" s="279"/>
      <c r="QDG47" s="279"/>
      <c r="QDH47" s="279"/>
      <c r="QDI47" s="279"/>
      <c r="QDJ47" s="279"/>
      <c r="QDK47" s="279"/>
      <c r="QDL47" s="279"/>
      <c r="QDM47" s="279"/>
      <c r="QDN47" s="279"/>
      <c r="QDO47" s="279"/>
      <c r="QDP47" s="279"/>
      <c r="QDQ47" s="279"/>
      <c r="QDR47" s="279"/>
      <c r="QDS47" s="279"/>
      <c r="QDT47" s="279"/>
      <c r="QDU47" s="279"/>
      <c r="QDV47" s="279"/>
      <c r="QDW47" s="279"/>
      <c r="QDX47" s="279"/>
      <c r="QDY47" s="279"/>
      <c r="QDZ47" s="279"/>
      <c r="QEA47" s="279"/>
      <c r="QEB47" s="279"/>
      <c r="QEC47" s="279"/>
      <c r="QED47" s="279"/>
      <c r="QEE47" s="279"/>
      <c r="QEF47" s="279"/>
      <c r="QEG47" s="279"/>
      <c r="QEH47" s="279"/>
      <c r="QEI47" s="279"/>
      <c r="QEJ47" s="279"/>
      <c r="QEK47" s="279"/>
      <c r="QEL47" s="279"/>
      <c r="QEM47" s="279"/>
      <c r="QEN47" s="279"/>
      <c r="QEO47" s="279"/>
      <c r="QEP47" s="279"/>
      <c r="QEQ47" s="279"/>
      <c r="QER47" s="279"/>
      <c r="QES47" s="279"/>
      <c r="QET47" s="279"/>
      <c r="QEU47" s="279"/>
      <c r="QEV47" s="279"/>
      <c r="QEW47" s="279"/>
      <c r="QEX47" s="279"/>
      <c r="QEY47" s="279"/>
      <c r="QEZ47" s="279"/>
      <c r="QFA47" s="279"/>
      <c r="QFB47" s="279"/>
      <c r="QFC47" s="279"/>
      <c r="QFD47" s="279"/>
      <c r="QFE47" s="279"/>
      <c r="QFF47" s="279"/>
      <c r="QFG47" s="279"/>
      <c r="QFH47" s="279"/>
      <c r="QFI47" s="279"/>
      <c r="QFJ47" s="279"/>
      <c r="QFK47" s="279"/>
      <c r="QFL47" s="279"/>
      <c r="QFM47" s="279"/>
      <c r="QFN47" s="279"/>
      <c r="QFO47" s="279"/>
      <c r="QFP47" s="279"/>
      <c r="QFQ47" s="279"/>
      <c r="QFR47" s="279"/>
      <c r="QFS47" s="279"/>
      <c r="QFT47" s="279"/>
      <c r="QFU47" s="279"/>
      <c r="QFV47" s="279"/>
      <c r="QFW47" s="279"/>
      <c r="QFX47" s="279"/>
      <c r="QFY47" s="279"/>
      <c r="QFZ47" s="279"/>
      <c r="QGA47" s="279"/>
      <c r="QGB47" s="279"/>
      <c r="QGC47" s="279"/>
      <c r="QGD47" s="279"/>
      <c r="QGE47" s="279"/>
      <c r="QGF47" s="279"/>
      <c r="QGG47" s="279"/>
      <c r="QGH47" s="279"/>
      <c r="QGI47" s="279"/>
      <c r="QGJ47" s="279"/>
      <c r="QGK47" s="279"/>
      <c r="QGL47" s="279"/>
      <c r="QGM47" s="279"/>
      <c r="QGN47" s="279"/>
      <c r="QGO47" s="279"/>
      <c r="QGP47" s="279"/>
      <c r="QGQ47" s="279"/>
      <c r="QGR47" s="279"/>
      <c r="QGS47" s="279"/>
      <c r="QGT47" s="279"/>
      <c r="QGU47" s="279"/>
      <c r="QGV47" s="279"/>
      <c r="QGW47" s="279"/>
      <c r="QGX47" s="279"/>
      <c r="QGY47" s="279"/>
      <c r="QGZ47" s="279"/>
      <c r="QHA47" s="279"/>
      <c r="QHB47" s="279"/>
      <c r="QHC47" s="279"/>
      <c r="QHD47" s="279"/>
      <c r="QHE47" s="279"/>
      <c r="QHF47" s="279"/>
      <c r="QHG47" s="279"/>
      <c r="QHH47" s="279"/>
      <c r="QHI47" s="279"/>
      <c r="QHJ47" s="279"/>
      <c r="QHK47" s="279"/>
      <c r="QHL47" s="279"/>
      <c r="QHM47" s="279"/>
      <c r="QHN47" s="279"/>
      <c r="QHO47" s="279"/>
      <c r="QHP47" s="279"/>
      <c r="QHQ47" s="279"/>
      <c r="QHR47" s="279"/>
      <c r="QHS47" s="279"/>
      <c r="QHT47" s="279"/>
      <c r="QHU47" s="279"/>
      <c r="QHV47" s="279"/>
      <c r="QHW47" s="279"/>
      <c r="QHX47" s="279"/>
      <c r="QHY47" s="279"/>
      <c r="QHZ47" s="279"/>
      <c r="QIA47" s="279"/>
      <c r="QIB47" s="279"/>
      <c r="QIC47" s="279"/>
      <c r="QID47" s="279"/>
      <c r="QIE47" s="279"/>
      <c r="QIF47" s="279"/>
      <c r="QIG47" s="279"/>
      <c r="QIH47" s="279"/>
      <c r="QII47" s="279"/>
      <c r="QIJ47" s="279"/>
      <c r="QIK47" s="279"/>
      <c r="QIL47" s="279"/>
      <c r="QIM47" s="279"/>
      <c r="QIN47" s="279"/>
      <c r="QIO47" s="279"/>
      <c r="QIP47" s="279"/>
      <c r="QIQ47" s="279"/>
      <c r="QIR47" s="279"/>
      <c r="QIS47" s="279"/>
      <c r="QIT47" s="279"/>
      <c r="QIU47" s="279"/>
      <c r="QIV47" s="279"/>
      <c r="QIW47" s="279"/>
      <c r="QIX47" s="279"/>
      <c r="QIY47" s="279"/>
      <c r="QIZ47" s="279"/>
      <c r="QJA47" s="279"/>
      <c r="QJB47" s="279"/>
      <c r="QJC47" s="279"/>
      <c r="QJD47" s="279"/>
      <c r="QJE47" s="279"/>
      <c r="QJF47" s="279"/>
      <c r="QJG47" s="279"/>
      <c r="QJH47" s="279"/>
      <c r="QJI47" s="279"/>
      <c r="QJJ47" s="279"/>
      <c r="QJK47" s="279"/>
      <c r="QJL47" s="279"/>
      <c r="QJM47" s="279"/>
      <c r="QJN47" s="279"/>
      <c r="QJO47" s="279"/>
      <c r="QJP47" s="279"/>
      <c r="QJQ47" s="279"/>
      <c r="QJR47" s="279"/>
      <c r="QJS47" s="279"/>
      <c r="QJT47" s="279"/>
      <c r="QJU47" s="279"/>
      <c r="QJV47" s="279"/>
      <c r="QJW47" s="279"/>
      <c r="QJX47" s="279"/>
      <c r="QJY47" s="279"/>
      <c r="QJZ47" s="279"/>
      <c r="QKA47" s="279"/>
      <c r="QKB47" s="279"/>
      <c r="QKC47" s="279"/>
      <c r="QKD47" s="279"/>
      <c r="QKE47" s="279"/>
      <c r="QKF47" s="279"/>
      <c r="QKG47" s="279"/>
      <c r="QKH47" s="279"/>
      <c r="QKI47" s="279"/>
      <c r="QKJ47" s="279"/>
      <c r="QKK47" s="279"/>
      <c r="QKL47" s="279"/>
      <c r="QKM47" s="279"/>
      <c r="QKN47" s="279"/>
      <c r="QKO47" s="279"/>
      <c r="QKP47" s="279"/>
      <c r="QKQ47" s="279"/>
      <c r="QKR47" s="279"/>
      <c r="QKS47" s="279"/>
      <c r="QKT47" s="279"/>
      <c r="QKU47" s="279"/>
      <c r="QKV47" s="279"/>
      <c r="QKW47" s="279"/>
      <c r="QKX47" s="279"/>
      <c r="QKY47" s="279"/>
      <c r="QKZ47" s="279"/>
      <c r="QLA47" s="279"/>
      <c r="QLB47" s="279"/>
      <c r="QLC47" s="279"/>
      <c r="QLD47" s="279"/>
      <c r="QLE47" s="279"/>
      <c r="QLF47" s="279"/>
      <c r="QLG47" s="279"/>
      <c r="QLH47" s="279"/>
      <c r="QLI47" s="279"/>
      <c r="QLJ47" s="279"/>
      <c r="QLK47" s="279"/>
      <c r="QLL47" s="279"/>
      <c r="QLM47" s="279"/>
      <c r="QLN47" s="279"/>
      <c r="QLO47" s="279"/>
      <c r="QLP47" s="279"/>
      <c r="QLQ47" s="279"/>
      <c r="QLR47" s="279"/>
      <c r="QLS47" s="279"/>
      <c r="QLT47" s="279"/>
      <c r="QLU47" s="279"/>
      <c r="QLV47" s="279"/>
      <c r="QLW47" s="279"/>
      <c r="QLX47" s="279"/>
      <c r="QLY47" s="279"/>
      <c r="QLZ47" s="279"/>
      <c r="QMA47" s="279"/>
      <c r="QMB47" s="279"/>
      <c r="QMC47" s="279"/>
      <c r="QMD47" s="279"/>
      <c r="QME47" s="279"/>
      <c r="QMF47" s="279"/>
      <c r="QMG47" s="279"/>
      <c r="QMH47" s="279"/>
      <c r="QMI47" s="279"/>
      <c r="QMJ47" s="279"/>
      <c r="QMK47" s="279"/>
      <c r="QML47" s="279"/>
      <c r="QMM47" s="279"/>
      <c r="QMN47" s="279"/>
      <c r="QMO47" s="279"/>
      <c r="QMP47" s="279"/>
      <c r="QMQ47" s="279"/>
      <c r="QMR47" s="279"/>
      <c r="QMS47" s="279"/>
      <c r="QMT47" s="279"/>
      <c r="QMU47" s="279"/>
      <c r="QMV47" s="279"/>
      <c r="QMW47" s="279"/>
      <c r="QMX47" s="279"/>
      <c r="QMY47" s="279"/>
      <c r="QMZ47" s="279"/>
      <c r="QNA47" s="279"/>
      <c r="QNB47" s="279"/>
      <c r="QNC47" s="279"/>
      <c r="QND47" s="279"/>
      <c r="QNE47" s="279"/>
      <c r="QNF47" s="279"/>
      <c r="QNG47" s="279"/>
      <c r="QNH47" s="279"/>
      <c r="QNI47" s="279"/>
      <c r="QNJ47" s="279"/>
      <c r="QNK47" s="279"/>
      <c r="QNL47" s="279"/>
      <c r="QNM47" s="279"/>
      <c r="QNN47" s="279"/>
      <c r="QNO47" s="279"/>
      <c r="QNP47" s="279"/>
      <c r="QNQ47" s="279"/>
      <c r="QNR47" s="279"/>
      <c r="QNS47" s="279"/>
      <c r="QNT47" s="279"/>
      <c r="QNU47" s="279"/>
      <c r="QNV47" s="279"/>
      <c r="QNW47" s="279"/>
      <c r="QNX47" s="279"/>
      <c r="QNY47" s="279"/>
      <c r="QNZ47" s="279"/>
      <c r="QOA47" s="279"/>
      <c r="QOB47" s="279"/>
      <c r="QOC47" s="279"/>
      <c r="QOD47" s="279"/>
      <c r="QOE47" s="279"/>
      <c r="QOF47" s="279"/>
      <c r="QOG47" s="279"/>
      <c r="QOH47" s="279"/>
      <c r="QOI47" s="279"/>
      <c r="QOJ47" s="279"/>
      <c r="QOK47" s="279"/>
      <c r="QOL47" s="279"/>
      <c r="QOM47" s="279"/>
      <c r="QON47" s="279"/>
      <c r="QOO47" s="279"/>
      <c r="QOP47" s="279"/>
      <c r="QOQ47" s="279"/>
      <c r="QOR47" s="279"/>
      <c r="QOS47" s="279"/>
      <c r="QOT47" s="279"/>
      <c r="QOU47" s="279"/>
      <c r="QOV47" s="279"/>
      <c r="QOW47" s="279"/>
      <c r="QOX47" s="279"/>
      <c r="QOY47" s="279"/>
      <c r="QOZ47" s="279"/>
      <c r="QPA47" s="279"/>
      <c r="QPB47" s="279"/>
      <c r="QPC47" s="279"/>
      <c r="QPD47" s="279"/>
      <c r="QPE47" s="279"/>
      <c r="QPF47" s="279"/>
      <c r="QPG47" s="279"/>
      <c r="QPH47" s="279"/>
      <c r="QPI47" s="279"/>
      <c r="QPJ47" s="279"/>
      <c r="QPK47" s="279"/>
      <c r="QPL47" s="279"/>
      <c r="QPM47" s="279"/>
      <c r="QPN47" s="279"/>
      <c r="QPO47" s="279"/>
      <c r="QPP47" s="279"/>
      <c r="QPQ47" s="279"/>
      <c r="QPR47" s="279"/>
      <c r="QPS47" s="279"/>
      <c r="QPT47" s="279"/>
      <c r="QPU47" s="279"/>
      <c r="QPV47" s="279"/>
      <c r="QPW47" s="279"/>
      <c r="QPX47" s="279"/>
      <c r="QPY47" s="279"/>
      <c r="QPZ47" s="279"/>
      <c r="QQA47" s="279"/>
      <c r="QQB47" s="279"/>
      <c r="QQC47" s="279"/>
      <c r="QQD47" s="279"/>
      <c r="QQE47" s="279"/>
      <c r="QQF47" s="279"/>
      <c r="QQG47" s="279"/>
      <c r="QQH47" s="279"/>
      <c r="QQI47" s="279"/>
      <c r="QQJ47" s="279"/>
      <c r="QQK47" s="279"/>
      <c r="QQL47" s="279"/>
      <c r="QQM47" s="279"/>
      <c r="QQN47" s="279"/>
      <c r="QQO47" s="279"/>
      <c r="QQP47" s="279"/>
      <c r="QQQ47" s="279"/>
      <c r="QQR47" s="279"/>
      <c r="QQS47" s="279"/>
      <c r="QQT47" s="279"/>
      <c r="QQU47" s="279"/>
      <c r="QQV47" s="279"/>
      <c r="QQW47" s="279"/>
      <c r="QQX47" s="279"/>
      <c r="QQY47" s="279"/>
      <c r="QQZ47" s="279"/>
      <c r="QRA47" s="279"/>
      <c r="QRB47" s="279"/>
      <c r="QRC47" s="279"/>
      <c r="QRD47" s="279"/>
      <c r="QRE47" s="279"/>
      <c r="QRF47" s="279"/>
      <c r="QRG47" s="279"/>
      <c r="QRH47" s="279"/>
      <c r="QRI47" s="279"/>
      <c r="QRJ47" s="279"/>
      <c r="QRK47" s="279"/>
      <c r="QRL47" s="279"/>
      <c r="QRM47" s="279"/>
      <c r="QRN47" s="279"/>
      <c r="QRO47" s="279"/>
      <c r="QRP47" s="279"/>
      <c r="QRQ47" s="279"/>
      <c r="QRR47" s="279"/>
      <c r="QRS47" s="279"/>
      <c r="QRT47" s="279"/>
      <c r="QRU47" s="279"/>
      <c r="QRV47" s="279"/>
      <c r="QRW47" s="279"/>
      <c r="QRX47" s="279"/>
      <c r="QRY47" s="279"/>
      <c r="QRZ47" s="279"/>
      <c r="QSA47" s="279"/>
      <c r="QSB47" s="279"/>
      <c r="QSC47" s="279"/>
      <c r="QSD47" s="279"/>
      <c r="QSE47" s="279"/>
      <c r="QSF47" s="279"/>
      <c r="QSG47" s="279"/>
      <c r="QSH47" s="279"/>
      <c r="QSI47" s="279"/>
      <c r="QSJ47" s="279"/>
      <c r="QSK47" s="279"/>
      <c r="QSL47" s="279"/>
      <c r="QSM47" s="279"/>
      <c r="QSN47" s="279"/>
      <c r="QSO47" s="279"/>
      <c r="QSP47" s="279"/>
      <c r="QSQ47" s="279"/>
      <c r="QSR47" s="279"/>
      <c r="QSS47" s="279"/>
      <c r="QST47" s="279"/>
      <c r="QSU47" s="279"/>
      <c r="QSV47" s="279"/>
      <c r="QSW47" s="279"/>
      <c r="QSX47" s="279"/>
      <c r="QSY47" s="279"/>
      <c r="QSZ47" s="279"/>
      <c r="QTA47" s="279"/>
      <c r="QTB47" s="279"/>
      <c r="QTC47" s="279"/>
      <c r="QTD47" s="279"/>
      <c r="QTE47" s="279"/>
      <c r="QTF47" s="279"/>
      <c r="QTG47" s="279"/>
      <c r="QTH47" s="279"/>
      <c r="QTI47" s="279"/>
      <c r="QTJ47" s="279"/>
      <c r="QTK47" s="279"/>
      <c r="QTL47" s="279"/>
      <c r="QTM47" s="279"/>
      <c r="QTN47" s="279"/>
      <c r="QTO47" s="279"/>
      <c r="QTP47" s="279"/>
      <c r="QTQ47" s="279"/>
      <c r="QTR47" s="279"/>
      <c r="QTS47" s="279"/>
      <c r="QTT47" s="279"/>
      <c r="QTU47" s="279"/>
      <c r="QTV47" s="279"/>
      <c r="QTW47" s="279"/>
      <c r="QTX47" s="279"/>
      <c r="QTY47" s="279"/>
      <c r="QTZ47" s="279"/>
      <c r="QUA47" s="279"/>
      <c r="QUB47" s="279"/>
      <c r="QUC47" s="279"/>
      <c r="QUD47" s="279"/>
      <c r="QUE47" s="279"/>
      <c r="QUF47" s="279"/>
      <c r="QUG47" s="279"/>
      <c r="QUH47" s="279"/>
      <c r="QUI47" s="279"/>
      <c r="QUJ47" s="279"/>
      <c r="QUK47" s="279"/>
      <c r="QUL47" s="279"/>
      <c r="QUM47" s="279"/>
      <c r="QUN47" s="279"/>
      <c r="QUO47" s="279"/>
      <c r="QUP47" s="279"/>
      <c r="QUQ47" s="279"/>
      <c r="QUR47" s="279"/>
      <c r="QUS47" s="279"/>
      <c r="QUT47" s="279"/>
      <c r="QUU47" s="279"/>
      <c r="QUV47" s="279"/>
      <c r="QUW47" s="279"/>
      <c r="QUX47" s="279"/>
      <c r="QUY47" s="279"/>
      <c r="QUZ47" s="279"/>
      <c r="QVA47" s="279"/>
      <c r="QVB47" s="279"/>
      <c r="QVC47" s="279"/>
      <c r="QVD47" s="279"/>
      <c r="QVE47" s="279"/>
      <c r="QVF47" s="279"/>
      <c r="QVG47" s="279"/>
      <c r="QVH47" s="279"/>
      <c r="QVI47" s="279"/>
      <c r="QVJ47" s="279"/>
      <c r="QVK47" s="279"/>
      <c r="QVL47" s="279"/>
      <c r="QVM47" s="279"/>
      <c r="QVN47" s="279"/>
      <c r="QVO47" s="279"/>
      <c r="QVP47" s="279"/>
      <c r="QVQ47" s="279"/>
      <c r="QVR47" s="279"/>
      <c r="QVS47" s="279"/>
      <c r="QVT47" s="279"/>
      <c r="QVU47" s="279"/>
      <c r="QVV47" s="279"/>
      <c r="QVW47" s="279"/>
      <c r="QVX47" s="279"/>
      <c r="QVY47" s="279"/>
      <c r="QVZ47" s="279"/>
      <c r="QWA47" s="279"/>
      <c r="QWB47" s="279"/>
      <c r="QWC47" s="279"/>
      <c r="QWD47" s="279"/>
      <c r="QWE47" s="279"/>
      <c r="QWF47" s="279"/>
      <c r="QWG47" s="279"/>
      <c r="QWH47" s="279"/>
      <c r="QWI47" s="279"/>
      <c r="QWJ47" s="279"/>
      <c r="QWK47" s="279"/>
      <c r="QWL47" s="279"/>
      <c r="QWM47" s="279"/>
      <c r="QWN47" s="279"/>
      <c r="QWO47" s="279"/>
      <c r="QWP47" s="279"/>
      <c r="QWQ47" s="279"/>
      <c r="QWR47" s="279"/>
      <c r="QWS47" s="279"/>
      <c r="QWT47" s="279"/>
      <c r="QWU47" s="279"/>
      <c r="QWV47" s="279"/>
      <c r="QWW47" s="279"/>
      <c r="QWX47" s="279"/>
      <c r="QWY47" s="279"/>
      <c r="QWZ47" s="279"/>
      <c r="QXA47" s="279"/>
      <c r="QXB47" s="279"/>
      <c r="QXC47" s="279"/>
      <c r="QXD47" s="279"/>
      <c r="QXE47" s="279"/>
      <c r="QXF47" s="279"/>
      <c r="QXG47" s="279"/>
      <c r="QXH47" s="279"/>
      <c r="QXI47" s="279"/>
      <c r="QXJ47" s="279"/>
      <c r="QXK47" s="279"/>
      <c r="QXL47" s="279"/>
      <c r="QXM47" s="279"/>
      <c r="QXN47" s="279"/>
      <c r="QXO47" s="279"/>
      <c r="QXP47" s="279"/>
      <c r="QXQ47" s="279"/>
      <c r="QXR47" s="279"/>
      <c r="QXS47" s="279"/>
      <c r="QXT47" s="279"/>
      <c r="QXU47" s="279"/>
      <c r="QXV47" s="279"/>
      <c r="QXW47" s="279"/>
      <c r="QXX47" s="279"/>
      <c r="QXY47" s="279"/>
      <c r="QXZ47" s="279"/>
      <c r="QYA47" s="279"/>
      <c r="QYB47" s="279"/>
      <c r="QYC47" s="279"/>
      <c r="QYD47" s="279"/>
      <c r="QYE47" s="279"/>
      <c r="QYF47" s="279"/>
      <c r="QYG47" s="279"/>
      <c r="QYH47" s="279"/>
      <c r="QYI47" s="279"/>
      <c r="QYJ47" s="279"/>
      <c r="QYK47" s="279"/>
      <c r="QYL47" s="279"/>
      <c r="QYM47" s="279"/>
      <c r="QYN47" s="279"/>
      <c r="QYO47" s="279"/>
      <c r="QYP47" s="279"/>
      <c r="QYQ47" s="279"/>
      <c r="QYR47" s="279"/>
      <c r="QYS47" s="279"/>
      <c r="QYT47" s="279"/>
      <c r="QYU47" s="279"/>
      <c r="QYV47" s="279"/>
      <c r="QYW47" s="279"/>
      <c r="QYX47" s="279"/>
      <c r="QYY47" s="279"/>
      <c r="QYZ47" s="279"/>
      <c r="QZA47" s="279"/>
      <c r="QZB47" s="279"/>
      <c r="QZC47" s="279"/>
      <c r="QZD47" s="279"/>
      <c r="QZE47" s="279"/>
      <c r="QZF47" s="279"/>
      <c r="QZG47" s="279"/>
      <c r="QZH47" s="279"/>
      <c r="QZI47" s="279"/>
      <c r="QZJ47" s="279"/>
      <c r="QZK47" s="279"/>
      <c r="QZL47" s="279"/>
      <c r="QZM47" s="279"/>
      <c r="QZN47" s="279"/>
      <c r="QZO47" s="279"/>
      <c r="QZP47" s="279"/>
      <c r="QZQ47" s="279"/>
      <c r="QZR47" s="279"/>
      <c r="QZS47" s="279"/>
      <c r="QZT47" s="279"/>
      <c r="QZU47" s="279"/>
      <c r="QZV47" s="279"/>
      <c r="QZW47" s="279"/>
      <c r="QZX47" s="279"/>
      <c r="QZY47" s="279"/>
      <c r="QZZ47" s="279"/>
      <c r="RAA47" s="279"/>
      <c r="RAB47" s="279"/>
      <c r="RAC47" s="279"/>
      <c r="RAD47" s="279"/>
      <c r="RAE47" s="279"/>
      <c r="RAF47" s="279"/>
      <c r="RAG47" s="279"/>
      <c r="RAH47" s="279"/>
      <c r="RAI47" s="279"/>
      <c r="RAJ47" s="279"/>
      <c r="RAK47" s="279"/>
      <c r="RAL47" s="279"/>
      <c r="RAM47" s="279"/>
      <c r="RAN47" s="279"/>
      <c r="RAO47" s="279"/>
      <c r="RAP47" s="279"/>
      <c r="RAQ47" s="279"/>
      <c r="RAR47" s="279"/>
      <c r="RAS47" s="279"/>
      <c r="RAT47" s="279"/>
      <c r="RAU47" s="279"/>
      <c r="RAV47" s="279"/>
      <c r="RAW47" s="279"/>
      <c r="RAX47" s="279"/>
      <c r="RAY47" s="279"/>
      <c r="RAZ47" s="279"/>
      <c r="RBA47" s="279"/>
      <c r="RBB47" s="279"/>
      <c r="RBC47" s="279"/>
      <c r="RBD47" s="279"/>
      <c r="RBE47" s="279"/>
      <c r="RBF47" s="279"/>
      <c r="RBG47" s="279"/>
      <c r="RBH47" s="279"/>
      <c r="RBI47" s="279"/>
      <c r="RBJ47" s="279"/>
      <c r="RBK47" s="279"/>
      <c r="RBL47" s="279"/>
      <c r="RBM47" s="279"/>
      <c r="RBN47" s="279"/>
      <c r="RBO47" s="279"/>
      <c r="RBP47" s="279"/>
      <c r="RBQ47" s="279"/>
      <c r="RBR47" s="279"/>
      <c r="RBS47" s="279"/>
      <c r="RBT47" s="279"/>
      <c r="RBU47" s="279"/>
      <c r="RBV47" s="279"/>
      <c r="RBW47" s="279"/>
      <c r="RBX47" s="279"/>
      <c r="RBY47" s="279"/>
      <c r="RBZ47" s="279"/>
      <c r="RCA47" s="279"/>
      <c r="RCB47" s="279"/>
      <c r="RCC47" s="279"/>
      <c r="RCD47" s="279"/>
      <c r="RCE47" s="279"/>
      <c r="RCF47" s="279"/>
      <c r="RCG47" s="279"/>
      <c r="RCH47" s="279"/>
      <c r="RCI47" s="279"/>
      <c r="RCJ47" s="279"/>
      <c r="RCK47" s="279"/>
      <c r="RCL47" s="279"/>
      <c r="RCM47" s="279"/>
      <c r="RCN47" s="279"/>
      <c r="RCO47" s="279"/>
      <c r="RCP47" s="279"/>
      <c r="RCQ47" s="279"/>
      <c r="RCR47" s="279"/>
      <c r="RCS47" s="279"/>
      <c r="RCT47" s="279"/>
      <c r="RCU47" s="279"/>
      <c r="RCV47" s="279"/>
      <c r="RCW47" s="279"/>
      <c r="RCX47" s="279"/>
      <c r="RCY47" s="279"/>
      <c r="RCZ47" s="279"/>
      <c r="RDA47" s="279"/>
      <c r="RDB47" s="279"/>
      <c r="RDC47" s="279"/>
      <c r="RDD47" s="279"/>
      <c r="RDE47" s="279"/>
      <c r="RDF47" s="279"/>
      <c r="RDG47" s="279"/>
      <c r="RDH47" s="279"/>
      <c r="RDI47" s="279"/>
      <c r="RDJ47" s="279"/>
      <c r="RDK47" s="279"/>
      <c r="RDL47" s="279"/>
      <c r="RDM47" s="279"/>
      <c r="RDN47" s="279"/>
      <c r="RDO47" s="279"/>
      <c r="RDP47" s="279"/>
      <c r="RDQ47" s="279"/>
      <c r="RDR47" s="279"/>
      <c r="RDS47" s="279"/>
      <c r="RDT47" s="279"/>
      <c r="RDU47" s="279"/>
      <c r="RDV47" s="279"/>
      <c r="RDW47" s="279"/>
      <c r="RDX47" s="279"/>
      <c r="RDY47" s="279"/>
      <c r="RDZ47" s="279"/>
      <c r="REA47" s="279"/>
      <c r="REB47" s="279"/>
      <c r="REC47" s="279"/>
      <c r="RED47" s="279"/>
      <c r="REE47" s="279"/>
      <c r="REF47" s="279"/>
      <c r="REG47" s="279"/>
      <c r="REH47" s="279"/>
      <c r="REI47" s="279"/>
      <c r="REJ47" s="279"/>
      <c r="REK47" s="279"/>
      <c r="REL47" s="279"/>
      <c r="REM47" s="279"/>
      <c r="REN47" s="279"/>
      <c r="REO47" s="279"/>
      <c r="REP47" s="279"/>
      <c r="REQ47" s="279"/>
      <c r="RER47" s="279"/>
      <c r="RES47" s="279"/>
      <c r="RET47" s="279"/>
      <c r="REU47" s="279"/>
      <c r="REV47" s="279"/>
      <c r="REW47" s="279"/>
      <c r="REX47" s="279"/>
      <c r="REY47" s="279"/>
      <c r="REZ47" s="279"/>
      <c r="RFA47" s="279"/>
      <c r="RFB47" s="279"/>
      <c r="RFC47" s="279"/>
      <c r="RFD47" s="279"/>
      <c r="RFE47" s="279"/>
      <c r="RFF47" s="279"/>
      <c r="RFG47" s="279"/>
      <c r="RFH47" s="279"/>
      <c r="RFI47" s="279"/>
      <c r="RFJ47" s="279"/>
      <c r="RFK47" s="279"/>
      <c r="RFL47" s="279"/>
      <c r="RFM47" s="279"/>
      <c r="RFN47" s="279"/>
      <c r="RFO47" s="279"/>
      <c r="RFP47" s="279"/>
      <c r="RFQ47" s="279"/>
      <c r="RFR47" s="279"/>
      <c r="RFS47" s="279"/>
      <c r="RFT47" s="279"/>
      <c r="RFU47" s="279"/>
      <c r="RFV47" s="279"/>
      <c r="RFW47" s="279"/>
      <c r="RFX47" s="279"/>
      <c r="RFY47" s="279"/>
      <c r="RFZ47" s="279"/>
      <c r="RGA47" s="279"/>
      <c r="RGB47" s="279"/>
      <c r="RGC47" s="279"/>
      <c r="RGD47" s="279"/>
      <c r="RGE47" s="279"/>
      <c r="RGF47" s="279"/>
      <c r="RGG47" s="279"/>
      <c r="RGH47" s="279"/>
      <c r="RGI47" s="279"/>
      <c r="RGJ47" s="279"/>
      <c r="RGK47" s="279"/>
      <c r="RGL47" s="279"/>
      <c r="RGM47" s="279"/>
      <c r="RGN47" s="279"/>
      <c r="RGO47" s="279"/>
      <c r="RGP47" s="279"/>
      <c r="RGQ47" s="279"/>
      <c r="RGR47" s="279"/>
      <c r="RGS47" s="279"/>
      <c r="RGT47" s="279"/>
      <c r="RGU47" s="279"/>
      <c r="RGV47" s="279"/>
      <c r="RGW47" s="279"/>
      <c r="RGX47" s="279"/>
      <c r="RGY47" s="279"/>
      <c r="RGZ47" s="279"/>
      <c r="RHA47" s="279"/>
      <c r="RHB47" s="279"/>
      <c r="RHC47" s="279"/>
      <c r="RHD47" s="279"/>
      <c r="RHE47" s="279"/>
      <c r="RHF47" s="279"/>
      <c r="RHG47" s="279"/>
      <c r="RHH47" s="279"/>
      <c r="RHI47" s="279"/>
      <c r="RHJ47" s="279"/>
      <c r="RHK47" s="279"/>
      <c r="RHL47" s="279"/>
      <c r="RHM47" s="279"/>
      <c r="RHN47" s="279"/>
      <c r="RHO47" s="279"/>
      <c r="RHP47" s="279"/>
      <c r="RHQ47" s="279"/>
      <c r="RHR47" s="279"/>
      <c r="RHS47" s="279"/>
      <c r="RHT47" s="279"/>
      <c r="RHU47" s="279"/>
      <c r="RHV47" s="279"/>
      <c r="RHW47" s="279"/>
      <c r="RHX47" s="279"/>
      <c r="RHY47" s="279"/>
      <c r="RHZ47" s="279"/>
      <c r="RIA47" s="279"/>
      <c r="RIB47" s="279"/>
      <c r="RIC47" s="279"/>
      <c r="RID47" s="279"/>
      <c r="RIE47" s="279"/>
      <c r="RIF47" s="279"/>
      <c r="RIG47" s="279"/>
      <c r="RIH47" s="279"/>
      <c r="RII47" s="279"/>
      <c r="RIJ47" s="279"/>
      <c r="RIK47" s="279"/>
      <c r="RIL47" s="279"/>
      <c r="RIM47" s="279"/>
      <c r="RIN47" s="279"/>
      <c r="RIO47" s="279"/>
      <c r="RIP47" s="279"/>
      <c r="RIQ47" s="279"/>
      <c r="RIR47" s="279"/>
      <c r="RIS47" s="279"/>
      <c r="RIT47" s="279"/>
      <c r="RIU47" s="279"/>
      <c r="RIV47" s="279"/>
      <c r="RIW47" s="279"/>
      <c r="RIX47" s="279"/>
      <c r="RIY47" s="279"/>
      <c r="RIZ47" s="279"/>
      <c r="RJA47" s="279"/>
      <c r="RJB47" s="279"/>
      <c r="RJC47" s="279"/>
      <c r="RJD47" s="279"/>
      <c r="RJE47" s="279"/>
      <c r="RJF47" s="279"/>
      <c r="RJG47" s="279"/>
      <c r="RJH47" s="279"/>
      <c r="RJI47" s="279"/>
      <c r="RJJ47" s="279"/>
      <c r="RJK47" s="279"/>
      <c r="RJL47" s="279"/>
      <c r="RJM47" s="279"/>
      <c r="RJN47" s="279"/>
      <c r="RJO47" s="279"/>
      <c r="RJP47" s="279"/>
      <c r="RJQ47" s="279"/>
      <c r="RJR47" s="279"/>
      <c r="RJS47" s="279"/>
      <c r="RJT47" s="279"/>
      <c r="RJU47" s="279"/>
      <c r="RJV47" s="279"/>
      <c r="RJW47" s="279"/>
      <c r="RJX47" s="279"/>
      <c r="RJY47" s="279"/>
      <c r="RJZ47" s="279"/>
      <c r="RKA47" s="279"/>
      <c r="RKB47" s="279"/>
      <c r="RKC47" s="279"/>
      <c r="RKD47" s="279"/>
      <c r="RKE47" s="279"/>
      <c r="RKF47" s="279"/>
      <c r="RKG47" s="279"/>
      <c r="RKH47" s="279"/>
      <c r="RKI47" s="279"/>
      <c r="RKJ47" s="279"/>
      <c r="RKK47" s="279"/>
      <c r="RKL47" s="279"/>
      <c r="RKM47" s="279"/>
      <c r="RKN47" s="279"/>
      <c r="RKO47" s="279"/>
      <c r="RKP47" s="279"/>
      <c r="RKQ47" s="279"/>
      <c r="RKR47" s="279"/>
      <c r="RKS47" s="279"/>
      <c r="RKT47" s="279"/>
      <c r="RKU47" s="279"/>
      <c r="RKV47" s="279"/>
      <c r="RKW47" s="279"/>
      <c r="RKX47" s="279"/>
      <c r="RKY47" s="279"/>
      <c r="RKZ47" s="279"/>
      <c r="RLA47" s="279"/>
      <c r="RLB47" s="279"/>
      <c r="RLC47" s="279"/>
      <c r="RLD47" s="279"/>
      <c r="RLE47" s="279"/>
      <c r="RLF47" s="279"/>
      <c r="RLG47" s="279"/>
      <c r="RLH47" s="279"/>
      <c r="RLI47" s="279"/>
      <c r="RLJ47" s="279"/>
      <c r="RLK47" s="279"/>
      <c r="RLL47" s="279"/>
      <c r="RLM47" s="279"/>
      <c r="RLN47" s="279"/>
      <c r="RLO47" s="279"/>
      <c r="RLP47" s="279"/>
      <c r="RLQ47" s="279"/>
      <c r="RLR47" s="279"/>
      <c r="RLS47" s="279"/>
      <c r="RLT47" s="279"/>
      <c r="RLU47" s="279"/>
      <c r="RLV47" s="279"/>
      <c r="RLW47" s="279"/>
      <c r="RLX47" s="279"/>
      <c r="RLY47" s="279"/>
      <c r="RLZ47" s="279"/>
      <c r="RMA47" s="279"/>
      <c r="RMB47" s="279"/>
      <c r="RMC47" s="279"/>
      <c r="RMD47" s="279"/>
      <c r="RME47" s="279"/>
      <c r="RMF47" s="279"/>
      <c r="RMG47" s="279"/>
      <c r="RMH47" s="279"/>
      <c r="RMI47" s="279"/>
      <c r="RMJ47" s="279"/>
      <c r="RMK47" s="279"/>
      <c r="RML47" s="279"/>
      <c r="RMM47" s="279"/>
      <c r="RMN47" s="279"/>
      <c r="RMO47" s="279"/>
      <c r="RMP47" s="279"/>
      <c r="RMQ47" s="279"/>
      <c r="RMR47" s="279"/>
      <c r="RMS47" s="279"/>
      <c r="RMT47" s="279"/>
      <c r="RMU47" s="279"/>
      <c r="RMV47" s="279"/>
      <c r="RMW47" s="279"/>
      <c r="RMX47" s="279"/>
      <c r="RMY47" s="279"/>
      <c r="RMZ47" s="279"/>
      <c r="RNA47" s="279"/>
      <c r="RNB47" s="279"/>
      <c r="RNC47" s="279"/>
      <c r="RND47" s="279"/>
      <c r="RNE47" s="279"/>
      <c r="RNF47" s="279"/>
      <c r="RNG47" s="279"/>
      <c r="RNH47" s="279"/>
      <c r="RNI47" s="279"/>
      <c r="RNJ47" s="279"/>
      <c r="RNK47" s="279"/>
      <c r="RNL47" s="279"/>
      <c r="RNM47" s="279"/>
      <c r="RNN47" s="279"/>
      <c r="RNO47" s="279"/>
      <c r="RNP47" s="279"/>
      <c r="RNQ47" s="279"/>
      <c r="RNR47" s="279"/>
      <c r="RNS47" s="279"/>
      <c r="RNT47" s="279"/>
      <c r="RNU47" s="279"/>
      <c r="RNV47" s="279"/>
      <c r="RNW47" s="279"/>
      <c r="RNX47" s="279"/>
      <c r="RNY47" s="279"/>
      <c r="RNZ47" s="279"/>
      <c r="ROA47" s="279"/>
      <c r="ROB47" s="279"/>
      <c r="ROC47" s="279"/>
      <c r="ROD47" s="279"/>
      <c r="ROE47" s="279"/>
      <c r="ROF47" s="279"/>
      <c r="ROG47" s="279"/>
      <c r="ROH47" s="279"/>
      <c r="ROI47" s="279"/>
      <c r="ROJ47" s="279"/>
      <c r="ROK47" s="279"/>
      <c r="ROL47" s="279"/>
      <c r="ROM47" s="279"/>
      <c r="RON47" s="279"/>
      <c r="ROO47" s="279"/>
      <c r="ROP47" s="279"/>
      <c r="ROQ47" s="279"/>
      <c r="ROR47" s="279"/>
      <c r="ROS47" s="279"/>
      <c r="ROT47" s="279"/>
      <c r="ROU47" s="279"/>
      <c r="ROV47" s="279"/>
      <c r="ROW47" s="279"/>
      <c r="ROX47" s="279"/>
      <c r="ROY47" s="279"/>
      <c r="ROZ47" s="279"/>
      <c r="RPA47" s="279"/>
      <c r="RPB47" s="279"/>
      <c r="RPC47" s="279"/>
      <c r="RPD47" s="279"/>
      <c r="RPE47" s="279"/>
      <c r="RPF47" s="279"/>
      <c r="RPG47" s="279"/>
      <c r="RPH47" s="279"/>
      <c r="RPI47" s="279"/>
      <c r="RPJ47" s="279"/>
      <c r="RPK47" s="279"/>
      <c r="RPL47" s="279"/>
      <c r="RPM47" s="279"/>
      <c r="RPN47" s="279"/>
      <c r="RPO47" s="279"/>
      <c r="RPP47" s="279"/>
      <c r="RPQ47" s="279"/>
      <c r="RPR47" s="279"/>
      <c r="RPS47" s="279"/>
      <c r="RPT47" s="279"/>
      <c r="RPU47" s="279"/>
      <c r="RPV47" s="279"/>
      <c r="RPW47" s="279"/>
      <c r="RPX47" s="279"/>
      <c r="RPY47" s="279"/>
      <c r="RPZ47" s="279"/>
      <c r="RQA47" s="279"/>
      <c r="RQB47" s="279"/>
      <c r="RQC47" s="279"/>
      <c r="RQD47" s="279"/>
      <c r="RQE47" s="279"/>
      <c r="RQF47" s="279"/>
      <c r="RQG47" s="279"/>
      <c r="RQH47" s="279"/>
      <c r="RQI47" s="279"/>
      <c r="RQJ47" s="279"/>
      <c r="RQK47" s="279"/>
      <c r="RQL47" s="279"/>
      <c r="RQM47" s="279"/>
      <c r="RQN47" s="279"/>
      <c r="RQO47" s="279"/>
      <c r="RQP47" s="279"/>
      <c r="RQQ47" s="279"/>
      <c r="RQR47" s="279"/>
      <c r="RQS47" s="279"/>
      <c r="RQT47" s="279"/>
      <c r="RQU47" s="279"/>
      <c r="RQV47" s="279"/>
      <c r="RQW47" s="279"/>
      <c r="RQX47" s="279"/>
      <c r="RQY47" s="279"/>
      <c r="RQZ47" s="279"/>
      <c r="RRA47" s="279"/>
      <c r="RRB47" s="279"/>
      <c r="RRC47" s="279"/>
      <c r="RRD47" s="279"/>
      <c r="RRE47" s="279"/>
      <c r="RRF47" s="279"/>
      <c r="RRG47" s="279"/>
      <c r="RRH47" s="279"/>
      <c r="RRI47" s="279"/>
      <c r="RRJ47" s="279"/>
      <c r="RRK47" s="279"/>
      <c r="RRL47" s="279"/>
      <c r="RRM47" s="279"/>
      <c r="RRN47" s="279"/>
      <c r="RRO47" s="279"/>
      <c r="RRP47" s="279"/>
      <c r="RRQ47" s="279"/>
      <c r="RRR47" s="279"/>
      <c r="RRS47" s="279"/>
      <c r="RRT47" s="279"/>
      <c r="RRU47" s="279"/>
      <c r="RRV47" s="279"/>
      <c r="RRW47" s="279"/>
      <c r="RRX47" s="279"/>
      <c r="RRY47" s="279"/>
      <c r="RRZ47" s="279"/>
      <c r="RSA47" s="279"/>
      <c r="RSB47" s="279"/>
      <c r="RSC47" s="279"/>
      <c r="RSD47" s="279"/>
      <c r="RSE47" s="279"/>
      <c r="RSF47" s="279"/>
      <c r="RSG47" s="279"/>
      <c r="RSH47" s="279"/>
      <c r="RSI47" s="279"/>
      <c r="RSJ47" s="279"/>
      <c r="RSK47" s="279"/>
      <c r="RSL47" s="279"/>
      <c r="RSM47" s="279"/>
      <c r="RSN47" s="279"/>
      <c r="RSO47" s="279"/>
      <c r="RSP47" s="279"/>
      <c r="RSQ47" s="279"/>
      <c r="RSR47" s="279"/>
      <c r="RSS47" s="279"/>
      <c r="RST47" s="279"/>
      <c r="RSU47" s="279"/>
      <c r="RSV47" s="279"/>
      <c r="RSW47" s="279"/>
      <c r="RSX47" s="279"/>
      <c r="RSY47" s="279"/>
      <c r="RSZ47" s="279"/>
      <c r="RTA47" s="279"/>
      <c r="RTB47" s="279"/>
      <c r="RTC47" s="279"/>
      <c r="RTD47" s="279"/>
      <c r="RTE47" s="279"/>
      <c r="RTF47" s="279"/>
      <c r="RTG47" s="279"/>
      <c r="RTH47" s="279"/>
      <c r="RTI47" s="279"/>
      <c r="RTJ47" s="279"/>
      <c r="RTK47" s="279"/>
      <c r="RTL47" s="279"/>
      <c r="RTM47" s="279"/>
      <c r="RTN47" s="279"/>
      <c r="RTO47" s="279"/>
      <c r="RTP47" s="279"/>
      <c r="RTQ47" s="279"/>
      <c r="RTR47" s="279"/>
      <c r="RTS47" s="279"/>
      <c r="RTT47" s="279"/>
      <c r="RTU47" s="279"/>
      <c r="RTV47" s="279"/>
      <c r="RTW47" s="279"/>
      <c r="RTX47" s="279"/>
      <c r="RTY47" s="279"/>
      <c r="RTZ47" s="279"/>
      <c r="RUA47" s="279"/>
      <c r="RUB47" s="279"/>
      <c r="RUC47" s="279"/>
      <c r="RUD47" s="279"/>
      <c r="RUE47" s="279"/>
      <c r="RUF47" s="279"/>
      <c r="RUG47" s="279"/>
      <c r="RUH47" s="279"/>
      <c r="RUI47" s="279"/>
      <c r="RUJ47" s="279"/>
      <c r="RUK47" s="279"/>
      <c r="RUL47" s="279"/>
      <c r="RUM47" s="279"/>
      <c r="RUN47" s="279"/>
      <c r="RUO47" s="279"/>
      <c r="RUP47" s="279"/>
      <c r="RUQ47" s="279"/>
      <c r="RUR47" s="279"/>
      <c r="RUS47" s="279"/>
      <c r="RUT47" s="279"/>
      <c r="RUU47" s="279"/>
      <c r="RUV47" s="279"/>
      <c r="RUW47" s="279"/>
      <c r="RUX47" s="279"/>
      <c r="RUY47" s="279"/>
      <c r="RUZ47" s="279"/>
      <c r="RVA47" s="279"/>
      <c r="RVB47" s="279"/>
      <c r="RVC47" s="279"/>
      <c r="RVD47" s="279"/>
      <c r="RVE47" s="279"/>
      <c r="RVF47" s="279"/>
      <c r="RVG47" s="279"/>
      <c r="RVH47" s="279"/>
      <c r="RVI47" s="279"/>
      <c r="RVJ47" s="279"/>
      <c r="RVK47" s="279"/>
      <c r="RVL47" s="279"/>
      <c r="RVM47" s="279"/>
      <c r="RVN47" s="279"/>
      <c r="RVO47" s="279"/>
      <c r="RVP47" s="279"/>
      <c r="RVQ47" s="279"/>
      <c r="RVR47" s="279"/>
      <c r="RVS47" s="279"/>
      <c r="RVT47" s="279"/>
      <c r="RVU47" s="279"/>
      <c r="RVV47" s="279"/>
      <c r="RVW47" s="279"/>
      <c r="RVX47" s="279"/>
      <c r="RVY47" s="279"/>
      <c r="RVZ47" s="279"/>
      <c r="RWA47" s="279"/>
      <c r="RWB47" s="279"/>
      <c r="RWC47" s="279"/>
      <c r="RWD47" s="279"/>
      <c r="RWE47" s="279"/>
      <c r="RWF47" s="279"/>
      <c r="RWG47" s="279"/>
      <c r="RWH47" s="279"/>
      <c r="RWI47" s="279"/>
      <c r="RWJ47" s="279"/>
      <c r="RWK47" s="279"/>
      <c r="RWL47" s="279"/>
      <c r="RWM47" s="279"/>
      <c r="RWN47" s="279"/>
      <c r="RWO47" s="279"/>
      <c r="RWP47" s="279"/>
      <c r="RWQ47" s="279"/>
      <c r="RWR47" s="279"/>
      <c r="RWS47" s="279"/>
      <c r="RWT47" s="279"/>
      <c r="RWU47" s="279"/>
      <c r="RWV47" s="279"/>
      <c r="RWW47" s="279"/>
      <c r="RWX47" s="279"/>
      <c r="RWY47" s="279"/>
      <c r="RWZ47" s="279"/>
      <c r="RXA47" s="279"/>
      <c r="RXB47" s="279"/>
      <c r="RXC47" s="279"/>
      <c r="RXD47" s="279"/>
      <c r="RXE47" s="279"/>
      <c r="RXF47" s="279"/>
      <c r="RXG47" s="279"/>
      <c r="RXH47" s="279"/>
      <c r="RXI47" s="279"/>
      <c r="RXJ47" s="279"/>
      <c r="RXK47" s="279"/>
      <c r="RXL47" s="279"/>
      <c r="RXM47" s="279"/>
      <c r="RXN47" s="279"/>
      <c r="RXO47" s="279"/>
      <c r="RXP47" s="279"/>
      <c r="RXQ47" s="279"/>
      <c r="RXR47" s="279"/>
      <c r="RXS47" s="279"/>
      <c r="RXT47" s="279"/>
      <c r="RXU47" s="279"/>
      <c r="RXV47" s="279"/>
      <c r="RXW47" s="279"/>
      <c r="RXX47" s="279"/>
      <c r="RXY47" s="279"/>
      <c r="RXZ47" s="279"/>
      <c r="RYA47" s="279"/>
      <c r="RYB47" s="279"/>
      <c r="RYC47" s="279"/>
      <c r="RYD47" s="279"/>
      <c r="RYE47" s="279"/>
      <c r="RYF47" s="279"/>
      <c r="RYG47" s="279"/>
      <c r="RYH47" s="279"/>
      <c r="RYI47" s="279"/>
      <c r="RYJ47" s="279"/>
      <c r="RYK47" s="279"/>
      <c r="RYL47" s="279"/>
      <c r="RYM47" s="279"/>
      <c r="RYN47" s="279"/>
      <c r="RYO47" s="279"/>
      <c r="RYP47" s="279"/>
      <c r="RYQ47" s="279"/>
      <c r="RYR47" s="279"/>
      <c r="RYS47" s="279"/>
      <c r="RYT47" s="279"/>
      <c r="RYU47" s="279"/>
      <c r="RYV47" s="279"/>
      <c r="RYW47" s="279"/>
      <c r="RYX47" s="279"/>
      <c r="RYY47" s="279"/>
      <c r="RYZ47" s="279"/>
      <c r="RZA47" s="279"/>
      <c r="RZB47" s="279"/>
      <c r="RZC47" s="279"/>
      <c r="RZD47" s="279"/>
      <c r="RZE47" s="279"/>
      <c r="RZF47" s="279"/>
      <c r="RZG47" s="279"/>
      <c r="RZH47" s="279"/>
      <c r="RZI47" s="279"/>
      <c r="RZJ47" s="279"/>
      <c r="RZK47" s="279"/>
      <c r="RZL47" s="279"/>
      <c r="RZM47" s="279"/>
      <c r="RZN47" s="279"/>
      <c r="RZO47" s="279"/>
      <c r="RZP47" s="279"/>
      <c r="RZQ47" s="279"/>
      <c r="RZR47" s="279"/>
      <c r="RZS47" s="279"/>
      <c r="RZT47" s="279"/>
      <c r="RZU47" s="279"/>
      <c r="RZV47" s="279"/>
      <c r="RZW47" s="279"/>
      <c r="RZX47" s="279"/>
      <c r="RZY47" s="279"/>
      <c r="RZZ47" s="279"/>
      <c r="SAA47" s="279"/>
      <c r="SAB47" s="279"/>
      <c r="SAC47" s="279"/>
      <c r="SAD47" s="279"/>
      <c r="SAE47" s="279"/>
      <c r="SAF47" s="279"/>
      <c r="SAG47" s="279"/>
      <c r="SAH47" s="279"/>
      <c r="SAI47" s="279"/>
      <c r="SAJ47" s="279"/>
      <c r="SAK47" s="279"/>
      <c r="SAL47" s="279"/>
      <c r="SAM47" s="279"/>
      <c r="SAN47" s="279"/>
      <c r="SAO47" s="279"/>
      <c r="SAP47" s="279"/>
      <c r="SAQ47" s="279"/>
      <c r="SAR47" s="279"/>
      <c r="SAS47" s="279"/>
      <c r="SAT47" s="279"/>
      <c r="SAU47" s="279"/>
      <c r="SAV47" s="279"/>
      <c r="SAW47" s="279"/>
      <c r="SAX47" s="279"/>
      <c r="SAY47" s="279"/>
      <c r="SAZ47" s="279"/>
      <c r="SBA47" s="279"/>
      <c r="SBB47" s="279"/>
      <c r="SBC47" s="279"/>
      <c r="SBD47" s="279"/>
      <c r="SBE47" s="279"/>
      <c r="SBF47" s="279"/>
      <c r="SBG47" s="279"/>
      <c r="SBH47" s="279"/>
      <c r="SBI47" s="279"/>
      <c r="SBJ47" s="279"/>
      <c r="SBK47" s="279"/>
      <c r="SBL47" s="279"/>
      <c r="SBM47" s="279"/>
      <c r="SBN47" s="279"/>
      <c r="SBO47" s="279"/>
      <c r="SBP47" s="279"/>
      <c r="SBQ47" s="279"/>
      <c r="SBR47" s="279"/>
      <c r="SBS47" s="279"/>
      <c r="SBT47" s="279"/>
      <c r="SBU47" s="279"/>
      <c r="SBV47" s="279"/>
      <c r="SBW47" s="279"/>
      <c r="SBX47" s="279"/>
      <c r="SBY47" s="279"/>
      <c r="SBZ47" s="279"/>
      <c r="SCA47" s="279"/>
      <c r="SCB47" s="279"/>
      <c r="SCC47" s="279"/>
      <c r="SCD47" s="279"/>
      <c r="SCE47" s="279"/>
      <c r="SCF47" s="279"/>
      <c r="SCG47" s="279"/>
      <c r="SCH47" s="279"/>
      <c r="SCI47" s="279"/>
      <c r="SCJ47" s="279"/>
      <c r="SCK47" s="279"/>
      <c r="SCL47" s="279"/>
      <c r="SCM47" s="279"/>
      <c r="SCN47" s="279"/>
      <c r="SCO47" s="279"/>
      <c r="SCP47" s="279"/>
      <c r="SCQ47" s="279"/>
      <c r="SCR47" s="279"/>
      <c r="SCS47" s="279"/>
      <c r="SCT47" s="279"/>
      <c r="SCU47" s="279"/>
      <c r="SCV47" s="279"/>
      <c r="SCW47" s="279"/>
      <c r="SCX47" s="279"/>
      <c r="SCY47" s="279"/>
      <c r="SCZ47" s="279"/>
      <c r="SDA47" s="279"/>
      <c r="SDB47" s="279"/>
      <c r="SDC47" s="279"/>
      <c r="SDD47" s="279"/>
      <c r="SDE47" s="279"/>
      <c r="SDF47" s="279"/>
      <c r="SDG47" s="279"/>
      <c r="SDH47" s="279"/>
      <c r="SDI47" s="279"/>
      <c r="SDJ47" s="279"/>
      <c r="SDK47" s="279"/>
      <c r="SDL47" s="279"/>
      <c r="SDM47" s="279"/>
      <c r="SDN47" s="279"/>
      <c r="SDO47" s="279"/>
      <c r="SDP47" s="279"/>
      <c r="SDQ47" s="279"/>
      <c r="SDR47" s="279"/>
      <c r="SDS47" s="279"/>
      <c r="SDT47" s="279"/>
      <c r="SDU47" s="279"/>
      <c r="SDV47" s="279"/>
      <c r="SDW47" s="279"/>
      <c r="SDX47" s="279"/>
      <c r="SDY47" s="279"/>
      <c r="SDZ47" s="279"/>
      <c r="SEA47" s="279"/>
      <c r="SEB47" s="279"/>
      <c r="SEC47" s="279"/>
      <c r="SED47" s="279"/>
      <c r="SEE47" s="279"/>
      <c r="SEF47" s="279"/>
      <c r="SEG47" s="279"/>
      <c r="SEH47" s="279"/>
      <c r="SEI47" s="279"/>
      <c r="SEJ47" s="279"/>
      <c r="SEK47" s="279"/>
      <c r="SEL47" s="279"/>
      <c r="SEM47" s="279"/>
      <c r="SEN47" s="279"/>
      <c r="SEO47" s="279"/>
      <c r="SEP47" s="279"/>
      <c r="SEQ47" s="279"/>
      <c r="SER47" s="279"/>
      <c r="SES47" s="279"/>
      <c r="SET47" s="279"/>
      <c r="SEU47" s="279"/>
      <c r="SEV47" s="279"/>
      <c r="SEW47" s="279"/>
      <c r="SEX47" s="279"/>
      <c r="SEY47" s="279"/>
      <c r="SEZ47" s="279"/>
      <c r="SFA47" s="279"/>
      <c r="SFB47" s="279"/>
      <c r="SFC47" s="279"/>
      <c r="SFD47" s="279"/>
      <c r="SFE47" s="279"/>
      <c r="SFF47" s="279"/>
      <c r="SFG47" s="279"/>
      <c r="SFH47" s="279"/>
      <c r="SFI47" s="279"/>
      <c r="SFJ47" s="279"/>
      <c r="SFK47" s="279"/>
      <c r="SFL47" s="279"/>
      <c r="SFM47" s="279"/>
      <c r="SFN47" s="279"/>
      <c r="SFO47" s="279"/>
      <c r="SFP47" s="279"/>
      <c r="SFQ47" s="279"/>
      <c r="SFR47" s="279"/>
      <c r="SFS47" s="279"/>
      <c r="SFT47" s="279"/>
      <c r="SFU47" s="279"/>
      <c r="SFV47" s="279"/>
      <c r="SFW47" s="279"/>
      <c r="SFX47" s="279"/>
      <c r="SFY47" s="279"/>
      <c r="SFZ47" s="279"/>
      <c r="SGA47" s="279"/>
      <c r="SGB47" s="279"/>
      <c r="SGC47" s="279"/>
      <c r="SGD47" s="279"/>
      <c r="SGE47" s="279"/>
      <c r="SGF47" s="279"/>
      <c r="SGG47" s="279"/>
      <c r="SGH47" s="279"/>
      <c r="SGI47" s="279"/>
      <c r="SGJ47" s="279"/>
      <c r="SGK47" s="279"/>
      <c r="SGL47" s="279"/>
      <c r="SGM47" s="279"/>
      <c r="SGN47" s="279"/>
      <c r="SGO47" s="279"/>
      <c r="SGP47" s="279"/>
      <c r="SGQ47" s="279"/>
      <c r="SGR47" s="279"/>
      <c r="SGS47" s="279"/>
      <c r="SGT47" s="279"/>
      <c r="SGU47" s="279"/>
      <c r="SGV47" s="279"/>
      <c r="SGW47" s="279"/>
      <c r="SGX47" s="279"/>
      <c r="SGY47" s="279"/>
      <c r="SGZ47" s="279"/>
      <c r="SHA47" s="279"/>
      <c r="SHB47" s="279"/>
      <c r="SHC47" s="279"/>
      <c r="SHD47" s="279"/>
      <c r="SHE47" s="279"/>
      <c r="SHF47" s="279"/>
      <c r="SHG47" s="279"/>
      <c r="SHH47" s="279"/>
      <c r="SHI47" s="279"/>
      <c r="SHJ47" s="279"/>
      <c r="SHK47" s="279"/>
      <c r="SHL47" s="279"/>
      <c r="SHM47" s="279"/>
      <c r="SHN47" s="279"/>
      <c r="SHO47" s="279"/>
      <c r="SHP47" s="279"/>
      <c r="SHQ47" s="279"/>
      <c r="SHR47" s="279"/>
      <c r="SHS47" s="279"/>
      <c r="SHT47" s="279"/>
      <c r="SHU47" s="279"/>
      <c r="SHV47" s="279"/>
      <c r="SHW47" s="279"/>
      <c r="SHX47" s="279"/>
      <c r="SHY47" s="279"/>
      <c r="SHZ47" s="279"/>
      <c r="SIA47" s="279"/>
      <c r="SIB47" s="279"/>
      <c r="SIC47" s="279"/>
      <c r="SID47" s="279"/>
      <c r="SIE47" s="279"/>
      <c r="SIF47" s="279"/>
      <c r="SIG47" s="279"/>
      <c r="SIH47" s="279"/>
      <c r="SII47" s="279"/>
      <c r="SIJ47" s="279"/>
      <c r="SIK47" s="279"/>
      <c r="SIL47" s="279"/>
      <c r="SIM47" s="279"/>
      <c r="SIN47" s="279"/>
      <c r="SIO47" s="279"/>
      <c r="SIP47" s="279"/>
      <c r="SIQ47" s="279"/>
      <c r="SIR47" s="279"/>
      <c r="SIS47" s="279"/>
      <c r="SIT47" s="279"/>
      <c r="SIU47" s="279"/>
      <c r="SIV47" s="279"/>
      <c r="SIW47" s="279"/>
      <c r="SIX47" s="279"/>
      <c r="SIY47" s="279"/>
      <c r="SIZ47" s="279"/>
      <c r="SJA47" s="279"/>
      <c r="SJB47" s="279"/>
      <c r="SJC47" s="279"/>
      <c r="SJD47" s="279"/>
      <c r="SJE47" s="279"/>
      <c r="SJF47" s="279"/>
      <c r="SJG47" s="279"/>
      <c r="SJH47" s="279"/>
      <c r="SJI47" s="279"/>
      <c r="SJJ47" s="279"/>
      <c r="SJK47" s="279"/>
      <c r="SJL47" s="279"/>
      <c r="SJM47" s="279"/>
      <c r="SJN47" s="279"/>
      <c r="SJO47" s="279"/>
      <c r="SJP47" s="279"/>
      <c r="SJQ47" s="279"/>
      <c r="SJR47" s="279"/>
      <c r="SJS47" s="279"/>
      <c r="SJT47" s="279"/>
      <c r="SJU47" s="279"/>
      <c r="SJV47" s="279"/>
      <c r="SJW47" s="279"/>
      <c r="SJX47" s="279"/>
      <c r="SJY47" s="279"/>
      <c r="SJZ47" s="279"/>
      <c r="SKA47" s="279"/>
      <c r="SKB47" s="279"/>
      <c r="SKC47" s="279"/>
      <c r="SKD47" s="279"/>
      <c r="SKE47" s="279"/>
      <c r="SKF47" s="279"/>
      <c r="SKG47" s="279"/>
      <c r="SKH47" s="279"/>
      <c r="SKI47" s="279"/>
      <c r="SKJ47" s="279"/>
      <c r="SKK47" s="279"/>
      <c r="SKL47" s="279"/>
      <c r="SKM47" s="279"/>
      <c r="SKN47" s="279"/>
      <c r="SKO47" s="279"/>
      <c r="SKP47" s="279"/>
      <c r="SKQ47" s="279"/>
      <c r="SKR47" s="279"/>
      <c r="SKS47" s="279"/>
      <c r="SKT47" s="279"/>
      <c r="SKU47" s="279"/>
      <c r="SKV47" s="279"/>
      <c r="SKW47" s="279"/>
      <c r="SKX47" s="279"/>
      <c r="SKY47" s="279"/>
      <c r="SKZ47" s="279"/>
      <c r="SLA47" s="279"/>
      <c r="SLB47" s="279"/>
      <c r="SLC47" s="279"/>
      <c r="SLD47" s="279"/>
      <c r="SLE47" s="279"/>
      <c r="SLF47" s="279"/>
      <c r="SLG47" s="279"/>
      <c r="SLH47" s="279"/>
      <c r="SLI47" s="279"/>
      <c r="SLJ47" s="279"/>
      <c r="SLK47" s="279"/>
      <c r="SLL47" s="279"/>
      <c r="SLM47" s="279"/>
      <c r="SLN47" s="279"/>
      <c r="SLO47" s="279"/>
      <c r="SLP47" s="279"/>
      <c r="SLQ47" s="279"/>
      <c r="SLR47" s="279"/>
      <c r="SLS47" s="279"/>
      <c r="SLT47" s="279"/>
      <c r="SLU47" s="279"/>
      <c r="SLV47" s="279"/>
      <c r="SLW47" s="279"/>
      <c r="SLX47" s="279"/>
      <c r="SLY47" s="279"/>
      <c r="SLZ47" s="279"/>
      <c r="SMA47" s="279"/>
      <c r="SMB47" s="279"/>
      <c r="SMC47" s="279"/>
      <c r="SMD47" s="279"/>
      <c r="SME47" s="279"/>
      <c r="SMF47" s="279"/>
      <c r="SMG47" s="279"/>
      <c r="SMH47" s="279"/>
      <c r="SMI47" s="279"/>
      <c r="SMJ47" s="279"/>
      <c r="SMK47" s="279"/>
      <c r="SML47" s="279"/>
      <c r="SMM47" s="279"/>
      <c r="SMN47" s="279"/>
      <c r="SMO47" s="279"/>
      <c r="SMP47" s="279"/>
      <c r="SMQ47" s="279"/>
      <c r="SMR47" s="279"/>
      <c r="SMS47" s="279"/>
      <c r="SMT47" s="279"/>
      <c r="SMU47" s="279"/>
      <c r="SMV47" s="279"/>
      <c r="SMW47" s="279"/>
      <c r="SMX47" s="279"/>
      <c r="SMY47" s="279"/>
      <c r="SMZ47" s="279"/>
      <c r="SNA47" s="279"/>
      <c r="SNB47" s="279"/>
      <c r="SNC47" s="279"/>
      <c r="SND47" s="279"/>
      <c r="SNE47" s="279"/>
      <c r="SNF47" s="279"/>
      <c r="SNG47" s="279"/>
      <c r="SNH47" s="279"/>
      <c r="SNI47" s="279"/>
      <c r="SNJ47" s="279"/>
      <c r="SNK47" s="279"/>
      <c r="SNL47" s="279"/>
      <c r="SNM47" s="279"/>
      <c r="SNN47" s="279"/>
      <c r="SNO47" s="279"/>
      <c r="SNP47" s="279"/>
      <c r="SNQ47" s="279"/>
      <c r="SNR47" s="279"/>
      <c r="SNS47" s="279"/>
      <c r="SNT47" s="279"/>
      <c r="SNU47" s="279"/>
      <c r="SNV47" s="279"/>
      <c r="SNW47" s="279"/>
      <c r="SNX47" s="279"/>
      <c r="SNY47" s="279"/>
      <c r="SNZ47" s="279"/>
      <c r="SOA47" s="279"/>
      <c r="SOB47" s="279"/>
      <c r="SOC47" s="279"/>
      <c r="SOD47" s="279"/>
      <c r="SOE47" s="279"/>
      <c r="SOF47" s="279"/>
      <c r="SOG47" s="279"/>
      <c r="SOH47" s="279"/>
      <c r="SOI47" s="279"/>
      <c r="SOJ47" s="279"/>
      <c r="SOK47" s="279"/>
      <c r="SOL47" s="279"/>
      <c r="SOM47" s="279"/>
      <c r="SON47" s="279"/>
      <c r="SOO47" s="279"/>
      <c r="SOP47" s="279"/>
      <c r="SOQ47" s="279"/>
      <c r="SOR47" s="279"/>
      <c r="SOS47" s="279"/>
      <c r="SOT47" s="279"/>
      <c r="SOU47" s="279"/>
      <c r="SOV47" s="279"/>
      <c r="SOW47" s="279"/>
      <c r="SOX47" s="279"/>
      <c r="SOY47" s="279"/>
      <c r="SOZ47" s="279"/>
      <c r="SPA47" s="279"/>
      <c r="SPB47" s="279"/>
      <c r="SPC47" s="279"/>
      <c r="SPD47" s="279"/>
      <c r="SPE47" s="279"/>
      <c r="SPF47" s="279"/>
      <c r="SPG47" s="279"/>
      <c r="SPH47" s="279"/>
      <c r="SPI47" s="279"/>
      <c r="SPJ47" s="279"/>
      <c r="SPK47" s="279"/>
      <c r="SPL47" s="279"/>
      <c r="SPM47" s="279"/>
      <c r="SPN47" s="279"/>
      <c r="SPO47" s="279"/>
      <c r="SPP47" s="279"/>
      <c r="SPQ47" s="279"/>
      <c r="SPR47" s="279"/>
      <c r="SPS47" s="279"/>
      <c r="SPT47" s="279"/>
      <c r="SPU47" s="279"/>
      <c r="SPV47" s="279"/>
      <c r="SPW47" s="279"/>
      <c r="SPX47" s="279"/>
      <c r="SPY47" s="279"/>
      <c r="SPZ47" s="279"/>
      <c r="SQA47" s="279"/>
      <c r="SQB47" s="279"/>
      <c r="SQC47" s="279"/>
      <c r="SQD47" s="279"/>
      <c r="SQE47" s="279"/>
      <c r="SQF47" s="279"/>
      <c r="SQG47" s="279"/>
      <c r="SQH47" s="279"/>
      <c r="SQI47" s="279"/>
      <c r="SQJ47" s="279"/>
      <c r="SQK47" s="279"/>
      <c r="SQL47" s="279"/>
      <c r="SQM47" s="279"/>
      <c r="SQN47" s="279"/>
      <c r="SQO47" s="279"/>
      <c r="SQP47" s="279"/>
      <c r="SQQ47" s="279"/>
      <c r="SQR47" s="279"/>
      <c r="SQS47" s="279"/>
      <c r="SQT47" s="279"/>
      <c r="SQU47" s="279"/>
      <c r="SQV47" s="279"/>
      <c r="SQW47" s="279"/>
      <c r="SQX47" s="279"/>
      <c r="SQY47" s="279"/>
      <c r="SQZ47" s="279"/>
      <c r="SRA47" s="279"/>
      <c r="SRB47" s="279"/>
      <c r="SRC47" s="279"/>
      <c r="SRD47" s="279"/>
      <c r="SRE47" s="279"/>
      <c r="SRF47" s="279"/>
      <c r="SRG47" s="279"/>
      <c r="SRH47" s="279"/>
      <c r="SRI47" s="279"/>
      <c r="SRJ47" s="279"/>
      <c r="SRK47" s="279"/>
      <c r="SRL47" s="279"/>
      <c r="SRM47" s="279"/>
      <c r="SRN47" s="279"/>
      <c r="SRO47" s="279"/>
      <c r="SRP47" s="279"/>
      <c r="SRQ47" s="279"/>
      <c r="SRR47" s="279"/>
      <c r="SRS47" s="279"/>
      <c r="SRT47" s="279"/>
      <c r="SRU47" s="279"/>
      <c r="SRV47" s="279"/>
      <c r="SRW47" s="279"/>
      <c r="SRX47" s="279"/>
      <c r="SRY47" s="279"/>
      <c r="SRZ47" s="279"/>
      <c r="SSA47" s="279"/>
      <c r="SSB47" s="279"/>
      <c r="SSC47" s="279"/>
      <c r="SSD47" s="279"/>
      <c r="SSE47" s="279"/>
      <c r="SSF47" s="279"/>
      <c r="SSG47" s="279"/>
      <c r="SSH47" s="279"/>
      <c r="SSI47" s="279"/>
      <c r="SSJ47" s="279"/>
      <c r="SSK47" s="279"/>
      <c r="SSL47" s="279"/>
      <c r="SSM47" s="279"/>
      <c r="SSN47" s="279"/>
      <c r="SSO47" s="279"/>
      <c r="SSP47" s="279"/>
      <c r="SSQ47" s="279"/>
      <c r="SSR47" s="279"/>
      <c r="SSS47" s="279"/>
      <c r="SST47" s="279"/>
      <c r="SSU47" s="279"/>
      <c r="SSV47" s="279"/>
      <c r="SSW47" s="279"/>
      <c r="SSX47" s="279"/>
      <c r="SSY47" s="279"/>
      <c r="SSZ47" s="279"/>
      <c r="STA47" s="279"/>
      <c r="STB47" s="279"/>
      <c r="STC47" s="279"/>
      <c r="STD47" s="279"/>
      <c r="STE47" s="279"/>
      <c r="STF47" s="279"/>
      <c r="STG47" s="279"/>
      <c r="STH47" s="279"/>
      <c r="STI47" s="279"/>
      <c r="STJ47" s="279"/>
      <c r="STK47" s="279"/>
      <c r="STL47" s="279"/>
      <c r="STM47" s="279"/>
      <c r="STN47" s="279"/>
      <c r="STO47" s="279"/>
      <c r="STP47" s="279"/>
      <c r="STQ47" s="279"/>
      <c r="STR47" s="279"/>
      <c r="STS47" s="279"/>
      <c r="STT47" s="279"/>
      <c r="STU47" s="279"/>
      <c r="STV47" s="279"/>
      <c r="STW47" s="279"/>
      <c r="STX47" s="279"/>
      <c r="STY47" s="279"/>
      <c r="STZ47" s="279"/>
      <c r="SUA47" s="279"/>
      <c r="SUB47" s="279"/>
      <c r="SUC47" s="279"/>
      <c r="SUD47" s="279"/>
      <c r="SUE47" s="279"/>
      <c r="SUF47" s="279"/>
      <c r="SUG47" s="279"/>
      <c r="SUH47" s="279"/>
      <c r="SUI47" s="279"/>
      <c r="SUJ47" s="279"/>
      <c r="SUK47" s="279"/>
      <c r="SUL47" s="279"/>
      <c r="SUM47" s="279"/>
      <c r="SUN47" s="279"/>
      <c r="SUO47" s="279"/>
      <c r="SUP47" s="279"/>
      <c r="SUQ47" s="279"/>
      <c r="SUR47" s="279"/>
      <c r="SUS47" s="279"/>
      <c r="SUT47" s="279"/>
      <c r="SUU47" s="279"/>
      <c r="SUV47" s="279"/>
      <c r="SUW47" s="279"/>
      <c r="SUX47" s="279"/>
      <c r="SUY47" s="279"/>
      <c r="SUZ47" s="279"/>
      <c r="SVA47" s="279"/>
      <c r="SVB47" s="279"/>
      <c r="SVC47" s="279"/>
      <c r="SVD47" s="279"/>
      <c r="SVE47" s="279"/>
      <c r="SVF47" s="279"/>
      <c r="SVG47" s="279"/>
      <c r="SVH47" s="279"/>
      <c r="SVI47" s="279"/>
      <c r="SVJ47" s="279"/>
      <c r="SVK47" s="279"/>
      <c r="SVL47" s="279"/>
      <c r="SVM47" s="279"/>
      <c r="SVN47" s="279"/>
      <c r="SVO47" s="279"/>
      <c r="SVP47" s="279"/>
      <c r="SVQ47" s="279"/>
      <c r="SVR47" s="279"/>
      <c r="SVS47" s="279"/>
      <c r="SVT47" s="279"/>
      <c r="SVU47" s="279"/>
      <c r="SVV47" s="279"/>
      <c r="SVW47" s="279"/>
      <c r="SVX47" s="279"/>
      <c r="SVY47" s="279"/>
      <c r="SVZ47" s="279"/>
      <c r="SWA47" s="279"/>
      <c r="SWB47" s="279"/>
      <c r="SWC47" s="279"/>
      <c r="SWD47" s="279"/>
      <c r="SWE47" s="279"/>
      <c r="SWF47" s="279"/>
      <c r="SWG47" s="279"/>
      <c r="SWH47" s="279"/>
      <c r="SWI47" s="279"/>
      <c r="SWJ47" s="279"/>
      <c r="SWK47" s="279"/>
      <c r="SWL47" s="279"/>
      <c r="SWM47" s="279"/>
      <c r="SWN47" s="279"/>
      <c r="SWO47" s="279"/>
      <c r="SWP47" s="279"/>
      <c r="SWQ47" s="279"/>
      <c r="SWR47" s="279"/>
      <c r="SWS47" s="279"/>
      <c r="SWT47" s="279"/>
      <c r="SWU47" s="279"/>
      <c r="SWV47" s="279"/>
      <c r="SWW47" s="279"/>
      <c r="SWX47" s="279"/>
      <c r="SWY47" s="279"/>
      <c r="SWZ47" s="279"/>
      <c r="SXA47" s="279"/>
      <c r="SXB47" s="279"/>
      <c r="SXC47" s="279"/>
      <c r="SXD47" s="279"/>
      <c r="SXE47" s="279"/>
      <c r="SXF47" s="279"/>
      <c r="SXG47" s="279"/>
      <c r="SXH47" s="279"/>
      <c r="SXI47" s="279"/>
      <c r="SXJ47" s="279"/>
      <c r="SXK47" s="279"/>
      <c r="SXL47" s="279"/>
      <c r="SXM47" s="279"/>
      <c r="SXN47" s="279"/>
      <c r="SXO47" s="279"/>
      <c r="SXP47" s="279"/>
      <c r="SXQ47" s="279"/>
      <c r="SXR47" s="279"/>
      <c r="SXS47" s="279"/>
      <c r="SXT47" s="279"/>
      <c r="SXU47" s="279"/>
      <c r="SXV47" s="279"/>
      <c r="SXW47" s="279"/>
      <c r="SXX47" s="279"/>
      <c r="SXY47" s="279"/>
      <c r="SXZ47" s="279"/>
      <c r="SYA47" s="279"/>
      <c r="SYB47" s="279"/>
      <c r="SYC47" s="279"/>
      <c r="SYD47" s="279"/>
      <c r="SYE47" s="279"/>
      <c r="SYF47" s="279"/>
      <c r="SYG47" s="279"/>
      <c r="SYH47" s="279"/>
      <c r="SYI47" s="279"/>
      <c r="SYJ47" s="279"/>
      <c r="SYK47" s="279"/>
      <c r="SYL47" s="279"/>
      <c r="SYM47" s="279"/>
      <c r="SYN47" s="279"/>
      <c r="SYO47" s="279"/>
      <c r="SYP47" s="279"/>
      <c r="SYQ47" s="279"/>
      <c r="SYR47" s="279"/>
      <c r="SYS47" s="279"/>
      <c r="SYT47" s="279"/>
      <c r="SYU47" s="279"/>
      <c r="SYV47" s="279"/>
      <c r="SYW47" s="279"/>
      <c r="SYX47" s="279"/>
      <c r="SYY47" s="279"/>
      <c r="SYZ47" s="279"/>
      <c r="SZA47" s="279"/>
      <c r="SZB47" s="279"/>
      <c r="SZC47" s="279"/>
      <c r="SZD47" s="279"/>
      <c r="SZE47" s="279"/>
      <c r="SZF47" s="279"/>
      <c r="SZG47" s="279"/>
      <c r="SZH47" s="279"/>
      <c r="SZI47" s="279"/>
      <c r="SZJ47" s="279"/>
      <c r="SZK47" s="279"/>
      <c r="SZL47" s="279"/>
      <c r="SZM47" s="279"/>
      <c r="SZN47" s="279"/>
      <c r="SZO47" s="279"/>
      <c r="SZP47" s="279"/>
      <c r="SZQ47" s="279"/>
      <c r="SZR47" s="279"/>
      <c r="SZS47" s="279"/>
      <c r="SZT47" s="279"/>
      <c r="SZU47" s="279"/>
      <c r="SZV47" s="279"/>
      <c r="SZW47" s="279"/>
      <c r="SZX47" s="279"/>
      <c r="SZY47" s="279"/>
      <c r="SZZ47" s="279"/>
      <c r="TAA47" s="279"/>
      <c r="TAB47" s="279"/>
      <c r="TAC47" s="279"/>
      <c r="TAD47" s="279"/>
      <c r="TAE47" s="279"/>
      <c r="TAF47" s="279"/>
      <c r="TAG47" s="279"/>
      <c r="TAH47" s="279"/>
      <c r="TAI47" s="279"/>
      <c r="TAJ47" s="279"/>
      <c r="TAK47" s="279"/>
      <c r="TAL47" s="279"/>
      <c r="TAM47" s="279"/>
      <c r="TAN47" s="279"/>
      <c r="TAO47" s="279"/>
      <c r="TAP47" s="279"/>
      <c r="TAQ47" s="279"/>
      <c r="TAR47" s="279"/>
      <c r="TAS47" s="279"/>
      <c r="TAT47" s="279"/>
      <c r="TAU47" s="279"/>
      <c r="TAV47" s="279"/>
      <c r="TAW47" s="279"/>
      <c r="TAX47" s="279"/>
      <c r="TAY47" s="279"/>
      <c r="TAZ47" s="279"/>
      <c r="TBA47" s="279"/>
      <c r="TBB47" s="279"/>
      <c r="TBC47" s="279"/>
      <c r="TBD47" s="279"/>
      <c r="TBE47" s="279"/>
      <c r="TBF47" s="279"/>
      <c r="TBG47" s="279"/>
      <c r="TBH47" s="279"/>
      <c r="TBI47" s="279"/>
      <c r="TBJ47" s="279"/>
      <c r="TBK47" s="279"/>
      <c r="TBL47" s="279"/>
      <c r="TBM47" s="279"/>
      <c r="TBN47" s="279"/>
      <c r="TBO47" s="279"/>
      <c r="TBP47" s="279"/>
      <c r="TBQ47" s="279"/>
      <c r="TBR47" s="279"/>
      <c r="TBS47" s="279"/>
      <c r="TBT47" s="279"/>
      <c r="TBU47" s="279"/>
      <c r="TBV47" s="279"/>
      <c r="TBW47" s="279"/>
      <c r="TBX47" s="279"/>
      <c r="TBY47" s="279"/>
      <c r="TBZ47" s="279"/>
      <c r="TCA47" s="279"/>
      <c r="TCB47" s="279"/>
      <c r="TCC47" s="279"/>
      <c r="TCD47" s="279"/>
      <c r="TCE47" s="279"/>
      <c r="TCF47" s="279"/>
      <c r="TCG47" s="279"/>
      <c r="TCH47" s="279"/>
      <c r="TCI47" s="279"/>
      <c r="TCJ47" s="279"/>
      <c r="TCK47" s="279"/>
      <c r="TCL47" s="279"/>
      <c r="TCM47" s="279"/>
      <c r="TCN47" s="279"/>
      <c r="TCO47" s="279"/>
      <c r="TCP47" s="279"/>
      <c r="TCQ47" s="279"/>
      <c r="TCR47" s="279"/>
      <c r="TCS47" s="279"/>
      <c r="TCT47" s="279"/>
      <c r="TCU47" s="279"/>
      <c r="TCV47" s="279"/>
      <c r="TCW47" s="279"/>
      <c r="TCX47" s="279"/>
      <c r="TCY47" s="279"/>
      <c r="TCZ47" s="279"/>
      <c r="TDA47" s="279"/>
      <c r="TDB47" s="279"/>
      <c r="TDC47" s="279"/>
      <c r="TDD47" s="279"/>
      <c r="TDE47" s="279"/>
      <c r="TDF47" s="279"/>
      <c r="TDG47" s="279"/>
      <c r="TDH47" s="279"/>
      <c r="TDI47" s="279"/>
      <c r="TDJ47" s="279"/>
      <c r="TDK47" s="279"/>
      <c r="TDL47" s="279"/>
      <c r="TDM47" s="279"/>
      <c r="TDN47" s="279"/>
      <c r="TDO47" s="279"/>
      <c r="TDP47" s="279"/>
      <c r="TDQ47" s="279"/>
      <c r="TDR47" s="279"/>
      <c r="TDS47" s="279"/>
      <c r="TDT47" s="279"/>
      <c r="TDU47" s="279"/>
      <c r="TDV47" s="279"/>
      <c r="TDW47" s="279"/>
      <c r="TDX47" s="279"/>
      <c r="TDY47" s="279"/>
      <c r="TDZ47" s="279"/>
      <c r="TEA47" s="279"/>
      <c r="TEB47" s="279"/>
      <c r="TEC47" s="279"/>
      <c r="TED47" s="279"/>
      <c r="TEE47" s="279"/>
      <c r="TEF47" s="279"/>
      <c r="TEG47" s="279"/>
      <c r="TEH47" s="279"/>
      <c r="TEI47" s="279"/>
      <c r="TEJ47" s="279"/>
      <c r="TEK47" s="279"/>
      <c r="TEL47" s="279"/>
      <c r="TEM47" s="279"/>
      <c r="TEN47" s="279"/>
      <c r="TEO47" s="279"/>
      <c r="TEP47" s="279"/>
      <c r="TEQ47" s="279"/>
      <c r="TER47" s="279"/>
      <c r="TES47" s="279"/>
      <c r="TET47" s="279"/>
      <c r="TEU47" s="279"/>
      <c r="TEV47" s="279"/>
      <c r="TEW47" s="279"/>
      <c r="TEX47" s="279"/>
      <c r="TEY47" s="279"/>
      <c r="TEZ47" s="279"/>
      <c r="TFA47" s="279"/>
      <c r="TFB47" s="279"/>
      <c r="TFC47" s="279"/>
      <c r="TFD47" s="279"/>
      <c r="TFE47" s="279"/>
      <c r="TFF47" s="279"/>
      <c r="TFG47" s="279"/>
      <c r="TFH47" s="279"/>
      <c r="TFI47" s="279"/>
      <c r="TFJ47" s="279"/>
      <c r="TFK47" s="279"/>
      <c r="TFL47" s="279"/>
      <c r="TFM47" s="279"/>
      <c r="TFN47" s="279"/>
      <c r="TFO47" s="279"/>
      <c r="TFP47" s="279"/>
      <c r="TFQ47" s="279"/>
      <c r="TFR47" s="279"/>
      <c r="TFS47" s="279"/>
      <c r="TFT47" s="279"/>
      <c r="TFU47" s="279"/>
      <c r="TFV47" s="279"/>
      <c r="TFW47" s="279"/>
      <c r="TFX47" s="279"/>
      <c r="TFY47" s="279"/>
      <c r="TFZ47" s="279"/>
      <c r="TGA47" s="279"/>
      <c r="TGB47" s="279"/>
      <c r="TGC47" s="279"/>
      <c r="TGD47" s="279"/>
      <c r="TGE47" s="279"/>
      <c r="TGF47" s="279"/>
      <c r="TGG47" s="279"/>
      <c r="TGH47" s="279"/>
      <c r="TGI47" s="279"/>
      <c r="TGJ47" s="279"/>
      <c r="TGK47" s="279"/>
      <c r="TGL47" s="279"/>
      <c r="TGM47" s="279"/>
      <c r="TGN47" s="279"/>
      <c r="TGO47" s="279"/>
      <c r="TGP47" s="279"/>
      <c r="TGQ47" s="279"/>
      <c r="TGR47" s="279"/>
      <c r="TGS47" s="279"/>
      <c r="TGT47" s="279"/>
      <c r="TGU47" s="279"/>
      <c r="TGV47" s="279"/>
      <c r="TGW47" s="279"/>
      <c r="TGX47" s="279"/>
      <c r="TGY47" s="279"/>
      <c r="TGZ47" s="279"/>
      <c r="THA47" s="279"/>
      <c r="THB47" s="279"/>
      <c r="THC47" s="279"/>
      <c r="THD47" s="279"/>
      <c r="THE47" s="279"/>
      <c r="THF47" s="279"/>
      <c r="THG47" s="279"/>
      <c r="THH47" s="279"/>
      <c r="THI47" s="279"/>
      <c r="THJ47" s="279"/>
      <c r="THK47" s="279"/>
      <c r="THL47" s="279"/>
      <c r="THM47" s="279"/>
      <c r="THN47" s="279"/>
      <c r="THO47" s="279"/>
      <c r="THP47" s="279"/>
      <c r="THQ47" s="279"/>
      <c r="THR47" s="279"/>
      <c r="THS47" s="279"/>
      <c r="THT47" s="279"/>
      <c r="THU47" s="279"/>
      <c r="THV47" s="279"/>
      <c r="THW47" s="279"/>
      <c r="THX47" s="279"/>
      <c r="THY47" s="279"/>
      <c r="THZ47" s="279"/>
      <c r="TIA47" s="279"/>
      <c r="TIB47" s="279"/>
      <c r="TIC47" s="279"/>
      <c r="TID47" s="279"/>
      <c r="TIE47" s="279"/>
      <c r="TIF47" s="279"/>
      <c r="TIG47" s="279"/>
      <c r="TIH47" s="279"/>
      <c r="TII47" s="279"/>
      <c r="TIJ47" s="279"/>
      <c r="TIK47" s="279"/>
      <c r="TIL47" s="279"/>
      <c r="TIM47" s="279"/>
      <c r="TIN47" s="279"/>
      <c r="TIO47" s="279"/>
      <c r="TIP47" s="279"/>
      <c r="TIQ47" s="279"/>
      <c r="TIR47" s="279"/>
      <c r="TIS47" s="279"/>
      <c r="TIT47" s="279"/>
      <c r="TIU47" s="279"/>
      <c r="TIV47" s="279"/>
      <c r="TIW47" s="279"/>
      <c r="TIX47" s="279"/>
      <c r="TIY47" s="279"/>
      <c r="TIZ47" s="279"/>
      <c r="TJA47" s="279"/>
      <c r="TJB47" s="279"/>
      <c r="TJC47" s="279"/>
      <c r="TJD47" s="279"/>
      <c r="TJE47" s="279"/>
      <c r="TJF47" s="279"/>
      <c r="TJG47" s="279"/>
      <c r="TJH47" s="279"/>
      <c r="TJI47" s="279"/>
      <c r="TJJ47" s="279"/>
      <c r="TJK47" s="279"/>
      <c r="TJL47" s="279"/>
      <c r="TJM47" s="279"/>
      <c r="TJN47" s="279"/>
      <c r="TJO47" s="279"/>
      <c r="TJP47" s="279"/>
      <c r="TJQ47" s="279"/>
      <c r="TJR47" s="279"/>
      <c r="TJS47" s="279"/>
      <c r="TJT47" s="279"/>
      <c r="TJU47" s="279"/>
      <c r="TJV47" s="279"/>
      <c r="TJW47" s="279"/>
      <c r="TJX47" s="279"/>
      <c r="TJY47" s="279"/>
      <c r="TJZ47" s="279"/>
      <c r="TKA47" s="279"/>
      <c r="TKB47" s="279"/>
      <c r="TKC47" s="279"/>
      <c r="TKD47" s="279"/>
      <c r="TKE47" s="279"/>
      <c r="TKF47" s="279"/>
      <c r="TKG47" s="279"/>
      <c r="TKH47" s="279"/>
      <c r="TKI47" s="279"/>
      <c r="TKJ47" s="279"/>
      <c r="TKK47" s="279"/>
      <c r="TKL47" s="279"/>
      <c r="TKM47" s="279"/>
      <c r="TKN47" s="279"/>
      <c r="TKO47" s="279"/>
      <c r="TKP47" s="279"/>
      <c r="TKQ47" s="279"/>
      <c r="TKR47" s="279"/>
      <c r="TKS47" s="279"/>
      <c r="TKT47" s="279"/>
      <c r="TKU47" s="279"/>
      <c r="TKV47" s="279"/>
      <c r="TKW47" s="279"/>
      <c r="TKX47" s="279"/>
      <c r="TKY47" s="279"/>
      <c r="TKZ47" s="279"/>
      <c r="TLA47" s="279"/>
      <c r="TLB47" s="279"/>
      <c r="TLC47" s="279"/>
      <c r="TLD47" s="279"/>
      <c r="TLE47" s="279"/>
      <c r="TLF47" s="279"/>
      <c r="TLG47" s="279"/>
      <c r="TLH47" s="279"/>
      <c r="TLI47" s="279"/>
      <c r="TLJ47" s="279"/>
      <c r="TLK47" s="279"/>
      <c r="TLL47" s="279"/>
      <c r="TLM47" s="279"/>
      <c r="TLN47" s="279"/>
      <c r="TLO47" s="279"/>
      <c r="TLP47" s="279"/>
      <c r="TLQ47" s="279"/>
      <c r="TLR47" s="279"/>
      <c r="TLS47" s="279"/>
      <c r="TLT47" s="279"/>
      <c r="TLU47" s="279"/>
      <c r="TLV47" s="279"/>
      <c r="TLW47" s="279"/>
      <c r="TLX47" s="279"/>
      <c r="TLY47" s="279"/>
      <c r="TLZ47" s="279"/>
      <c r="TMA47" s="279"/>
      <c r="TMB47" s="279"/>
      <c r="TMC47" s="279"/>
      <c r="TMD47" s="279"/>
      <c r="TME47" s="279"/>
      <c r="TMF47" s="279"/>
      <c r="TMG47" s="279"/>
      <c r="TMH47" s="279"/>
      <c r="TMI47" s="279"/>
      <c r="TMJ47" s="279"/>
      <c r="TMK47" s="279"/>
      <c r="TML47" s="279"/>
      <c r="TMM47" s="279"/>
      <c r="TMN47" s="279"/>
      <c r="TMO47" s="279"/>
      <c r="TMP47" s="279"/>
      <c r="TMQ47" s="279"/>
      <c r="TMR47" s="279"/>
      <c r="TMS47" s="279"/>
      <c r="TMT47" s="279"/>
      <c r="TMU47" s="279"/>
      <c r="TMV47" s="279"/>
      <c r="TMW47" s="279"/>
      <c r="TMX47" s="279"/>
      <c r="TMY47" s="279"/>
      <c r="TMZ47" s="279"/>
      <c r="TNA47" s="279"/>
      <c r="TNB47" s="279"/>
      <c r="TNC47" s="279"/>
      <c r="TND47" s="279"/>
      <c r="TNE47" s="279"/>
      <c r="TNF47" s="279"/>
      <c r="TNG47" s="279"/>
      <c r="TNH47" s="279"/>
      <c r="TNI47" s="279"/>
      <c r="TNJ47" s="279"/>
      <c r="TNK47" s="279"/>
      <c r="TNL47" s="279"/>
      <c r="TNM47" s="279"/>
      <c r="TNN47" s="279"/>
      <c r="TNO47" s="279"/>
      <c r="TNP47" s="279"/>
      <c r="TNQ47" s="279"/>
      <c r="TNR47" s="279"/>
      <c r="TNS47" s="279"/>
      <c r="TNT47" s="279"/>
      <c r="TNU47" s="279"/>
      <c r="TNV47" s="279"/>
      <c r="TNW47" s="279"/>
      <c r="TNX47" s="279"/>
      <c r="TNY47" s="279"/>
      <c r="TNZ47" s="279"/>
      <c r="TOA47" s="279"/>
      <c r="TOB47" s="279"/>
      <c r="TOC47" s="279"/>
      <c r="TOD47" s="279"/>
      <c r="TOE47" s="279"/>
      <c r="TOF47" s="279"/>
      <c r="TOG47" s="279"/>
      <c r="TOH47" s="279"/>
      <c r="TOI47" s="279"/>
      <c r="TOJ47" s="279"/>
      <c r="TOK47" s="279"/>
      <c r="TOL47" s="279"/>
      <c r="TOM47" s="279"/>
      <c r="TON47" s="279"/>
      <c r="TOO47" s="279"/>
      <c r="TOP47" s="279"/>
      <c r="TOQ47" s="279"/>
      <c r="TOR47" s="279"/>
      <c r="TOS47" s="279"/>
      <c r="TOT47" s="279"/>
      <c r="TOU47" s="279"/>
      <c r="TOV47" s="279"/>
      <c r="TOW47" s="279"/>
      <c r="TOX47" s="279"/>
      <c r="TOY47" s="279"/>
      <c r="TOZ47" s="279"/>
      <c r="TPA47" s="279"/>
      <c r="TPB47" s="279"/>
      <c r="TPC47" s="279"/>
      <c r="TPD47" s="279"/>
      <c r="TPE47" s="279"/>
      <c r="TPF47" s="279"/>
      <c r="TPG47" s="279"/>
      <c r="TPH47" s="279"/>
      <c r="TPI47" s="279"/>
      <c r="TPJ47" s="279"/>
      <c r="TPK47" s="279"/>
      <c r="TPL47" s="279"/>
      <c r="TPM47" s="279"/>
      <c r="TPN47" s="279"/>
      <c r="TPO47" s="279"/>
      <c r="TPP47" s="279"/>
      <c r="TPQ47" s="279"/>
      <c r="TPR47" s="279"/>
      <c r="TPS47" s="279"/>
      <c r="TPT47" s="279"/>
      <c r="TPU47" s="279"/>
      <c r="TPV47" s="279"/>
      <c r="TPW47" s="279"/>
      <c r="TPX47" s="279"/>
      <c r="TPY47" s="279"/>
      <c r="TPZ47" s="279"/>
      <c r="TQA47" s="279"/>
      <c r="TQB47" s="279"/>
      <c r="TQC47" s="279"/>
      <c r="TQD47" s="279"/>
      <c r="TQE47" s="279"/>
      <c r="TQF47" s="279"/>
      <c r="TQG47" s="279"/>
      <c r="TQH47" s="279"/>
      <c r="TQI47" s="279"/>
      <c r="TQJ47" s="279"/>
      <c r="TQK47" s="279"/>
      <c r="TQL47" s="279"/>
      <c r="TQM47" s="279"/>
      <c r="TQN47" s="279"/>
      <c r="TQO47" s="279"/>
      <c r="TQP47" s="279"/>
      <c r="TQQ47" s="279"/>
      <c r="TQR47" s="279"/>
      <c r="TQS47" s="279"/>
      <c r="TQT47" s="279"/>
      <c r="TQU47" s="279"/>
      <c r="TQV47" s="279"/>
      <c r="TQW47" s="279"/>
      <c r="TQX47" s="279"/>
      <c r="TQY47" s="279"/>
      <c r="TQZ47" s="279"/>
      <c r="TRA47" s="279"/>
      <c r="TRB47" s="279"/>
      <c r="TRC47" s="279"/>
      <c r="TRD47" s="279"/>
      <c r="TRE47" s="279"/>
      <c r="TRF47" s="279"/>
      <c r="TRG47" s="279"/>
      <c r="TRH47" s="279"/>
      <c r="TRI47" s="279"/>
      <c r="TRJ47" s="279"/>
      <c r="TRK47" s="279"/>
      <c r="TRL47" s="279"/>
      <c r="TRM47" s="279"/>
      <c r="TRN47" s="279"/>
      <c r="TRO47" s="279"/>
      <c r="TRP47" s="279"/>
      <c r="TRQ47" s="279"/>
      <c r="TRR47" s="279"/>
      <c r="TRS47" s="279"/>
      <c r="TRT47" s="279"/>
      <c r="TRU47" s="279"/>
      <c r="TRV47" s="279"/>
      <c r="TRW47" s="279"/>
      <c r="TRX47" s="279"/>
      <c r="TRY47" s="279"/>
      <c r="TRZ47" s="279"/>
      <c r="TSA47" s="279"/>
      <c r="TSB47" s="279"/>
      <c r="TSC47" s="279"/>
      <c r="TSD47" s="279"/>
      <c r="TSE47" s="279"/>
      <c r="TSF47" s="279"/>
      <c r="TSG47" s="279"/>
      <c r="TSH47" s="279"/>
      <c r="TSI47" s="279"/>
      <c r="TSJ47" s="279"/>
      <c r="TSK47" s="279"/>
      <c r="TSL47" s="279"/>
      <c r="TSM47" s="279"/>
      <c r="TSN47" s="279"/>
      <c r="TSO47" s="279"/>
      <c r="TSP47" s="279"/>
      <c r="TSQ47" s="279"/>
      <c r="TSR47" s="279"/>
      <c r="TSS47" s="279"/>
      <c r="TST47" s="279"/>
      <c r="TSU47" s="279"/>
      <c r="TSV47" s="279"/>
      <c r="TSW47" s="279"/>
      <c r="TSX47" s="279"/>
      <c r="TSY47" s="279"/>
      <c r="TSZ47" s="279"/>
      <c r="TTA47" s="279"/>
      <c r="TTB47" s="279"/>
      <c r="TTC47" s="279"/>
      <c r="TTD47" s="279"/>
      <c r="TTE47" s="279"/>
      <c r="TTF47" s="279"/>
      <c r="TTG47" s="279"/>
      <c r="TTH47" s="279"/>
      <c r="TTI47" s="279"/>
      <c r="TTJ47" s="279"/>
      <c r="TTK47" s="279"/>
      <c r="TTL47" s="279"/>
      <c r="TTM47" s="279"/>
      <c r="TTN47" s="279"/>
      <c r="TTO47" s="279"/>
      <c r="TTP47" s="279"/>
      <c r="TTQ47" s="279"/>
      <c r="TTR47" s="279"/>
      <c r="TTS47" s="279"/>
      <c r="TTT47" s="279"/>
      <c r="TTU47" s="279"/>
      <c r="TTV47" s="279"/>
      <c r="TTW47" s="279"/>
      <c r="TTX47" s="279"/>
      <c r="TTY47" s="279"/>
      <c r="TTZ47" s="279"/>
      <c r="TUA47" s="279"/>
      <c r="TUB47" s="279"/>
      <c r="TUC47" s="279"/>
      <c r="TUD47" s="279"/>
      <c r="TUE47" s="279"/>
      <c r="TUF47" s="279"/>
      <c r="TUG47" s="279"/>
      <c r="TUH47" s="279"/>
      <c r="TUI47" s="279"/>
      <c r="TUJ47" s="279"/>
      <c r="TUK47" s="279"/>
      <c r="TUL47" s="279"/>
      <c r="TUM47" s="279"/>
      <c r="TUN47" s="279"/>
      <c r="TUO47" s="279"/>
      <c r="TUP47" s="279"/>
      <c r="TUQ47" s="279"/>
      <c r="TUR47" s="279"/>
      <c r="TUS47" s="279"/>
      <c r="TUT47" s="279"/>
      <c r="TUU47" s="279"/>
      <c r="TUV47" s="279"/>
      <c r="TUW47" s="279"/>
      <c r="TUX47" s="279"/>
      <c r="TUY47" s="279"/>
      <c r="TUZ47" s="279"/>
      <c r="TVA47" s="279"/>
      <c r="TVB47" s="279"/>
      <c r="TVC47" s="279"/>
      <c r="TVD47" s="279"/>
      <c r="TVE47" s="279"/>
      <c r="TVF47" s="279"/>
      <c r="TVG47" s="279"/>
      <c r="TVH47" s="279"/>
      <c r="TVI47" s="279"/>
      <c r="TVJ47" s="279"/>
      <c r="TVK47" s="279"/>
      <c r="TVL47" s="279"/>
      <c r="TVM47" s="279"/>
      <c r="TVN47" s="279"/>
      <c r="TVO47" s="279"/>
      <c r="TVP47" s="279"/>
      <c r="TVQ47" s="279"/>
      <c r="TVR47" s="279"/>
      <c r="TVS47" s="279"/>
      <c r="TVT47" s="279"/>
      <c r="TVU47" s="279"/>
      <c r="TVV47" s="279"/>
      <c r="TVW47" s="279"/>
      <c r="TVX47" s="279"/>
      <c r="TVY47" s="279"/>
      <c r="TVZ47" s="279"/>
      <c r="TWA47" s="279"/>
      <c r="TWB47" s="279"/>
      <c r="TWC47" s="279"/>
      <c r="TWD47" s="279"/>
      <c r="TWE47" s="279"/>
      <c r="TWF47" s="279"/>
      <c r="TWG47" s="279"/>
      <c r="TWH47" s="279"/>
      <c r="TWI47" s="279"/>
      <c r="TWJ47" s="279"/>
      <c r="TWK47" s="279"/>
      <c r="TWL47" s="279"/>
      <c r="TWM47" s="279"/>
      <c r="TWN47" s="279"/>
      <c r="TWO47" s="279"/>
      <c r="TWP47" s="279"/>
      <c r="TWQ47" s="279"/>
      <c r="TWR47" s="279"/>
      <c r="TWS47" s="279"/>
      <c r="TWT47" s="279"/>
      <c r="TWU47" s="279"/>
      <c r="TWV47" s="279"/>
      <c r="TWW47" s="279"/>
      <c r="TWX47" s="279"/>
      <c r="TWY47" s="279"/>
      <c r="TWZ47" s="279"/>
      <c r="TXA47" s="279"/>
      <c r="TXB47" s="279"/>
      <c r="TXC47" s="279"/>
      <c r="TXD47" s="279"/>
      <c r="TXE47" s="279"/>
      <c r="TXF47" s="279"/>
      <c r="TXG47" s="279"/>
      <c r="TXH47" s="279"/>
      <c r="TXI47" s="279"/>
      <c r="TXJ47" s="279"/>
      <c r="TXK47" s="279"/>
      <c r="TXL47" s="279"/>
      <c r="TXM47" s="279"/>
      <c r="TXN47" s="279"/>
      <c r="TXO47" s="279"/>
      <c r="TXP47" s="279"/>
      <c r="TXQ47" s="279"/>
      <c r="TXR47" s="279"/>
      <c r="TXS47" s="279"/>
      <c r="TXT47" s="279"/>
      <c r="TXU47" s="279"/>
      <c r="TXV47" s="279"/>
      <c r="TXW47" s="279"/>
      <c r="TXX47" s="279"/>
      <c r="TXY47" s="279"/>
      <c r="TXZ47" s="279"/>
      <c r="TYA47" s="279"/>
      <c r="TYB47" s="279"/>
      <c r="TYC47" s="279"/>
      <c r="TYD47" s="279"/>
      <c r="TYE47" s="279"/>
      <c r="TYF47" s="279"/>
      <c r="TYG47" s="279"/>
      <c r="TYH47" s="279"/>
      <c r="TYI47" s="279"/>
      <c r="TYJ47" s="279"/>
      <c r="TYK47" s="279"/>
      <c r="TYL47" s="279"/>
      <c r="TYM47" s="279"/>
      <c r="TYN47" s="279"/>
      <c r="TYO47" s="279"/>
      <c r="TYP47" s="279"/>
      <c r="TYQ47" s="279"/>
      <c r="TYR47" s="279"/>
      <c r="TYS47" s="279"/>
      <c r="TYT47" s="279"/>
      <c r="TYU47" s="279"/>
      <c r="TYV47" s="279"/>
      <c r="TYW47" s="279"/>
      <c r="TYX47" s="279"/>
      <c r="TYY47" s="279"/>
      <c r="TYZ47" s="279"/>
      <c r="TZA47" s="279"/>
      <c r="TZB47" s="279"/>
      <c r="TZC47" s="279"/>
      <c r="TZD47" s="279"/>
      <c r="TZE47" s="279"/>
      <c r="TZF47" s="279"/>
      <c r="TZG47" s="279"/>
      <c r="TZH47" s="279"/>
      <c r="TZI47" s="279"/>
      <c r="TZJ47" s="279"/>
      <c r="TZK47" s="279"/>
      <c r="TZL47" s="279"/>
      <c r="TZM47" s="279"/>
      <c r="TZN47" s="279"/>
      <c r="TZO47" s="279"/>
      <c r="TZP47" s="279"/>
      <c r="TZQ47" s="279"/>
      <c r="TZR47" s="279"/>
      <c r="TZS47" s="279"/>
      <c r="TZT47" s="279"/>
      <c r="TZU47" s="279"/>
      <c r="TZV47" s="279"/>
      <c r="TZW47" s="279"/>
      <c r="TZX47" s="279"/>
      <c r="TZY47" s="279"/>
      <c r="TZZ47" s="279"/>
      <c r="UAA47" s="279"/>
      <c r="UAB47" s="279"/>
      <c r="UAC47" s="279"/>
      <c r="UAD47" s="279"/>
      <c r="UAE47" s="279"/>
      <c r="UAF47" s="279"/>
      <c r="UAG47" s="279"/>
      <c r="UAH47" s="279"/>
      <c r="UAI47" s="279"/>
      <c r="UAJ47" s="279"/>
      <c r="UAK47" s="279"/>
      <c r="UAL47" s="279"/>
      <c r="UAM47" s="279"/>
      <c r="UAN47" s="279"/>
      <c r="UAO47" s="279"/>
      <c r="UAP47" s="279"/>
      <c r="UAQ47" s="279"/>
      <c r="UAR47" s="279"/>
      <c r="UAS47" s="279"/>
      <c r="UAT47" s="279"/>
      <c r="UAU47" s="279"/>
      <c r="UAV47" s="279"/>
      <c r="UAW47" s="279"/>
      <c r="UAX47" s="279"/>
      <c r="UAY47" s="279"/>
      <c r="UAZ47" s="279"/>
      <c r="UBA47" s="279"/>
      <c r="UBB47" s="279"/>
      <c r="UBC47" s="279"/>
      <c r="UBD47" s="279"/>
      <c r="UBE47" s="279"/>
      <c r="UBF47" s="279"/>
      <c r="UBG47" s="279"/>
      <c r="UBH47" s="279"/>
      <c r="UBI47" s="279"/>
      <c r="UBJ47" s="279"/>
      <c r="UBK47" s="279"/>
      <c r="UBL47" s="279"/>
      <c r="UBM47" s="279"/>
      <c r="UBN47" s="279"/>
      <c r="UBO47" s="279"/>
      <c r="UBP47" s="279"/>
      <c r="UBQ47" s="279"/>
      <c r="UBR47" s="279"/>
      <c r="UBS47" s="279"/>
      <c r="UBT47" s="279"/>
      <c r="UBU47" s="279"/>
      <c r="UBV47" s="279"/>
      <c r="UBW47" s="279"/>
      <c r="UBX47" s="279"/>
      <c r="UBY47" s="279"/>
      <c r="UBZ47" s="279"/>
      <c r="UCA47" s="279"/>
      <c r="UCB47" s="279"/>
      <c r="UCC47" s="279"/>
      <c r="UCD47" s="279"/>
      <c r="UCE47" s="279"/>
      <c r="UCF47" s="279"/>
      <c r="UCG47" s="279"/>
      <c r="UCH47" s="279"/>
      <c r="UCI47" s="279"/>
      <c r="UCJ47" s="279"/>
      <c r="UCK47" s="279"/>
      <c r="UCL47" s="279"/>
      <c r="UCM47" s="279"/>
      <c r="UCN47" s="279"/>
      <c r="UCO47" s="279"/>
      <c r="UCP47" s="279"/>
      <c r="UCQ47" s="279"/>
      <c r="UCR47" s="279"/>
      <c r="UCS47" s="279"/>
      <c r="UCT47" s="279"/>
      <c r="UCU47" s="279"/>
      <c r="UCV47" s="279"/>
      <c r="UCW47" s="279"/>
      <c r="UCX47" s="279"/>
      <c r="UCY47" s="279"/>
      <c r="UCZ47" s="279"/>
      <c r="UDA47" s="279"/>
      <c r="UDB47" s="279"/>
      <c r="UDC47" s="279"/>
      <c r="UDD47" s="279"/>
      <c r="UDE47" s="279"/>
      <c r="UDF47" s="279"/>
      <c r="UDG47" s="279"/>
      <c r="UDH47" s="279"/>
      <c r="UDI47" s="279"/>
      <c r="UDJ47" s="279"/>
      <c r="UDK47" s="279"/>
      <c r="UDL47" s="279"/>
      <c r="UDM47" s="279"/>
      <c r="UDN47" s="279"/>
      <c r="UDO47" s="279"/>
      <c r="UDP47" s="279"/>
      <c r="UDQ47" s="279"/>
      <c r="UDR47" s="279"/>
      <c r="UDS47" s="279"/>
      <c r="UDT47" s="279"/>
      <c r="UDU47" s="279"/>
      <c r="UDV47" s="279"/>
      <c r="UDW47" s="279"/>
      <c r="UDX47" s="279"/>
      <c r="UDY47" s="279"/>
      <c r="UDZ47" s="279"/>
      <c r="UEA47" s="279"/>
      <c r="UEB47" s="279"/>
      <c r="UEC47" s="279"/>
      <c r="UED47" s="279"/>
      <c r="UEE47" s="279"/>
      <c r="UEF47" s="279"/>
      <c r="UEG47" s="279"/>
      <c r="UEH47" s="279"/>
      <c r="UEI47" s="279"/>
      <c r="UEJ47" s="279"/>
      <c r="UEK47" s="279"/>
      <c r="UEL47" s="279"/>
      <c r="UEM47" s="279"/>
      <c r="UEN47" s="279"/>
      <c r="UEO47" s="279"/>
      <c r="UEP47" s="279"/>
      <c r="UEQ47" s="279"/>
      <c r="UER47" s="279"/>
      <c r="UES47" s="279"/>
      <c r="UET47" s="279"/>
      <c r="UEU47" s="279"/>
      <c r="UEV47" s="279"/>
      <c r="UEW47" s="279"/>
      <c r="UEX47" s="279"/>
      <c r="UEY47" s="279"/>
      <c r="UEZ47" s="279"/>
      <c r="UFA47" s="279"/>
      <c r="UFB47" s="279"/>
      <c r="UFC47" s="279"/>
      <c r="UFD47" s="279"/>
      <c r="UFE47" s="279"/>
      <c r="UFF47" s="279"/>
      <c r="UFG47" s="279"/>
      <c r="UFH47" s="279"/>
      <c r="UFI47" s="279"/>
      <c r="UFJ47" s="279"/>
      <c r="UFK47" s="279"/>
      <c r="UFL47" s="279"/>
      <c r="UFM47" s="279"/>
      <c r="UFN47" s="279"/>
      <c r="UFO47" s="279"/>
      <c r="UFP47" s="279"/>
      <c r="UFQ47" s="279"/>
      <c r="UFR47" s="279"/>
      <c r="UFS47" s="279"/>
      <c r="UFT47" s="279"/>
      <c r="UFU47" s="279"/>
      <c r="UFV47" s="279"/>
      <c r="UFW47" s="279"/>
      <c r="UFX47" s="279"/>
      <c r="UFY47" s="279"/>
      <c r="UFZ47" s="279"/>
      <c r="UGA47" s="279"/>
      <c r="UGB47" s="279"/>
      <c r="UGC47" s="279"/>
      <c r="UGD47" s="279"/>
      <c r="UGE47" s="279"/>
      <c r="UGF47" s="279"/>
      <c r="UGG47" s="279"/>
      <c r="UGH47" s="279"/>
      <c r="UGI47" s="279"/>
      <c r="UGJ47" s="279"/>
      <c r="UGK47" s="279"/>
      <c r="UGL47" s="279"/>
      <c r="UGM47" s="279"/>
      <c r="UGN47" s="279"/>
      <c r="UGO47" s="279"/>
      <c r="UGP47" s="279"/>
      <c r="UGQ47" s="279"/>
      <c r="UGR47" s="279"/>
      <c r="UGS47" s="279"/>
      <c r="UGT47" s="279"/>
      <c r="UGU47" s="279"/>
      <c r="UGV47" s="279"/>
      <c r="UGW47" s="279"/>
      <c r="UGX47" s="279"/>
      <c r="UGY47" s="279"/>
      <c r="UGZ47" s="279"/>
      <c r="UHA47" s="279"/>
      <c r="UHB47" s="279"/>
      <c r="UHC47" s="279"/>
      <c r="UHD47" s="279"/>
      <c r="UHE47" s="279"/>
      <c r="UHF47" s="279"/>
      <c r="UHG47" s="279"/>
      <c r="UHH47" s="279"/>
      <c r="UHI47" s="279"/>
      <c r="UHJ47" s="279"/>
      <c r="UHK47" s="279"/>
      <c r="UHL47" s="279"/>
      <c r="UHM47" s="279"/>
      <c r="UHN47" s="279"/>
      <c r="UHO47" s="279"/>
      <c r="UHP47" s="279"/>
      <c r="UHQ47" s="279"/>
      <c r="UHR47" s="279"/>
      <c r="UHS47" s="279"/>
      <c r="UHT47" s="279"/>
      <c r="UHU47" s="279"/>
      <c r="UHV47" s="279"/>
      <c r="UHW47" s="279"/>
      <c r="UHX47" s="279"/>
      <c r="UHY47" s="279"/>
      <c r="UHZ47" s="279"/>
      <c r="UIA47" s="279"/>
      <c r="UIB47" s="279"/>
      <c r="UIC47" s="279"/>
      <c r="UID47" s="279"/>
      <c r="UIE47" s="279"/>
      <c r="UIF47" s="279"/>
      <c r="UIG47" s="279"/>
      <c r="UIH47" s="279"/>
      <c r="UII47" s="279"/>
      <c r="UIJ47" s="279"/>
      <c r="UIK47" s="279"/>
      <c r="UIL47" s="279"/>
      <c r="UIM47" s="279"/>
      <c r="UIN47" s="279"/>
      <c r="UIO47" s="279"/>
      <c r="UIP47" s="279"/>
      <c r="UIQ47" s="279"/>
      <c r="UIR47" s="279"/>
      <c r="UIS47" s="279"/>
      <c r="UIT47" s="279"/>
      <c r="UIU47" s="279"/>
      <c r="UIV47" s="279"/>
      <c r="UIW47" s="279"/>
      <c r="UIX47" s="279"/>
      <c r="UIY47" s="279"/>
      <c r="UIZ47" s="279"/>
      <c r="UJA47" s="279"/>
      <c r="UJB47" s="279"/>
      <c r="UJC47" s="279"/>
      <c r="UJD47" s="279"/>
      <c r="UJE47" s="279"/>
      <c r="UJF47" s="279"/>
      <c r="UJG47" s="279"/>
      <c r="UJH47" s="279"/>
      <c r="UJI47" s="279"/>
      <c r="UJJ47" s="279"/>
      <c r="UJK47" s="279"/>
      <c r="UJL47" s="279"/>
      <c r="UJM47" s="279"/>
      <c r="UJN47" s="279"/>
      <c r="UJO47" s="279"/>
      <c r="UJP47" s="279"/>
      <c r="UJQ47" s="279"/>
      <c r="UJR47" s="279"/>
      <c r="UJS47" s="279"/>
      <c r="UJT47" s="279"/>
      <c r="UJU47" s="279"/>
      <c r="UJV47" s="279"/>
      <c r="UJW47" s="279"/>
      <c r="UJX47" s="279"/>
      <c r="UJY47" s="279"/>
      <c r="UJZ47" s="279"/>
      <c r="UKA47" s="279"/>
      <c r="UKB47" s="279"/>
      <c r="UKC47" s="279"/>
      <c r="UKD47" s="279"/>
      <c r="UKE47" s="279"/>
      <c r="UKF47" s="279"/>
      <c r="UKG47" s="279"/>
      <c r="UKH47" s="279"/>
      <c r="UKI47" s="279"/>
      <c r="UKJ47" s="279"/>
      <c r="UKK47" s="279"/>
      <c r="UKL47" s="279"/>
      <c r="UKM47" s="279"/>
      <c r="UKN47" s="279"/>
      <c r="UKO47" s="279"/>
      <c r="UKP47" s="279"/>
      <c r="UKQ47" s="279"/>
      <c r="UKR47" s="279"/>
      <c r="UKS47" s="279"/>
      <c r="UKT47" s="279"/>
      <c r="UKU47" s="279"/>
      <c r="UKV47" s="279"/>
      <c r="UKW47" s="279"/>
      <c r="UKX47" s="279"/>
      <c r="UKY47" s="279"/>
      <c r="UKZ47" s="279"/>
      <c r="ULA47" s="279"/>
      <c r="ULB47" s="279"/>
      <c r="ULC47" s="279"/>
      <c r="ULD47" s="279"/>
      <c r="ULE47" s="279"/>
      <c r="ULF47" s="279"/>
      <c r="ULG47" s="279"/>
      <c r="ULH47" s="279"/>
      <c r="ULI47" s="279"/>
      <c r="ULJ47" s="279"/>
      <c r="ULK47" s="279"/>
      <c r="ULL47" s="279"/>
      <c r="ULM47" s="279"/>
      <c r="ULN47" s="279"/>
      <c r="ULO47" s="279"/>
      <c r="ULP47" s="279"/>
      <c r="ULQ47" s="279"/>
      <c r="ULR47" s="279"/>
      <c r="ULS47" s="279"/>
      <c r="ULT47" s="279"/>
      <c r="ULU47" s="279"/>
      <c r="ULV47" s="279"/>
      <c r="ULW47" s="279"/>
      <c r="ULX47" s="279"/>
      <c r="ULY47" s="279"/>
      <c r="ULZ47" s="279"/>
      <c r="UMA47" s="279"/>
      <c r="UMB47" s="279"/>
      <c r="UMC47" s="279"/>
      <c r="UMD47" s="279"/>
      <c r="UME47" s="279"/>
      <c r="UMF47" s="279"/>
      <c r="UMG47" s="279"/>
      <c r="UMH47" s="279"/>
      <c r="UMI47" s="279"/>
      <c r="UMJ47" s="279"/>
      <c r="UMK47" s="279"/>
      <c r="UML47" s="279"/>
      <c r="UMM47" s="279"/>
      <c r="UMN47" s="279"/>
      <c r="UMO47" s="279"/>
      <c r="UMP47" s="279"/>
      <c r="UMQ47" s="279"/>
      <c r="UMR47" s="279"/>
      <c r="UMS47" s="279"/>
      <c r="UMT47" s="279"/>
      <c r="UMU47" s="279"/>
      <c r="UMV47" s="279"/>
      <c r="UMW47" s="279"/>
      <c r="UMX47" s="279"/>
      <c r="UMY47" s="279"/>
      <c r="UMZ47" s="279"/>
      <c r="UNA47" s="279"/>
      <c r="UNB47" s="279"/>
      <c r="UNC47" s="279"/>
      <c r="UND47" s="279"/>
      <c r="UNE47" s="279"/>
      <c r="UNF47" s="279"/>
      <c r="UNG47" s="279"/>
      <c r="UNH47" s="279"/>
      <c r="UNI47" s="279"/>
      <c r="UNJ47" s="279"/>
      <c r="UNK47" s="279"/>
      <c r="UNL47" s="279"/>
      <c r="UNM47" s="279"/>
      <c r="UNN47" s="279"/>
      <c r="UNO47" s="279"/>
      <c r="UNP47" s="279"/>
      <c r="UNQ47" s="279"/>
      <c r="UNR47" s="279"/>
      <c r="UNS47" s="279"/>
      <c r="UNT47" s="279"/>
      <c r="UNU47" s="279"/>
      <c r="UNV47" s="279"/>
      <c r="UNW47" s="279"/>
      <c r="UNX47" s="279"/>
      <c r="UNY47" s="279"/>
      <c r="UNZ47" s="279"/>
      <c r="UOA47" s="279"/>
      <c r="UOB47" s="279"/>
      <c r="UOC47" s="279"/>
      <c r="UOD47" s="279"/>
      <c r="UOE47" s="279"/>
      <c r="UOF47" s="279"/>
      <c r="UOG47" s="279"/>
      <c r="UOH47" s="279"/>
      <c r="UOI47" s="279"/>
      <c r="UOJ47" s="279"/>
      <c r="UOK47" s="279"/>
      <c r="UOL47" s="279"/>
      <c r="UOM47" s="279"/>
      <c r="UON47" s="279"/>
      <c r="UOO47" s="279"/>
      <c r="UOP47" s="279"/>
      <c r="UOQ47" s="279"/>
      <c r="UOR47" s="279"/>
      <c r="UOS47" s="279"/>
      <c r="UOT47" s="279"/>
      <c r="UOU47" s="279"/>
      <c r="UOV47" s="279"/>
      <c r="UOW47" s="279"/>
      <c r="UOX47" s="279"/>
      <c r="UOY47" s="279"/>
      <c r="UOZ47" s="279"/>
      <c r="UPA47" s="279"/>
      <c r="UPB47" s="279"/>
      <c r="UPC47" s="279"/>
      <c r="UPD47" s="279"/>
      <c r="UPE47" s="279"/>
      <c r="UPF47" s="279"/>
      <c r="UPG47" s="279"/>
      <c r="UPH47" s="279"/>
      <c r="UPI47" s="279"/>
      <c r="UPJ47" s="279"/>
      <c r="UPK47" s="279"/>
      <c r="UPL47" s="279"/>
      <c r="UPM47" s="279"/>
      <c r="UPN47" s="279"/>
      <c r="UPO47" s="279"/>
      <c r="UPP47" s="279"/>
      <c r="UPQ47" s="279"/>
      <c r="UPR47" s="279"/>
      <c r="UPS47" s="279"/>
      <c r="UPT47" s="279"/>
      <c r="UPU47" s="279"/>
      <c r="UPV47" s="279"/>
      <c r="UPW47" s="279"/>
      <c r="UPX47" s="279"/>
      <c r="UPY47" s="279"/>
      <c r="UPZ47" s="279"/>
      <c r="UQA47" s="279"/>
      <c r="UQB47" s="279"/>
      <c r="UQC47" s="279"/>
      <c r="UQD47" s="279"/>
      <c r="UQE47" s="279"/>
      <c r="UQF47" s="279"/>
      <c r="UQG47" s="279"/>
      <c r="UQH47" s="279"/>
      <c r="UQI47" s="279"/>
      <c r="UQJ47" s="279"/>
      <c r="UQK47" s="279"/>
      <c r="UQL47" s="279"/>
      <c r="UQM47" s="279"/>
      <c r="UQN47" s="279"/>
      <c r="UQO47" s="279"/>
      <c r="UQP47" s="279"/>
      <c r="UQQ47" s="279"/>
      <c r="UQR47" s="279"/>
      <c r="UQS47" s="279"/>
      <c r="UQT47" s="279"/>
      <c r="UQU47" s="279"/>
      <c r="UQV47" s="279"/>
      <c r="UQW47" s="279"/>
      <c r="UQX47" s="279"/>
      <c r="UQY47" s="279"/>
      <c r="UQZ47" s="279"/>
      <c r="URA47" s="279"/>
      <c r="URB47" s="279"/>
      <c r="URC47" s="279"/>
      <c r="URD47" s="279"/>
      <c r="URE47" s="279"/>
      <c r="URF47" s="279"/>
      <c r="URG47" s="279"/>
      <c r="URH47" s="279"/>
      <c r="URI47" s="279"/>
      <c r="URJ47" s="279"/>
      <c r="URK47" s="279"/>
      <c r="URL47" s="279"/>
      <c r="URM47" s="279"/>
      <c r="URN47" s="279"/>
      <c r="URO47" s="279"/>
      <c r="URP47" s="279"/>
      <c r="URQ47" s="279"/>
      <c r="URR47" s="279"/>
      <c r="URS47" s="279"/>
      <c r="URT47" s="279"/>
      <c r="URU47" s="279"/>
      <c r="URV47" s="279"/>
      <c r="URW47" s="279"/>
      <c r="URX47" s="279"/>
      <c r="URY47" s="279"/>
      <c r="URZ47" s="279"/>
      <c r="USA47" s="279"/>
      <c r="USB47" s="279"/>
      <c r="USC47" s="279"/>
      <c r="USD47" s="279"/>
      <c r="USE47" s="279"/>
      <c r="USF47" s="279"/>
      <c r="USG47" s="279"/>
      <c r="USH47" s="279"/>
      <c r="USI47" s="279"/>
      <c r="USJ47" s="279"/>
      <c r="USK47" s="279"/>
      <c r="USL47" s="279"/>
      <c r="USM47" s="279"/>
      <c r="USN47" s="279"/>
      <c r="USO47" s="279"/>
      <c r="USP47" s="279"/>
      <c r="USQ47" s="279"/>
      <c r="USR47" s="279"/>
      <c r="USS47" s="279"/>
      <c r="UST47" s="279"/>
      <c r="USU47" s="279"/>
      <c r="USV47" s="279"/>
      <c r="USW47" s="279"/>
      <c r="USX47" s="279"/>
      <c r="USY47" s="279"/>
      <c r="USZ47" s="279"/>
      <c r="UTA47" s="279"/>
      <c r="UTB47" s="279"/>
      <c r="UTC47" s="279"/>
      <c r="UTD47" s="279"/>
      <c r="UTE47" s="279"/>
      <c r="UTF47" s="279"/>
      <c r="UTG47" s="279"/>
      <c r="UTH47" s="279"/>
      <c r="UTI47" s="279"/>
      <c r="UTJ47" s="279"/>
      <c r="UTK47" s="279"/>
      <c r="UTL47" s="279"/>
      <c r="UTM47" s="279"/>
      <c r="UTN47" s="279"/>
      <c r="UTO47" s="279"/>
      <c r="UTP47" s="279"/>
      <c r="UTQ47" s="279"/>
      <c r="UTR47" s="279"/>
      <c r="UTS47" s="279"/>
      <c r="UTT47" s="279"/>
      <c r="UTU47" s="279"/>
      <c r="UTV47" s="279"/>
      <c r="UTW47" s="279"/>
      <c r="UTX47" s="279"/>
      <c r="UTY47" s="279"/>
      <c r="UTZ47" s="279"/>
      <c r="UUA47" s="279"/>
      <c r="UUB47" s="279"/>
      <c r="UUC47" s="279"/>
      <c r="UUD47" s="279"/>
      <c r="UUE47" s="279"/>
      <c r="UUF47" s="279"/>
      <c r="UUG47" s="279"/>
      <c r="UUH47" s="279"/>
      <c r="UUI47" s="279"/>
      <c r="UUJ47" s="279"/>
      <c r="UUK47" s="279"/>
      <c r="UUL47" s="279"/>
      <c r="UUM47" s="279"/>
      <c r="UUN47" s="279"/>
      <c r="UUO47" s="279"/>
      <c r="UUP47" s="279"/>
      <c r="UUQ47" s="279"/>
      <c r="UUR47" s="279"/>
      <c r="UUS47" s="279"/>
      <c r="UUT47" s="279"/>
      <c r="UUU47" s="279"/>
      <c r="UUV47" s="279"/>
      <c r="UUW47" s="279"/>
      <c r="UUX47" s="279"/>
      <c r="UUY47" s="279"/>
      <c r="UUZ47" s="279"/>
      <c r="UVA47" s="279"/>
      <c r="UVB47" s="279"/>
      <c r="UVC47" s="279"/>
      <c r="UVD47" s="279"/>
      <c r="UVE47" s="279"/>
      <c r="UVF47" s="279"/>
      <c r="UVG47" s="279"/>
      <c r="UVH47" s="279"/>
      <c r="UVI47" s="279"/>
      <c r="UVJ47" s="279"/>
      <c r="UVK47" s="279"/>
      <c r="UVL47" s="279"/>
      <c r="UVM47" s="279"/>
      <c r="UVN47" s="279"/>
      <c r="UVO47" s="279"/>
      <c r="UVP47" s="279"/>
      <c r="UVQ47" s="279"/>
      <c r="UVR47" s="279"/>
      <c r="UVS47" s="279"/>
      <c r="UVT47" s="279"/>
      <c r="UVU47" s="279"/>
      <c r="UVV47" s="279"/>
      <c r="UVW47" s="279"/>
      <c r="UVX47" s="279"/>
      <c r="UVY47" s="279"/>
      <c r="UVZ47" s="279"/>
      <c r="UWA47" s="279"/>
      <c r="UWB47" s="279"/>
      <c r="UWC47" s="279"/>
      <c r="UWD47" s="279"/>
      <c r="UWE47" s="279"/>
      <c r="UWF47" s="279"/>
      <c r="UWG47" s="279"/>
      <c r="UWH47" s="279"/>
      <c r="UWI47" s="279"/>
      <c r="UWJ47" s="279"/>
      <c r="UWK47" s="279"/>
      <c r="UWL47" s="279"/>
      <c r="UWM47" s="279"/>
      <c r="UWN47" s="279"/>
      <c r="UWO47" s="279"/>
      <c r="UWP47" s="279"/>
      <c r="UWQ47" s="279"/>
      <c r="UWR47" s="279"/>
      <c r="UWS47" s="279"/>
      <c r="UWT47" s="279"/>
      <c r="UWU47" s="279"/>
      <c r="UWV47" s="279"/>
      <c r="UWW47" s="279"/>
      <c r="UWX47" s="279"/>
      <c r="UWY47" s="279"/>
      <c r="UWZ47" s="279"/>
      <c r="UXA47" s="279"/>
      <c r="UXB47" s="279"/>
      <c r="UXC47" s="279"/>
      <c r="UXD47" s="279"/>
      <c r="UXE47" s="279"/>
      <c r="UXF47" s="279"/>
      <c r="UXG47" s="279"/>
      <c r="UXH47" s="279"/>
      <c r="UXI47" s="279"/>
      <c r="UXJ47" s="279"/>
      <c r="UXK47" s="279"/>
      <c r="UXL47" s="279"/>
      <c r="UXM47" s="279"/>
      <c r="UXN47" s="279"/>
      <c r="UXO47" s="279"/>
      <c r="UXP47" s="279"/>
      <c r="UXQ47" s="279"/>
      <c r="UXR47" s="279"/>
      <c r="UXS47" s="279"/>
      <c r="UXT47" s="279"/>
      <c r="UXU47" s="279"/>
      <c r="UXV47" s="279"/>
      <c r="UXW47" s="279"/>
      <c r="UXX47" s="279"/>
      <c r="UXY47" s="279"/>
      <c r="UXZ47" s="279"/>
      <c r="UYA47" s="279"/>
      <c r="UYB47" s="279"/>
      <c r="UYC47" s="279"/>
      <c r="UYD47" s="279"/>
      <c r="UYE47" s="279"/>
      <c r="UYF47" s="279"/>
      <c r="UYG47" s="279"/>
      <c r="UYH47" s="279"/>
      <c r="UYI47" s="279"/>
      <c r="UYJ47" s="279"/>
      <c r="UYK47" s="279"/>
      <c r="UYL47" s="279"/>
      <c r="UYM47" s="279"/>
      <c r="UYN47" s="279"/>
      <c r="UYO47" s="279"/>
      <c r="UYP47" s="279"/>
      <c r="UYQ47" s="279"/>
      <c r="UYR47" s="279"/>
      <c r="UYS47" s="279"/>
      <c r="UYT47" s="279"/>
      <c r="UYU47" s="279"/>
      <c r="UYV47" s="279"/>
      <c r="UYW47" s="279"/>
      <c r="UYX47" s="279"/>
      <c r="UYY47" s="279"/>
      <c r="UYZ47" s="279"/>
      <c r="UZA47" s="279"/>
      <c r="UZB47" s="279"/>
      <c r="UZC47" s="279"/>
      <c r="UZD47" s="279"/>
      <c r="UZE47" s="279"/>
      <c r="UZF47" s="279"/>
      <c r="UZG47" s="279"/>
      <c r="UZH47" s="279"/>
      <c r="UZI47" s="279"/>
      <c r="UZJ47" s="279"/>
      <c r="UZK47" s="279"/>
      <c r="UZL47" s="279"/>
      <c r="UZM47" s="279"/>
      <c r="UZN47" s="279"/>
      <c r="UZO47" s="279"/>
      <c r="UZP47" s="279"/>
      <c r="UZQ47" s="279"/>
      <c r="UZR47" s="279"/>
      <c r="UZS47" s="279"/>
      <c r="UZT47" s="279"/>
      <c r="UZU47" s="279"/>
      <c r="UZV47" s="279"/>
      <c r="UZW47" s="279"/>
      <c r="UZX47" s="279"/>
      <c r="UZY47" s="279"/>
      <c r="UZZ47" s="279"/>
      <c r="VAA47" s="279"/>
      <c r="VAB47" s="279"/>
      <c r="VAC47" s="279"/>
      <c r="VAD47" s="279"/>
      <c r="VAE47" s="279"/>
      <c r="VAF47" s="279"/>
      <c r="VAG47" s="279"/>
      <c r="VAH47" s="279"/>
      <c r="VAI47" s="279"/>
      <c r="VAJ47" s="279"/>
      <c r="VAK47" s="279"/>
      <c r="VAL47" s="279"/>
      <c r="VAM47" s="279"/>
      <c r="VAN47" s="279"/>
      <c r="VAO47" s="279"/>
      <c r="VAP47" s="279"/>
      <c r="VAQ47" s="279"/>
      <c r="VAR47" s="279"/>
      <c r="VAS47" s="279"/>
      <c r="VAT47" s="279"/>
      <c r="VAU47" s="279"/>
      <c r="VAV47" s="279"/>
      <c r="VAW47" s="279"/>
      <c r="VAX47" s="279"/>
      <c r="VAY47" s="279"/>
      <c r="VAZ47" s="279"/>
      <c r="VBA47" s="279"/>
      <c r="VBB47" s="279"/>
      <c r="VBC47" s="279"/>
      <c r="VBD47" s="279"/>
      <c r="VBE47" s="279"/>
      <c r="VBF47" s="279"/>
      <c r="VBG47" s="279"/>
      <c r="VBH47" s="279"/>
      <c r="VBI47" s="279"/>
      <c r="VBJ47" s="279"/>
      <c r="VBK47" s="279"/>
      <c r="VBL47" s="279"/>
      <c r="VBM47" s="279"/>
      <c r="VBN47" s="279"/>
      <c r="VBO47" s="279"/>
      <c r="VBP47" s="279"/>
      <c r="VBQ47" s="279"/>
      <c r="VBR47" s="279"/>
      <c r="VBS47" s="279"/>
      <c r="VBT47" s="279"/>
      <c r="VBU47" s="279"/>
      <c r="VBV47" s="279"/>
      <c r="VBW47" s="279"/>
      <c r="VBX47" s="279"/>
      <c r="VBY47" s="279"/>
      <c r="VBZ47" s="279"/>
      <c r="VCA47" s="279"/>
      <c r="VCB47" s="279"/>
      <c r="VCC47" s="279"/>
      <c r="VCD47" s="279"/>
      <c r="VCE47" s="279"/>
      <c r="VCF47" s="279"/>
      <c r="VCG47" s="279"/>
      <c r="VCH47" s="279"/>
      <c r="VCI47" s="279"/>
      <c r="VCJ47" s="279"/>
      <c r="VCK47" s="279"/>
      <c r="VCL47" s="279"/>
      <c r="VCM47" s="279"/>
      <c r="VCN47" s="279"/>
      <c r="VCO47" s="279"/>
      <c r="VCP47" s="279"/>
      <c r="VCQ47" s="279"/>
      <c r="VCR47" s="279"/>
      <c r="VCS47" s="279"/>
      <c r="VCT47" s="279"/>
      <c r="VCU47" s="279"/>
      <c r="VCV47" s="279"/>
      <c r="VCW47" s="279"/>
      <c r="VCX47" s="279"/>
      <c r="VCY47" s="279"/>
      <c r="VCZ47" s="279"/>
      <c r="VDA47" s="279"/>
      <c r="VDB47" s="279"/>
      <c r="VDC47" s="279"/>
      <c r="VDD47" s="279"/>
      <c r="VDE47" s="279"/>
      <c r="VDF47" s="279"/>
      <c r="VDG47" s="279"/>
      <c r="VDH47" s="279"/>
      <c r="VDI47" s="279"/>
      <c r="VDJ47" s="279"/>
      <c r="VDK47" s="279"/>
      <c r="VDL47" s="279"/>
      <c r="VDM47" s="279"/>
      <c r="VDN47" s="279"/>
      <c r="VDO47" s="279"/>
      <c r="VDP47" s="279"/>
      <c r="VDQ47" s="279"/>
      <c r="VDR47" s="279"/>
      <c r="VDS47" s="279"/>
      <c r="VDT47" s="279"/>
      <c r="VDU47" s="279"/>
      <c r="VDV47" s="279"/>
      <c r="VDW47" s="279"/>
      <c r="VDX47" s="279"/>
      <c r="VDY47" s="279"/>
      <c r="VDZ47" s="279"/>
      <c r="VEA47" s="279"/>
      <c r="VEB47" s="279"/>
      <c r="VEC47" s="279"/>
      <c r="VED47" s="279"/>
      <c r="VEE47" s="279"/>
      <c r="VEF47" s="279"/>
      <c r="VEG47" s="279"/>
      <c r="VEH47" s="279"/>
      <c r="VEI47" s="279"/>
      <c r="VEJ47" s="279"/>
      <c r="VEK47" s="279"/>
      <c r="VEL47" s="279"/>
      <c r="VEM47" s="279"/>
      <c r="VEN47" s="279"/>
      <c r="VEO47" s="279"/>
      <c r="VEP47" s="279"/>
      <c r="VEQ47" s="279"/>
      <c r="VER47" s="279"/>
      <c r="VES47" s="279"/>
      <c r="VET47" s="279"/>
      <c r="VEU47" s="279"/>
      <c r="VEV47" s="279"/>
      <c r="VEW47" s="279"/>
      <c r="VEX47" s="279"/>
      <c r="VEY47" s="279"/>
      <c r="VEZ47" s="279"/>
      <c r="VFA47" s="279"/>
      <c r="VFB47" s="279"/>
      <c r="VFC47" s="279"/>
      <c r="VFD47" s="279"/>
      <c r="VFE47" s="279"/>
      <c r="VFF47" s="279"/>
      <c r="VFG47" s="279"/>
      <c r="VFH47" s="279"/>
      <c r="VFI47" s="279"/>
      <c r="VFJ47" s="279"/>
      <c r="VFK47" s="279"/>
      <c r="VFL47" s="279"/>
      <c r="VFM47" s="279"/>
      <c r="VFN47" s="279"/>
      <c r="VFO47" s="279"/>
      <c r="VFP47" s="279"/>
      <c r="VFQ47" s="279"/>
      <c r="VFR47" s="279"/>
      <c r="VFS47" s="279"/>
      <c r="VFT47" s="279"/>
      <c r="VFU47" s="279"/>
      <c r="VFV47" s="279"/>
      <c r="VFW47" s="279"/>
      <c r="VFX47" s="279"/>
      <c r="VFY47" s="279"/>
      <c r="VFZ47" s="279"/>
      <c r="VGA47" s="279"/>
      <c r="VGB47" s="279"/>
      <c r="VGC47" s="279"/>
      <c r="VGD47" s="279"/>
      <c r="VGE47" s="279"/>
      <c r="VGF47" s="279"/>
      <c r="VGG47" s="279"/>
      <c r="VGH47" s="279"/>
      <c r="VGI47" s="279"/>
      <c r="VGJ47" s="279"/>
      <c r="VGK47" s="279"/>
      <c r="VGL47" s="279"/>
      <c r="VGM47" s="279"/>
      <c r="VGN47" s="279"/>
      <c r="VGO47" s="279"/>
      <c r="VGP47" s="279"/>
      <c r="VGQ47" s="279"/>
      <c r="VGR47" s="279"/>
      <c r="VGS47" s="279"/>
      <c r="VGT47" s="279"/>
      <c r="VGU47" s="279"/>
      <c r="VGV47" s="279"/>
      <c r="VGW47" s="279"/>
      <c r="VGX47" s="279"/>
      <c r="VGY47" s="279"/>
      <c r="VGZ47" s="279"/>
      <c r="VHA47" s="279"/>
      <c r="VHB47" s="279"/>
      <c r="VHC47" s="279"/>
      <c r="VHD47" s="279"/>
      <c r="VHE47" s="279"/>
      <c r="VHF47" s="279"/>
      <c r="VHG47" s="279"/>
      <c r="VHH47" s="279"/>
      <c r="VHI47" s="279"/>
      <c r="VHJ47" s="279"/>
      <c r="VHK47" s="279"/>
      <c r="VHL47" s="279"/>
      <c r="VHM47" s="279"/>
      <c r="VHN47" s="279"/>
      <c r="VHO47" s="279"/>
      <c r="VHP47" s="279"/>
      <c r="VHQ47" s="279"/>
      <c r="VHR47" s="279"/>
      <c r="VHS47" s="279"/>
      <c r="VHT47" s="279"/>
      <c r="VHU47" s="279"/>
      <c r="VHV47" s="279"/>
      <c r="VHW47" s="279"/>
      <c r="VHX47" s="279"/>
      <c r="VHY47" s="279"/>
      <c r="VHZ47" s="279"/>
      <c r="VIA47" s="279"/>
      <c r="VIB47" s="279"/>
      <c r="VIC47" s="279"/>
      <c r="VID47" s="279"/>
      <c r="VIE47" s="279"/>
      <c r="VIF47" s="279"/>
      <c r="VIG47" s="279"/>
      <c r="VIH47" s="279"/>
      <c r="VII47" s="279"/>
      <c r="VIJ47" s="279"/>
      <c r="VIK47" s="279"/>
      <c r="VIL47" s="279"/>
      <c r="VIM47" s="279"/>
      <c r="VIN47" s="279"/>
      <c r="VIO47" s="279"/>
      <c r="VIP47" s="279"/>
      <c r="VIQ47" s="279"/>
      <c r="VIR47" s="279"/>
      <c r="VIS47" s="279"/>
      <c r="VIT47" s="279"/>
      <c r="VIU47" s="279"/>
      <c r="VIV47" s="279"/>
      <c r="VIW47" s="279"/>
      <c r="VIX47" s="279"/>
      <c r="VIY47" s="279"/>
      <c r="VIZ47" s="279"/>
      <c r="VJA47" s="279"/>
      <c r="VJB47" s="279"/>
      <c r="VJC47" s="279"/>
      <c r="VJD47" s="279"/>
      <c r="VJE47" s="279"/>
      <c r="VJF47" s="279"/>
      <c r="VJG47" s="279"/>
      <c r="VJH47" s="279"/>
      <c r="VJI47" s="279"/>
      <c r="VJJ47" s="279"/>
      <c r="VJK47" s="279"/>
      <c r="VJL47" s="279"/>
      <c r="VJM47" s="279"/>
      <c r="VJN47" s="279"/>
      <c r="VJO47" s="279"/>
      <c r="VJP47" s="279"/>
      <c r="VJQ47" s="279"/>
      <c r="VJR47" s="279"/>
      <c r="VJS47" s="279"/>
      <c r="VJT47" s="279"/>
      <c r="VJU47" s="279"/>
      <c r="VJV47" s="279"/>
      <c r="VJW47" s="279"/>
      <c r="VJX47" s="279"/>
      <c r="VJY47" s="279"/>
      <c r="VJZ47" s="279"/>
      <c r="VKA47" s="279"/>
      <c r="VKB47" s="279"/>
      <c r="VKC47" s="279"/>
      <c r="VKD47" s="279"/>
      <c r="VKE47" s="279"/>
      <c r="VKF47" s="279"/>
      <c r="VKG47" s="279"/>
      <c r="VKH47" s="279"/>
      <c r="VKI47" s="279"/>
      <c r="VKJ47" s="279"/>
      <c r="VKK47" s="279"/>
      <c r="VKL47" s="279"/>
      <c r="VKM47" s="279"/>
      <c r="VKN47" s="279"/>
      <c r="VKO47" s="279"/>
      <c r="VKP47" s="279"/>
      <c r="VKQ47" s="279"/>
      <c r="VKR47" s="279"/>
      <c r="VKS47" s="279"/>
      <c r="VKT47" s="279"/>
      <c r="VKU47" s="279"/>
      <c r="VKV47" s="279"/>
      <c r="VKW47" s="279"/>
      <c r="VKX47" s="279"/>
      <c r="VKY47" s="279"/>
      <c r="VKZ47" s="279"/>
      <c r="VLA47" s="279"/>
      <c r="VLB47" s="279"/>
      <c r="VLC47" s="279"/>
      <c r="VLD47" s="279"/>
      <c r="VLE47" s="279"/>
      <c r="VLF47" s="279"/>
      <c r="VLG47" s="279"/>
      <c r="VLH47" s="279"/>
      <c r="VLI47" s="279"/>
      <c r="VLJ47" s="279"/>
      <c r="VLK47" s="279"/>
      <c r="VLL47" s="279"/>
      <c r="VLM47" s="279"/>
      <c r="VLN47" s="279"/>
      <c r="VLO47" s="279"/>
      <c r="VLP47" s="279"/>
      <c r="VLQ47" s="279"/>
      <c r="VLR47" s="279"/>
      <c r="VLS47" s="279"/>
      <c r="VLT47" s="279"/>
      <c r="VLU47" s="279"/>
      <c r="VLV47" s="279"/>
      <c r="VLW47" s="279"/>
      <c r="VLX47" s="279"/>
      <c r="VLY47" s="279"/>
      <c r="VLZ47" s="279"/>
      <c r="VMA47" s="279"/>
      <c r="VMB47" s="279"/>
      <c r="VMC47" s="279"/>
      <c r="VMD47" s="279"/>
      <c r="VME47" s="279"/>
      <c r="VMF47" s="279"/>
      <c r="VMG47" s="279"/>
      <c r="VMH47" s="279"/>
      <c r="VMI47" s="279"/>
      <c r="VMJ47" s="279"/>
      <c r="VMK47" s="279"/>
      <c r="VML47" s="279"/>
      <c r="VMM47" s="279"/>
      <c r="VMN47" s="279"/>
      <c r="VMO47" s="279"/>
      <c r="VMP47" s="279"/>
      <c r="VMQ47" s="279"/>
      <c r="VMR47" s="279"/>
      <c r="VMS47" s="279"/>
      <c r="VMT47" s="279"/>
      <c r="VMU47" s="279"/>
      <c r="VMV47" s="279"/>
      <c r="VMW47" s="279"/>
      <c r="VMX47" s="279"/>
      <c r="VMY47" s="279"/>
      <c r="VMZ47" s="279"/>
      <c r="VNA47" s="279"/>
      <c r="VNB47" s="279"/>
      <c r="VNC47" s="279"/>
      <c r="VND47" s="279"/>
      <c r="VNE47" s="279"/>
      <c r="VNF47" s="279"/>
      <c r="VNG47" s="279"/>
      <c r="VNH47" s="279"/>
      <c r="VNI47" s="279"/>
      <c r="VNJ47" s="279"/>
      <c r="VNK47" s="279"/>
      <c r="VNL47" s="279"/>
      <c r="VNM47" s="279"/>
      <c r="VNN47" s="279"/>
      <c r="VNO47" s="279"/>
      <c r="VNP47" s="279"/>
      <c r="VNQ47" s="279"/>
      <c r="VNR47" s="279"/>
      <c r="VNS47" s="279"/>
      <c r="VNT47" s="279"/>
      <c r="VNU47" s="279"/>
      <c r="VNV47" s="279"/>
      <c r="VNW47" s="279"/>
      <c r="VNX47" s="279"/>
      <c r="VNY47" s="279"/>
      <c r="VNZ47" s="279"/>
      <c r="VOA47" s="279"/>
      <c r="VOB47" s="279"/>
      <c r="VOC47" s="279"/>
      <c r="VOD47" s="279"/>
      <c r="VOE47" s="279"/>
      <c r="VOF47" s="279"/>
      <c r="VOG47" s="279"/>
      <c r="VOH47" s="279"/>
      <c r="VOI47" s="279"/>
      <c r="VOJ47" s="279"/>
      <c r="VOK47" s="279"/>
      <c r="VOL47" s="279"/>
      <c r="VOM47" s="279"/>
      <c r="VON47" s="279"/>
      <c r="VOO47" s="279"/>
      <c r="VOP47" s="279"/>
      <c r="VOQ47" s="279"/>
      <c r="VOR47" s="279"/>
      <c r="VOS47" s="279"/>
      <c r="VOT47" s="279"/>
      <c r="VOU47" s="279"/>
      <c r="VOV47" s="279"/>
      <c r="VOW47" s="279"/>
      <c r="VOX47" s="279"/>
      <c r="VOY47" s="279"/>
      <c r="VOZ47" s="279"/>
      <c r="VPA47" s="279"/>
      <c r="VPB47" s="279"/>
      <c r="VPC47" s="279"/>
      <c r="VPD47" s="279"/>
      <c r="VPE47" s="279"/>
      <c r="VPF47" s="279"/>
      <c r="VPG47" s="279"/>
      <c r="VPH47" s="279"/>
      <c r="VPI47" s="279"/>
      <c r="VPJ47" s="279"/>
      <c r="VPK47" s="279"/>
      <c r="VPL47" s="279"/>
      <c r="VPM47" s="279"/>
      <c r="VPN47" s="279"/>
      <c r="VPO47" s="279"/>
      <c r="VPP47" s="279"/>
      <c r="VPQ47" s="279"/>
      <c r="VPR47" s="279"/>
      <c r="VPS47" s="279"/>
      <c r="VPT47" s="279"/>
      <c r="VPU47" s="279"/>
      <c r="VPV47" s="279"/>
      <c r="VPW47" s="279"/>
      <c r="VPX47" s="279"/>
      <c r="VPY47" s="279"/>
      <c r="VPZ47" s="279"/>
      <c r="VQA47" s="279"/>
      <c r="VQB47" s="279"/>
      <c r="VQC47" s="279"/>
      <c r="VQD47" s="279"/>
      <c r="VQE47" s="279"/>
      <c r="VQF47" s="279"/>
      <c r="VQG47" s="279"/>
      <c r="VQH47" s="279"/>
      <c r="VQI47" s="279"/>
      <c r="VQJ47" s="279"/>
      <c r="VQK47" s="279"/>
      <c r="VQL47" s="279"/>
      <c r="VQM47" s="279"/>
      <c r="VQN47" s="279"/>
      <c r="VQO47" s="279"/>
      <c r="VQP47" s="279"/>
      <c r="VQQ47" s="279"/>
      <c r="VQR47" s="279"/>
      <c r="VQS47" s="279"/>
      <c r="VQT47" s="279"/>
      <c r="VQU47" s="279"/>
      <c r="VQV47" s="279"/>
      <c r="VQW47" s="279"/>
      <c r="VQX47" s="279"/>
      <c r="VQY47" s="279"/>
      <c r="VQZ47" s="279"/>
      <c r="VRA47" s="279"/>
      <c r="VRB47" s="279"/>
      <c r="VRC47" s="279"/>
      <c r="VRD47" s="279"/>
      <c r="VRE47" s="279"/>
      <c r="VRF47" s="279"/>
      <c r="VRG47" s="279"/>
      <c r="VRH47" s="279"/>
      <c r="VRI47" s="279"/>
      <c r="VRJ47" s="279"/>
      <c r="VRK47" s="279"/>
      <c r="VRL47" s="279"/>
      <c r="VRM47" s="279"/>
      <c r="VRN47" s="279"/>
      <c r="VRO47" s="279"/>
      <c r="VRP47" s="279"/>
      <c r="VRQ47" s="279"/>
      <c r="VRR47" s="279"/>
      <c r="VRS47" s="279"/>
      <c r="VRT47" s="279"/>
      <c r="VRU47" s="279"/>
      <c r="VRV47" s="279"/>
      <c r="VRW47" s="279"/>
      <c r="VRX47" s="279"/>
      <c r="VRY47" s="279"/>
      <c r="VRZ47" s="279"/>
      <c r="VSA47" s="279"/>
      <c r="VSB47" s="279"/>
      <c r="VSC47" s="279"/>
      <c r="VSD47" s="279"/>
      <c r="VSE47" s="279"/>
      <c r="VSF47" s="279"/>
      <c r="VSG47" s="279"/>
      <c r="VSH47" s="279"/>
      <c r="VSI47" s="279"/>
      <c r="VSJ47" s="279"/>
      <c r="VSK47" s="279"/>
      <c r="VSL47" s="279"/>
      <c r="VSM47" s="279"/>
      <c r="VSN47" s="279"/>
      <c r="VSO47" s="279"/>
      <c r="VSP47" s="279"/>
      <c r="VSQ47" s="279"/>
      <c r="VSR47" s="279"/>
      <c r="VSS47" s="279"/>
      <c r="VST47" s="279"/>
      <c r="VSU47" s="279"/>
      <c r="VSV47" s="279"/>
      <c r="VSW47" s="279"/>
      <c r="VSX47" s="279"/>
      <c r="VSY47" s="279"/>
      <c r="VSZ47" s="279"/>
      <c r="VTA47" s="279"/>
      <c r="VTB47" s="279"/>
      <c r="VTC47" s="279"/>
      <c r="VTD47" s="279"/>
      <c r="VTE47" s="279"/>
      <c r="VTF47" s="279"/>
      <c r="VTG47" s="279"/>
      <c r="VTH47" s="279"/>
      <c r="VTI47" s="279"/>
      <c r="VTJ47" s="279"/>
      <c r="VTK47" s="279"/>
      <c r="VTL47" s="279"/>
      <c r="VTM47" s="279"/>
      <c r="VTN47" s="279"/>
      <c r="VTO47" s="279"/>
      <c r="VTP47" s="279"/>
      <c r="VTQ47" s="279"/>
      <c r="VTR47" s="279"/>
      <c r="VTS47" s="279"/>
      <c r="VTT47" s="279"/>
      <c r="VTU47" s="279"/>
      <c r="VTV47" s="279"/>
      <c r="VTW47" s="279"/>
      <c r="VTX47" s="279"/>
      <c r="VTY47" s="279"/>
      <c r="VTZ47" s="279"/>
      <c r="VUA47" s="279"/>
      <c r="VUB47" s="279"/>
      <c r="VUC47" s="279"/>
      <c r="VUD47" s="279"/>
      <c r="VUE47" s="279"/>
      <c r="VUF47" s="279"/>
      <c r="VUG47" s="279"/>
      <c r="VUH47" s="279"/>
      <c r="VUI47" s="279"/>
      <c r="VUJ47" s="279"/>
      <c r="VUK47" s="279"/>
      <c r="VUL47" s="279"/>
      <c r="VUM47" s="279"/>
      <c r="VUN47" s="279"/>
      <c r="VUO47" s="279"/>
      <c r="VUP47" s="279"/>
      <c r="VUQ47" s="279"/>
      <c r="VUR47" s="279"/>
      <c r="VUS47" s="279"/>
      <c r="VUT47" s="279"/>
      <c r="VUU47" s="279"/>
      <c r="VUV47" s="279"/>
      <c r="VUW47" s="279"/>
      <c r="VUX47" s="279"/>
      <c r="VUY47" s="279"/>
      <c r="VUZ47" s="279"/>
      <c r="VVA47" s="279"/>
      <c r="VVB47" s="279"/>
      <c r="VVC47" s="279"/>
      <c r="VVD47" s="279"/>
      <c r="VVE47" s="279"/>
      <c r="VVF47" s="279"/>
      <c r="VVG47" s="279"/>
      <c r="VVH47" s="279"/>
      <c r="VVI47" s="279"/>
      <c r="VVJ47" s="279"/>
      <c r="VVK47" s="279"/>
      <c r="VVL47" s="279"/>
      <c r="VVM47" s="279"/>
      <c r="VVN47" s="279"/>
      <c r="VVO47" s="279"/>
      <c r="VVP47" s="279"/>
      <c r="VVQ47" s="279"/>
      <c r="VVR47" s="279"/>
      <c r="VVS47" s="279"/>
      <c r="VVT47" s="279"/>
      <c r="VVU47" s="279"/>
      <c r="VVV47" s="279"/>
      <c r="VVW47" s="279"/>
      <c r="VVX47" s="279"/>
      <c r="VVY47" s="279"/>
      <c r="VVZ47" s="279"/>
      <c r="VWA47" s="279"/>
      <c r="VWB47" s="279"/>
      <c r="VWC47" s="279"/>
      <c r="VWD47" s="279"/>
      <c r="VWE47" s="279"/>
      <c r="VWF47" s="279"/>
      <c r="VWG47" s="279"/>
      <c r="VWH47" s="279"/>
      <c r="VWI47" s="279"/>
      <c r="VWJ47" s="279"/>
      <c r="VWK47" s="279"/>
      <c r="VWL47" s="279"/>
      <c r="VWM47" s="279"/>
      <c r="VWN47" s="279"/>
      <c r="VWO47" s="279"/>
      <c r="VWP47" s="279"/>
      <c r="VWQ47" s="279"/>
      <c r="VWR47" s="279"/>
      <c r="VWS47" s="279"/>
      <c r="VWT47" s="279"/>
      <c r="VWU47" s="279"/>
      <c r="VWV47" s="279"/>
      <c r="VWW47" s="279"/>
      <c r="VWX47" s="279"/>
      <c r="VWY47" s="279"/>
      <c r="VWZ47" s="279"/>
      <c r="VXA47" s="279"/>
      <c r="VXB47" s="279"/>
      <c r="VXC47" s="279"/>
      <c r="VXD47" s="279"/>
      <c r="VXE47" s="279"/>
      <c r="VXF47" s="279"/>
      <c r="VXG47" s="279"/>
      <c r="VXH47" s="279"/>
      <c r="VXI47" s="279"/>
      <c r="VXJ47" s="279"/>
      <c r="VXK47" s="279"/>
      <c r="VXL47" s="279"/>
      <c r="VXM47" s="279"/>
      <c r="VXN47" s="279"/>
      <c r="VXO47" s="279"/>
      <c r="VXP47" s="279"/>
      <c r="VXQ47" s="279"/>
      <c r="VXR47" s="279"/>
      <c r="VXS47" s="279"/>
      <c r="VXT47" s="279"/>
      <c r="VXU47" s="279"/>
      <c r="VXV47" s="279"/>
      <c r="VXW47" s="279"/>
      <c r="VXX47" s="279"/>
      <c r="VXY47" s="279"/>
      <c r="VXZ47" s="279"/>
      <c r="VYA47" s="279"/>
      <c r="VYB47" s="279"/>
      <c r="VYC47" s="279"/>
      <c r="VYD47" s="279"/>
      <c r="VYE47" s="279"/>
      <c r="VYF47" s="279"/>
      <c r="VYG47" s="279"/>
      <c r="VYH47" s="279"/>
      <c r="VYI47" s="279"/>
      <c r="VYJ47" s="279"/>
      <c r="VYK47" s="279"/>
      <c r="VYL47" s="279"/>
      <c r="VYM47" s="279"/>
      <c r="VYN47" s="279"/>
      <c r="VYO47" s="279"/>
      <c r="VYP47" s="279"/>
      <c r="VYQ47" s="279"/>
      <c r="VYR47" s="279"/>
      <c r="VYS47" s="279"/>
      <c r="VYT47" s="279"/>
      <c r="VYU47" s="279"/>
      <c r="VYV47" s="279"/>
      <c r="VYW47" s="279"/>
      <c r="VYX47" s="279"/>
      <c r="VYY47" s="279"/>
      <c r="VYZ47" s="279"/>
      <c r="VZA47" s="279"/>
      <c r="VZB47" s="279"/>
      <c r="VZC47" s="279"/>
      <c r="VZD47" s="279"/>
      <c r="VZE47" s="279"/>
      <c r="VZF47" s="279"/>
      <c r="VZG47" s="279"/>
      <c r="VZH47" s="279"/>
      <c r="VZI47" s="279"/>
      <c r="VZJ47" s="279"/>
      <c r="VZK47" s="279"/>
      <c r="VZL47" s="279"/>
      <c r="VZM47" s="279"/>
      <c r="VZN47" s="279"/>
      <c r="VZO47" s="279"/>
      <c r="VZP47" s="279"/>
      <c r="VZQ47" s="279"/>
      <c r="VZR47" s="279"/>
      <c r="VZS47" s="279"/>
      <c r="VZT47" s="279"/>
      <c r="VZU47" s="279"/>
      <c r="VZV47" s="279"/>
      <c r="VZW47" s="279"/>
      <c r="VZX47" s="279"/>
      <c r="VZY47" s="279"/>
      <c r="VZZ47" s="279"/>
      <c r="WAA47" s="279"/>
      <c r="WAB47" s="279"/>
      <c r="WAC47" s="279"/>
      <c r="WAD47" s="279"/>
      <c r="WAE47" s="279"/>
      <c r="WAF47" s="279"/>
      <c r="WAG47" s="279"/>
      <c r="WAH47" s="279"/>
      <c r="WAI47" s="279"/>
      <c r="WAJ47" s="279"/>
      <c r="WAK47" s="279"/>
      <c r="WAL47" s="279"/>
      <c r="WAM47" s="279"/>
      <c r="WAN47" s="279"/>
      <c r="WAO47" s="279"/>
      <c r="WAP47" s="279"/>
      <c r="WAQ47" s="279"/>
      <c r="WAR47" s="279"/>
      <c r="WAS47" s="279"/>
      <c r="WAT47" s="279"/>
      <c r="WAU47" s="279"/>
      <c r="WAV47" s="279"/>
      <c r="WAW47" s="279"/>
      <c r="WAX47" s="279"/>
      <c r="WAY47" s="279"/>
      <c r="WAZ47" s="279"/>
      <c r="WBA47" s="279"/>
      <c r="WBB47" s="279"/>
      <c r="WBC47" s="279"/>
      <c r="WBD47" s="279"/>
      <c r="WBE47" s="279"/>
      <c r="WBF47" s="279"/>
      <c r="WBG47" s="279"/>
      <c r="WBH47" s="279"/>
      <c r="WBI47" s="279"/>
      <c r="WBJ47" s="279"/>
      <c r="WBK47" s="279"/>
      <c r="WBL47" s="279"/>
      <c r="WBM47" s="279"/>
      <c r="WBN47" s="279"/>
      <c r="WBO47" s="279"/>
      <c r="WBP47" s="279"/>
      <c r="WBQ47" s="279"/>
      <c r="WBR47" s="279"/>
      <c r="WBS47" s="279"/>
      <c r="WBT47" s="279"/>
      <c r="WBU47" s="279"/>
      <c r="WBV47" s="279"/>
      <c r="WBW47" s="279"/>
      <c r="WBX47" s="279"/>
      <c r="WBY47" s="279"/>
      <c r="WBZ47" s="279"/>
      <c r="WCA47" s="279"/>
      <c r="WCB47" s="279"/>
      <c r="WCC47" s="279"/>
      <c r="WCD47" s="279"/>
      <c r="WCE47" s="279"/>
      <c r="WCF47" s="279"/>
      <c r="WCG47" s="279"/>
      <c r="WCH47" s="279"/>
      <c r="WCI47" s="279"/>
      <c r="WCJ47" s="279"/>
      <c r="WCK47" s="279"/>
      <c r="WCL47" s="279"/>
      <c r="WCM47" s="279"/>
      <c r="WCN47" s="279"/>
      <c r="WCO47" s="279"/>
      <c r="WCP47" s="279"/>
      <c r="WCQ47" s="279"/>
      <c r="WCR47" s="279"/>
      <c r="WCS47" s="279"/>
      <c r="WCT47" s="279"/>
      <c r="WCU47" s="279"/>
      <c r="WCV47" s="279"/>
      <c r="WCW47" s="279"/>
      <c r="WCX47" s="279"/>
      <c r="WCY47" s="279"/>
      <c r="WCZ47" s="279"/>
      <c r="WDA47" s="279"/>
      <c r="WDB47" s="279"/>
      <c r="WDC47" s="279"/>
      <c r="WDD47" s="279"/>
      <c r="WDE47" s="279"/>
      <c r="WDF47" s="279"/>
      <c r="WDG47" s="279"/>
      <c r="WDH47" s="279"/>
      <c r="WDI47" s="279"/>
      <c r="WDJ47" s="279"/>
      <c r="WDK47" s="279"/>
      <c r="WDL47" s="279"/>
      <c r="WDM47" s="279"/>
      <c r="WDN47" s="279"/>
      <c r="WDO47" s="279"/>
      <c r="WDP47" s="279"/>
      <c r="WDQ47" s="279"/>
      <c r="WDR47" s="279"/>
      <c r="WDS47" s="279"/>
      <c r="WDT47" s="279"/>
      <c r="WDU47" s="279"/>
      <c r="WDV47" s="279"/>
      <c r="WDW47" s="279"/>
      <c r="WDX47" s="279"/>
      <c r="WDY47" s="279"/>
      <c r="WDZ47" s="279"/>
      <c r="WEA47" s="279"/>
      <c r="WEB47" s="279"/>
      <c r="WEC47" s="279"/>
      <c r="WED47" s="279"/>
      <c r="WEE47" s="279"/>
      <c r="WEF47" s="279"/>
      <c r="WEG47" s="279"/>
      <c r="WEH47" s="279"/>
      <c r="WEI47" s="279"/>
      <c r="WEJ47" s="279"/>
      <c r="WEK47" s="279"/>
      <c r="WEL47" s="279"/>
      <c r="WEM47" s="279"/>
      <c r="WEN47" s="279"/>
      <c r="WEO47" s="279"/>
      <c r="WEP47" s="279"/>
      <c r="WEQ47" s="279"/>
      <c r="WER47" s="279"/>
      <c r="WES47" s="279"/>
      <c r="WET47" s="279"/>
      <c r="WEU47" s="279"/>
      <c r="WEV47" s="279"/>
      <c r="WEW47" s="279"/>
      <c r="WEX47" s="279"/>
      <c r="WEY47" s="279"/>
      <c r="WEZ47" s="279"/>
      <c r="WFA47" s="279"/>
      <c r="WFB47" s="279"/>
      <c r="WFC47" s="279"/>
      <c r="WFD47" s="279"/>
      <c r="WFE47" s="279"/>
      <c r="WFF47" s="279"/>
      <c r="WFG47" s="279"/>
      <c r="WFH47" s="279"/>
      <c r="WFI47" s="279"/>
      <c r="WFJ47" s="279"/>
      <c r="WFK47" s="279"/>
      <c r="WFL47" s="279"/>
      <c r="WFM47" s="279"/>
      <c r="WFN47" s="279"/>
      <c r="WFO47" s="279"/>
      <c r="WFP47" s="279"/>
      <c r="WFQ47" s="279"/>
      <c r="WFR47" s="279"/>
      <c r="WFS47" s="279"/>
      <c r="WFT47" s="279"/>
      <c r="WFU47" s="279"/>
      <c r="WFV47" s="279"/>
      <c r="WFW47" s="279"/>
      <c r="WFX47" s="279"/>
      <c r="WFY47" s="279"/>
      <c r="WFZ47" s="279"/>
      <c r="WGA47" s="279"/>
      <c r="WGB47" s="279"/>
      <c r="WGC47" s="279"/>
      <c r="WGD47" s="279"/>
      <c r="WGE47" s="279"/>
      <c r="WGF47" s="279"/>
      <c r="WGG47" s="279"/>
      <c r="WGH47" s="279"/>
      <c r="WGI47" s="279"/>
      <c r="WGJ47" s="279"/>
      <c r="WGK47" s="279"/>
      <c r="WGL47" s="279"/>
      <c r="WGM47" s="279"/>
      <c r="WGN47" s="279"/>
      <c r="WGO47" s="279"/>
      <c r="WGP47" s="279"/>
      <c r="WGQ47" s="279"/>
      <c r="WGR47" s="279"/>
      <c r="WGS47" s="279"/>
      <c r="WGT47" s="279"/>
      <c r="WGU47" s="279"/>
      <c r="WGV47" s="279"/>
      <c r="WGW47" s="279"/>
      <c r="WGX47" s="279"/>
      <c r="WGY47" s="279"/>
      <c r="WGZ47" s="279"/>
      <c r="WHA47" s="279"/>
      <c r="WHB47" s="279"/>
      <c r="WHC47" s="279"/>
      <c r="WHD47" s="279"/>
      <c r="WHE47" s="279"/>
      <c r="WHF47" s="279"/>
      <c r="WHG47" s="279"/>
      <c r="WHH47" s="279"/>
      <c r="WHI47" s="279"/>
      <c r="WHJ47" s="279"/>
      <c r="WHK47" s="279"/>
      <c r="WHL47" s="279"/>
      <c r="WHM47" s="279"/>
      <c r="WHN47" s="279"/>
      <c r="WHO47" s="279"/>
      <c r="WHP47" s="279"/>
      <c r="WHQ47" s="279"/>
      <c r="WHR47" s="279"/>
      <c r="WHS47" s="279"/>
      <c r="WHT47" s="279"/>
      <c r="WHU47" s="279"/>
      <c r="WHV47" s="279"/>
      <c r="WHW47" s="279"/>
      <c r="WHX47" s="279"/>
      <c r="WHY47" s="279"/>
      <c r="WHZ47" s="279"/>
      <c r="WIA47" s="279"/>
      <c r="WIB47" s="279"/>
      <c r="WIC47" s="279"/>
      <c r="WID47" s="279"/>
      <c r="WIE47" s="279"/>
      <c r="WIF47" s="279"/>
      <c r="WIG47" s="279"/>
      <c r="WIH47" s="279"/>
      <c r="WII47" s="279"/>
      <c r="WIJ47" s="279"/>
      <c r="WIK47" s="279"/>
      <c r="WIL47" s="279"/>
      <c r="WIM47" s="279"/>
      <c r="WIN47" s="279"/>
      <c r="WIO47" s="279"/>
      <c r="WIP47" s="279"/>
      <c r="WIQ47" s="279"/>
      <c r="WIR47" s="279"/>
      <c r="WIS47" s="279"/>
      <c r="WIT47" s="279"/>
      <c r="WIU47" s="279"/>
      <c r="WIV47" s="279"/>
      <c r="WIW47" s="279"/>
      <c r="WIX47" s="279"/>
      <c r="WIY47" s="279"/>
      <c r="WIZ47" s="279"/>
      <c r="WJA47" s="279"/>
      <c r="WJB47" s="279"/>
      <c r="WJC47" s="279"/>
      <c r="WJD47" s="279"/>
      <c r="WJE47" s="279"/>
      <c r="WJF47" s="279"/>
      <c r="WJG47" s="279"/>
      <c r="WJH47" s="279"/>
      <c r="WJI47" s="279"/>
      <c r="WJJ47" s="279"/>
      <c r="WJK47" s="279"/>
      <c r="WJL47" s="279"/>
      <c r="WJM47" s="279"/>
      <c r="WJN47" s="279"/>
      <c r="WJO47" s="279"/>
      <c r="WJP47" s="279"/>
      <c r="WJQ47" s="279"/>
      <c r="WJR47" s="279"/>
      <c r="WJS47" s="279"/>
      <c r="WJT47" s="279"/>
      <c r="WJU47" s="279"/>
      <c r="WJV47" s="279"/>
      <c r="WJW47" s="279"/>
      <c r="WJX47" s="279"/>
      <c r="WJY47" s="279"/>
      <c r="WJZ47" s="279"/>
      <c r="WKA47" s="279"/>
      <c r="WKB47" s="279"/>
      <c r="WKC47" s="279"/>
      <c r="WKD47" s="279"/>
      <c r="WKE47" s="279"/>
      <c r="WKF47" s="279"/>
      <c r="WKG47" s="279"/>
      <c r="WKH47" s="279"/>
      <c r="WKI47" s="279"/>
      <c r="WKJ47" s="279"/>
      <c r="WKK47" s="279"/>
      <c r="WKL47" s="279"/>
      <c r="WKM47" s="279"/>
      <c r="WKN47" s="279"/>
      <c r="WKO47" s="279"/>
      <c r="WKP47" s="279"/>
      <c r="WKQ47" s="279"/>
      <c r="WKR47" s="279"/>
      <c r="WKS47" s="279"/>
      <c r="WKT47" s="279"/>
      <c r="WKU47" s="279"/>
      <c r="WKV47" s="279"/>
      <c r="WKW47" s="279"/>
      <c r="WKX47" s="279"/>
      <c r="WKY47" s="279"/>
      <c r="WKZ47" s="279"/>
      <c r="WLA47" s="279"/>
      <c r="WLB47" s="279"/>
      <c r="WLC47" s="279"/>
      <c r="WLD47" s="279"/>
      <c r="WLE47" s="279"/>
      <c r="WLF47" s="279"/>
      <c r="WLG47" s="279"/>
      <c r="WLH47" s="279"/>
      <c r="WLI47" s="279"/>
      <c r="WLJ47" s="279"/>
      <c r="WLK47" s="279"/>
      <c r="WLL47" s="279"/>
      <c r="WLM47" s="279"/>
      <c r="WLN47" s="279"/>
      <c r="WLO47" s="279"/>
      <c r="WLP47" s="279"/>
      <c r="WLQ47" s="279"/>
      <c r="WLR47" s="279"/>
      <c r="WLS47" s="279"/>
      <c r="WLT47" s="279"/>
      <c r="WLU47" s="279"/>
      <c r="WLV47" s="279"/>
      <c r="WLW47" s="279"/>
      <c r="WLX47" s="279"/>
      <c r="WLY47" s="279"/>
      <c r="WLZ47" s="279"/>
      <c r="WMA47" s="279"/>
      <c r="WMB47" s="279"/>
      <c r="WMC47" s="279"/>
      <c r="WMD47" s="279"/>
      <c r="WME47" s="279"/>
      <c r="WMF47" s="279"/>
      <c r="WMG47" s="279"/>
      <c r="WMH47" s="279"/>
      <c r="WMI47" s="279"/>
      <c r="WMJ47" s="279"/>
      <c r="WMK47" s="279"/>
      <c r="WML47" s="279"/>
      <c r="WMM47" s="279"/>
      <c r="WMN47" s="279"/>
      <c r="WMO47" s="279"/>
      <c r="WMP47" s="279"/>
      <c r="WMQ47" s="279"/>
      <c r="WMR47" s="279"/>
      <c r="WMS47" s="279"/>
      <c r="WMT47" s="279"/>
      <c r="WMU47" s="279"/>
      <c r="WMV47" s="279"/>
      <c r="WMW47" s="279"/>
      <c r="WMX47" s="279"/>
      <c r="WMY47" s="279"/>
      <c r="WMZ47" s="279"/>
      <c r="WNA47" s="279"/>
      <c r="WNB47" s="279"/>
      <c r="WNC47" s="279"/>
      <c r="WND47" s="279"/>
      <c r="WNE47" s="279"/>
      <c r="WNF47" s="279"/>
      <c r="WNG47" s="279"/>
      <c r="WNH47" s="279"/>
      <c r="WNI47" s="279"/>
      <c r="WNJ47" s="279"/>
      <c r="WNK47" s="279"/>
      <c r="WNL47" s="279"/>
      <c r="WNM47" s="279"/>
      <c r="WNN47" s="279"/>
      <c r="WNO47" s="279"/>
      <c r="WNP47" s="279"/>
      <c r="WNQ47" s="279"/>
      <c r="WNR47" s="279"/>
      <c r="WNS47" s="279"/>
      <c r="WNT47" s="279"/>
      <c r="WNU47" s="279"/>
      <c r="WNV47" s="279"/>
      <c r="WNW47" s="279"/>
      <c r="WNX47" s="279"/>
      <c r="WNY47" s="279"/>
      <c r="WNZ47" s="279"/>
      <c r="WOA47" s="279"/>
      <c r="WOB47" s="279"/>
      <c r="WOC47" s="279"/>
      <c r="WOD47" s="279"/>
      <c r="WOE47" s="279"/>
      <c r="WOF47" s="279"/>
      <c r="WOG47" s="279"/>
      <c r="WOH47" s="279"/>
      <c r="WOI47" s="279"/>
      <c r="WOJ47" s="279"/>
      <c r="WOK47" s="279"/>
      <c r="WOL47" s="279"/>
      <c r="WOM47" s="279"/>
      <c r="WON47" s="279"/>
      <c r="WOO47" s="279"/>
      <c r="WOP47" s="279"/>
      <c r="WOQ47" s="279"/>
      <c r="WOR47" s="279"/>
      <c r="WOS47" s="279"/>
      <c r="WOT47" s="279"/>
      <c r="WOU47" s="279"/>
      <c r="WOV47" s="279"/>
      <c r="WOW47" s="279"/>
      <c r="WOX47" s="279"/>
      <c r="WOY47" s="279"/>
      <c r="WOZ47" s="279"/>
      <c r="WPA47" s="279"/>
      <c r="WPB47" s="279"/>
      <c r="WPC47" s="279"/>
      <c r="WPD47" s="279"/>
      <c r="WPE47" s="279"/>
      <c r="WPF47" s="279"/>
      <c r="WPG47" s="279"/>
      <c r="WPH47" s="279"/>
      <c r="WPI47" s="279"/>
      <c r="WPJ47" s="279"/>
      <c r="WPK47" s="279"/>
      <c r="WPL47" s="279"/>
      <c r="WPM47" s="279"/>
      <c r="WPN47" s="279"/>
      <c r="WPO47" s="279"/>
      <c r="WPP47" s="279"/>
      <c r="WPQ47" s="279"/>
      <c r="WPR47" s="279"/>
      <c r="WPS47" s="279"/>
      <c r="WPT47" s="279"/>
      <c r="WPU47" s="279"/>
      <c r="WPV47" s="279"/>
      <c r="WPW47" s="279"/>
      <c r="WPX47" s="279"/>
      <c r="WPY47" s="279"/>
      <c r="WPZ47" s="279"/>
      <c r="WQA47" s="279"/>
      <c r="WQB47" s="279"/>
      <c r="WQC47" s="279"/>
      <c r="WQD47" s="279"/>
      <c r="WQE47" s="279"/>
      <c r="WQF47" s="279"/>
      <c r="WQG47" s="279"/>
      <c r="WQH47" s="279"/>
      <c r="WQI47" s="279"/>
      <c r="WQJ47" s="279"/>
      <c r="WQK47" s="279"/>
      <c r="WQL47" s="279"/>
      <c r="WQM47" s="279"/>
      <c r="WQN47" s="279"/>
      <c r="WQO47" s="279"/>
      <c r="WQP47" s="279"/>
      <c r="WQQ47" s="279"/>
      <c r="WQR47" s="279"/>
      <c r="WQS47" s="279"/>
      <c r="WQT47" s="279"/>
      <c r="WQU47" s="279"/>
      <c r="WQV47" s="279"/>
      <c r="WQW47" s="279"/>
      <c r="WQX47" s="279"/>
      <c r="WQY47" s="279"/>
      <c r="WQZ47" s="279"/>
      <c r="WRA47" s="279"/>
      <c r="WRB47" s="279"/>
      <c r="WRC47" s="279"/>
      <c r="WRD47" s="279"/>
      <c r="WRE47" s="279"/>
      <c r="WRF47" s="279"/>
      <c r="WRG47" s="279"/>
      <c r="WRH47" s="279"/>
      <c r="WRI47" s="279"/>
      <c r="WRJ47" s="279"/>
      <c r="WRK47" s="279"/>
      <c r="WRL47" s="279"/>
      <c r="WRM47" s="279"/>
      <c r="WRN47" s="279"/>
      <c r="WRO47" s="279"/>
      <c r="WRP47" s="279"/>
      <c r="WRQ47" s="279"/>
      <c r="WRR47" s="279"/>
      <c r="WRS47" s="279"/>
      <c r="WRT47" s="279"/>
      <c r="WRU47" s="279"/>
      <c r="WRV47" s="279"/>
      <c r="WRW47" s="279"/>
      <c r="WRX47" s="279"/>
      <c r="WRY47" s="279"/>
      <c r="WRZ47" s="279"/>
      <c r="WSA47" s="279"/>
      <c r="WSB47" s="279"/>
      <c r="WSC47" s="279"/>
      <c r="WSD47" s="279"/>
      <c r="WSE47" s="279"/>
      <c r="WSF47" s="279"/>
      <c r="WSG47" s="279"/>
      <c r="WSH47" s="279"/>
      <c r="WSI47" s="279"/>
      <c r="WSJ47" s="279"/>
      <c r="WSK47" s="279"/>
      <c r="WSL47" s="279"/>
      <c r="WSM47" s="279"/>
      <c r="WSN47" s="279"/>
      <c r="WSO47" s="279"/>
      <c r="WSP47" s="279"/>
      <c r="WSQ47" s="279"/>
      <c r="WSR47" s="279"/>
      <c r="WSS47" s="279"/>
      <c r="WST47" s="279"/>
      <c r="WSU47" s="279"/>
      <c r="WSV47" s="279"/>
      <c r="WSW47" s="279"/>
      <c r="WSX47" s="279"/>
      <c r="WSY47" s="279"/>
      <c r="WSZ47" s="279"/>
      <c r="WTA47" s="279"/>
      <c r="WTB47" s="279"/>
      <c r="WTC47" s="279"/>
      <c r="WTD47" s="279"/>
      <c r="WTE47" s="279"/>
      <c r="WTF47" s="279"/>
      <c r="WTG47" s="279"/>
      <c r="WTH47" s="279"/>
      <c r="WTI47" s="279"/>
      <c r="WTJ47" s="279"/>
      <c r="WTK47" s="279"/>
      <c r="WTL47" s="279"/>
      <c r="WTM47" s="279"/>
      <c r="WTN47" s="279"/>
      <c r="WTO47" s="279"/>
      <c r="WTP47" s="279"/>
      <c r="WTQ47" s="279"/>
      <c r="WTR47" s="279"/>
      <c r="WTS47" s="279"/>
      <c r="WTT47" s="279"/>
      <c r="WTU47" s="279"/>
      <c r="WTV47" s="279"/>
      <c r="WTW47" s="279"/>
      <c r="WTX47" s="279"/>
      <c r="WTY47" s="279"/>
      <c r="WTZ47" s="279"/>
      <c r="WUA47" s="279"/>
      <c r="WUB47" s="279"/>
      <c r="WUC47" s="279"/>
      <c r="WUD47" s="279"/>
      <c r="WUE47" s="279"/>
      <c r="WUF47" s="279"/>
      <c r="WUG47" s="279"/>
      <c r="WUH47" s="279"/>
      <c r="WUI47" s="279"/>
      <c r="WUJ47" s="279"/>
      <c r="WUK47" s="279"/>
      <c r="WUL47" s="279"/>
      <c r="WUM47" s="279"/>
      <c r="WUN47" s="279"/>
      <c r="WUO47" s="279"/>
      <c r="WUP47" s="279"/>
      <c r="WUQ47" s="279"/>
      <c r="WUR47" s="279"/>
      <c r="WUS47" s="279"/>
      <c r="WUT47" s="279"/>
      <c r="WUU47" s="279"/>
      <c r="WUV47" s="279"/>
      <c r="WUW47" s="279"/>
      <c r="WUX47" s="279"/>
      <c r="WUY47" s="279"/>
      <c r="WUZ47" s="279"/>
      <c r="WVA47" s="279"/>
      <c r="WVB47" s="279"/>
      <c r="WVC47" s="279"/>
      <c r="WVD47" s="279"/>
      <c r="WVE47" s="279"/>
      <c r="WVF47" s="279"/>
      <c r="WVG47" s="279"/>
      <c r="WVH47" s="279"/>
      <c r="WVI47" s="279"/>
      <c r="WVJ47" s="279"/>
      <c r="WVK47" s="279"/>
      <c r="WVL47" s="279"/>
      <c r="WVM47" s="279"/>
      <c r="WVN47" s="279"/>
      <c r="WVO47" s="279"/>
      <c r="WVP47" s="279"/>
      <c r="WVQ47" s="279"/>
      <c r="WVR47" s="279"/>
      <c r="WVS47" s="279"/>
      <c r="WVT47" s="279"/>
      <c r="WVU47" s="279"/>
      <c r="WVV47" s="279"/>
      <c r="WVW47" s="279"/>
      <c r="WVX47" s="279"/>
      <c r="WVY47" s="279"/>
      <c r="WVZ47" s="279"/>
      <c r="WWA47" s="279"/>
      <c r="WWB47" s="279"/>
      <c r="WWC47" s="279"/>
      <c r="WWD47" s="279"/>
      <c r="WWE47" s="279"/>
      <c r="WWF47" s="279"/>
      <c r="WWG47" s="279"/>
      <c r="WWH47" s="279"/>
      <c r="WWI47" s="279"/>
      <c r="WWJ47" s="279"/>
      <c r="WWK47" s="279"/>
      <c r="WWL47" s="279"/>
      <c r="WWM47" s="279"/>
      <c r="WWN47" s="279"/>
      <c r="WWO47" s="279"/>
      <c r="WWP47" s="279"/>
      <c r="WWQ47" s="279"/>
      <c r="WWR47" s="279"/>
      <c r="WWS47" s="279"/>
      <c r="WWT47" s="279"/>
      <c r="WWU47" s="279"/>
      <c r="WWV47" s="279"/>
      <c r="WWW47" s="279"/>
      <c r="WWX47" s="279"/>
      <c r="WWY47" s="279"/>
      <c r="WWZ47" s="279"/>
      <c r="WXA47" s="279"/>
      <c r="WXB47" s="279"/>
      <c r="WXC47" s="279"/>
      <c r="WXD47" s="279"/>
      <c r="WXE47" s="279"/>
      <c r="WXF47" s="279"/>
      <c r="WXG47" s="279"/>
      <c r="WXH47" s="279"/>
      <c r="WXI47" s="279"/>
      <c r="WXJ47" s="279"/>
      <c r="WXK47" s="279"/>
      <c r="WXL47" s="279"/>
      <c r="WXM47" s="279"/>
      <c r="WXN47" s="279"/>
      <c r="WXO47" s="279"/>
      <c r="WXP47" s="279"/>
      <c r="WXQ47" s="279"/>
      <c r="WXR47" s="279"/>
      <c r="WXS47" s="279"/>
      <c r="WXT47" s="279"/>
      <c r="WXU47" s="279"/>
      <c r="WXV47" s="279"/>
      <c r="WXW47" s="279"/>
      <c r="WXX47" s="279"/>
      <c r="WXY47" s="279"/>
      <c r="WXZ47" s="279"/>
      <c r="WYA47" s="279"/>
      <c r="WYB47" s="279"/>
      <c r="WYC47" s="279"/>
      <c r="WYD47" s="279"/>
      <c r="WYE47" s="279"/>
      <c r="WYF47" s="279"/>
      <c r="WYG47" s="279"/>
      <c r="WYH47" s="279"/>
      <c r="WYI47" s="279"/>
      <c r="WYJ47" s="279"/>
      <c r="WYK47" s="279"/>
      <c r="WYL47" s="279"/>
      <c r="WYM47" s="279"/>
      <c r="WYN47" s="279"/>
      <c r="WYO47" s="279"/>
      <c r="WYP47" s="279"/>
      <c r="WYQ47" s="279"/>
      <c r="WYR47" s="279"/>
      <c r="WYS47" s="279"/>
      <c r="WYT47" s="279"/>
      <c r="WYU47" s="279"/>
      <c r="WYV47" s="279"/>
      <c r="WYW47" s="279"/>
      <c r="WYX47" s="279"/>
      <c r="WYY47" s="279"/>
      <c r="WYZ47" s="279"/>
      <c r="WZA47" s="279"/>
      <c r="WZB47" s="279"/>
      <c r="WZC47" s="279"/>
      <c r="WZD47" s="279"/>
      <c r="WZE47" s="279"/>
      <c r="WZF47" s="279"/>
      <c r="WZG47" s="279"/>
      <c r="WZH47" s="279"/>
      <c r="WZI47" s="279"/>
      <c r="WZJ47" s="279"/>
      <c r="WZK47" s="279"/>
      <c r="WZL47" s="279"/>
      <c r="WZM47" s="279"/>
      <c r="WZN47" s="279"/>
      <c r="WZO47" s="279"/>
      <c r="WZP47" s="279"/>
      <c r="WZQ47" s="279"/>
      <c r="WZR47" s="279"/>
      <c r="WZS47" s="279"/>
      <c r="WZT47" s="279"/>
      <c r="WZU47" s="279"/>
      <c r="WZV47" s="279"/>
      <c r="WZW47" s="279"/>
      <c r="WZX47" s="279"/>
      <c r="WZY47" s="279"/>
      <c r="WZZ47" s="279"/>
      <c r="XAA47" s="279"/>
      <c r="XAB47" s="279"/>
      <c r="XAC47" s="279"/>
      <c r="XAD47" s="279"/>
      <c r="XAE47" s="279"/>
      <c r="XAF47" s="279"/>
      <c r="XAG47" s="279"/>
      <c r="XAH47" s="279"/>
      <c r="XAI47" s="279"/>
      <c r="XAJ47" s="279"/>
      <c r="XAK47" s="279"/>
      <c r="XAL47" s="279"/>
      <c r="XAM47" s="279"/>
      <c r="XAN47" s="279"/>
      <c r="XAO47" s="279"/>
      <c r="XAP47" s="279"/>
      <c r="XAQ47" s="279"/>
      <c r="XAR47" s="279"/>
      <c r="XAS47" s="279"/>
      <c r="XAT47" s="279"/>
      <c r="XAU47" s="279"/>
      <c r="XAV47" s="279"/>
      <c r="XAW47" s="279"/>
      <c r="XAX47" s="279"/>
      <c r="XAY47" s="279"/>
      <c r="XAZ47" s="279"/>
      <c r="XBA47" s="279"/>
      <c r="XBB47" s="279"/>
      <c r="XBC47" s="279"/>
      <c r="XBD47" s="279"/>
      <c r="XBE47" s="279"/>
      <c r="XBF47" s="279"/>
      <c r="XBG47" s="279"/>
      <c r="XBH47" s="279"/>
      <c r="XBI47" s="279"/>
      <c r="XBJ47" s="279"/>
      <c r="XBK47" s="279"/>
      <c r="XBL47" s="279"/>
      <c r="XBM47" s="279"/>
      <c r="XBN47" s="279"/>
      <c r="XBO47" s="279"/>
      <c r="XBP47" s="279"/>
      <c r="XBQ47" s="279"/>
      <c r="XBR47" s="279"/>
      <c r="XBS47" s="279"/>
      <c r="XBT47" s="279"/>
      <c r="XBU47" s="279"/>
      <c r="XBV47" s="279"/>
      <c r="XBW47" s="279"/>
      <c r="XBX47" s="279"/>
      <c r="XBY47" s="279"/>
      <c r="XBZ47" s="279"/>
      <c r="XCA47" s="279"/>
      <c r="XCB47" s="279"/>
      <c r="XCC47" s="279"/>
      <c r="XCD47" s="279"/>
      <c r="XCE47" s="279"/>
      <c r="XCF47" s="279"/>
      <c r="XCG47" s="279"/>
      <c r="XCH47" s="279"/>
      <c r="XCI47" s="279"/>
      <c r="XCJ47" s="279"/>
      <c r="XCK47" s="279"/>
      <c r="XCL47" s="279"/>
      <c r="XCM47" s="279"/>
      <c r="XCN47" s="279"/>
      <c r="XCO47" s="279"/>
      <c r="XCP47" s="279"/>
      <c r="XCQ47" s="279"/>
      <c r="XCR47" s="279"/>
      <c r="XCS47" s="279"/>
      <c r="XCT47" s="279"/>
      <c r="XCU47" s="279"/>
      <c r="XCV47" s="279"/>
      <c r="XCW47" s="279"/>
      <c r="XCX47" s="279"/>
      <c r="XCY47" s="279"/>
      <c r="XCZ47" s="279"/>
      <c r="XDA47" s="279"/>
      <c r="XDB47" s="279"/>
      <c r="XDC47" s="279"/>
      <c r="XDD47" s="279"/>
      <c r="XDE47" s="279"/>
      <c r="XDF47" s="279"/>
      <c r="XDG47" s="279"/>
      <c r="XDH47" s="279"/>
      <c r="XDI47" s="279"/>
      <c r="XDJ47" s="279"/>
      <c r="XDK47" s="279"/>
      <c r="XDL47" s="279"/>
      <c r="XDM47" s="279"/>
      <c r="XDN47" s="279"/>
      <c r="XDO47" s="279"/>
      <c r="XDP47" s="279"/>
      <c r="XDQ47" s="279"/>
      <c r="XDR47" s="279"/>
      <c r="XDS47" s="279"/>
      <c r="XDT47" s="279"/>
      <c r="XDU47" s="279"/>
      <c r="XDV47" s="279"/>
      <c r="XDW47" s="279"/>
      <c r="XDX47" s="279"/>
      <c r="XDY47" s="279"/>
      <c r="XDZ47" s="279"/>
      <c r="XEA47" s="279"/>
      <c r="XEB47" s="279"/>
      <c r="XEC47" s="279"/>
      <c r="XED47" s="279"/>
      <c r="XEE47" s="279"/>
      <c r="XEF47" s="279"/>
      <c r="XEG47" s="279"/>
      <c r="XEH47" s="279"/>
      <c r="XEI47" s="279"/>
      <c r="XEJ47" s="279"/>
      <c r="XEK47" s="279"/>
      <c r="XEL47" s="279"/>
      <c r="XEM47" s="279"/>
      <c r="XEN47" s="279"/>
      <c r="XEO47" s="279"/>
      <c r="XEP47" s="279"/>
      <c r="XEQ47" s="279"/>
      <c r="XER47" s="279"/>
      <c r="XES47" s="279"/>
      <c r="XET47" s="279"/>
      <c r="XEU47" s="279"/>
      <c r="XEV47" s="279"/>
      <c r="XEW47" s="279"/>
      <c r="XEX47" s="279"/>
      <c r="XEY47" s="279"/>
      <c r="XEZ47" s="279"/>
      <c r="XFA47" s="279"/>
      <c r="XFB47" s="279"/>
      <c r="XFC47" s="279"/>
    </row>
    <row r="48" spans="1:16383" x14ac:dyDescent="0.2">
      <c r="A48" s="382"/>
      <c r="B48" s="383"/>
      <c r="C48" s="359"/>
      <c r="D48" s="359"/>
      <c r="E48" s="671"/>
      <c r="F48" s="676" t="s">
        <v>662</v>
      </c>
      <c r="G48" s="676" t="s">
        <v>1027</v>
      </c>
      <c r="H48" s="1102" t="s">
        <v>1028</v>
      </c>
      <c r="I48" s="676" t="s">
        <v>1029</v>
      </c>
      <c r="J48" s="1103">
        <v>49157</v>
      </c>
      <c r="K48" s="672">
        <v>0.03</v>
      </c>
      <c r="L48" s="663">
        <v>0</v>
      </c>
      <c r="M48" s="664">
        <v>1200</v>
      </c>
      <c r="N48" s="1122">
        <f>J48*(1+K48)+L48+M48</f>
        <v>51831.71</v>
      </c>
      <c r="O48" s="1122"/>
      <c r="P48" s="1122"/>
      <c r="Q48" s="667">
        <v>0.05</v>
      </c>
      <c r="R48" s="666">
        <f t="shared" si="0"/>
        <v>2591.5855000000001</v>
      </c>
      <c r="S48" s="665">
        <f t="shared" si="1"/>
        <v>3052.8877189999998</v>
      </c>
      <c r="T48" s="665">
        <f t="shared" si="2"/>
        <v>713.98180524999998</v>
      </c>
      <c r="U48" s="666">
        <f t="shared" si="3"/>
        <v>42</v>
      </c>
      <c r="V48" s="666">
        <f t="shared" si="4"/>
        <v>100.8</v>
      </c>
      <c r="W48" s="665">
        <f>AT48</f>
        <v>377.52575999999999</v>
      </c>
      <c r="X48" s="665">
        <f>+AN48*6</f>
        <v>8700</v>
      </c>
      <c r="Y48" s="665">
        <f>+AN48*6</f>
        <v>8700</v>
      </c>
      <c r="Z48" s="361">
        <f t="shared" si="6"/>
        <v>76110.540784249999</v>
      </c>
      <c r="AB48" s="362"/>
      <c r="AC48" s="1181" t="str">
        <f t="shared" si="7"/>
        <v>Lora Torres</v>
      </c>
      <c r="AD48" s="668" t="s">
        <v>513</v>
      </c>
      <c r="AE48" s="669">
        <f t="shared" si="8"/>
        <v>339.32</v>
      </c>
      <c r="AF48" s="670" t="s">
        <v>555</v>
      </c>
      <c r="AG48" s="669">
        <f t="shared" si="9"/>
        <v>38.93</v>
      </c>
      <c r="AH48" s="670" t="s">
        <v>521</v>
      </c>
      <c r="AI48" s="364">
        <f t="shared" si="10"/>
        <v>4.88</v>
      </c>
      <c r="AJ48" s="364">
        <f t="shared" si="11"/>
        <v>1400.78</v>
      </c>
      <c r="AK48" s="364">
        <f t="shared" si="12"/>
        <v>43.250000000000007</v>
      </c>
      <c r="AL48" s="364">
        <f t="shared" si="13"/>
        <v>5.97</v>
      </c>
      <c r="AM48" s="365">
        <f>AE48+AG48+AI48</f>
        <v>383.13</v>
      </c>
      <c r="AN48" s="366">
        <f>AJ48+AK48+AL48</f>
        <v>1450</v>
      </c>
      <c r="AO48" s="367">
        <f>SUM(AM48:AN48)</f>
        <v>1833.13</v>
      </c>
      <c r="AP48" s="368">
        <v>8.7999999999999998E-5</v>
      </c>
      <c r="AQ48" s="369">
        <v>2.0000000000000002E-5</v>
      </c>
      <c r="AR48" s="370">
        <v>2.22E-4</v>
      </c>
      <c r="AS48" s="371">
        <v>3.1E-4</v>
      </c>
      <c r="AT48" s="372">
        <f t="shared" si="45"/>
        <v>377.52575999999999</v>
      </c>
      <c r="AV48" s="373">
        <f t="shared" si="17"/>
        <v>49157</v>
      </c>
      <c r="AW48" s="374">
        <f t="shared" si="43"/>
        <v>0</v>
      </c>
      <c r="AX48" s="375" t="str">
        <f>IF(ISERROR(AV48/AW48),"",(AV48/AW48))</f>
        <v/>
      </c>
      <c r="AY48" s="376">
        <v>41820</v>
      </c>
      <c r="AZ48" s="377">
        <f t="shared" si="44"/>
        <v>-29871</v>
      </c>
      <c r="BA48" s="378">
        <f>AW48-AZ48</f>
        <v>29871</v>
      </c>
      <c r="BB48" s="379" t="str">
        <f>IF(ISERROR(BA48*AX48),"",(BA48*AX48))</f>
        <v/>
      </c>
      <c r="BC48" s="379" t="str">
        <f>IF(ISERROR(AZ48*AX48),"",(AZ48*AX48))</f>
        <v/>
      </c>
      <c r="BD48" s="379">
        <f>IF(ISERROR(SUM(BB48:BC48)),"",((SUM(BB48:BC48))))</f>
        <v>0</v>
      </c>
      <c r="BE48" s="379" t="str">
        <f>IF(ISERROR(BC48*7.65%),"",((BC48*7.65%)))</f>
        <v/>
      </c>
      <c r="BF48" s="380" t="str">
        <f>IF(ISERROR(BC48*21.17%),"",((BC48*21.17%)))</f>
        <v/>
      </c>
      <c r="BG48" s="381" t="e">
        <f>SUM(BE48:BF48)+BC48</f>
        <v>#VALUE!</v>
      </c>
    </row>
    <row r="49" spans="1:61" x14ac:dyDescent="0.2">
      <c r="A49" s="382"/>
      <c r="B49" s="358"/>
      <c r="C49" s="359"/>
      <c r="D49" s="359"/>
      <c r="E49" s="671"/>
      <c r="F49" s="676"/>
      <c r="G49" s="676"/>
      <c r="H49" s="676" t="s">
        <v>1582</v>
      </c>
      <c r="I49" s="676"/>
      <c r="J49" s="676">
        <v>14502</v>
      </c>
      <c r="K49" s="672">
        <v>0</v>
      </c>
      <c r="L49" s="663"/>
      <c r="M49" s="666"/>
      <c r="N49" s="1122">
        <v>14502</v>
      </c>
      <c r="O49" s="1122"/>
      <c r="P49" s="1122"/>
      <c r="Q49" s="667"/>
      <c r="R49" s="666"/>
      <c r="S49" s="665">
        <f t="shared" si="1"/>
        <v>899.12400000000002</v>
      </c>
      <c r="T49" s="665">
        <f t="shared" si="2"/>
        <v>210.27900000000002</v>
      </c>
      <c r="U49" s="666">
        <f t="shared" si="3"/>
        <v>42</v>
      </c>
      <c r="V49" s="666">
        <f t="shared" si="4"/>
        <v>100.8</v>
      </c>
      <c r="W49" s="665"/>
      <c r="X49" s="665">
        <f t="shared" si="28"/>
        <v>0</v>
      </c>
      <c r="Y49" s="665">
        <f t="shared" si="31"/>
        <v>0</v>
      </c>
      <c r="Z49" s="361"/>
      <c r="AB49" s="362"/>
      <c r="AC49" s="363"/>
      <c r="AD49" s="668"/>
      <c r="AE49" s="669"/>
      <c r="AF49" s="670"/>
      <c r="AG49" s="669"/>
      <c r="AH49" s="670"/>
      <c r="AI49" s="364"/>
      <c r="AJ49" s="364"/>
      <c r="AK49" s="364"/>
      <c r="AL49" s="364"/>
      <c r="AM49" s="365"/>
      <c r="AN49" s="366"/>
      <c r="AO49" s="367"/>
      <c r="AP49" s="368"/>
      <c r="AQ49" s="369"/>
      <c r="AR49" s="370"/>
      <c r="AS49" s="371">
        <v>3.1E-4</v>
      </c>
      <c r="AT49" s="372">
        <f t="shared" si="45"/>
        <v>53.94744</v>
      </c>
      <c r="AV49" s="373"/>
      <c r="AW49" s="374"/>
      <c r="AX49" s="375"/>
      <c r="AY49" s="376"/>
      <c r="AZ49" s="377"/>
      <c r="BA49" s="378"/>
      <c r="BB49" s="379"/>
      <c r="BC49" s="379"/>
      <c r="BD49" s="379"/>
      <c r="BE49" s="379"/>
      <c r="BF49" s="380"/>
      <c r="BG49" s="381"/>
    </row>
    <row r="50" spans="1:61" x14ac:dyDescent="0.2">
      <c r="A50" s="382"/>
      <c r="B50" s="383"/>
      <c r="C50" s="359"/>
      <c r="D50" s="359"/>
      <c r="E50" s="671"/>
      <c r="F50" s="676"/>
      <c r="G50" s="676"/>
      <c r="H50" s="676"/>
      <c r="I50" s="676"/>
      <c r="J50" s="676"/>
      <c r="K50" s="672">
        <v>0</v>
      </c>
      <c r="L50" s="663">
        <v>0</v>
      </c>
      <c r="M50" s="666"/>
      <c r="N50" s="1122">
        <f t="shared" ref="N50:N64" si="46">J50*(1+K50)+L50+M50</f>
        <v>0</v>
      </c>
      <c r="O50" s="1122"/>
      <c r="P50" s="1122"/>
      <c r="Q50" s="667"/>
      <c r="R50" s="666">
        <f t="shared" ref="R50:R63" si="47">N50*Q50</f>
        <v>0</v>
      </c>
      <c r="S50" s="665">
        <f t="shared" si="1"/>
        <v>0</v>
      </c>
      <c r="T50" s="665">
        <f t="shared" si="2"/>
        <v>0</v>
      </c>
      <c r="U50" s="666">
        <f t="shared" si="3"/>
        <v>0</v>
      </c>
      <c r="V50" s="666">
        <f t="shared" si="4"/>
        <v>0</v>
      </c>
      <c r="W50" s="665">
        <f t="shared" ref="W50:W63" si="48">AT50</f>
        <v>0</v>
      </c>
      <c r="X50" s="665">
        <f t="shared" si="28"/>
        <v>0</v>
      </c>
      <c r="Y50" s="665">
        <f t="shared" si="31"/>
        <v>0</v>
      </c>
      <c r="Z50" s="361">
        <f t="shared" ref="Z50:Z64" si="49">SUM(N50:Y50)</f>
        <v>0</v>
      </c>
      <c r="AB50" s="362"/>
      <c r="AC50" s="363">
        <f t="shared" ref="AC50:AC64" si="50">G50</f>
        <v>0</v>
      </c>
      <c r="AD50" s="668" t="s">
        <v>526</v>
      </c>
      <c r="AE50" s="669">
        <f t="shared" ref="AE50:AE63" si="51">IF(ISNA(VLOOKUP(AD50,$A$225:$E$265,4,FALSE)),"0",VLOOKUP(AD50,$A$225:$E$265,4,FALSE))</f>
        <v>0</v>
      </c>
      <c r="AF50" s="670" t="s">
        <v>526</v>
      </c>
      <c r="AG50" s="669">
        <f t="shared" ref="AG50:AG63" si="52">IF(ISNA(VLOOKUP(AF50,$A$252:$E$265,4,FALSE)),"0",VLOOKUP(AF50,$A$252:$E$265,4,FALSE))</f>
        <v>0</v>
      </c>
      <c r="AH50" s="670" t="s">
        <v>526</v>
      </c>
      <c r="AI50" s="364">
        <f t="shared" ref="AI50:AI63" si="53">IF(ISNA(VLOOKUP(AH50,$A$225:$E$265,4,FALSE)),"0",VLOOKUP(AH50,$A$225:$E$265,4,FALSE))</f>
        <v>0</v>
      </c>
      <c r="AJ50" s="364">
        <f t="shared" ref="AJ50:AJ63" si="54">IF(ISNA(VLOOKUP(AD50,$A$225:$E$265,5,FALSE)),"0",VLOOKUP(AD50,$A$225:$E$265,5,FALSE))</f>
        <v>0</v>
      </c>
      <c r="AK50" s="364">
        <f t="shared" ref="AK50:AK63" si="55">IF(ISNA(VLOOKUP(AF50,$A$225:$E$265,5,FALSE)),"0",VLOOKUP(AF50,$A$225:$E$265,5,FALSE))</f>
        <v>0</v>
      </c>
      <c r="AL50" s="364">
        <f t="shared" ref="AL50:AL63" si="56">IF(ISNA(VLOOKUP(AH50,$A$225:$E$258,5,FALSE)),"0",VLOOKUP(AH50,$A$225:$E$258,5,FALSE))</f>
        <v>0</v>
      </c>
      <c r="AM50" s="365">
        <f t="shared" ref="AM50:AM63" si="57">AE50+AG50+AI50</f>
        <v>0</v>
      </c>
      <c r="AN50" s="366">
        <f t="shared" ref="AN50:AN63" si="58">AJ50+AK50+AL50</f>
        <v>0</v>
      </c>
      <c r="AO50" s="367">
        <f t="shared" ref="AO50:AO63" si="59">SUM(AM50:AN50)</f>
        <v>0</v>
      </c>
      <c r="AP50" s="368">
        <v>8.7999999999999998E-5</v>
      </c>
      <c r="AQ50" s="369">
        <v>2.0000000000000002E-5</v>
      </c>
      <c r="AR50" s="370">
        <v>2.22E-4</v>
      </c>
      <c r="AS50" s="371">
        <v>3.1E-4</v>
      </c>
      <c r="AT50" s="372">
        <f t="shared" si="45"/>
        <v>0</v>
      </c>
      <c r="AV50" s="373">
        <f t="shared" ref="AV50:AV63" si="60">J50</f>
        <v>0</v>
      </c>
      <c r="AW50" s="374">
        <f t="shared" ref="AW50:AW63" si="61">NETWORKDAYS(C50,D50)</f>
        <v>0</v>
      </c>
      <c r="AX50" s="375" t="str">
        <f t="shared" ref="AX50:AX63" si="62">IF(ISERROR(AV50/AW50),"",(AV50/AW50))</f>
        <v/>
      </c>
      <c r="AY50" s="376">
        <v>41820</v>
      </c>
      <c r="AZ50" s="377">
        <f t="shared" ref="AZ50:AZ63" si="63">NETWORKDAYS(AY50,D50)</f>
        <v>-29871</v>
      </c>
      <c r="BA50" s="378">
        <f t="shared" ref="BA50:BA63" si="64">AW50-AZ50</f>
        <v>29871</v>
      </c>
      <c r="BB50" s="379" t="str">
        <f t="shared" ref="BB50:BB63" si="65">IF(ISERROR(BA50*AX50),"",(BA50*AX50))</f>
        <v/>
      </c>
      <c r="BC50" s="379" t="str">
        <f t="shared" ref="BC50:BC63" si="66">IF(ISERROR(AZ50*AX50),"",(AZ50*AX50))</f>
        <v/>
      </c>
      <c r="BD50" s="379">
        <f t="shared" ref="BD50:BD63" si="67">IF(ISERROR(SUM(BB50:BC50)),"",((SUM(BB50:BC50))))</f>
        <v>0</v>
      </c>
      <c r="BE50" s="379" t="str">
        <f t="shared" ref="BE50:BE63" si="68">IF(ISERROR(BC50*7.65%),"",((BC50*7.65%)))</f>
        <v/>
      </c>
      <c r="BF50" s="380" t="str">
        <f t="shared" ref="BF50:BF63" si="69">IF(ISERROR(BC50*21.17%),"",((BC50*21.17%)))</f>
        <v/>
      </c>
      <c r="BG50" s="381" t="e">
        <f t="shared" ref="BG50:BG63" si="70">SUM(BE50:BF50)+BC50</f>
        <v>#VALUE!</v>
      </c>
    </row>
    <row r="51" spans="1:61" x14ac:dyDescent="0.2">
      <c r="A51" s="382"/>
      <c r="B51" s="383"/>
      <c r="C51" s="359"/>
      <c r="D51" s="359"/>
      <c r="E51" s="671"/>
      <c r="F51" s="676"/>
      <c r="G51" s="676"/>
      <c r="H51" s="676"/>
      <c r="I51" s="676"/>
      <c r="J51" s="676"/>
      <c r="K51" s="672">
        <v>0</v>
      </c>
      <c r="L51" s="663">
        <v>0</v>
      </c>
      <c r="M51" s="666"/>
      <c r="N51" s="1122">
        <f t="shared" si="46"/>
        <v>0</v>
      </c>
      <c r="O51" s="1122"/>
      <c r="P51" s="1122"/>
      <c r="Q51" s="667"/>
      <c r="R51" s="666">
        <f t="shared" si="47"/>
        <v>0</v>
      </c>
      <c r="S51" s="665">
        <f t="shared" si="1"/>
        <v>0</v>
      </c>
      <c r="T51" s="665">
        <f t="shared" si="2"/>
        <v>0</v>
      </c>
      <c r="U51" s="666">
        <f t="shared" si="3"/>
        <v>0</v>
      </c>
      <c r="V51" s="666">
        <f t="shared" si="4"/>
        <v>0</v>
      </c>
      <c r="W51" s="665">
        <f t="shared" si="48"/>
        <v>0</v>
      </c>
      <c r="X51" s="665">
        <f t="shared" si="28"/>
        <v>0</v>
      </c>
      <c r="Y51" s="665">
        <f t="shared" si="31"/>
        <v>0</v>
      </c>
      <c r="Z51" s="361">
        <f t="shared" si="49"/>
        <v>0</v>
      </c>
      <c r="AB51" s="362"/>
      <c r="AC51" s="363">
        <f t="shared" si="50"/>
        <v>0</v>
      </c>
      <c r="AD51" s="668" t="s">
        <v>526</v>
      </c>
      <c r="AE51" s="669">
        <f t="shared" si="51"/>
        <v>0</v>
      </c>
      <c r="AF51" s="670" t="s">
        <v>526</v>
      </c>
      <c r="AG51" s="669">
        <f t="shared" si="52"/>
        <v>0</v>
      </c>
      <c r="AH51" s="670" t="s">
        <v>526</v>
      </c>
      <c r="AI51" s="364">
        <f t="shared" si="53"/>
        <v>0</v>
      </c>
      <c r="AJ51" s="364">
        <f t="shared" si="54"/>
        <v>0</v>
      </c>
      <c r="AK51" s="364">
        <f t="shared" si="55"/>
        <v>0</v>
      </c>
      <c r="AL51" s="364">
        <f t="shared" si="56"/>
        <v>0</v>
      </c>
      <c r="AM51" s="365">
        <f t="shared" si="57"/>
        <v>0</v>
      </c>
      <c r="AN51" s="366">
        <f t="shared" si="58"/>
        <v>0</v>
      </c>
      <c r="AO51" s="367">
        <f t="shared" si="59"/>
        <v>0</v>
      </c>
      <c r="AP51" s="368">
        <v>8.7999999999999998E-5</v>
      </c>
      <c r="AQ51" s="369">
        <v>2.0000000000000002E-5</v>
      </c>
      <c r="AR51" s="370">
        <v>2.22E-4</v>
      </c>
      <c r="AS51" s="371">
        <v>3.1E-4</v>
      </c>
      <c r="AT51" s="372">
        <f t="shared" si="45"/>
        <v>0</v>
      </c>
      <c r="AV51" s="373">
        <f t="shared" si="60"/>
        <v>0</v>
      </c>
      <c r="AW51" s="374">
        <f t="shared" si="61"/>
        <v>0</v>
      </c>
      <c r="AX51" s="375" t="str">
        <f t="shared" si="62"/>
        <v/>
      </c>
      <c r="AY51" s="376">
        <v>41820</v>
      </c>
      <c r="AZ51" s="377">
        <f t="shared" si="63"/>
        <v>-29871</v>
      </c>
      <c r="BA51" s="378">
        <f t="shared" si="64"/>
        <v>29871</v>
      </c>
      <c r="BB51" s="379" t="str">
        <f t="shared" si="65"/>
        <v/>
      </c>
      <c r="BC51" s="379" t="str">
        <f t="shared" si="66"/>
        <v/>
      </c>
      <c r="BD51" s="379">
        <f t="shared" si="67"/>
        <v>0</v>
      </c>
      <c r="BE51" s="379" t="str">
        <f t="shared" si="68"/>
        <v/>
      </c>
      <c r="BF51" s="380" t="str">
        <f t="shared" si="69"/>
        <v/>
      </c>
      <c r="BG51" s="381" t="e">
        <f t="shared" si="70"/>
        <v>#VALUE!</v>
      </c>
    </row>
    <row r="52" spans="1:61" x14ac:dyDescent="0.2">
      <c r="A52" s="382"/>
      <c r="B52" s="358"/>
      <c r="C52" s="359"/>
      <c r="D52" s="359"/>
      <c r="E52" s="671"/>
      <c r="F52" s="676"/>
      <c r="G52" s="676"/>
      <c r="H52" s="676"/>
      <c r="I52" s="676"/>
      <c r="J52" s="676"/>
      <c r="K52" s="672">
        <v>0</v>
      </c>
      <c r="L52" s="663">
        <v>0</v>
      </c>
      <c r="M52" s="666"/>
      <c r="N52" s="1122">
        <f t="shared" si="46"/>
        <v>0</v>
      </c>
      <c r="O52" s="1122"/>
      <c r="P52" s="1122"/>
      <c r="Q52" s="667"/>
      <c r="R52" s="666">
        <f t="shared" si="47"/>
        <v>0</v>
      </c>
      <c r="S52" s="665">
        <f t="shared" si="1"/>
        <v>0</v>
      </c>
      <c r="T52" s="665">
        <f t="shared" si="2"/>
        <v>0</v>
      </c>
      <c r="U52" s="666">
        <f t="shared" si="3"/>
        <v>0</v>
      </c>
      <c r="V52" s="666">
        <f t="shared" si="4"/>
        <v>0</v>
      </c>
      <c r="W52" s="665">
        <f t="shared" si="48"/>
        <v>0</v>
      </c>
      <c r="X52" s="665">
        <f t="shared" si="28"/>
        <v>0</v>
      </c>
      <c r="Y52" s="665">
        <f t="shared" si="31"/>
        <v>0</v>
      </c>
      <c r="Z52" s="361">
        <f t="shared" si="49"/>
        <v>0</v>
      </c>
      <c r="AB52" s="362"/>
      <c r="AC52" s="363">
        <f t="shared" si="50"/>
        <v>0</v>
      </c>
      <c r="AD52" s="668" t="s">
        <v>526</v>
      </c>
      <c r="AE52" s="669">
        <f t="shared" si="51"/>
        <v>0</v>
      </c>
      <c r="AF52" s="670" t="s">
        <v>526</v>
      </c>
      <c r="AG52" s="669">
        <f t="shared" si="52"/>
        <v>0</v>
      </c>
      <c r="AH52" s="670" t="s">
        <v>526</v>
      </c>
      <c r="AI52" s="364">
        <f t="shared" si="53"/>
        <v>0</v>
      </c>
      <c r="AJ52" s="364">
        <f t="shared" si="54"/>
        <v>0</v>
      </c>
      <c r="AK52" s="364">
        <f t="shared" si="55"/>
        <v>0</v>
      </c>
      <c r="AL52" s="364">
        <f t="shared" si="56"/>
        <v>0</v>
      </c>
      <c r="AM52" s="365">
        <f t="shared" si="57"/>
        <v>0</v>
      </c>
      <c r="AN52" s="366">
        <f t="shared" si="58"/>
        <v>0</v>
      </c>
      <c r="AO52" s="367">
        <f t="shared" si="59"/>
        <v>0</v>
      </c>
      <c r="AP52" s="368">
        <v>8.7999999999999998E-5</v>
      </c>
      <c r="AQ52" s="369">
        <v>2.0000000000000002E-5</v>
      </c>
      <c r="AR52" s="370">
        <v>2.22E-4</v>
      </c>
      <c r="AS52" s="371">
        <v>3.1E-4</v>
      </c>
      <c r="AT52" s="372">
        <f t="shared" si="45"/>
        <v>0</v>
      </c>
      <c r="AV52" s="373">
        <f t="shared" si="60"/>
        <v>0</v>
      </c>
      <c r="AW52" s="374">
        <f t="shared" si="61"/>
        <v>0</v>
      </c>
      <c r="AX52" s="375" t="str">
        <f t="shared" si="62"/>
        <v/>
      </c>
      <c r="AY52" s="376">
        <v>41820</v>
      </c>
      <c r="AZ52" s="377">
        <f t="shared" si="63"/>
        <v>-29871</v>
      </c>
      <c r="BA52" s="378">
        <f t="shared" si="64"/>
        <v>29871</v>
      </c>
      <c r="BB52" s="379" t="str">
        <f t="shared" si="65"/>
        <v/>
      </c>
      <c r="BC52" s="379" t="str">
        <f t="shared" si="66"/>
        <v/>
      </c>
      <c r="BD52" s="379">
        <f t="shared" si="67"/>
        <v>0</v>
      </c>
      <c r="BE52" s="379" t="str">
        <f t="shared" si="68"/>
        <v/>
      </c>
      <c r="BF52" s="380" t="str">
        <f t="shared" si="69"/>
        <v/>
      </c>
      <c r="BG52" s="381" t="e">
        <f t="shared" si="70"/>
        <v>#VALUE!</v>
      </c>
    </row>
    <row r="53" spans="1:61" x14ac:dyDescent="0.2">
      <c r="A53" s="382"/>
      <c r="B53" s="383"/>
      <c r="C53" s="359"/>
      <c r="D53" s="359"/>
      <c r="E53" s="671"/>
      <c r="F53" s="676"/>
      <c r="G53" s="676"/>
      <c r="H53" s="676"/>
      <c r="I53" s="676"/>
      <c r="J53" s="676"/>
      <c r="K53" s="672">
        <v>0</v>
      </c>
      <c r="L53" s="663">
        <v>0</v>
      </c>
      <c r="M53" s="666"/>
      <c r="N53" s="1122">
        <f t="shared" si="46"/>
        <v>0</v>
      </c>
      <c r="O53" s="1122"/>
      <c r="P53" s="1122"/>
      <c r="Q53" s="667"/>
      <c r="R53" s="666">
        <f t="shared" si="47"/>
        <v>0</v>
      </c>
      <c r="S53" s="665">
        <f t="shared" si="1"/>
        <v>0</v>
      </c>
      <c r="T53" s="665">
        <f t="shared" si="2"/>
        <v>0</v>
      </c>
      <c r="U53" s="666">
        <f t="shared" si="3"/>
        <v>0</v>
      </c>
      <c r="V53" s="666">
        <f t="shared" si="4"/>
        <v>0</v>
      </c>
      <c r="W53" s="665">
        <f t="shared" si="48"/>
        <v>0</v>
      </c>
      <c r="X53" s="665">
        <f t="shared" si="28"/>
        <v>0</v>
      </c>
      <c r="Y53" s="665">
        <f t="shared" si="31"/>
        <v>0</v>
      </c>
      <c r="Z53" s="361">
        <f t="shared" si="49"/>
        <v>0</v>
      </c>
      <c r="AB53" s="362"/>
      <c r="AC53" s="363">
        <f t="shared" si="50"/>
        <v>0</v>
      </c>
      <c r="AD53" s="668" t="s">
        <v>526</v>
      </c>
      <c r="AE53" s="669">
        <f t="shared" si="51"/>
        <v>0</v>
      </c>
      <c r="AF53" s="670" t="s">
        <v>526</v>
      </c>
      <c r="AG53" s="669">
        <f t="shared" si="52"/>
        <v>0</v>
      </c>
      <c r="AH53" s="670" t="s">
        <v>526</v>
      </c>
      <c r="AI53" s="364">
        <f t="shared" si="53"/>
        <v>0</v>
      </c>
      <c r="AJ53" s="364">
        <f t="shared" si="54"/>
        <v>0</v>
      </c>
      <c r="AK53" s="364">
        <f t="shared" si="55"/>
        <v>0</v>
      </c>
      <c r="AL53" s="364">
        <f t="shared" si="56"/>
        <v>0</v>
      </c>
      <c r="AM53" s="365">
        <f t="shared" si="57"/>
        <v>0</v>
      </c>
      <c r="AN53" s="366">
        <f t="shared" si="58"/>
        <v>0</v>
      </c>
      <c r="AO53" s="367">
        <f t="shared" si="59"/>
        <v>0</v>
      </c>
      <c r="AP53" s="368">
        <v>8.7999999999999998E-5</v>
      </c>
      <c r="AQ53" s="369">
        <v>2.0000000000000002E-5</v>
      </c>
      <c r="AR53" s="370">
        <v>2.22E-4</v>
      </c>
      <c r="AS53" s="371">
        <v>3.1E-4</v>
      </c>
      <c r="AT53" s="372">
        <f t="shared" si="45"/>
        <v>0</v>
      </c>
      <c r="AV53" s="373">
        <f t="shared" si="60"/>
        <v>0</v>
      </c>
      <c r="AW53" s="374">
        <f t="shared" si="61"/>
        <v>0</v>
      </c>
      <c r="AX53" s="375" t="str">
        <f t="shared" si="62"/>
        <v/>
      </c>
      <c r="AY53" s="376">
        <v>41820</v>
      </c>
      <c r="AZ53" s="377">
        <f t="shared" si="63"/>
        <v>-29871</v>
      </c>
      <c r="BA53" s="378">
        <f t="shared" si="64"/>
        <v>29871</v>
      </c>
      <c r="BB53" s="379" t="str">
        <f t="shared" si="65"/>
        <v/>
      </c>
      <c r="BC53" s="379" t="str">
        <f t="shared" si="66"/>
        <v/>
      </c>
      <c r="BD53" s="379">
        <f t="shared" si="67"/>
        <v>0</v>
      </c>
      <c r="BE53" s="379" t="str">
        <f t="shared" si="68"/>
        <v/>
      </c>
      <c r="BF53" s="380" t="str">
        <f t="shared" si="69"/>
        <v/>
      </c>
      <c r="BG53" s="381" t="e">
        <f t="shared" si="70"/>
        <v>#VALUE!</v>
      </c>
    </row>
    <row r="54" spans="1:61" x14ac:dyDescent="0.2">
      <c r="A54" s="382"/>
      <c r="B54" s="383"/>
      <c r="C54" s="359"/>
      <c r="D54" s="359"/>
      <c r="E54" s="671"/>
      <c r="F54" s="676"/>
      <c r="G54" s="676"/>
      <c r="H54" s="676"/>
      <c r="I54" s="676"/>
      <c r="J54" s="676"/>
      <c r="K54" s="672">
        <v>0</v>
      </c>
      <c r="L54" s="663">
        <v>0</v>
      </c>
      <c r="M54" s="666"/>
      <c r="N54" s="1122">
        <f t="shared" si="46"/>
        <v>0</v>
      </c>
      <c r="O54" s="1122"/>
      <c r="P54" s="1122"/>
      <c r="Q54" s="667"/>
      <c r="R54" s="666">
        <f t="shared" si="47"/>
        <v>0</v>
      </c>
      <c r="S54" s="665">
        <f t="shared" si="1"/>
        <v>0</v>
      </c>
      <c r="T54" s="665">
        <f t="shared" si="2"/>
        <v>0</v>
      </c>
      <c r="U54" s="666">
        <f t="shared" si="3"/>
        <v>0</v>
      </c>
      <c r="V54" s="666">
        <f t="shared" si="4"/>
        <v>0</v>
      </c>
      <c r="W54" s="665">
        <f t="shared" si="48"/>
        <v>0</v>
      </c>
      <c r="X54" s="665">
        <f t="shared" si="28"/>
        <v>0</v>
      </c>
      <c r="Y54" s="665">
        <f t="shared" si="31"/>
        <v>0</v>
      </c>
      <c r="Z54" s="361">
        <f t="shared" si="49"/>
        <v>0</v>
      </c>
      <c r="AB54" s="362"/>
      <c r="AC54" s="363">
        <f t="shared" si="50"/>
        <v>0</v>
      </c>
      <c r="AD54" s="668" t="s">
        <v>526</v>
      </c>
      <c r="AE54" s="669">
        <f t="shared" si="51"/>
        <v>0</v>
      </c>
      <c r="AF54" s="670" t="s">
        <v>526</v>
      </c>
      <c r="AG54" s="669">
        <f t="shared" si="52"/>
        <v>0</v>
      </c>
      <c r="AH54" s="670" t="s">
        <v>526</v>
      </c>
      <c r="AI54" s="364">
        <f t="shared" si="53"/>
        <v>0</v>
      </c>
      <c r="AJ54" s="364">
        <f t="shared" si="54"/>
        <v>0</v>
      </c>
      <c r="AK54" s="364">
        <f t="shared" si="55"/>
        <v>0</v>
      </c>
      <c r="AL54" s="364">
        <f t="shared" si="56"/>
        <v>0</v>
      </c>
      <c r="AM54" s="365">
        <f t="shared" si="57"/>
        <v>0</v>
      </c>
      <c r="AN54" s="366">
        <f t="shared" si="58"/>
        <v>0</v>
      </c>
      <c r="AO54" s="367">
        <f t="shared" si="59"/>
        <v>0</v>
      </c>
      <c r="AP54" s="368">
        <v>8.7999999999999998E-5</v>
      </c>
      <c r="AQ54" s="369">
        <v>2.0000000000000002E-5</v>
      </c>
      <c r="AR54" s="370">
        <v>2.22E-4</v>
      </c>
      <c r="AS54" s="371">
        <v>3.1E-4</v>
      </c>
      <c r="AT54" s="372">
        <f t="shared" si="45"/>
        <v>0</v>
      </c>
      <c r="AV54" s="373">
        <f t="shared" si="60"/>
        <v>0</v>
      </c>
      <c r="AW54" s="374">
        <f t="shared" si="61"/>
        <v>0</v>
      </c>
      <c r="AX54" s="375" t="str">
        <f t="shared" si="62"/>
        <v/>
      </c>
      <c r="AY54" s="376">
        <v>41820</v>
      </c>
      <c r="AZ54" s="377">
        <f t="shared" si="63"/>
        <v>-29871</v>
      </c>
      <c r="BA54" s="378">
        <f t="shared" si="64"/>
        <v>29871</v>
      </c>
      <c r="BB54" s="379" t="str">
        <f t="shared" si="65"/>
        <v/>
      </c>
      <c r="BC54" s="379" t="str">
        <f t="shared" si="66"/>
        <v/>
      </c>
      <c r="BD54" s="379">
        <f t="shared" si="67"/>
        <v>0</v>
      </c>
      <c r="BE54" s="379" t="str">
        <f t="shared" si="68"/>
        <v/>
      </c>
      <c r="BF54" s="380" t="str">
        <f t="shared" si="69"/>
        <v/>
      </c>
      <c r="BG54" s="381" t="e">
        <f t="shared" si="70"/>
        <v>#VALUE!</v>
      </c>
    </row>
    <row r="55" spans="1:61" x14ac:dyDescent="0.2">
      <c r="A55" s="382"/>
      <c r="B55" s="358"/>
      <c r="C55" s="359"/>
      <c r="D55" s="359"/>
      <c r="E55" s="671"/>
      <c r="F55" s="676"/>
      <c r="G55" s="676"/>
      <c r="H55" s="676"/>
      <c r="I55" s="676"/>
      <c r="J55" s="676"/>
      <c r="K55" s="672">
        <v>0</v>
      </c>
      <c r="L55" s="663">
        <v>0</v>
      </c>
      <c r="M55" s="666"/>
      <c r="N55" s="1122">
        <f t="shared" si="46"/>
        <v>0</v>
      </c>
      <c r="O55" s="1122"/>
      <c r="P55" s="1122"/>
      <c r="Q55" s="667"/>
      <c r="R55" s="666">
        <f t="shared" si="47"/>
        <v>0</v>
      </c>
      <c r="S55" s="665">
        <f t="shared" si="1"/>
        <v>0</v>
      </c>
      <c r="T55" s="665">
        <f t="shared" si="2"/>
        <v>0</v>
      </c>
      <c r="U55" s="666">
        <f t="shared" si="3"/>
        <v>0</v>
      </c>
      <c r="V55" s="666">
        <f t="shared" si="4"/>
        <v>0</v>
      </c>
      <c r="W55" s="665">
        <f t="shared" si="48"/>
        <v>0</v>
      </c>
      <c r="X55" s="665">
        <f t="shared" si="28"/>
        <v>0</v>
      </c>
      <c r="Y55" s="665">
        <f t="shared" si="31"/>
        <v>0</v>
      </c>
      <c r="Z55" s="361">
        <f t="shared" si="49"/>
        <v>0</v>
      </c>
      <c r="AB55" s="362"/>
      <c r="AC55" s="363">
        <f t="shared" si="50"/>
        <v>0</v>
      </c>
      <c r="AD55" s="668" t="s">
        <v>526</v>
      </c>
      <c r="AE55" s="669">
        <f t="shared" si="51"/>
        <v>0</v>
      </c>
      <c r="AF55" s="670" t="s">
        <v>526</v>
      </c>
      <c r="AG55" s="669">
        <f t="shared" si="52"/>
        <v>0</v>
      </c>
      <c r="AH55" s="670" t="s">
        <v>526</v>
      </c>
      <c r="AI55" s="364">
        <f t="shared" si="53"/>
        <v>0</v>
      </c>
      <c r="AJ55" s="364">
        <f t="shared" si="54"/>
        <v>0</v>
      </c>
      <c r="AK55" s="364">
        <f t="shared" si="55"/>
        <v>0</v>
      </c>
      <c r="AL55" s="364">
        <f t="shared" si="56"/>
        <v>0</v>
      </c>
      <c r="AM55" s="365">
        <f t="shared" si="57"/>
        <v>0</v>
      </c>
      <c r="AN55" s="366">
        <f t="shared" si="58"/>
        <v>0</v>
      </c>
      <c r="AO55" s="367">
        <f t="shared" si="59"/>
        <v>0</v>
      </c>
      <c r="AP55" s="368">
        <v>8.7999999999999998E-5</v>
      </c>
      <c r="AQ55" s="369">
        <v>2.0000000000000002E-5</v>
      </c>
      <c r="AR55" s="370">
        <v>2.22E-4</v>
      </c>
      <c r="AS55" s="371">
        <v>3.1E-4</v>
      </c>
      <c r="AT55" s="372">
        <f t="shared" si="45"/>
        <v>0</v>
      </c>
      <c r="AV55" s="373">
        <f t="shared" si="60"/>
        <v>0</v>
      </c>
      <c r="AW55" s="374">
        <f t="shared" si="61"/>
        <v>0</v>
      </c>
      <c r="AX55" s="375" t="str">
        <f t="shared" si="62"/>
        <v/>
      </c>
      <c r="AY55" s="376">
        <v>41820</v>
      </c>
      <c r="AZ55" s="377">
        <f t="shared" si="63"/>
        <v>-29871</v>
      </c>
      <c r="BA55" s="378">
        <f t="shared" si="64"/>
        <v>29871</v>
      </c>
      <c r="BB55" s="379" t="str">
        <f t="shared" si="65"/>
        <v/>
      </c>
      <c r="BC55" s="379" t="str">
        <f t="shared" si="66"/>
        <v/>
      </c>
      <c r="BD55" s="379">
        <f t="shared" si="67"/>
        <v>0</v>
      </c>
      <c r="BE55" s="379" t="str">
        <f t="shared" si="68"/>
        <v/>
      </c>
      <c r="BF55" s="380" t="str">
        <f t="shared" si="69"/>
        <v/>
      </c>
      <c r="BG55" s="381" t="e">
        <f t="shared" si="70"/>
        <v>#VALUE!</v>
      </c>
    </row>
    <row r="56" spans="1:61" x14ac:dyDescent="0.2">
      <c r="A56" s="382"/>
      <c r="B56" s="383"/>
      <c r="C56" s="359"/>
      <c r="D56" s="359"/>
      <c r="E56" s="671"/>
      <c r="F56" s="676"/>
      <c r="G56" s="676"/>
      <c r="H56" s="676"/>
      <c r="I56" s="676"/>
      <c r="J56" s="676"/>
      <c r="K56" s="672">
        <v>0</v>
      </c>
      <c r="L56" s="663">
        <v>0</v>
      </c>
      <c r="M56" s="666"/>
      <c r="N56" s="1122">
        <f t="shared" si="46"/>
        <v>0</v>
      </c>
      <c r="O56" s="1122"/>
      <c r="P56" s="1122"/>
      <c r="Q56" s="667"/>
      <c r="R56" s="666">
        <f t="shared" si="47"/>
        <v>0</v>
      </c>
      <c r="S56" s="665">
        <f t="shared" si="1"/>
        <v>0</v>
      </c>
      <c r="T56" s="665">
        <f t="shared" si="2"/>
        <v>0</v>
      </c>
      <c r="U56" s="666">
        <f t="shared" si="3"/>
        <v>0</v>
      </c>
      <c r="V56" s="666">
        <f t="shared" si="4"/>
        <v>0</v>
      </c>
      <c r="W56" s="665">
        <f t="shared" si="48"/>
        <v>0</v>
      </c>
      <c r="X56" s="665">
        <f t="shared" si="28"/>
        <v>0</v>
      </c>
      <c r="Y56" s="665">
        <f t="shared" si="31"/>
        <v>0</v>
      </c>
      <c r="Z56" s="361">
        <f t="shared" si="49"/>
        <v>0</v>
      </c>
      <c r="AB56" s="362"/>
      <c r="AC56" s="363">
        <f t="shared" si="50"/>
        <v>0</v>
      </c>
      <c r="AD56" s="668" t="s">
        <v>526</v>
      </c>
      <c r="AE56" s="669">
        <f t="shared" si="51"/>
        <v>0</v>
      </c>
      <c r="AF56" s="670" t="s">
        <v>526</v>
      </c>
      <c r="AG56" s="669">
        <f t="shared" si="52"/>
        <v>0</v>
      </c>
      <c r="AH56" s="670" t="s">
        <v>526</v>
      </c>
      <c r="AI56" s="364">
        <f t="shared" si="53"/>
        <v>0</v>
      </c>
      <c r="AJ56" s="364">
        <f t="shared" si="54"/>
        <v>0</v>
      </c>
      <c r="AK56" s="364">
        <f t="shared" si="55"/>
        <v>0</v>
      </c>
      <c r="AL56" s="364">
        <f t="shared" si="56"/>
        <v>0</v>
      </c>
      <c r="AM56" s="365">
        <f t="shared" si="57"/>
        <v>0</v>
      </c>
      <c r="AN56" s="366">
        <f t="shared" si="58"/>
        <v>0</v>
      </c>
      <c r="AO56" s="367">
        <f t="shared" si="59"/>
        <v>0</v>
      </c>
      <c r="AP56" s="368">
        <v>8.7999999999999998E-5</v>
      </c>
      <c r="AQ56" s="369">
        <v>2.0000000000000002E-5</v>
      </c>
      <c r="AR56" s="370">
        <v>2.22E-4</v>
      </c>
      <c r="AS56" s="371">
        <v>3.1E-4</v>
      </c>
      <c r="AT56" s="372">
        <f t="shared" si="45"/>
        <v>0</v>
      </c>
      <c r="AV56" s="373">
        <f t="shared" si="60"/>
        <v>0</v>
      </c>
      <c r="AW56" s="374">
        <f t="shared" si="61"/>
        <v>0</v>
      </c>
      <c r="AX56" s="375" t="str">
        <f t="shared" si="62"/>
        <v/>
      </c>
      <c r="AY56" s="376">
        <v>41820</v>
      </c>
      <c r="AZ56" s="377">
        <f t="shared" si="63"/>
        <v>-29871</v>
      </c>
      <c r="BA56" s="378">
        <f t="shared" si="64"/>
        <v>29871</v>
      </c>
      <c r="BB56" s="379" t="str">
        <f t="shared" si="65"/>
        <v/>
      </c>
      <c r="BC56" s="379" t="str">
        <f t="shared" si="66"/>
        <v/>
      </c>
      <c r="BD56" s="379">
        <f t="shared" si="67"/>
        <v>0</v>
      </c>
      <c r="BE56" s="379" t="str">
        <f t="shared" si="68"/>
        <v/>
      </c>
      <c r="BF56" s="380" t="str">
        <f t="shared" si="69"/>
        <v/>
      </c>
      <c r="BG56" s="381" t="e">
        <f t="shared" si="70"/>
        <v>#VALUE!</v>
      </c>
    </row>
    <row r="57" spans="1:61" x14ac:dyDescent="0.2">
      <c r="A57" s="382"/>
      <c r="B57" s="383"/>
      <c r="C57" s="359"/>
      <c r="D57" s="359"/>
      <c r="E57" s="671"/>
      <c r="F57" s="676"/>
      <c r="G57" s="676"/>
      <c r="H57" s="676"/>
      <c r="I57" s="676"/>
      <c r="J57" s="676"/>
      <c r="K57" s="672">
        <v>0</v>
      </c>
      <c r="L57" s="663">
        <v>0</v>
      </c>
      <c r="M57" s="666"/>
      <c r="N57" s="1122">
        <f t="shared" si="46"/>
        <v>0</v>
      </c>
      <c r="O57" s="1122"/>
      <c r="P57" s="1122"/>
      <c r="Q57" s="667"/>
      <c r="R57" s="666">
        <f t="shared" si="47"/>
        <v>0</v>
      </c>
      <c r="S57" s="665">
        <f t="shared" si="1"/>
        <v>0</v>
      </c>
      <c r="T57" s="665">
        <f t="shared" si="2"/>
        <v>0</v>
      </c>
      <c r="U57" s="666">
        <f t="shared" si="3"/>
        <v>0</v>
      </c>
      <c r="V57" s="666">
        <f t="shared" si="4"/>
        <v>0</v>
      </c>
      <c r="W57" s="665">
        <f t="shared" si="48"/>
        <v>0</v>
      </c>
      <c r="X57" s="665">
        <f t="shared" si="28"/>
        <v>0</v>
      </c>
      <c r="Y57" s="665">
        <f t="shared" si="31"/>
        <v>0</v>
      </c>
      <c r="Z57" s="361">
        <f t="shared" si="49"/>
        <v>0</v>
      </c>
      <c r="AB57" s="362"/>
      <c r="AC57" s="363">
        <f t="shared" si="50"/>
        <v>0</v>
      </c>
      <c r="AD57" s="668" t="s">
        <v>526</v>
      </c>
      <c r="AE57" s="669">
        <f t="shared" si="51"/>
        <v>0</v>
      </c>
      <c r="AF57" s="670" t="s">
        <v>526</v>
      </c>
      <c r="AG57" s="669">
        <f t="shared" si="52"/>
        <v>0</v>
      </c>
      <c r="AH57" s="670" t="s">
        <v>526</v>
      </c>
      <c r="AI57" s="364">
        <f t="shared" si="53"/>
        <v>0</v>
      </c>
      <c r="AJ57" s="364">
        <f t="shared" si="54"/>
        <v>0</v>
      </c>
      <c r="AK57" s="364">
        <f t="shared" si="55"/>
        <v>0</v>
      </c>
      <c r="AL57" s="364">
        <f t="shared" si="56"/>
        <v>0</v>
      </c>
      <c r="AM57" s="365">
        <f t="shared" si="57"/>
        <v>0</v>
      </c>
      <c r="AN57" s="366">
        <f t="shared" si="58"/>
        <v>0</v>
      </c>
      <c r="AO57" s="367">
        <f t="shared" si="59"/>
        <v>0</v>
      </c>
      <c r="AP57" s="368">
        <v>8.7999999999999998E-5</v>
      </c>
      <c r="AQ57" s="369">
        <v>2.0000000000000002E-5</v>
      </c>
      <c r="AR57" s="370">
        <v>2.22E-4</v>
      </c>
      <c r="AS57" s="371">
        <v>3.1E-4</v>
      </c>
      <c r="AT57" s="372">
        <f t="shared" si="45"/>
        <v>0</v>
      </c>
      <c r="AV57" s="373">
        <f t="shared" si="60"/>
        <v>0</v>
      </c>
      <c r="AW57" s="374">
        <f t="shared" si="61"/>
        <v>0</v>
      </c>
      <c r="AX57" s="375" t="str">
        <f t="shared" si="62"/>
        <v/>
      </c>
      <c r="AY57" s="376">
        <v>41820</v>
      </c>
      <c r="AZ57" s="377">
        <f t="shared" si="63"/>
        <v>-29871</v>
      </c>
      <c r="BA57" s="378">
        <f t="shared" si="64"/>
        <v>29871</v>
      </c>
      <c r="BB57" s="379" t="str">
        <f t="shared" si="65"/>
        <v/>
      </c>
      <c r="BC57" s="379" t="str">
        <f t="shared" si="66"/>
        <v/>
      </c>
      <c r="BD57" s="379">
        <f t="shared" si="67"/>
        <v>0</v>
      </c>
      <c r="BE57" s="379" t="str">
        <f t="shared" si="68"/>
        <v/>
      </c>
      <c r="BF57" s="380" t="str">
        <f t="shared" si="69"/>
        <v/>
      </c>
      <c r="BG57" s="381" t="e">
        <f t="shared" si="70"/>
        <v>#VALUE!</v>
      </c>
    </row>
    <row r="58" spans="1:61" x14ac:dyDescent="0.2">
      <c r="A58" s="382"/>
      <c r="B58" s="358"/>
      <c r="C58" s="359"/>
      <c r="D58" s="359"/>
      <c r="E58" s="384"/>
      <c r="F58" s="676"/>
      <c r="G58" s="676"/>
      <c r="H58" s="676"/>
      <c r="I58" s="676"/>
      <c r="J58" s="676"/>
      <c r="K58" s="672">
        <v>0</v>
      </c>
      <c r="L58" s="663">
        <v>0</v>
      </c>
      <c r="M58" s="666"/>
      <c r="N58" s="1122">
        <f t="shared" si="46"/>
        <v>0</v>
      </c>
      <c r="O58" s="1122"/>
      <c r="P58" s="1122"/>
      <c r="Q58" s="667"/>
      <c r="R58" s="666">
        <f t="shared" si="47"/>
        <v>0</v>
      </c>
      <c r="S58" s="665">
        <f t="shared" si="1"/>
        <v>0</v>
      </c>
      <c r="T58" s="665">
        <f t="shared" si="2"/>
        <v>0</v>
      </c>
      <c r="U58" s="666">
        <f t="shared" si="3"/>
        <v>0</v>
      </c>
      <c r="V58" s="666">
        <f t="shared" si="4"/>
        <v>0</v>
      </c>
      <c r="W58" s="665">
        <f t="shared" si="48"/>
        <v>0</v>
      </c>
      <c r="X58" s="665">
        <f t="shared" si="28"/>
        <v>0</v>
      </c>
      <c r="Y58" s="665">
        <f t="shared" si="31"/>
        <v>0</v>
      </c>
      <c r="Z58" s="361">
        <f t="shared" si="49"/>
        <v>0</v>
      </c>
      <c r="AB58" s="362"/>
      <c r="AC58" s="363">
        <f t="shared" si="50"/>
        <v>0</v>
      </c>
      <c r="AD58" s="668" t="s">
        <v>526</v>
      </c>
      <c r="AE58" s="669">
        <f t="shared" si="51"/>
        <v>0</v>
      </c>
      <c r="AF58" s="670" t="s">
        <v>526</v>
      </c>
      <c r="AG58" s="669">
        <f t="shared" si="52"/>
        <v>0</v>
      </c>
      <c r="AH58" s="670" t="s">
        <v>526</v>
      </c>
      <c r="AI58" s="364">
        <f t="shared" si="53"/>
        <v>0</v>
      </c>
      <c r="AJ58" s="364">
        <f t="shared" si="54"/>
        <v>0</v>
      </c>
      <c r="AK58" s="364">
        <f t="shared" si="55"/>
        <v>0</v>
      </c>
      <c r="AL58" s="364">
        <f t="shared" si="56"/>
        <v>0</v>
      </c>
      <c r="AM58" s="365">
        <f t="shared" si="57"/>
        <v>0</v>
      </c>
      <c r="AN58" s="366">
        <f t="shared" si="58"/>
        <v>0</v>
      </c>
      <c r="AO58" s="367">
        <f t="shared" si="59"/>
        <v>0</v>
      </c>
      <c r="AP58" s="368">
        <v>8.7999999999999998E-5</v>
      </c>
      <c r="AQ58" s="369">
        <v>2.0000000000000002E-5</v>
      </c>
      <c r="AR58" s="370">
        <v>2.22E-4</v>
      </c>
      <c r="AS58" s="371">
        <v>3.1E-4</v>
      </c>
      <c r="AT58" s="372">
        <f t="shared" si="45"/>
        <v>0</v>
      </c>
      <c r="AV58" s="373">
        <f t="shared" si="60"/>
        <v>0</v>
      </c>
      <c r="AW58" s="374">
        <f t="shared" si="61"/>
        <v>0</v>
      </c>
      <c r="AX58" s="375" t="str">
        <f t="shared" si="62"/>
        <v/>
      </c>
      <c r="AY58" s="376">
        <v>41820</v>
      </c>
      <c r="AZ58" s="377">
        <f t="shared" si="63"/>
        <v>-29871</v>
      </c>
      <c r="BA58" s="378">
        <f t="shared" si="64"/>
        <v>29871</v>
      </c>
      <c r="BB58" s="379" t="str">
        <f t="shared" si="65"/>
        <v/>
      </c>
      <c r="BC58" s="379" t="str">
        <f t="shared" si="66"/>
        <v/>
      </c>
      <c r="BD58" s="379">
        <f t="shared" si="67"/>
        <v>0</v>
      </c>
      <c r="BE58" s="379" t="str">
        <f t="shared" si="68"/>
        <v/>
      </c>
      <c r="BF58" s="380" t="str">
        <f t="shared" si="69"/>
        <v/>
      </c>
      <c r="BG58" s="381" t="e">
        <f t="shared" si="70"/>
        <v>#VALUE!</v>
      </c>
    </row>
    <row r="59" spans="1:61" x14ac:dyDescent="0.2">
      <c r="A59" s="382"/>
      <c r="B59" s="383"/>
      <c r="C59" s="359"/>
      <c r="D59" s="359"/>
      <c r="E59" s="384"/>
      <c r="F59" s="677"/>
      <c r="G59" s="676"/>
      <c r="H59" s="676"/>
      <c r="I59" s="676"/>
      <c r="J59" s="678"/>
      <c r="K59" s="672">
        <v>0</v>
      </c>
      <c r="L59" s="663">
        <v>0</v>
      </c>
      <c r="M59" s="666"/>
      <c r="N59" s="1122">
        <f t="shared" si="46"/>
        <v>0</v>
      </c>
      <c r="O59" s="1122"/>
      <c r="P59" s="1122"/>
      <c r="Q59" s="679"/>
      <c r="R59" s="666">
        <f t="shared" si="47"/>
        <v>0</v>
      </c>
      <c r="S59" s="665">
        <f t="shared" si="1"/>
        <v>0</v>
      </c>
      <c r="T59" s="665">
        <f t="shared" si="2"/>
        <v>0</v>
      </c>
      <c r="U59" s="666">
        <f t="shared" si="3"/>
        <v>0</v>
      </c>
      <c r="V59" s="666">
        <f t="shared" si="4"/>
        <v>0</v>
      </c>
      <c r="W59" s="665">
        <f t="shared" si="48"/>
        <v>0</v>
      </c>
      <c r="X59" s="665">
        <f t="shared" si="28"/>
        <v>0</v>
      </c>
      <c r="Y59" s="665">
        <f t="shared" si="31"/>
        <v>0</v>
      </c>
      <c r="Z59" s="361">
        <f t="shared" si="49"/>
        <v>0</v>
      </c>
      <c r="AB59" s="362"/>
      <c r="AC59" s="363">
        <f t="shared" si="50"/>
        <v>0</v>
      </c>
      <c r="AD59" s="668" t="s">
        <v>526</v>
      </c>
      <c r="AE59" s="669">
        <f t="shared" si="51"/>
        <v>0</v>
      </c>
      <c r="AF59" s="670" t="s">
        <v>526</v>
      </c>
      <c r="AG59" s="669">
        <f t="shared" si="52"/>
        <v>0</v>
      </c>
      <c r="AH59" s="670" t="s">
        <v>526</v>
      </c>
      <c r="AI59" s="364">
        <f t="shared" si="53"/>
        <v>0</v>
      </c>
      <c r="AJ59" s="364">
        <f t="shared" si="54"/>
        <v>0</v>
      </c>
      <c r="AK59" s="364">
        <f t="shared" si="55"/>
        <v>0</v>
      </c>
      <c r="AL59" s="364">
        <f t="shared" si="56"/>
        <v>0</v>
      </c>
      <c r="AM59" s="365">
        <f t="shared" si="57"/>
        <v>0</v>
      </c>
      <c r="AN59" s="366">
        <f t="shared" si="58"/>
        <v>0</v>
      </c>
      <c r="AO59" s="367">
        <f t="shared" si="59"/>
        <v>0</v>
      </c>
      <c r="AP59" s="368">
        <v>8.7999999999999998E-5</v>
      </c>
      <c r="AQ59" s="369">
        <v>2.0000000000000002E-5</v>
      </c>
      <c r="AR59" s="370">
        <v>2.22E-4</v>
      </c>
      <c r="AS59" s="371">
        <v>3.1E-4</v>
      </c>
      <c r="AT59" s="372">
        <f t="shared" si="45"/>
        <v>0</v>
      </c>
      <c r="AV59" s="373">
        <f t="shared" si="60"/>
        <v>0</v>
      </c>
      <c r="AW59" s="374">
        <f t="shared" si="61"/>
        <v>0</v>
      </c>
      <c r="AX59" s="375" t="str">
        <f t="shared" si="62"/>
        <v/>
      </c>
      <c r="AY59" s="376">
        <v>41820</v>
      </c>
      <c r="AZ59" s="377">
        <f t="shared" si="63"/>
        <v>-29871</v>
      </c>
      <c r="BA59" s="378">
        <f t="shared" si="64"/>
        <v>29871</v>
      </c>
      <c r="BB59" s="379" t="str">
        <f t="shared" si="65"/>
        <v/>
      </c>
      <c r="BC59" s="379" t="str">
        <f t="shared" si="66"/>
        <v/>
      </c>
      <c r="BD59" s="379">
        <f t="shared" si="67"/>
        <v>0</v>
      </c>
      <c r="BE59" s="379" t="str">
        <f t="shared" si="68"/>
        <v/>
      </c>
      <c r="BF59" s="380" t="str">
        <f t="shared" si="69"/>
        <v/>
      </c>
      <c r="BG59" s="381" t="e">
        <f t="shared" si="70"/>
        <v>#VALUE!</v>
      </c>
    </row>
    <row r="60" spans="1:61" x14ac:dyDescent="0.2">
      <c r="A60" s="382"/>
      <c r="B60" s="383"/>
      <c r="C60" s="359"/>
      <c r="D60" s="359"/>
      <c r="E60" s="384"/>
      <c r="F60" s="680"/>
      <c r="G60" s="680"/>
      <c r="H60" s="680"/>
      <c r="I60" s="680"/>
      <c r="J60" s="678"/>
      <c r="K60" s="672">
        <v>0</v>
      </c>
      <c r="L60" s="663">
        <v>0</v>
      </c>
      <c r="M60" s="666"/>
      <c r="N60" s="1122">
        <f t="shared" si="46"/>
        <v>0</v>
      </c>
      <c r="O60" s="1122"/>
      <c r="P60" s="1122"/>
      <c r="Q60" s="679"/>
      <c r="R60" s="666">
        <f t="shared" si="47"/>
        <v>0</v>
      </c>
      <c r="S60" s="665">
        <f t="shared" si="1"/>
        <v>0</v>
      </c>
      <c r="T60" s="665">
        <f t="shared" si="2"/>
        <v>0</v>
      </c>
      <c r="U60" s="666">
        <f t="shared" si="3"/>
        <v>0</v>
      </c>
      <c r="V60" s="666">
        <f t="shared" si="4"/>
        <v>0</v>
      </c>
      <c r="W60" s="665">
        <f t="shared" si="48"/>
        <v>0</v>
      </c>
      <c r="X60" s="665">
        <f t="shared" si="28"/>
        <v>0</v>
      </c>
      <c r="Y60" s="665">
        <f t="shared" si="31"/>
        <v>0</v>
      </c>
      <c r="Z60" s="361">
        <f t="shared" si="49"/>
        <v>0</v>
      </c>
      <c r="AB60" s="362"/>
      <c r="AC60" s="363">
        <f t="shared" si="50"/>
        <v>0</v>
      </c>
      <c r="AD60" s="668" t="s">
        <v>526</v>
      </c>
      <c r="AE60" s="669">
        <f t="shared" si="51"/>
        <v>0</v>
      </c>
      <c r="AF60" s="670" t="s">
        <v>526</v>
      </c>
      <c r="AG60" s="669">
        <f t="shared" si="52"/>
        <v>0</v>
      </c>
      <c r="AH60" s="670" t="s">
        <v>526</v>
      </c>
      <c r="AI60" s="364">
        <f t="shared" si="53"/>
        <v>0</v>
      </c>
      <c r="AJ60" s="364">
        <f t="shared" si="54"/>
        <v>0</v>
      </c>
      <c r="AK60" s="364">
        <f t="shared" si="55"/>
        <v>0</v>
      </c>
      <c r="AL60" s="364">
        <f t="shared" si="56"/>
        <v>0</v>
      </c>
      <c r="AM60" s="365">
        <f t="shared" si="57"/>
        <v>0</v>
      </c>
      <c r="AN60" s="366">
        <f t="shared" si="58"/>
        <v>0</v>
      </c>
      <c r="AO60" s="367">
        <f t="shared" si="59"/>
        <v>0</v>
      </c>
      <c r="AP60" s="368">
        <v>8.7999999999999998E-5</v>
      </c>
      <c r="AQ60" s="369">
        <v>2.0000000000000002E-5</v>
      </c>
      <c r="AR60" s="370">
        <v>2.22E-4</v>
      </c>
      <c r="AS60" s="371">
        <v>3.1E-4</v>
      </c>
      <c r="AT60" s="372">
        <f t="shared" si="45"/>
        <v>0</v>
      </c>
      <c r="AV60" s="373">
        <f t="shared" si="60"/>
        <v>0</v>
      </c>
      <c r="AW60" s="374">
        <f t="shared" si="61"/>
        <v>0</v>
      </c>
      <c r="AX60" s="375" t="str">
        <f t="shared" si="62"/>
        <v/>
      </c>
      <c r="AY60" s="376">
        <v>41820</v>
      </c>
      <c r="AZ60" s="377">
        <f t="shared" si="63"/>
        <v>-29871</v>
      </c>
      <c r="BA60" s="378">
        <f t="shared" si="64"/>
        <v>29871</v>
      </c>
      <c r="BB60" s="379" t="str">
        <f t="shared" si="65"/>
        <v/>
      </c>
      <c r="BC60" s="379" t="str">
        <f t="shared" si="66"/>
        <v/>
      </c>
      <c r="BD60" s="379">
        <f t="shared" si="67"/>
        <v>0</v>
      </c>
      <c r="BE60" s="379" t="str">
        <f t="shared" si="68"/>
        <v/>
      </c>
      <c r="BF60" s="380" t="str">
        <f t="shared" si="69"/>
        <v/>
      </c>
      <c r="BG60" s="381" t="e">
        <f t="shared" si="70"/>
        <v>#VALUE!</v>
      </c>
    </row>
    <row r="61" spans="1:61" x14ac:dyDescent="0.2">
      <c r="A61" s="382"/>
      <c r="B61" s="358"/>
      <c r="C61" s="359"/>
      <c r="D61" s="359"/>
      <c r="E61" s="384"/>
      <c r="F61" s="680"/>
      <c r="G61" s="680"/>
      <c r="H61" s="680"/>
      <c r="I61" s="680"/>
      <c r="J61" s="678"/>
      <c r="K61" s="672">
        <v>0</v>
      </c>
      <c r="L61" s="663">
        <v>0</v>
      </c>
      <c r="M61" s="666"/>
      <c r="N61" s="1122">
        <f t="shared" si="46"/>
        <v>0</v>
      </c>
      <c r="O61" s="1122"/>
      <c r="P61" s="1122"/>
      <c r="Q61" s="679"/>
      <c r="R61" s="666">
        <f t="shared" si="47"/>
        <v>0</v>
      </c>
      <c r="S61" s="665">
        <f t="shared" si="1"/>
        <v>0</v>
      </c>
      <c r="T61" s="665">
        <f t="shared" si="2"/>
        <v>0</v>
      </c>
      <c r="U61" s="666">
        <f t="shared" si="3"/>
        <v>0</v>
      </c>
      <c r="V61" s="666">
        <f t="shared" si="4"/>
        <v>0</v>
      </c>
      <c r="W61" s="665">
        <f t="shared" si="48"/>
        <v>0</v>
      </c>
      <c r="X61" s="665">
        <f t="shared" si="28"/>
        <v>0</v>
      </c>
      <c r="Y61" s="665">
        <f t="shared" si="31"/>
        <v>0</v>
      </c>
      <c r="Z61" s="361">
        <f t="shared" si="49"/>
        <v>0</v>
      </c>
      <c r="AB61" s="362"/>
      <c r="AC61" s="363">
        <f t="shared" si="50"/>
        <v>0</v>
      </c>
      <c r="AD61" s="668" t="s">
        <v>526</v>
      </c>
      <c r="AE61" s="669">
        <f t="shared" si="51"/>
        <v>0</v>
      </c>
      <c r="AF61" s="670" t="s">
        <v>526</v>
      </c>
      <c r="AG61" s="669">
        <f t="shared" si="52"/>
        <v>0</v>
      </c>
      <c r="AH61" s="670" t="s">
        <v>526</v>
      </c>
      <c r="AI61" s="364">
        <f t="shared" si="53"/>
        <v>0</v>
      </c>
      <c r="AJ61" s="364">
        <f t="shared" si="54"/>
        <v>0</v>
      </c>
      <c r="AK61" s="364">
        <f t="shared" si="55"/>
        <v>0</v>
      </c>
      <c r="AL61" s="364">
        <f t="shared" si="56"/>
        <v>0</v>
      </c>
      <c r="AM61" s="365">
        <f t="shared" si="57"/>
        <v>0</v>
      </c>
      <c r="AN61" s="366">
        <f t="shared" si="58"/>
        <v>0</v>
      </c>
      <c r="AO61" s="367">
        <f t="shared" si="59"/>
        <v>0</v>
      </c>
      <c r="AP61" s="368">
        <v>8.7999999999999998E-5</v>
      </c>
      <c r="AQ61" s="369">
        <v>2.0000000000000002E-5</v>
      </c>
      <c r="AR61" s="370">
        <v>2.22E-4</v>
      </c>
      <c r="AS61" s="371">
        <v>3.1E-4</v>
      </c>
      <c r="AT61" s="372">
        <f t="shared" si="45"/>
        <v>0</v>
      </c>
      <c r="AV61" s="373">
        <f t="shared" si="60"/>
        <v>0</v>
      </c>
      <c r="AW61" s="374">
        <f t="shared" si="61"/>
        <v>0</v>
      </c>
      <c r="AX61" s="375" t="str">
        <f t="shared" si="62"/>
        <v/>
      </c>
      <c r="AY61" s="376">
        <v>41820</v>
      </c>
      <c r="AZ61" s="377">
        <f t="shared" si="63"/>
        <v>-29871</v>
      </c>
      <c r="BA61" s="378">
        <f t="shared" si="64"/>
        <v>29871</v>
      </c>
      <c r="BB61" s="379" t="str">
        <f t="shared" si="65"/>
        <v/>
      </c>
      <c r="BC61" s="379" t="str">
        <f t="shared" si="66"/>
        <v/>
      </c>
      <c r="BD61" s="379">
        <f t="shared" si="67"/>
        <v>0</v>
      </c>
      <c r="BE61" s="379" t="str">
        <f t="shared" si="68"/>
        <v/>
      </c>
      <c r="BF61" s="380" t="str">
        <f t="shared" si="69"/>
        <v/>
      </c>
      <c r="BG61" s="381" t="e">
        <f t="shared" si="70"/>
        <v>#VALUE!</v>
      </c>
    </row>
    <row r="62" spans="1:61" x14ac:dyDescent="0.2">
      <c r="A62" s="382"/>
      <c r="B62" s="383"/>
      <c r="C62" s="389"/>
      <c r="D62" s="390"/>
      <c r="E62" s="384"/>
      <c r="F62" s="680"/>
      <c r="G62" s="680"/>
      <c r="H62" s="680"/>
      <c r="I62" s="680"/>
      <c r="J62" s="678"/>
      <c r="K62" s="672">
        <v>0</v>
      </c>
      <c r="L62" s="663">
        <v>0</v>
      </c>
      <c r="M62" s="666"/>
      <c r="N62" s="1122">
        <f t="shared" si="46"/>
        <v>0</v>
      </c>
      <c r="O62" s="1122"/>
      <c r="P62" s="1122"/>
      <c r="Q62" s="679"/>
      <c r="R62" s="666">
        <f t="shared" si="47"/>
        <v>0</v>
      </c>
      <c r="S62" s="665">
        <f t="shared" si="1"/>
        <v>0</v>
      </c>
      <c r="T62" s="665">
        <f t="shared" si="2"/>
        <v>0</v>
      </c>
      <c r="U62" s="666">
        <f t="shared" si="3"/>
        <v>0</v>
      </c>
      <c r="V62" s="666">
        <f t="shared" si="4"/>
        <v>0</v>
      </c>
      <c r="W62" s="665">
        <f t="shared" si="48"/>
        <v>0</v>
      </c>
      <c r="X62" s="665">
        <f t="shared" si="28"/>
        <v>0</v>
      </c>
      <c r="Y62" s="665">
        <f t="shared" si="31"/>
        <v>0</v>
      </c>
      <c r="Z62" s="361">
        <f t="shared" si="49"/>
        <v>0</v>
      </c>
      <c r="AB62" s="362"/>
      <c r="AC62" s="363">
        <f t="shared" si="50"/>
        <v>0</v>
      </c>
      <c r="AD62" s="668" t="s">
        <v>526</v>
      </c>
      <c r="AE62" s="669">
        <f t="shared" si="51"/>
        <v>0</v>
      </c>
      <c r="AF62" s="670" t="s">
        <v>526</v>
      </c>
      <c r="AG62" s="669">
        <f t="shared" si="52"/>
        <v>0</v>
      </c>
      <c r="AH62" s="670" t="s">
        <v>526</v>
      </c>
      <c r="AI62" s="364">
        <f t="shared" si="53"/>
        <v>0</v>
      </c>
      <c r="AJ62" s="364">
        <f t="shared" si="54"/>
        <v>0</v>
      </c>
      <c r="AK62" s="364">
        <f t="shared" si="55"/>
        <v>0</v>
      </c>
      <c r="AL62" s="364">
        <f t="shared" si="56"/>
        <v>0</v>
      </c>
      <c r="AM62" s="365">
        <f t="shared" si="57"/>
        <v>0</v>
      </c>
      <c r="AN62" s="366">
        <f t="shared" si="58"/>
        <v>0</v>
      </c>
      <c r="AO62" s="367">
        <f t="shared" si="59"/>
        <v>0</v>
      </c>
      <c r="AP62" s="368">
        <v>8.7999999999999998E-5</v>
      </c>
      <c r="AQ62" s="369">
        <v>2.0000000000000002E-5</v>
      </c>
      <c r="AR62" s="370">
        <v>2.22E-4</v>
      </c>
      <c r="AS62" s="371">
        <v>3.1E-4</v>
      </c>
      <c r="AT62" s="372">
        <f t="shared" si="45"/>
        <v>0</v>
      </c>
      <c r="AV62" s="373">
        <f t="shared" si="60"/>
        <v>0</v>
      </c>
      <c r="AW62" s="374">
        <f t="shared" si="61"/>
        <v>0</v>
      </c>
      <c r="AX62" s="375" t="str">
        <f t="shared" si="62"/>
        <v/>
      </c>
      <c r="AY62" s="376">
        <v>41820</v>
      </c>
      <c r="AZ62" s="377">
        <f t="shared" si="63"/>
        <v>-29871</v>
      </c>
      <c r="BA62" s="378">
        <f t="shared" si="64"/>
        <v>29871</v>
      </c>
      <c r="BB62" s="379" t="str">
        <f t="shared" si="65"/>
        <v/>
      </c>
      <c r="BC62" s="379" t="str">
        <f t="shared" si="66"/>
        <v/>
      </c>
      <c r="BD62" s="379">
        <f t="shared" si="67"/>
        <v>0</v>
      </c>
      <c r="BE62" s="379" t="str">
        <f t="shared" si="68"/>
        <v/>
      </c>
      <c r="BF62" s="380" t="str">
        <f t="shared" si="69"/>
        <v/>
      </c>
      <c r="BG62" s="381" t="e">
        <f t="shared" si="70"/>
        <v>#VALUE!</v>
      </c>
      <c r="BH62" s="329">
        <f>SUM(BC5:BC64)</f>
        <v>0</v>
      </c>
      <c r="BI62" s="279" t="s">
        <v>527</v>
      </c>
    </row>
    <row r="63" spans="1:61" x14ac:dyDescent="0.2">
      <c r="A63" s="382"/>
      <c r="B63" s="383"/>
      <c r="C63" s="389"/>
      <c r="D63" s="390"/>
      <c r="E63" s="384"/>
      <c r="F63" s="681"/>
      <c r="G63" s="785" t="s">
        <v>528</v>
      </c>
      <c r="H63" s="785"/>
      <c r="I63" s="785"/>
      <c r="J63" s="922">
        <v>9000</v>
      </c>
      <c r="K63" s="672">
        <v>0</v>
      </c>
      <c r="L63" s="663">
        <v>0</v>
      </c>
      <c r="M63" s="666"/>
      <c r="N63" s="1122">
        <f t="shared" si="46"/>
        <v>9000</v>
      </c>
      <c r="O63" s="1122"/>
      <c r="P63" s="1122"/>
      <c r="Q63" s="679"/>
      <c r="R63" s="666">
        <f t="shared" si="47"/>
        <v>0</v>
      </c>
      <c r="S63" s="665">
        <f t="shared" si="1"/>
        <v>558</v>
      </c>
      <c r="T63" s="665">
        <f t="shared" si="2"/>
        <v>130.5</v>
      </c>
      <c r="U63" s="666">
        <f t="shared" si="3"/>
        <v>42</v>
      </c>
      <c r="V63" s="666">
        <f t="shared" si="4"/>
        <v>100.8</v>
      </c>
      <c r="W63" s="665">
        <f t="shared" si="48"/>
        <v>69.12</v>
      </c>
      <c r="X63" s="665">
        <f t="shared" si="28"/>
        <v>0</v>
      </c>
      <c r="Y63" s="665">
        <f t="shared" si="31"/>
        <v>0</v>
      </c>
      <c r="Z63" s="361">
        <f t="shared" si="49"/>
        <v>9900.42</v>
      </c>
      <c r="AB63" s="362"/>
      <c r="AC63" s="927" t="str">
        <f t="shared" si="50"/>
        <v>Substitutes</v>
      </c>
      <c r="AD63" s="386"/>
      <c r="AE63" s="364" t="str">
        <f t="shared" si="51"/>
        <v>0</v>
      </c>
      <c r="AF63" s="386"/>
      <c r="AG63" s="364" t="str">
        <f t="shared" si="52"/>
        <v>0</v>
      </c>
      <c r="AH63" s="386"/>
      <c r="AI63" s="364" t="str">
        <f t="shared" si="53"/>
        <v>0</v>
      </c>
      <c r="AJ63" s="364" t="str">
        <f t="shared" si="54"/>
        <v>0</v>
      </c>
      <c r="AK63" s="364" t="str">
        <f t="shared" si="55"/>
        <v>0</v>
      </c>
      <c r="AL63" s="364" t="str">
        <f t="shared" si="56"/>
        <v>0</v>
      </c>
      <c r="AM63" s="365">
        <f t="shared" si="57"/>
        <v>0</v>
      </c>
      <c r="AN63" s="366">
        <f t="shared" si="58"/>
        <v>0</v>
      </c>
      <c r="AO63" s="367">
        <f t="shared" si="59"/>
        <v>0</v>
      </c>
      <c r="AP63" s="368">
        <v>8.7999999999999998E-5</v>
      </c>
      <c r="AQ63" s="369">
        <v>2.0000000000000002E-5</v>
      </c>
      <c r="AR63" s="370">
        <v>2.22E-4</v>
      </c>
      <c r="AS63" s="371">
        <v>3.1E-4</v>
      </c>
      <c r="AT63" s="372">
        <f t="shared" si="45"/>
        <v>69.12</v>
      </c>
      <c r="AV63" s="373">
        <f t="shared" si="60"/>
        <v>9000</v>
      </c>
      <c r="AW63" s="374">
        <f t="shared" si="61"/>
        <v>0</v>
      </c>
      <c r="AX63" s="375" t="str">
        <f t="shared" si="62"/>
        <v/>
      </c>
      <c r="AY63" s="376">
        <v>41820</v>
      </c>
      <c r="AZ63" s="377">
        <f t="shared" si="63"/>
        <v>-29871</v>
      </c>
      <c r="BA63" s="378">
        <f t="shared" si="64"/>
        <v>29871</v>
      </c>
      <c r="BB63" s="379" t="str">
        <f t="shared" si="65"/>
        <v/>
      </c>
      <c r="BC63" s="379" t="str">
        <f t="shared" si="66"/>
        <v/>
      </c>
      <c r="BD63" s="379">
        <f t="shared" si="67"/>
        <v>0</v>
      </c>
      <c r="BE63" s="379" t="str">
        <f t="shared" si="68"/>
        <v/>
      </c>
      <c r="BF63" s="380" t="str">
        <f t="shared" si="69"/>
        <v/>
      </c>
      <c r="BG63" s="381" t="e">
        <f t="shared" si="70"/>
        <v>#VALUE!</v>
      </c>
      <c r="BH63" s="329">
        <f>SUM(BE5:BE64)</f>
        <v>0</v>
      </c>
      <c r="BI63" s="279" t="s">
        <v>504</v>
      </c>
    </row>
    <row r="64" spans="1:61" x14ac:dyDescent="0.2">
      <c r="A64" s="382"/>
      <c r="B64" s="358"/>
      <c r="C64" s="389"/>
      <c r="D64" s="390"/>
      <c r="E64" s="384"/>
      <c r="F64" s="681"/>
      <c r="G64" s="680"/>
      <c r="H64" s="680"/>
      <c r="I64" s="680"/>
      <c r="J64" s="678"/>
      <c r="K64" s="672"/>
      <c r="L64" s="663">
        <v>0</v>
      </c>
      <c r="M64" s="666"/>
      <c r="N64" s="1122">
        <f t="shared" si="46"/>
        <v>0</v>
      </c>
      <c r="O64" s="1122"/>
      <c r="P64" s="1122"/>
      <c r="Q64" s="679"/>
      <c r="R64" s="666"/>
      <c r="S64" s="666"/>
      <c r="T64" s="666"/>
      <c r="U64" s="666">
        <f t="shared" si="3"/>
        <v>0</v>
      </c>
      <c r="V64" s="666"/>
      <c r="W64" s="665"/>
      <c r="X64" s="665"/>
      <c r="Y64" s="665"/>
      <c r="Z64" s="361">
        <f t="shared" si="49"/>
        <v>0</v>
      </c>
      <c r="AA64" s="1202" t="s">
        <v>507</v>
      </c>
      <c r="AB64" s="362"/>
      <c r="AC64" s="363">
        <f t="shared" si="50"/>
        <v>0</v>
      </c>
      <c r="AD64" s="386"/>
      <c r="AE64" s="364" t="str">
        <f>IF(ISNA(VLOOKUP(AD64,$A$226:$E$266,4,FALSE)),"",VLOOKUP(AD64,$A$226:$E$266,4,FALSE))</f>
        <v/>
      </c>
      <c r="AF64" s="386"/>
      <c r="AG64" s="364"/>
      <c r="AH64" s="386"/>
      <c r="AI64" s="364"/>
      <c r="AJ64" s="364"/>
      <c r="AK64" s="364"/>
      <c r="AL64" s="364"/>
      <c r="AM64" s="365"/>
      <c r="AN64" s="366"/>
      <c r="AO64" s="367"/>
      <c r="AP64" s="368"/>
      <c r="AQ64" s="369"/>
      <c r="AR64" s="370"/>
      <c r="AS64" s="371"/>
      <c r="AT64" s="372"/>
      <c r="AV64" s="373"/>
      <c r="AW64" s="374"/>
      <c r="AX64" s="375"/>
      <c r="AY64" s="376"/>
      <c r="AZ64" s="377"/>
      <c r="BA64" s="378"/>
      <c r="BB64" s="379"/>
      <c r="BC64" s="379"/>
      <c r="BD64" s="379"/>
      <c r="BE64" s="379"/>
      <c r="BF64" s="380"/>
      <c r="BG64" s="381"/>
      <c r="BH64" s="329">
        <f>SUM(BF5:BF64)</f>
        <v>0</v>
      </c>
      <c r="BI64" s="279" t="s">
        <v>505</v>
      </c>
    </row>
    <row r="65" spans="1:61" ht="13.5" thickBot="1" x14ac:dyDescent="0.25">
      <c r="A65" s="391"/>
      <c r="B65" s="391"/>
      <c r="C65" s="392"/>
      <c r="D65" s="392"/>
      <c r="E65" s="392"/>
      <c r="F65" s="393"/>
      <c r="G65" s="393"/>
      <c r="H65" s="393"/>
      <c r="I65" s="393"/>
      <c r="J65" s="393"/>
      <c r="K65" s="394"/>
      <c r="L65" s="663">
        <v>0</v>
      </c>
      <c r="M65" s="396"/>
      <c r="N65" s="1123"/>
      <c r="O65" s="1123"/>
      <c r="P65" s="1123"/>
      <c r="Q65" s="396"/>
      <c r="R65" s="396"/>
      <c r="S65" s="396"/>
      <c r="T65" s="396"/>
      <c r="U65" s="666">
        <f t="shared" si="3"/>
        <v>0</v>
      </c>
      <c r="V65" s="396"/>
      <c r="W65" s="396"/>
      <c r="X65" s="396"/>
      <c r="Y65" s="396"/>
      <c r="Z65" s="397"/>
      <c r="AA65" s="398">
        <f>SUM(Z5:Z64)</f>
        <v>3074655.4191135005</v>
      </c>
      <c r="AB65" s="399"/>
      <c r="AC65" s="400"/>
      <c r="AD65" s="401"/>
      <c r="AE65" s="402"/>
      <c r="AF65" s="401"/>
      <c r="AG65" s="402"/>
      <c r="AH65" s="401"/>
      <c r="AI65" s="402"/>
      <c r="AJ65" s="402"/>
      <c r="AK65" s="402"/>
      <c r="AL65" s="402"/>
      <c r="AM65" s="403"/>
      <c r="AN65" s="404"/>
      <c r="AO65" s="405"/>
      <c r="AP65" s="406"/>
      <c r="AQ65" s="407"/>
      <c r="AR65" s="408"/>
      <c r="AS65" s="409"/>
      <c r="AT65" s="410"/>
      <c r="AU65" s="411"/>
      <c r="AV65" s="412"/>
      <c r="AW65" s="413"/>
      <c r="AX65" s="414"/>
      <c r="AY65" s="415"/>
      <c r="AZ65" s="416"/>
      <c r="BA65" s="417"/>
      <c r="BB65" s="418"/>
      <c r="BC65" s="418"/>
      <c r="BD65" s="418"/>
      <c r="BE65" s="418"/>
      <c r="BF65" s="419"/>
      <c r="BG65" s="420"/>
      <c r="BH65" s="421">
        <f>SUM(BH62:BH64)</f>
        <v>0</v>
      </c>
      <c r="BI65" s="422" t="str">
        <f>AA64</f>
        <v>Instructional - Basic</v>
      </c>
    </row>
    <row r="66" spans="1:61" x14ac:dyDescent="0.2">
      <c r="A66" s="331" t="s">
        <v>529</v>
      </c>
      <c r="B66" s="385">
        <v>1</v>
      </c>
      <c r="C66" s="359"/>
      <c r="D66" s="359"/>
      <c r="E66" s="423"/>
      <c r="F66" s="681"/>
      <c r="G66" s="676"/>
      <c r="H66" s="676"/>
      <c r="I66" s="676"/>
      <c r="J66" s="884"/>
      <c r="K66" s="672">
        <v>0</v>
      </c>
      <c r="L66" s="663">
        <v>0</v>
      </c>
      <c r="M66" s="666"/>
      <c r="N66" s="1122">
        <f t="shared" ref="N66:N74" si="71">J66*(1+K66)+L66+M66</f>
        <v>0</v>
      </c>
      <c r="O66" s="1122"/>
      <c r="P66" s="1122"/>
      <c r="Q66" s="667">
        <v>0.05</v>
      </c>
      <c r="R66" s="665">
        <f t="shared" ref="R66:R74" si="72">N66*Q66</f>
        <v>0</v>
      </c>
      <c r="S66" s="665">
        <f t="shared" ref="S66:S74" si="73">(N66-R66)*0.062</f>
        <v>0</v>
      </c>
      <c r="T66" s="665">
        <f t="shared" ref="T66:T74" si="74">(N66-R66)*0.0145</f>
        <v>0</v>
      </c>
      <c r="U66" s="666">
        <f t="shared" si="3"/>
        <v>0</v>
      </c>
      <c r="V66" s="666">
        <f t="shared" ref="V66:V74" si="75">IF(N66&gt;=7000,7000*0.0144,IF(N66&lt;=7000,N66*0.0144))</f>
        <v>0</v>
      </c>
      <c r="W66" s="665">
        <f>AT66</f>
        <v>0</v>
      </c>
      <c r="X66" s="665">
        <f t="shared" ref="X66:X74" si="76">+AN66*6</f>
        <v>0</v>
      </c>
      <c r="Y66" s="665">
        <f t="shared" ref="Y66:Y74" si="77">+AN66*6</f>
        <v>0</v>
      </c>
      <c r="Z66" s="361">
        <f t="shared" ref="Z66:Z74" si="78">SUM(N66:Y66)</f>
        <v>0.05</v>
      </c>
      <c r="AA66" s="387"/>
      <c r="AB66" s="362"/>
      <c r="AC66" s="1182">
        <f t="shared" ref="AC66:AC74" si="79">G66</f>
        <v>0</v>
      </c>
      <c r="AD66" s="668" t="s">
        <v>526</v>
      </c>
      <c r="AE66" s="669">
        <f t="shared" ref="AE66:AE79" si="80">IF(ISNA(VLOOKUP(AD66,$A$225:$E$265,4,FALSE)),"0",VLOOKUP(AD66,$A$225:$E$265,4,FALSE))</f>
        <v>0</v>
      </c>
      <c r="AF66" s="670" t="s">
        <v>526</v>
      </c>
      <c r="AG66" s="669">
        <f t="shared" ref="AG66:AG79" si="81">IF(ISNA(VLOOKUP(AF66,$A$252:$E$265,4,FALSE)),"0",VLOOKUP(AF66,$A$252:$E$265,4,FALSE))</f>
        <v>0</v>
      </c>
      <c r="AH66" s="670" t="s">
        <v>526</v>
      </c>
      <c r="AI66" s="364">
        <f t="shared" ref="AI66:AI79" si="82">IF(ISNA(VLOOKUP(AH66,$A$225:$E$265,4,FALSE)),"0",VLOOKUP(AH66,$A$225:$E$265,4,FALSE))</f>
        <v>0</v>
      </c>
      <c r="AJ66" s="364">
        <f t="shared" ref="AJ66:AJ74" si="83">IF(ISNA(VLOOKUP(AD66,$A$225:$E$265,5,FALSE)),"0",VLOOKUP(AD66,$A$225:$E$265,5,FALSE))</f>
        <v>0</v>
      </c>
      <c r="AK66" s="364">
        <f t="shared" ref="AK66:AK74" si="84">IF(ISNA(VLOOKUP(AF66,$A$225:$E$265,5,FALSE)),"0",VLOOKUP(AF66,$A$225:$E$265,5,FALSE))</f>
        <v>0</v>
      </c>
      <c r="AL66" s="364">
        <f t="shared" ref="AL66:AL74" si="85">IF(ISNA(VLOOKUP(AH66,$A$225:$E$258,5,FALSE)),"0",VLOOKUP(AH66,$A$225:$E$258,5,FALSE))</f>
        <v>0</v>
      </c>
      <c r="AM66" s="425">
        <f>AE66+AG66+AI66</f>
        <v>0</v>
      </c>
      <c r="AN66" s="426">
        <f>AJ66+AK66+AL66</f>
        <v>0</v>
      </c>
      <c r="AO66" s="427">
        <f>SUM(AM66:AN66)</f>
        <v>0</v>
      </c>
      <c r="AP66" s="428">
        <v>8.7999999999999998E-5</v>
      </c>
      <c r="AQ66" s="429">
        <v>2.0000000000000002E-5</v>
      </c>
      <c r="AR66" s="430">
        <v>2.22E-4</v>
      </c>
      <c r="AS66" s="431">
        <v>3.1E-4</v>
      </c>
      <c r="AT66" s="372">
        <f t="shared" ref="AT66:AT74" si="86">SUM((J66*AP66)+(J66*AQ66)+(J66*AR66)+(J66*AS66))*12</f>
        <v>0</v>
      </c>
      <c r="AV66" s="433"/>
      <c r="AW66" s="434"/>
      <c r="AX66" s="435"/>
      <c r="AY66" s="436"/>
      <c r="AZ66" s="437"/>
      <c r="BA66" s="438"/>
      <c r="BB66" s="380"/>
      <c r="BC66" s="380"/>
      <c r="BD66" s="380"/>
      <c r="BE66" s="380"/>
      <c r="BF66" s="439"/>
      <c r="BG66" s="381"/>
      <c r="BH66" s="388"/>
    </row>
    <row r="67" spans="1:61" x14ac:dyDescent="0.2">
      <c r="A67" s="331"/>
      <c r="B67" s="385">
        <v>2</v>
      </c>
      <c r="C67" s="359"/>
      <c r="D67" s="359"/>
      <c r="E67" s="423"/>
      <c r="F67" s="681"/>
      <c r="G67" s="676"/>
      <c r="H67" s="676"/>
      <c r="I67" s="676"/>
      <c r="J67" s="681"/>
      <c r="K67" s="682">
        <v>0</v>
      </c>
      <c r="L67" s="663">
        <v>0</v>
      </c>
      <c r="M67" s="666"/>
      <c r="N67" s="1122">
        <f t="shared" si="71"/>
        <v>0</v>
      </c>
      <c r="O67" s="1122"/>
      <c r="P67" s="1122"/>
      <c r="Q67" s="667">
        <v>0</v>
      </c>
      <c r="R67" s="665">
        <f t="shared" si="72"/>
        <v>0</v>
      </c>
      <c r="S67" s="665">
        <f t="shared" si="73"/>
        <v>0</v>
      </c>
      <c r="T67" s="665">
        <f t="shared" si="74"/>
        <v>0</v>
      </c>
      <c r="U67" s="666">
        <f t="shared" si="3"/>
        <v>0</v>
      </c>
      <c r="V67" s="666">
        <f t="shared" si="75"/>
        <v>0</v>
      </c>
      <c r="W67" s="665">
        <f t="shared" ref="W67:W74" si="87">AT67</f>
        <v>0</v>
      </c>
      <c r="X67" s="665">
        <f t="shared" si="76"/>
        <v>0</v>
      </c>
      <c r="Y67" s="665">
        <f t="shared" si="77"/>
        <v>0</v>
      </c>
      <c r="Z67" s="361">
        <f t="shared" si="78"/>
        <v>0</v>
      </c>
      <c r="AA67" s="387"/>
      <c r="AB67" s="362"/>
      <c r="AC67" s="1182">
        <f t="shared" si="79"/>
        <v>0</v>
      </c>
      <c r="AD67" s="668" t="s">
        <v>526</v>
      </c>
      <c r="AE67" s="669">
        <f t="shared" si="80"/>
        <v>0</v>
      </c>
      <c r="AF67" s="670" t="s">
        <v>526</v>
      </c>
      <c r="AG67" s="669">
        <f t="shared" si="81"/>
        <v>0</v>
      </c>
      <c r="AH67" s="670" t="s">
        <v>526</v>
      </c>
      <c r="AI67" s="364">
        <f t="shared" si="82"/>
        <v>0</v>
      </c>
      <c r="AJ67" s="364">
        <f t="shared" si="83"/>
        <v>0</v>
      </c>
      <c r="AK67" s="364">
        <f t="shared" si="84"/>
        <v>0</v>
      </c>
      <c r="AL67" s="364">
        <f t="shared" si="85"/>
        <v>0</v>
      </c>
      <c r="AM67" s="425">
        <f t="shared" ref="AM67:AM74" si="88">AE67+AG67+AI67</f>
        <v>0</v>
      </c>
      <c r="AN67" s="426">
        <f t="shared" ref="AN67:AN74" si="89">AJ67+AK67+AL67</f>
        <v>0</v>
      </c>
      <c r="AO67" s="427">
        <f t="shared" ref="AO67:AO74" si="90">SUM(AM67:AN67)</f>
        <v>0</v>
      </c>
      <c r="AP67" s="428">
        <v>8.7999999999999998E-5</v>
      </c>
      <c r="AQ67" s="429">
        <v>2.0000000000000002E-5</v>
      </c>
      <c r="AR67" s="430">
        <v>2.22E-4</v>
      </c>
      <c r="AS67" s="431">
        <v>3.1E-4</v>
      </c>
      <c r="AT67" s="372">
        <f t="shared" si="86"/>
        <v>0</v>
      </c>
      <c r="AV67" s="433"/>
      <c r="AW67" s="434"/>
      <c r="AX67" s="435"/>
      <c r="AY67" s="436"/>
      <c r="AZ67" s="437"/>
      <c r="BA67" s="438"/>
      <c r="BB67" s="380"/>
      <c r="BC67" s="380"/>
      <c r="BD67" s="380"/>
      <c r="BE67" s="380"/>
      <c r="BF67" s="439"/>
      <c r="BG67" s="381"/>
      <c r="BH67" s="388"/>
    </row>
    <row r="68" spans="1:61" x14ac:dyDescent="0.2">
      <c r="A68" s="331"/>
      <c r="B68" s="385">
        <v>3</v>
      </c>
      <c r="C68" s="359"/>
      <c r="D68" s="359"/>
      <c r="E68" s="423"/>
      <c r="F68" s="681" t="s">
        <v>935</v>
      </c>
      <c r="G68" s="676" t="s">
        <v>1464</v>
      </c>
      <c r="H68" s="676" t="s">
        <v>1465</v>
      </c>
      <c r="I68" s="676" t="s">
        <v>1466</v>
      </c>
      <c r="J68" s="681">
        <v>28350</v>
      </c>
      <c r="K68" s="672">
        <v>0.03</v>
      </c>
      <c r="L68" s="663">
        <v>0</v>
      </c>
      <c r="M68" s="666"/>
      <c r="N68" s="1122">
        <f>J68*(1+K68)+L68+M68</f>
        <v>29200.5</v>
      </c>
      <c r="O68" s="1122"/>
      <c r="P68" s="1122"/>
      <c r="Q68" s="667"/>
      <c r="R68" s="665">
        <f t="shared" si="72"/>
        <v>0</v>
      </c>
      <c r="S68" s="665">
        <f t="shared" si="73"/>
        <v>1810.431</v>
      </c>
      <c r="T68" s="665">
        <f t="shared" si="74"/>
        <v>423.40725000000003</v>
      </c>
      <c r="U68" s="666">
        <f t="shared" si="3"/>
        <v>42</v>
      </c>
      <c r="V68" s="666">
        <f t="shared" si="75"/>
        <v>100.8</v>
      </c>
      <c r="W68" s="665">
        <f t="shared" si="87"/>
        <v>217.72800000000001</v>
      </c>
      <c r="X68" s="665">
        <f t="shared" si="76"/>
        <v>3437.3999999999996</v>
      </c>
      <c r="Y68" s="665">
        <f t="shared" si="77"/>
        <v>3437.3999999999996</v>
      </c>
      <c r="Z68" s="361">
        <f t="shared" si="78"/>
        <v>38669.666250000002</v>
      </c>
      <c r="AA68" s="387"/>
      <c r="AB68" s="362"/>
      <c r="AC68" s="1182" t="str">
        <f t="shared" si="79"/>
        <v>Briana Doherty                                                                                                                                                                                                                                                      Briana Doherty Benedicto</v>
      </c>
      <c r="AD68" s="668" t="s">
        <v>530</v>
      </c>
      <c r="AE68" s="669">
        <f t="shared" si="80"/>
        <v>125.65</v>
      </c>
      <c r="AF68" s="670" t="s">
        <v>511</v>
      </c>
      <c r="AG68" s="669">
        <f t="shared" si="81"/>
        <v>6.92</v>
      </c>
      <c r="AH68" s="670"/>
      <c r="AI68" s="364" t="str">
        <f t="shared" si="82"/>
        <v>0</v>
      </c>
      <c r="AJ68" s="364">
        <f t="shared" si="83"/>
        <v>553.53</v>
      </c>
      <c r="AK68" s="364">
        <f t="shared" si="84"/>
        <v>19.369999999999997</v>
      </c>
      <c r="AL68" s="364" t="str">
        <f t="shared" si="85"/>
        <v>0</v>
      </c>
      <c r="AM68" s="425">
        <f t="shared" si="88"/>
        <v>132.57</v>
      </c>
      <c r="AN68" s="426">
        <f t="shared" si="89"/>
        <v>572.9</v>
      </c>
      <c r="AO68" s="427">
        <f t="shared" si="90"/>
        <v>705.47</v>
      </c>
      <c r="AP68" s="428">
        <v>8.7999999999999998E-5</v>
      </c>
      <c r="AQ68" s="429">
        <v>2.0000000000000002E-5</v>
      </c>
      <c r="AR68" s="430">
        <v>2.22E-4</v>
      </c>
      <c r="AS68" s="431">
        <v>3.1E-4</v>
      </c>
      <c r="AT68" s="372">
        <f t="shared" si="86"/>
        <v>217.72800000000001</v>
      </c>
      <c r="AV68" s="433"/>
      <c r="AW68" s="434"/>
      <c r="AX68" s="435"/>
      <c r="AY68" s="436"/>
      <c r="AZ68" s="437"/>
      <c r="BA68" s="438"/>
      <c r="BB68" s="380"/>
      <c r="BC68" s="380"/>
      <c r="BD68" s="380"/>
      <c r="BE68" s="380"/>
      <c r="BF68" s="439"/>
      <c r="BG68" s="381"/>
      <c r="BH68" s="388"/>
    </row>
    <row r="69" spans="1:61" x14ac:dyDescent="0.2">
      <c r="A69" s="331"/>
      <c r="B69" s="385">
        <v>4</v>
      </c>
      <c r="C69" s="359"/>
      <c r="D69" s="359"/>
      <c r="E69" s="423"/>
      <c r="F69" s="681" t="s">
        <v>935</v>
      </c>
      <c r="G69" s="676" t="s">
        <v>982</v>
      </c>
      <c r="H69" s="676" t="s">
        <v>983</v>
      </c>
      <c r="I69" s="676" t="s">
        <v>884</v>
      </c>
      <c r="J69" s="681">
        <v>28350</v>
      </c>
      <c r="K69" s="672">
        <v>0.03</v>
      </c>
      <c r="L69" s="663">
        <v>0</v>
      </c>
      <c r="M69" s="666"/>
      <c r="N69" s="1122">
        <f>J69*(1+K69)+L69+M69</f>
        <v>29200.5</v>
      </c>
      <c r="O69" s="1122"/>
      <c r="P69" s="1122"/>
      <c r="Q69" s="667"/>
      <c r="R69" s="665">
        <f t="shared" si="72"/>
        <v>0</v>
      </c>
      <c r="S69" s="665">
        <f t="shared" si="73"/>
        <v>1810.431</v>
      </c>
      <c r="T69" s="665">
        <f t="shared" si="74"/>
        <v>423.40725000000003</v>
      </c>
      <c r="U69" s="666">
        <f t="shared" ref="U69:U132" si="91">IF(N69&gt;=7000,7000*0.006,IF(N69&lt;=7000,N69*0.006))</f>
        <v>42</v>
      </c>
      <c r="V69" s="666">
        <f t="shared" si="75"/>
        <v>100.8</v>
      </c>
      <c r="W69" s="665">
        <f t="shared" si="87"/>
        <v>217.72800000000001</v>
      </c>
      <c r="X69" s="665">
        <f t="shared" si="76"/>
        <v>116.21999999999998</v>
      </c>
      <c r="Y69" s="665">
        <f t="shared" si="77"/>
        <v>116.21999999999998</v>
      </c>
      <c r="Z69" s="361">
        <f t="shared" si="78"/>
        <v>32027.306250000001</v>
      </c>
      <c r="AA69" s="387"/>
      <c r="AB69" s="362"/>
      <c r="AC69" s="1182" t="str">
        <f t="shared" si="79"/>
        <v>Maddie Fonte</v>
      </c>
      <c r="AD69" s="668" t="s">
        <v>526</v>
      </c>
      <c r="AE69" s="669">
        <f t="shared" si="80"/>
        <v>0</v>
      </c>
      <c r="AF69" s="670" t="s">
        <v>511</v>
      </c>
      <c r="AG69" s="669">
        <f t="shared" si="81"/>
        <v>6.92</v>
      </c>
      <c r="AH69" s="670" t="s">
        <v>526</v>
      </c>
      <c r="AI69" s="364">
        <f t="shared" si="82"/>
        <v>0</v>
      </c>
      <c r="AJ69" s="364">
        <f t="shared" si="83"/>
        <v>0</v>
      </c>
      <c r="AK69" s="364">
        <f t="shared" si="84"/>
        <v>19.369999999999997</v>
      </c>
      <c r="AL69" s="364">
        <f t="shared" si="85"/>
        <v>0</v>
      </c>
      <c r="AM69" s="425">
        <f t="shared" si="88"/>
        <v>6.92</v>
      </c>
      <c r="AN69" s="426">
        <f t="shared" si="89"/>
        <v>19.369999999999997</v>
      </c>
      <c r="AO69" s="427">
        <f t="shared" si="90"/>
        <v>26.29</v>
      </c>
      <c r="AP69" s="428">
        <v>8.7999999999999998E-5</v>
      </c>
      <c r="AQ69" s="429">
        <v>2.0000000000000002E-5</v>
      </c>
      <c r="AR69" s="430">
        <v>2.22E-4</v>
      </c>
      <c r="AS69" s="431">
        <v>3.1E-4</v>
      </c>
      <c r="AT69" s="372">
        <f t="shared" si="86"/>
        <v>217.72800000000001</v>
      </c>
      <c r="AV69" s="433"/>
      <c r="AW69" s="434"/>
      <c r="AX69" s="435"/>
      <c r="AY69" s="436"/>
      <c r="AZ69" s="437"/>
      <c r="BA69" s="438"/>
      <c r="BB69" s="380"/>
      <c r="BC69" s="380"/>
      <c r="BD69" s="380"/>
      <c r="BE69" s="380"/>
      <c r="BF69" s="439"/>
      <c r="BG69" s="381"/>
      <c r="BH69" s="388"/>
    </row>
    <row r="70" spans="1:61" x14ac:dyDescent="0.2">
      <c r="A70" s="331"/>
      <c r="B70" s="385">
        <v>5</v>
      </c>
      <c r="C70" s="359"/>
      <c r="D70" s="359"/>
      <c r="E70" s="423"/>
      <c r="F70" s="681"/>
      <c r="G70" s="1207" t="s">
        <v>1572</v>
      </c>
      <c r="H70" s="1207" t="s">
        <v>296</v>
      </c>
      <c r="I70" s="1207" t="s">
        <v>296</v>
      </c>
      <c r="J70" s="1252">
        <v>0</v>
      </c>
      <c r="K70" s="672">
        <v>0</v>
      </c>
      <c r="L70" s="663">
        <v>0</v>
      </c>
      <c r="M70" s="666">
        <v>0</v>
      </c>
      <c r="N70" s="1122">
        <f t="shared" si="71"/>
        <v>0</v>
      </c>
      <c r="O70" s="1122"/>
      <c r="P70" s="1122"/>
      <c r="Q70" s="667"/>
      <c r="R70" s="665">
        <f t="shared" si="72"/>
        <v>0</v>
      </c>
      <c r="S70" s="665">
        <f t="shared" si="73"/>
        <v>0</v>
      </c>
      <c r="T70" s="665">
        <f t="shared" si="74"/>
        <v>0</v>
      </c>
      <c r="U70" s="666">
        <f t="shared" si="91"/>
        <v>0</v>
      </c>
      <c r="V70" s="666">
        <f t="shared" si="75"/>
        <v>0</v>
      </c>
      <c r="W70" s="665">
        <f t="shared" si="87"/>
        <v>0</v>
      </c>
      <c r="X70" s="665">
        <f t="shared" si="76"/>
        <v>3947.4600000000005</v>
      </c>
      <c r="Y70" s="665">
        <f t="shared" si="77"/>
        <v>3947.4600000000005</v>
      </c>
      <c r="Z70" s="361">
        <f t="shared" si="78"/>
        <v>7894.920000000001</v>
      </c>
      <c r="AA70" s="387"/>
      <c r="AB70" s="362"/>
      <c r="AC70" s="1182" t="str">
        <f t="shared" si="79"/>
        <v>was Tedora</v>
      </c>
      <c r="AD70" s="668" t="s">
        <v>510</v>
      </c>
      <c r="AE70" s="669">
        <f t="shared" si="80"/>
        <v>143.44</v>
      </c>
      <c r="AF70" s="670" t="s">
        <v>525</v>
      </c>
      <c r="AG70" s="669">
        <f t="shared" si="81"/>
        <v>10.25</v>
      </c>
      <c r="AH70" s="670" t="s">
        <v>512</v>
      </c>
      <c r="AI70" s="364">
        <f t="shared" si="82"/>
        <v>1.63</v>
      </c>
      <c r="AJ70" s="364">
        <f t="shared" si="83"/>
        <v>631.8900000000001</v>
      </c>
      <c r="AK70" s="364">
        <f t="shared" si="84"/>
        <v>22.22</v>
      </c>
      <c r="AL70" s="364">
        <f t="shared" si="85"/>
        <v>3.8</v>
      </c>
      <c r="AM70" s="425">
        <f t="shared" si="88"/>
        <v>155.32</v>
      </c>
      <c r="AN70" s="426">
        <f t="shared" si="89"/>
        <v>657.91000000000008</v>
      </c>
      <c r="AO70" s="427">
        <f t="shared" si="90"/>
        <v>813.23</v>
      </c>
      <c r="AP70" s="428">
        <v>8.7999999999999998E-5</v>
      </c>
      <c r="AQ70" s="429">
        <v>2.0000000000000002E-5</v>
      </c>
      <c r="AR70" s="430">
        <v>2.22E-4</v>
      </c>
      <c r="AS70" s="431">
        <v>3.1E-4</v>
      </c>
      <c r="AT70" s="372">
        <f t="shared" si="86"/>
        <v>0</v>
      </c>
      <c r="AV70" s="433"/>
      <c r="AW70" s="434"/>
      <c r="AX70" s="435"/>
      <c r="AY70" s="436"/>
      <c r="AZ70" s="437"/>
      <c r="BA70" s="438"/>
      <c r="BB70" s="380"/>
      <c r="BC70" s="380"/>
      <c r="BD70" s="380"/>
      <c r="BE70" s="380"/>
      <c r="BF70" s="439"/>
      <c r="BG70" s="381"/>
      <c r="BH70" s="388"/>
    </row>
    <row r="71" spans="1:61" x14ac:dyDescent="0.2">
      <c r="A71" s="331"/>
      <c r="B71" s="385">
        <v>6</v>
      </c>
      <c r="C71" s="359"/>
      <c r="D71" s="359"/>
      <c r="E71" s="423"/>
      <c r="F71" s="681"/>
      <c r="G71"/>
      <c r="H71"/>
      <c r="I71"/>
      <c r="J71"/>
      <c r="K71" s="672">
        <v>0</v>
      </c>
      <c r="L71" s="663">
        <v>0</v>
      </c>
      <c r="M71" s="666">
        <v>0</v>
      </c>
      <c r="N71" s="1122">
        <f t="shared" si="71"/>
        <v>0</v>
      </c>
      <c r="O71" s="1122"/>
      <c r="P71" s="1122"/>
      <c r="Q71" s="667"/>
      <c r="R71" s="665">
        <f t="shared" si="72"/>
        <v>0</v>
      </c>
      <c r="S71" s="665">
        <f t="shared" si="73"/>
        <v>0</v>
      </c>
      <c r="T71" s="665">
        <f t="shared" si="74"/>
        <v>0</v>
      </c>
      <c r="U71" s="666">
        <f t="shared" si="91"/>
        <v>0</v>
      </c>
      <c r="V71" s="666">
        <f t="shared" si="75"/>
        <v>0</v>
      </c>
      <c r="W71" s="665">
        <f t="shared" si="87"/>
        <v>0</v>
      </c>
      <c r="X71" s="665">
        <f t="shared" si="76"/>
        <v>0</v>
      </c>
      <c r="Y71" s="665">
        <f t="shared" si="77"/>
        <v>0</v>
      </c>
      <c r="Z71" s="361">
        <f t="shared" si="78"/>
        <v>0</v>
      </c>
      <c r="AA71" s="387"/>
      <c r="AB71" s="362"/>
      <c r="AC71" s="1182" t="s">
        <v>1467</v>
      </c>
      <c r="AD71" s="668" t="s">
        <v>526</v>
      </c>
      <c r="AE71" s="669">
        <f t="shared" si="80"/>
        <v>0</v>
      </c>
      <c r="AF71" s="670" t="s">
        <v>526</v>
      </c>
      <c r="AG71" s="669">
        <f t="shared" si="81"/>
        <v>0</v>
      </c>
      <c r="AH71" s="670" t="s">
        <v>526</v>
      </c>
      <c r="AI71" s="364">
        <f t="shared" si="82"/>
        <v>0</v>
      </c>
      <c r="AJ71" s="364">
        <f t="shared" si="83"/>
        <v>0</v>
      </c>
      <c r="AK71" s="364">
        <f t="shared" si="84"/>
        <v>0</v>
      </c>
      <c r="AL71" s="364">
        <f t="shared" si="85"/>
        <v>0</v>
      </c>
      <c r="AM71" s="425">
        <f t="shared" si="88"/>
        <v>0</v>
      </c>
      <c r="AN71" s="426">
        <f t="shared" si="89"/>
        <v>0</v>
      </c>
      <c r="AO71" s="427">
        <f t="shared" si="90"/>
        <v>0</v>
      </c>
      <c r="AP71" s="428">
        <v>8.7999999999999998E-5</v>
      </c>
      <c r="AQ71" s="429">
        <v>2.0000000000000002E-5</v>
      </c>
      <c r="AR71" s="430">
        <v>2.22E-4</v>
      </c>
      <c r="AS71" s="431">
        <v>3.1E-4</v>
      </c>
      <c r="AT71" s="372">
        <f t="shared" si="86"/>
        <v>0</v>
      </c>
      <c r="AV71" s="433"/>
      <c r="AW71" s="434"/>
      <c r="AX71" s="435"/>
      <c r="AY71" s="436"/>
      <c r="AZ71" s="437"/>
      <c r="BA71" s="438"/>
      <c r="BB71" s="380"/>
      <c r="BC71" s="380"/>
      <c r="BD71" s="380"/>
      <c r="BE71" s="380"/>
      <c r="BF71" s="439"/>
      <c r="BG71" s="381"/>
      <c r="BH71" s="388"/>
    </row>
    <row r="72" spans="1:61" x14ac:dyDescent="0.2">
      <c r="A72" s="331"/>
      <c r="B72" s="385">
        <v>7</v>
      </c>
      <c r="C72" s="359"/>
      <c r="D72" s="359"/>
      <c r="E72" s="423"/>
      <c r="F72" s="681"/>
      <c r="G72" s="676"/>
      <c r="H72" s="676"/>
      <c r="I72" s="676"/>
      <c r="J72" s="681"/>
      <c r="K72" s="682">
        <v>0</v>
      </c>
      <c r="L72" s="663">
        <v>0</v>
      </c>
      <c r="M72" s="666"/>
      <c r="N72" s="1122">
        <f t="shared" si="71"/>
        <v>0</v>
      </c>
      <c r="O72" s="1122"/>
      <c r="P72" s="1122"/>
      <c r="Q72" s="667"/>
      <c r="R72" s="665">
        <f t="shared" si="72"/>
        <v>0</v>
      </c>
      <c r="S72" s="665">
        <f t="shared" si="73"/>
        <v>0</v>
      </c>
      <c r="T72" s="665">
        <f t="shared" si="74"/>
        <v>0</v>
      </c>
      <c r="U72" s="666">
        <f t="shared" si="91"/>
        <v>0</v>
      </c>
      <c r="V72" s="666">
        <f t="shared" si="75"/>
        <v>0</v>
      </c>
      <c r="W72" s="665">
        <f t="shared" si="87"/>
        <v>0</v>
      </c>
      <c r="X72" s="665">
        <f t="shared" si="76"/>
        <v>0</v>
      </c>
      <c r="Y72" s="665">
        <f t="shared" si="77"/>
        <v>0</v>
      </c>
      <c r="Z72" s="361">
        <f t="shared" si="78"/>
        <v>0</v>
      </c>
      <c r="AA72" s="387"/>
      <c r="AB72" s="362"/>
      <c r="AC72" s="424">
        <f t="shared" si="79"/>
        <v>0</v>
      </c>
      <c r="AD72" s="668" t="s">
        <v>526</v>
      </c>
      <c r="AE72" s="669">
        <f t="shared" si="80"/>
        <v>0</v>
      </c>
      <c r="AF72" s="670" t="s">
        <v>526</v>
      </c>
      <c r="AG72" s="669">
        <f t="shared" si="81"/>
        <v>0</v>
      </c>
      <c r="AH72" s="670" t="s">
        <v>526</v>
      </c>
      <c r="AI72" s="364">
        <f t="shared" si="82"/>
        <v>0</v>
      </c>
      <c r="AJ72" s="364">
        <f t="shared" si="83"/>
        <v>0</v>
      </c>
      <c r="AK72" s="364">
        <f t="shared" si="84"/>
        <v>0</v>
      </c>
      <c r="AL72" s="364">
        <f t="shared" si="85"/>
        <v>0</v>
      </c>
      <c r="AM72" s="425">
        <f t="shared" si="88"/>
        <v>0</v>
      </c>
      <c r="AN72" s="426">
        <f t="shared" si="89"/>
        <v>0</v>
      </c>
      <c r="AO72" s="427">
        <f t="shared" si="90"/>
        <v>0</v>
      </c>
      <c r="AP72" s="428">
        <v>8.7999999999999998E-5</v>
      </c>
      <c r="AQ72" s="429">
        <v>2.0000000000000002E-5</v>
      </c>
      <c r="AR72" s="430">
        <v>2.22E-4</v>
      </c>
      <c r="AS72" s="431">
        <v>3.1E-4</v>
      </c>
      <c r="AT72" s="372">
        <f t="shared" si="86"/>
        <v>0</v>
      </c>
      <c r="AV72" s="433"/>
      <c r="AW72" s="434"/>
      <c r="AX72" s="435"/>
      <c r="AY72" s="376"/>
      <c r="AZ72" s="437"/>
      <c r="BA72" s="438"/>
      <c r="BB72" s="380"/>
      <c r="BC72" s="380"/>
      <c r="BD72" s="380"/>
      <c r="BE72" s="380"/>
      <c r="BF72" s="439"/>
      <c r="BG72" s="381"/>
      <c r="BH72" s="388"/>
    </row>
    <row r="73" spans="1:61" x14ac:dyDescent="0.2">
      <c r="A73" s="331"/>
      <c r="B73" s="385">
        <v>8</v>
      </c>
      <c r="C73" s="359"/>
      <c r="D73" s="359"/>
      <c r="E73" s="423"/>
      <c r="F73" s="681"/>
      <c r="G73" s="676"/>
      <c r="H73" s="676"/>
      <c r="I73" s="676"/>
      <c r="J73" s="681"/>
      <c r="K73" s="682">
        <v>0</v>
      </c>
      <c r="L73" s="663">
        <v>0</v>
      </c>
      <c r="M73" s="666"/>
      <c r="N73" s="1122">
        <f t="shared" si="71"/>
        <v>0</v>
      </c>
      <c r="O73" s="1122"/>
      <c r="P73" s="1122"/>
      <c r="Q73" s="667"/>
      <c r="R73" s="665">
        <f t="shared" si="72"/>
        <v>0</v>
      </c>
      <c r="S73" s="665">
        <f t="shared" si="73"/>
        <v>0</v>
      </c>
      <c r="T73" s="665">
        <f t="shared" si="74"/>
        <v>0</v>
      </c>
      <c r="U73" s="666">
        <f t="shared" si="91"/>
        <v>0</v>
      </c>
      <c r="V73" s="666">
        <f t="shared" si="75"/>
        <v>0</v>
      </c>
      <c r="W73" s="665">
        <f t="shared" si="87"/>
        <v>0</v>
      </c>
      <c r="X73" s="665">
        <f t="shared" si="76"/>
        <v>0</v>
      </c>
      <c r="Y73" s="665">
        <f t="shared" si="77"/>
        <v>0</v>
      </c>
      <c r="Z73" s="361">
        <f t="shared" si="78"/>
        <v>0</v>
      </c>
      <c r="AA73" s="387"/>
      <c r="AB73" s="362"/>
      <c r="AC73" s="424">
        <f t="shared" si="79"/>
        <v>0</v>
      </c>
      <c r="AD73" s="668" t="s">
        <v>526</v>
      </c>
      <c r="AE73" s="669">
        <f t="shared" si="80"/>
        <v>0</v>
      </c>
      <c r="AF73" s="670" t="s">
        <v>526</v>
      </c>
      <c r="AG73" s="669">
        <f t="shared" si="81"/>
        <v>0</v>
      </c>
      <c r="AH73" s="670" t="s">
        <v>526</v>
      </c>
      <c r="AI73" s="364">
        <f t="shared" si="82"/>
        <v>0</v>
      </c>
      <c r="AJ73" s="364">
        <f t="shared" si="83"/>
        <v>0</v>
      </c>
      <c r="AK73" s="364">
        <f t="shared" si="84"/>
        <v>0</v>
      </c>
      <c r="AL73" s="364">
        <f t="shared" si="85"/>
        <v>0</v>
      </c>
      <c r="AM73" s="425">
        <f t="shared" si="88"/>
        <v>0</v>
      </c>
      <c r="AN73" s="426">
        <f t="shared" si="89"/>
        <v>0</v>
      </c>
      <c r="AO73" s="427">
        <f t="shared" si="90"/>
        <v>0</v>
      </c>
      <c r="AP73" s="428">
        <v>8.7999999999999998E-5</v>
      </c>
      <c r="AQ73" s="429">
        <v>2.0000000000000002E-5</v>
      </c>
      <c r="AR73" s="430">
        <v>2.22E-4</v>
      </c>
      <c r="AS73" s="431">
        <v>3.1E-4</v>
      </c>
      <c r="AT73" s="372">
        <f t="shared" si="86"/>
        <v>0</v>
      </c>
      <c r="AV73" s="433"/>
      <c r="AW73" s="434"/>
      <c r="AX73" s="435"/>
      <c r="AY73" s="376"/>
      <c r="AZ73" s="437"/>
      <c r="BA73" s="438"/>
      <c r="BB73" s="380"/>
      <c r="BC73" s="380"/>
      <c r="BD73" s="380"/>
      <c r="BE73" s="380"/>
      <c r="BF73" s="439"/>
      <c r="BG73" s="381"/>
      <c r="BH73" s="388"/>
    </row>
    <row r="74" spans="1:61" x14ac:dyDescent="0.2">
      <c r="B74" s="385"/>
      <c r="C74" s="390"/>
      <c r="D74" s="390"/>
      <c r="E74" s="384"/>
      <c r="F74" s="681"/>
      <c r="G74" s="676"/>
      <c r="H74" s="676"/>
      <c r="I74" s="676"/>
      <c r="J74" s="681"/>
      <c r="K74" s="682"/>
      <c r="L74" s="663">
        <v>0</v>
      </c>
      <c r="M74" s="666"/>
      <c r="N74" s="1122">
        <f t="shared" si="71"/>
        <v>0</v>
      </c>
      <c r="O74" s="1122"/>
      <c r="P74" s="1122"/>
      <c r="Q74" s="683"/>
      <c r="R74" s="665">
        <f t="shared" si="72"/>
        <v>0</v>
      </c>
      <c r="S74" s="665">
        <f t="shared" si="73"/>
        <v>0</v>
      </c>
      <c r="T74" s="665">
        <f t="shared" si="74"/>
        <v>0</v>
      </c>
      <c r="U74" s="666">
        <f t="shared" si="91"/>
        <v>0</v>
      </c>
      <c r="V74" s="666">
        <f t="shared" si="75"/>
        <v>0</v>
      </c>
      <c r="W74" s="665">
        <f t="shared" si="87"/>
        <v>0</v>
      </c>
      <c r="X74" s="665">
        <f t="shared" si="76"/>
        <v>0</v>
      </c>
      <c r="Y74" s="665">
        <f t="shared" si="77"/>
        <v>0</v>
      </c>
      <c r="Z74" s="361">
        <f t="shared" si="78"/>
        <v>0</v>
      </c>
      <c r="AA74" s="440" t="str">
        <f>A66</f>
        <v>Teacher aides</v>
      </c>
      <c r="AB74" s="362"/>
      <c r="AC74" s="363">
        <f t="shared" si="79"/>
        <v>0</v>
      </c>
      <c r="AD74" s="668" t="s">
        <v>526</v>
      </c>
      <c r="AE74" s="669">
        <f t="shared" si="80"/>
        <v>0</v>
      </c>
      <c r="AF74" s="670" t="s">
        <v>526</v>
      </c>
      <c r="AG74" s="669">
        <f t="shared" si="81"/>
        <v>0</v>
      </c>
      <c r="AH74" s="670" t="s">
        <v>526</v>
      </c>
      <c r="AI74" s="364">
        <f t="shared" si="82"/>
        <v>0</v>
      </c>
      <c r="AJ74" s="364">
        <f t="shared" si="83"/>
        <v>0</v>
      </c>
      <c r="AK74" s="364">
        <f t="shared" si="84"/>
        <v>0</v>
      </c>
      <c r="AL74" s="364">
        <f t="shared" si="85"/>
        <v>0</v>
      </c>
      <c r="AM74" s="425">
        <f t="shared" si="88"/>
        <v>0</v>
      </c>
      <c r="AN74" s="426">
        <f t="shared" si="89"/>
        <v>0</v>
      </c>
      <c r="AO74" s="427">
        <f t="shared" si="90"/>
        <v>0</v>
      </c>
      <c r="AP74" s="428">
        <v>8.7999999999999998E-5</v>
      </c>
      <c r="AQ74" s="429">
        <v>2.0000000000000002E-5</v>
      </c>
      <c r="AR74" s="430">
        <v>2.22E-4</v>
      </c>
      <c r="AS74" s="431">
        <v>3.1E-4</v>
      </c>
      <c r="AT74" s="372">
        <f t="shared" si="86"/>
        <v>0</v>
      </c>
      <c r="AV74" s="373"/>
      <c r="AW74" s="441"/>
      <c r="AX74" s="375"/>
      <c r="AY74" s="376"/>
      <c r="AZ74" s="377"/>
      <c r="BA74" s="378"/>
      <c r="BB74" s="379"/>
      <c r="BC74" s="379"/>
      <c r="BD74" s="379"/>
      <c r="BE74" s="379"/>
      <c r="BF74" s="442"/>
      <c r="BG74" s="443"/>
      <c r="BI74" s="279" t="s">
        <v>505</v>
      </c>
    </row>
    <row r="75" spans="1:61" ht="13.5" thickBot="1" x14ac:dyDescent="0.25">
      <c r="A75" s="391"/>
      <c r="B75" s="392"/>
      <c r="C75" s="392"/>
      <c r="D75" s="392"/>
      <c r="E75" s="392"/>
      <c r="F75" s="393"/>
      <c r="G75" s="393"/>
      <c r="H75" s="411"/>
      <c r="I75" s="411"/>
      <c r="J75" s="642"/>
      <c r="K75" s="394"/>
      <c r="L75" s="663">
        <v>0</v>
      </c>
      <c r="M75" s="396"/>
      <c r="N75" s="1122">
        <f t="shared" ref="N75:N88" si="92">J75*(1+K75)+L75+M75</f>
        <v>0</v>
      </c>
      <c r="O75" s="1124"/>
      <c r="P75" s="1124"/>
      <c r="Q75" s="396"/>
      <c r="R75" s="396"/>
      <c r="S75" s="396"/>
      <c r="T75" s="396"/>
      <c r="U75" s="666">
        <f t="shared" si="91"/>
        <v>0</v>
      </c>
      <c r="V75" s="396"/>
      <c r="W75" s="396"/>
      <c r="X75" s="396"/>
      <c r="Y75" s="396"/>
      <c r="Z75" s="397"/>
      <c r="AA75" s="398">
        <f>SUM(Z66:Z74)</f>
        <v>78591.942500000005</v>
      </c>
      <c r="AB75" s="399"/>
      <c r="AC75" s="400"/>
      <c r="AD75" s="444"/>
      <c r="AE75" s="669" t="str">
        <f t="shared" si="80"/>
        <v>0</v>
      </c>
      <c r="AF75" s="444"/>
      <c r="AG75" s="669" t="str">
        <f t="shared" si="81"/>
        <v>0</v>
      </c>
      <c r="AH75" s="444"/>
      <c r="AI75" s="364" t="str">
        <f t="shared" si="82"/>
        <v>0</v>
      </c>
      <c r="AJ75" s="445"/>
      <c r="AK75" s="445"/>
      <c r="AL75" s="445"/>
      <c r="AM75" s="403"/>
      <c r="AN75" s="404"/>
      <c r="AO75" s="405"/>
      <c r="AP75" s="406"/>
      <c r="AQ75" s="407"/>
      <c r="AR75" s="408"/>
      <c r="AS75" s="409"/>
      <c r="AT75" s="410"/>
      <c r="AU75" s="411"/>
      <c r="AV75" s="412"/>
      <c r="AW75" s="413"/>
      <c r="AX75" s="414"/>
      <c r="AY75" s="415"/>
      <c r="AZ75" s="416"/>
      <c r="BA75" s="417"/>
      <c r="BB75" s="418"/>
      <c r="BC75" s="418"/>
      <c r="BD75" s="418"/>
      <c r="BE75" s="418"/>
      <c r="BF75" s="419"/>
      <c r="BG75" s="420"/>
      <c r="BH75" s="421" t="e">
        <f>#REF!+#REF!</f>
        <v>#REF!</v>
      </c>
      <c r="BI75" s="398" t="str">
        <f>AA74</f>
        <v>Teacher aides</v>
      </c>
    </row>
    <row r="76" spans="1:61" x14ac:dyDescent="0.2">
      <c r="A76" s="1201" t="s">
        <v>531</v>
      </c>
      <c r="B76" s="325">
        <v>1</v>
      </c>
      <c r="C76" s="359"/>
      <c r="D76" s="359"/>
      <c r="E76" s="360" t="s">
        <v>13</v>
      </c>
      <c r="F76" s="1104" t="s">
        <v>1360</v>
      </c>
      <c r="G76" s="882" t="s">
        <v>1003</v>
      </c>
      <c r="H76" s="882"/>
      <c r="I76" s="882"/>
      <c r="J76" s="886">
        <v>10000</v>
      </c>
      <c r="K76" s="672">
        <v>0</v>
      </c>
      <c r="L76" s="663">
        <v>0</v>
      </c>
      <c r="M76" s="666">
        <v>0</v>
      </c>
      <c r="N76" s="1122">
        <f t="shared" si="92"/>
        <v>10000</v>
      </c>
      <c r="O76" s="1122">
        <v>10000</v>
      </c>
      <c r="P76" s="1122">
        <f>+N76-O76</f>
        <v>0</v>
      </c>
      <c r="Q76" s="667">
        <v>0</v>
      </c>
      <c r="R76" s="665">
        <f t="shared" ref="R76:R85" si="93">N76*Q76</f>
        <v>0</v>
      </c>
      <c r="S76" s="665">
        <f t="shared" ref="S76:S88" si="94">(N76-R76)*0.062</f>
        <v>620</v>
      </c>
      <c r="T76" s="665">
        <f t="shared" ref="T76:T88" si="95">(N76-R76)*0.0145</f>
        <v>145</v>
      </c>
      <c r="U76" s="666">
        <f t="shared" si="91"/>
        <v>42</v>
      </c>
      <c r="V76" s="666">
        <f t="shared" ref="V76:V88" si="96">IF(N76&gt;=7000,7000*0.0144,IF(N76&lt;=7000,N76*0.0144))</f>
        <v>100.8</v>
      </c>
      <c r="W76" s="665">
        <f t="shared" ref="W76:W88" si="97">AT76</f>
        <v>76.800000000000011</v>
      </c>
      <c r="X76" s="665">
        <f t="shared" ref="X76:X88" si="98">+AN76*6</f>
        <v>0</v>
      </c>
      <c r="Y76" s="665">
        <f t="shared" ref="Y76:Y88" si="99">+AN76*6</f>
        <v>0</v>
      </c>
      <c r="Z76" s="361">
        <f t="shared" ref="Z76:Z87" si="100">SUM(N76:Y76)</f>
        <v>20984.6</v>
      </c>
      <c r="AA76" s="387"/>
      <c r="AB76" s="362"/>
      <c r="AC76" s="1182" t="str">
        <f t="shared" ref="AC76:AC87" si="101">G76</f>
        <v>Zachary Ruiz</v>
      </c>
      <c r="AD76" s="668" t="s">
        <v>526</v>
      </c>
      <c r="AE76" s="669">
        <f t="shared" si="80"/>
        <v>0</v>
      </c>
      <c r="AF76" s="670" t="s">
        <v>526</v>
      </c>
      <c r="AG76" s="669">
        <f t="shared" si="81"/>
        <v>0</v>
      </c>
      <c r="AH76" s="670" t="s">
        <v>526</v>
      </c>
      <c r="AI76" s="364">
        <f t="shared" si="82"/>
        <v>0</v>
      </c>
      <c r="AJ76" s="364">
        <f t="shared" ref="AJ76:AJ87" si="102">IF(ISNA(VLOOKUP(AD76,$A$225:$E$265,5,FALSE)),"0",VLOOKUP(AD76,$A$225:$E$265,5,FALSE))</f>
        <v>0</v>
      </c>
      <c r="AK76" s="364">
        <f t="shared" ref="AK76:AK87" si="103">IF(ISNA(VLOOKUP(AF76,$A$225:$E$265,5,FALSE)),"0",VLOOKUP(AF76,$A$225:$E$265,5,FALSE))</f>
        <v>0</v>
      </c>
      <c r="AL76" s="364">
        <f t="shared" ref="AL76:AL87" si="104">IF(ISNA(VLOOKUP(AH76,$A$225:$E$258,5,FALSE)),"0",VLOOKUP(AH76,$A$225:$E$258,5,FALSE))</f>
        <v>0</v>
      </c>
      <c r="AM76" s="365">
        <f t="shared" ref="AM76:AM88" si="105">AE76+AG76+AI76</f>
        <v>0</v>
      </c>
      <c r="AN76" s="366">
        <f t="shared" ref="AN76:AN88" si="106">AJ76+AK76+AL76</f>
        <v>0</v>
      </c>
      <c r="AO76" s="367">
        <f t="shared" ref="AO76:AO88" si="107">SUM(AM76:AN76)</f>
        <v>0</v>
      </c>
      <c r="AP76" s="428">
        <v>8.7999999999999998E-5</v>
      </c>
      <c r="AQ76" s="429">
        <v>2.0000000000000002E-5</v>
      </c>
      <c r="AR76" s="430">
        <v>2.22E-4</v>
      </c>
      <c r="AS76" s="431">
        <v>3.1E-4</v>
      </c>
      <c r="AT76" s="372">
        <f t="shared" ref="AT76:AT92" si="108">SUM((J76*AP76)+(J76*AQ76)+(J76*AR76)+(J76*AS76))*12</f>
        <v>76.800000000000011</v>
      </c>
      <c r="AV76" s="433">
        <f t="shared" ref="AV76:AV85" si="109">J76</f>
        <v>10000</v>
      </c>
      <c r="AW76" s="446">
        <f t="shared" ref="AW76:AW85" si="110">NETWORKDAYS(C76,D76)</f>
        <v>0</v>
      </c>
      <c r="AX76" s="435" t="str">
        <f t="shared" ref="AX76:AX81" si="111">IF(ISERROR(AV76/AW76),"",(AV76/AW76))</f>
        <v/>
      </c>
      <c r="AY76" s="436">
        <v>41820</v>
      </c>
      <c r="AZ76" s="437">
        <f t="shared" ref="AZ76:AZ85" si="112">NETWORKDAYS(AY76,D76)</f>
        <v>-29871</v>
      </c>
      <c r="BA76" s="438">
        <f t="shared" ref="BA76:BA81" si="113">AW76-AZ76</f>
        <v>29871</v>
      </c>
      <c r="BB76" s="380" t="str">
        <f t="shared" ref="BB76:BB81" si="114">IF(ISERROR(BA76*AX76),"",(BA76*AX76))</f>
        <v/>
      </c>
      <c r="BC76" s="380" t="str">
        <f t="shared" ref="BC76:BC81" si="115">IF(ISERROR(AZ76*AX76),"",(AZ76*AX76))</f>
        <v/>
      </c>
      <c r="BD76" s="380">
        <f t="shared" ref="BD76:BD81" si="116">IF(ISERROR(SUM(BB76:BC76)),"",((SUM(BB76:BC76))))</f>
        <v>0</v>
      </c>
      <c r="BE76" s="380" t="str">
        <f t="shared" ref="BE76:BE81" si="117">IF(ISERROR(BC76*7.65%),"",((BC76*7.65%)))</f>
        <v/>
      </c>
      <c r="BF76" s="380" t="str">
        <f t="shared" ref="BF76:BF81" si="118">IF(ISERROR(BC76*21.17%),"",((BC76*21.17%)))</f>
        <v/>
      </c>
      <c r="BG76" s="381" t="e">
        <f t="shared" ref="BG76:BG81" si="119">SUM(BE76:BF76)+BC76</f>
        <v>#VALUE!</v>
      </c>
      <c r="BH76" s="388"/>
    </row>
    <row r="77" spans="1:61" x14ac:dyDescent="0.2">
      <c r="A77" s="382"/>
      <c r="B77" s="325">
        <v>2</v>
      </c>
      <c r="C77" s="359"/>
      <c r="D77" s="359"/>
      <c r="E77" s="384"/>
      <c r="F77" s="675" t="s">
        <v>671</v>
      </c>
      <c r="G77" s="882" t="s">
        <v>912</v>
      </c>
      <c r="H77" s="882" t="s">
        <v>927</v>
      </c>
      <c r="I77" s="882" t="s">
        <v>928</v>
      </c>
      <c r="J77" s="886">
        <v>47500</v>
      </c>
      <c r="K77" s="672">
        <v>0.03</v>
      </c>
      <c r="L77" s="663">
        <v>0</v>
      </c>
      <c r="M77" s="666">
        <v>1200</v>
      </c>
      <c r="N77" s="1122">
        <f t="shared" si="92"/>
        <v>50125</v>
      </c>
      <c r="O77" s="1122">
        <v>42707</v>
      </c>
      <c r="P77" s="1122">
        <f t="shared" ref="P77:P86" si="120">+N77-O77</f>
        <v>7418</v>
      </c>
      <c r="Q77" s="667">
        <v>0.05</v>
      </c>
      <c r="R77" s="666">
        <f t="shared" si="93"/>
        <v>2506.25</v>
      </c>
      <c r="S77" s="665">
        <f t="shared" si="94"/>
        <v>2952.3625000000002</v>
      </c>
      <c r="T77" s="665">
        <f t="shared" si="95"/>
        <v>690.47187500000007</v>
      </c>
      <c r="U77" s="666">
        <f t="shared" si="91"/>
        <v>42</v>
      </c>
      <c r="V77" s="666">
        <f t="shared" si="96"/>
        <v>100.8</v>
      </c>
      <c r="W77" s="665">
        <f t="shared" si="97"/>
        <v>364.79999999999995</v>
      </c>
      <c r="X77" s="665">
        <f t="shared" si="98"/>
        <v>3460.2</v>
      </c>
      <c r="Y77" s="665">
        <f t="shared" si="99"/>
        <v>3460.2</v>
      </c>
      <c r="Z77" s="361">
        <f t="shared" si="100"/>
        <v>113827.13437500001</v>
      </c>
      <c r="AA77" s="387"/>
      <c r="AB77" s="362"/>
      <c r="AC77" s="1182" t="str">
        <f t="shared" si="101"/>
        <v>Henry Cheung</v>
      </c>
      <c r="AD77" s="668" t="s">
        <v>530</v>
      </c>
      <c r="AE77" s="669">
        <f t="shared" si="80"/>
        <v>125.65</v>
      </c>
      <c r="AF77" s="670" t="s">
        <v>511</v>
      </c>
      <c r="AG77" s="669">
        <f t="shared" si="81"/>
        <v>6.92</v>
      </c>
      <c r="AH77" s="670" t="s">
        <v>512</v>
      </c>
      <c r="AI77" s="364">
        <f t="shared" si="82"/>
        <v>1.63</v>
      </c>
      <c r="AJ77" s="364">
        <f t="shared" si="102"/>
        <v>553.53</v>
      </c>
      <c r="AK77" s="364">
        <f t="shared" si="103"/>
        <v>19.369999999999997</v>
      </c>
      <c r="AL77" s="364">
        <f t="shared" si="104"/>
        <v>3.8</v>
      </c>
      <c r="AM77" s="365">
        <f t="shared" si="105"/>
        <v>134.19999999999999</v>
      </c>
      <c r="AN77" s="366">
        <f t="shared" si="106"/>
        <v>576.69999999999993</v>
      </c>
      <c r="AO77" s="367">
        <f t="shared" si="107"/>
        <v>710.89999999999986</v>
      </c>
      <c r="AP77" s="368">
        <v>8.7999999999999998E-5</v>
      </c>
      <c r="AQ77" s="369">
        <v>2.0000000000000002E-5</v>
      </c>
      <c r="AR77" s="370">
        <v>2.22E-4</v>
      </c>
      <c r="AS77" s="371">
        <v>3.1E-4</v>
      </c>
      <c r="AT77" s="372">
        <f t="shared" si="108"/>
        <v>364.79999999999995</v>
      </c>
      <c r="AV77" s="433">
        <f t="shared" si="109"/>
        <v>47500</v>
      </c>
      <c r="AW77" s="374">
        <f t="shared" si="110"/>
        <v>0</v>
      </c>
      <c r="AX77" s="375" t="str">
        <f t="shared" si="111"/>
        <v/>
      </c>
      <c r="AY77" s="376">
        <v>41820</v>
      </c>
      <c r="AZ77" s="377">
        <f t="shared" si="112"/>
        <v>-29871</v>
      </c>
      <c r="BA77" s="378">
        <f t="shared" si="113"/>
        <v>29871</v>
      </c>
      <c r="BB77" s="379" t="str">
        <f t="shared" si="114"/>
        <v/>
      </c>
      <c r="BC77" s="379" t="str">
        <f t="shared" si="115"/>
        <v/>
      </c>
      <c r="BD77" s="379">
        <f t="shared" si="116"/>
        <v>0</v>
      </c>
      <c r="BE77" s="379" t="str">
        <f t="shared" si="117"/>
        <v/>
      </c>
      <c r="BF77" s="380" t="str">
        <f t="shared" si="118"/>
        <v/>
      </c>
      <c r="BG77" s="381" t="e">
        <f t="shared" si="119"/>
        <v>#VALUE!</v>
      </c>
      <c r="BH77" s="388"/>
    </row>
    <row r="78" spans="1:61" x14ac:dyDescent="0.2">
      <c r="A78" s="382"/>
      <c r="B78" s="325">
        <v>3</v>
      </c>
      <c r="C78" s="359"/>
      <c r="D78" s="359"/>
      <c r="E78" s="384" t="s">
        <v>13</v>
      </c>
      <c r="F78" s="675" t="s">
        <v>671</v>
      </c>
      <c r="G78" s="882" t="s">
        <v>1003</v>
      </c>
      <c r="H78" s="882" t="s">
        <v>1004</v>
      </c>
      <c r="I78" s="882" t="s">
        <v>1005</v>
      </c>
      <c r="J78" s="886">
        <v>47500</v>
      </c>
      <c r="K78" s="672">
        <v>0.03</v>
      </c>
      <c r="L78" s="663">
        <v>0</v>
      </c>
      <c r="M78" s="666">
        <v>1200</v>
      </c>
      <c r="N78" s="1122">
        <f t="shared" si="92"/>
        <v>50125</v>
      </c>
      <c r="O78" s="1122">
        <v>42707</v>
      </c>
      <c r="P78" s="1122">
        <f t="shared" si="120"/>
        <v>7418</v>
      </c>
      <c r="Q78" s="667">
        <v>0.05</v>
      </c>
      <c r="R78" s="666">
        <f t="shared" si="93"/>
        <v>2506.25</v>
      </c>
      <c r="S78" s="665">
        <f t="shared" si="94"/>
        <v>2952.3625000000002</v>
      </c>
      <c r="T78" s="665">
        <f t="shared" si="95"/>
        <v>690.47187500000007</v>
      </c>
      <c r="U78" s="666">
        <f t="shared" si="91"/>
        <v>42</v>
      </c>
      <c r="V78" s="666">
        <f t="shared" si="96"/>
        <v>100.8</v>
      </c>
      <c r="W78" s="665">
        <f t="shared" si="97"/>
        <v>364.79999999999995</v>
      </c>
      <c r="X78" s="665">
        <f t="shared" si="98"/>
        <v>9011.2199999999993</v>
      </c>
      <c r="Y78" s="665">
        <f t="shared" si="99"/>
        <v>9011.2199999999993</v>
      </c>
      <c r="Z78" s="361">
        <f t="shared" si="100"/>
        <v>124929.17437500002</v>
      </c>
      <c r="AA78" s="387"/>
      <c r="AB78" s="362"/>
      <c r="AC78" s="1182" t="str">
        <f t="shared" si="101"/>
        <v>Zachary Ruiz</v>
      </c>
      <c r="AD78" s="668" t="s">
        <v>508</v>
      </c>
      <c r="AE78" s="669">
        <f t="shared" si="80"/>
        <v>353.46</v>
      </c>
      <c r="AF78" s="670" t="s">
        <v>540</v>
      </c>
      <c r="AG78" s="669">
        <f t="shared" si="81"/>
        <v>33.340000000000003</v>
      </c>
      <c r="AH78" s="670" t="s">
        <v>518</v>
      </c>
      <c r="AI78" s="364">
        <f t="shared" si="82"/>
        <v>4.6399999999999997</v>
      </c>
      <c r="AJ78" s="364">
        <f t="shared" si="102"/>
        <v>1459.1599999999999</v>
      </c>
      <c r="AK78" s="364">
        <f t="shared" si="103"/>
        <v>37.039999999999992</v>
      </c>
      <c r="AL78" s="364">
        <f t="shared" si="104"/>
        <v>5.6700000000000008</v>
      </c>
      <c r="AM78" s="365">
        <f t="shared" si="105"/>
        <v>391.43999999999994</v>
      </c>
      <c r="AN78" s="366">
        <f t="shared" si="106"/>
        <v>1501.87</v>
      </c>
      <c r="AO78" s="367">
        <f t="shared" si="107"/>
        <v>1893.31</v>
      </c>
      <c r="AP78" s="368">
        <v>8.7999999999999998E-5</v>
      </c>
      <c r="AQ78" s="369">
        <v>2.0000000000000002E-5</v>
      </c>
      <c r="AR78" s="370">
        <v>2.22E-4</v>
      </c>
      <c r="AS78" s="371">
        <v>3.1E-4</v>
      </c>
      <c r="AT78" s="372">
        <f t="shared" si="108"/>
        <v>364.79999999999995</v>
      </c>
      <c r="AV78" s="433">
        <f t="shared" si="109"/>
        <v>47500</v>
      </c>
      <c r="AW78" s="374">
        <f t="shared" si="110"/>
        <v>0</v>
      </c>
      <c r="AX78" s="375" t="str">
        <f t="shared" si="111"/>
        <v/>
      </c>
      <c r="AY78" s="376">
        <v>41820</v>
      </c>
      <c r="AZ78" s="377">
        <f t="shared" si="112"/>
        <v>-29871</v>
      </c>
      <c r="BA78" s="378">
        <f t="shared" si="113"/>
        <v>29871</v>
      </c>
      <c r="BB78" s="379" t="str">
        <f t="shared" si="114"/>
        <v/>
      </c>
      <c r="BC78" s="379" t="str">
        <f t="shared" si="115"/>
        <v/>
      </c>
      <c r="BD78" s="379">
        <f t="shared" si="116"/>
        <v>0</v>
      </c>
      <c r="BE78" s="379" t="str">
        <f t="shared" si="117"/>
        <v/>
      </c>
      <c r="BF78" s="380" t="str">
        <f t="shared" si="118"/>
        <v/>
      </c>
      <c r="BG78" s="381" t="e">
        <f t="shared" si="119"/>
        <v>#VALUE!</v>
      </c>
      <c r="BH78" s="388"/>
    </row>
    <row r="79" spans="1:61" x14ac:dyDescent="0.2">
      <c r="A79" s="382"/>
      <c r="B79" s="325">
        <v>4</v>
      </c>
      <c r="C79" s="359"/>
      <c r="D79" s="359"/>
      <c r="E79" s="384"/>
      <c r="F79" s="681" t="s">
        <v>984</v>
      </c>
      <c r="G79" s="882" t="s">
        <v>1403</v>
      </c>
      <c r="H79" s="882" t="s">
        <v>1404</v>
      </c>
      <c r="I79" s="882" t="s">
        <v>1405</v>
      </c>
      <c r="J79" s="886">
        <v>47500</v>
      </c>
      <c r="K79" s="672">
        <v>0.03</v>
      </c>
      <c r="L79" s="663">
        <v>0</v>
      </c>
      <c r="M79" s="666">
        <v>1200</v>
      </c>
      <c r="N79" s="1122">
        <f t="shared" si="92"/>
        <v>50125</v>
      </c>
      <c r="O79" s="1122">
        <v>42707</v>
      </c>
      <c r="P79" s="1122">
        <f t="shared" si="120"/>
        <v>7418</v>
      </c>
      <c r="Q79" s="667">
        <v>0.05</v>
      </c>
      <c r="R79" s="666">
        <f t="shared" si="93"/>
        <v>2506.25</v>
      </c>
      <c r="S79" s="665">
        <f t="shared" si="94"/>
        <v>2952.3625000000002</v>
      </c>
      <c r="T79" s="665">
        <f t="shared" si="95"/>
        <v>690.47187500000007</v>
      </c>
      <c r="U79" s="666">
        <f t="shared" si="91"/>
        <v>42</v>
      </c>
      <c r="V79" s="666">
        <f t="shared" si="96"/>
        <v>100.8</v>
      </c>
      <c r="W79" s="665">
        <f t="shared" si="97"/>
        <v>364.79999999999995</v>
      </c>
      <c r="X79" s="665">
        <f t="shared" si="98"/>
        <v>0</v>
      </c>
      <c r="Y79" s="665">
        <f t="shared" si="99"/>
        <v>0</v>
      </c>
      <c r="Z79" s="361">
        <f t="shared" si="100"/>
        <v>106906.73437500001</v>
      </c>
      <c r="AA79" s="333"/>
      <c r="AB79" s="362"/>
      <c r="AC79" s="1182" t="str">
        <f t="shared" si="101"/>
        <v>Joseph Grosso</v>
      </c>
      <c r="AD79" s="668" t="s">
        <v>526</v>
      </c>
      <c r="AE79" s="669">
        <f t="shared" si="80"/>
        <v>0</v>
      </c>
      <c r="AF79" s="670" t="s">
        <v>526</v>
      </c>
      <c r="AG79" s="669">
        <f t="shared" si="81"/>
        <v>0</v>
      </c>
      <c r="AH79" s="670" t="s">
        <v>526</v>
      </c>
      <c r="AI79" s="364">
        <f t="shared" si="82"/>
        <v>0</v>
      </c>
      <c r="AJ79" s="364">
        <f t="shared" si="102"/>
        <v>0</v>
      </c>
      <c r="AK79" s="364">
        <f t="shared" si="103"/>
        <v>0</v>
      </c>
      <c r="AL79" s="364">
        <f t="shared" si="104"/>
        <v>0</v>
      </c>
      <c r="AM79" s="365">
        <f t="shared" si="105"/>
        <v>0</v>
      </c>
      <c r="AN79" s="366">
        <f t="shared" si="106"/>
        <v>0</v>
      </c>
      <c r="AO79" s="367">
        <f t="shared" si="107"/>
        <v>0</v>
      </c>
      <c r="AP79" s="368">
        <v>8.7999999999999998E-5</v>
      </c>
      <c r="AQ79" s="369">
        <v>2.0000000000000002E-5</v>
      </c>
      <c r="AR79" s="370">
        <v>2.22E-4</v>
      </c>
      <c r="AS79" s="371">
        <v>3.1E-4</v>
      </c>
      <c r="AT79" s="372">
        <f t="shared" si="108"/>
        <v>364.79999999999995</v>
      </c>
      <c r="AV79" s="433">
        <f t="shared" si="109"/>
        <v>47500</v>
      </c>
      <c r="AW79" s="374">
        <f t="shared" si="110"/>
        <v>0</v>
      </c>
      <c r="AX79" s="375" t="str">
        <f t="shared" si="111"/>
        <v/>
      </c>
      <c r="AY79" s="376">
        <v>41820</v>
      </c>
      <c r="AZ79" s="377">
        <f t="shared" si="112"/>
        <v>-29871</v>
      </c>
      <c r="BA79" s="378">
        <f t="shared" si="113"/>
        <v>29871</v>
      </c>
      <c r="BB79" s="379" t="str">
        <f t="shared" si="114"/>
        <v/>
      </c>
      <c r="BC79" s="379" t="str">
        <f t="shared" si="115"/>
        <v/>
      </c>
      <c r="BD79" s="379">
        <f t="shared" si="116"/>
        <v>0</v>
      </c>
      <c r="BE79" s="379" t="str">
        <f t="shared" si="117"/>
        <v/>
      </c>
      <c r="BF79" s="380" t="str">
        <f t="shared" si="118"/>
        <v/>
      </c>
      <c r="BG79" s="381" t="e">
        <f t="shared" si="119"/>
        <v>#VALUE!</v>
      </c>
      <c r="BH79" s="329">
        <f>SUM(BC76:BC81)</f>
        <v>0</v>
      </c>
      <c r="BI79" s="279" t="s">
        <v>527</v>
      </c>
    </row>
    <row r="80" spans="1:61" ht="12.75" customHeight="1" x14ac:dyDescent="0.2">
      <c r="A80" s="382"/>
      <c r="B80" s="325">
        <v>5</v>
      </c>
      <c r="C80" s="359"/>
      <c r="D80" s="359"/>
      <c r="E80" s="384"/>
      <c r="F80" s="681" t="s">
        <v>672</v>
      </c>
      <c r="G80" s="684" t="s">
        <v>1378</v>
      </c>
      <c r="H80" s="684" t="s">
        <v>891</v>
      </c>
      <c r="I80" s="684" t="s">
        <v>869</v>
      </c>
      <c r="J80" s="886">
        <v>47500</v>
      </c>
      <c r="K80" s="672">
        <v>0.03</v>
      </c>
      <c r="L80" s="663">
        <v>0</v>
      </c>
      <c r="M80" s="666">
        <v>1200</v>
      </c>
      <c r="N80" s="1122">
        <f t="shared" si="92"/>
        <v>50125</v>
      </c>
      <c r="O80" s="1122">
        <v>42707</v>
      </c>
      <c r="P80" s="1122">
        <f t="shared" si="120"/>
        <v>7418</v>
      </c>
      <c r="Q80" s="667">
        <v>0</v>
      </c>
      <c r="R80" s="666">
        <f t="shared" si="93"/>
        <v>0</v>
      </c>
      <c r="S80" s="665">
        <f t="shared" si="94"/>
        <v>3107.75</v>
      </c>
      <c r="T80" s="665">
        <f t="shared" si="95"/>
        <v>726.8125</v>
      </c>
      <c r="U80" s="666">
        <f t="shared" si="91"/>
        <v>42</v>
      </c>
      <c r="V80" s="666">
        <f t="shared" si="96"/>
        <v>100.8</v>
      </c>
      <c r="W80" s="665">
        <f t="shared" si="97"/>
        <v>364.79999999999995</v>
      </c>
      <c r="X80" s="665">
        <f t="shared" si="98"/>
        <v>11581.86</v>
      </c>
      <c r="Y80" s="665">
        <f t="shared" si="99"/>
        <v>11581.86</v>
      </c>
      <c r="Z80" s="361">
        <f t="shared" si="100"/>
        <v>127755.88250000001</v>
      </c>
      <c r="AA80" s="387"/>
      <c r="AB80" s="362"/>
      <c r="AC80" s="1182" t="str">
        <f t="shared" si="101"/>
        <v>Joann Slay</v>
      </c>
      <c r="AD80" s="668" t="s">
        <v>516</v>
      </c>
      <c r="AE80" s="669">
        <f>IF(ISNA(VLOOKUP(AD80,$A$226:$E$266,4,FALSE)),"0",VLOOKUP(AD80,$A$226:$E$266,4,FALSE))</f>
        <v>637.86</v>
      </c>
      <c r="AF80" s="670" t="s">
        <v>517</v>
      </c>
      <c r="AG80" s="669">
        <f>IF(ISNA(VLOOKUP(AF80,$A$253:$E$266,4,FALSE)),"0",VLOOKUP(AF80,$A$253:$E$266,4,FALSE))</f>
        <v>52.91</v>
      </c>
      <c r="AH80" s="670" t="s">
        <v>519</v>
      </c>
      <c r="AI80" s="364">
        <f>IF(ISNA(VLOOKUP(AH80,$A$226:$E$266,4,FALSE)),"0",VLOOKUP(AH80,$A$226:$E$266,4,FALSE))</f>
        <v>7.96</v>
      </c>
      <c r="AJ80" s="364">
        <f t="shared" si="102"/>
        <v>1863.54</v>
      </c>
      <c r="AK80" s="364">
        <f t="shared" si="103"/>
        <v>58.78</v>
      </c>
      <c r="AL80" s="364">
        <f t="shared" si="104"/>
        <v>7.9899999999999993</v>
      </c>
      <c r="AM80" s="365">
        <f t="shared" si="105"/>
        <v>698.73</v>
      </c>
      <c r="AN80" s="366">
        <f t="shared" si="106"/>
        <v>1930.31</v>
      </c>
      <c r="AO80" s="367">
        <f t="shared" si="107"/>
        <v>2629.04</v>
      </c>
      <c r="AP80" s="368">
        <v>8.7999999999999998E-5</v>
      </c>
      <c r="AQ80" s="369">
        <v>2.0000000000000002E-5</v>
      </c>
      <c r="AR80" s="370">
        <v>2.22E-4</v>
      </c>
      <c r="AS80" s="371">
        <v>3.1E-4</v>
      </c>
      <c r="AT80" s="372">
        <f t="shared" si="108"/>
        <v>364.79999999999995</v>
      </c>
      <c r="AV80" s="433">
        <f t="shared" si="109"/>
        <v>47500</v>
      </c>
      <c r="AW80" s="374">
        <f t="shared" si="110"/>
        <v>0</v>
      </c>
      <c r="AX80" s="375" t="str">
        <f t="shared" si="111"/>
        <v/>
      </c>
      <c r="AY80" s="376">
        <v>41820</v>
      </c>
      <c r="AZ80" s="377">
        <f t="shared" si="112"/>
        <v>-29871</v>
      </c>
      <c r="BA80" s="378">
        <f t="shared" si="113"/>
        <v>29871</v>
      </c>
      <c r="BB80" s="379" t="str">
        <f t="shared" si="114"/>
        <v/>
      </c>
      <c r="BC80" s="379" t="str">
        <f t="shared" si="115"/>
        <v/>
      </c>
      <c r="BD80" s="379">
        <f t="shared" si="116"/>
        <v>0</v>
      </c>
      <c r="BE80" s="379" t="str">
        <f t="shared" si="117"/>
        <v/>
      </c>
      <c r="BF80" s="380" t="str">
        <f t="shared" si="118"/>
        <v/>
      </c>
      <c r="BG80" s="381" t="e">
        <f t="shared" si="119"/>
        <v>#VALUE!</v>
      </c>
      <c r="BH80" s="447">
        <f>SUM(BE76:BE81)</f>
        <v>0</v>
      </c>
      <c r="BI80" s="279" t="s">
        <v>504</v>
      </c>
    </row>
    <row r="81" spans="1:61" x14ac:dyDescent="0.2">
      <c r="A81" s="382"/>
      <c r="B81" s="325">
        <v>6</v>
      </c>
      <c r="C81" s="359"/>
      <c r="D81" s="359"/>
      <c r="E81" s="384"/>
      <c r="F81" s="681" t="s">
        <v>1379</v>
      </c>
      <c r="G81" s="684" t="s">
        <v>1381</v>
      </c>
      <c r="H81" s="684" t="s">
        <v>1380</v>
      </c>
      <c r="I81" s="684" t="s">
        <v>908</v>
      </c>
      <c r="J81" s="886">
        <v>47500</v>
      </c>
      <c r="K81" s="672">
        <v>0.03</v>
      </c>
      <c r="L81" s="663">
        <v>0</v>
      </c>
      <c r="M81" s="666">
        <v>600</v>
      </c>
      <c r="N81" s="1122">
        <f>J81*(1+K81)+L81+M81</f>
        <v>49525</v>
      </c>
      <c r="O81" s="1122">
        <v>42707</v>
      </c>
      <c r="P81" s="1122">
        <f t="shared" si="120"/>
        <v>6818</v>
      </c>
      <c r="Q81" s="667">
        <v>0.05</v>
      </c>
      <c r="R81" s="666">
        <f t="shared" si="93"/>
        <v>2476.25</v>
      </c>
      <c r="S81" s="665">
        <f t="shared" si="94"/>
        <v>2917.0225</v>
      </c>
      <c r="T81" s="665">
        <f t="shared" si="95"/>
        <v>682.20687500000008</v>
      </c>
      <c r="U81" s="666">
        <f t="shared" si="91"/>
        <v>42</v>
      </c>
      <c r="V81" s="666">
        <f t="shared" si="96"/>
        <v>100.8</v>
      </c>
      <c r="W81" s="665">
        <f t="shared" si="97"/>
        <v>364.79999999999995</v>
      </c>
      <c r="X81" s="665">
        <f t="shared" si="98"/>
        <v>3947.4600000000005</v>
      </c>
      <c r="Y81" s="665">
        <f t="shared" si="99"/>
        <v>3947.4600000000005</v>
      </c>
      <c r="Z81" s="361">
        <f t="shared" si="100"/>
        <v>113528.04937500003</v>
      </c>
      <c r="AA81" s="331"/>
      <c r="AB81" s="362"/>
      <c r="AC81" s="1182" t="str">
        <f t="shared" si="101"/>
        <v>Alex Bisignano</v>
      </c>
      <c r="AD81" s="668" t="s">
        <v>510</v>
      </c>
      <c r="AE81" s="669">
        <f t="shared" ref="AE81:AE87" si="121">IF(ISNA(VLOOKUP(AD81,$A$225:$E$265,4,FALSE)),"0",VLOOKUP(AD81,$A$225:$E$265,4,FALSE))</f>
        <v>143.44</v>
      </c>
      <c r="AF81" s="670" t="s">
        <v>525</v>
      </c>
      <c r="AG81" s="669">
        <f t="shared" ref="AG81:AG87" si="122">IF(ISNA(VLOOKUP(AF81,$A$252:$E$265,4,FALSE)),"0",VLOOKUP(AF81,$A$252:$E$265,4,FALSE))</f>
        <v>10.25</v>
      </c>
      <c r="AH81" s="670" t="s">
        <v>512</v>
      </c>
      <c r="AI81" s="364">
        <f t="shared" ref="AI81:AI87" si="123">IF(ISNA(VLOOKUP(AH81,$A$225:$E$265,4,FALSE)),"0",VLOOKUP(AH81,$A$225:$E$265,4,FALSE))</f>
        <v>1.63</v>
      </c>
      <c r="AJ81" s="364">
        <f t="shared" si="102"/>
        <v>631.8900000000001</v>
      </c>
      <c r="AK81" s="364">
        <f t="shared" si="103"/>
        <v>22.22</v>
      </c>
      <c r="AL81" s="364">
        <f t="shared" si="104"/>
        <v>3.8</v>
      </c>
      <c r="AM81" s="365">
        <f t="shared" si="105"/>
        <v>155.32</v>
      </c>
      <c r="AN81" s="366">
        <f t="shared" si="106"/>
        <v>657.91000000000008</v>
      </c>
      <c r="AO81" s="367">
        <f t="shared" si="107"/>
        <v>813.23</v>
      </c>
      <c r="AP81" s="368">
        <v>8.7999999999999998E-5</v>
      </c>
      <c r="AQ81" s="369">
        <v>2.0000000000000002E-5</v>
      </c>
      <c r="AR81" s="370">
        <v>2.22E-4</v>
      </c>
      <c r="AS81" s="371">
        <v>3.1E-4</v>
      </c>
      <c r="AT81" s="372">
        <f t="shared" si="108"/>
        <v>364.79999999999995</v>
      </c>
      <c r="AV81" s="433">
        <f t="shared" si="109"/>
        <v>47500</v>
      </c>
      <c r="AW81" s="374">
        <f t="shared" si="110"/>
        <v>0</v>
      </c>
      <c r="AX81" s="375" t="str">
        <f t="shared" si="111"/>
        <v/>
      </c>
      <c r="AY81" s="376">
        <v>41820</v>
      </c>
      <c r="AZ81" s="377">
        <f t="shared" si="112"/>
        <v>-29871</v>
      </c>
      <c r="BA81" s="378">
        <f t="shared" si="113"/>
        <v>29871</v>
      </c>
      <c r="BB81" s="379" t="str">
        <f t="shared" si="114"/>
        <v/>
      </c>
      <c r="BC81" s="379" t="str">
        <f t="shared" si="115"/>
        <v/>
      </c>
      <c r="BD81" s="379">
        <f t="shared" si="116"/>
        <v>0</v>
      </c>
      <c r="BE81" s="379" t="str">
        <f t="shared" si="117"/>
        <v/>
      </c>
      <c r="BF81" s="380" t="str">
        <f t="shared" si="118"/>
        <v/>
      </c>
      <c r="BG81" s="381" t="e">
        <f t="shared" si="119"/>
        <v>#VALUE!</v>
      </c>
      <c r="BH81" s="447">
        <f>SUM(BF76:BF81)</f>
        <v>0</v>
      </c>
      <c r="BI81" s="279" t="s">
        <v>505</v>
      </c>
    </row>
    <row r="82" spans="1:61" x14ac:dyDescent="0.2">
      <c r="A82" s="382"/>
      <c r="B82" s="325">
        <v>7</v>
      </c>
      <c r="C82" s="384"/>
      <c r="D82" s="384"/>
      <c r="E82" s="384"/>
      <c r="F82" s="681" t="s">
        <v>913</v>
      </c>
      <c r="G82" s="882" t="s">
        <v>1562</v>
      </c>
      <c r="H82" s="882" t="s">
        <v>920</v>
      </c>
      <c r="I82" s="882" t="s">
        <v>1563</v>
      </c>
      <c r="J82" s="919">
        <v>47500</v>
      </c>
      <c r="K82" s="672">
        <v>0.03</v>
      </c>
      <c r="L82" s="663">
        <v>0</v>
      </c>
      <c r="M82" s="666">
        <v>1000</v>
      </c>
      <c r="N82" s="1122">
        <f t="shared" si="92"/>
        <v>49925</v>
      </c>
      <c r="O82" s="1122">
        <v>42707</v>
      </c>
      <c r="P82" s="1122">
        <f t="shared" si="120"/>
        <v>7218</v>
      </c>
      <c r="Q82" s="667">
        <v>0.05</v>
      </c>
      <c r="R82" s="666">
        <f t="shared" si="93"/>
        <v>2496.25</v>
      </c>
      <c r="S82" s="665">
        <f t="shared" si="94"/>
        <v>2940.5825</v>
      </c>
      <c r="T82" s="665">
        <f t="shared" si="95"/>
        <v>687.71687500000007</v>
      </c>
      <c r="U82" s="666">
        <f t="shared" si="91"/>
        <v>42</v>
      </c>
      <c r="V82" s="666">
        <f t="shared" si="96"/>
        <v>100.8</v>
      </c>
      <c r="W82" s="665">
        <f t="shared" si="97"/>
        <v>364.79999999999995</v>
      </c>
      <c r="X82" s="665">
        <f t="shared" si="98"/>
        <v>3460.2</v>
      </c>
      <c r="Y82" s="665">
        <f t="shared" si="99"/>
        <v>3460.2</v>
      </c>
      <c r="Z82" s="361">
        <f t="shared" si="100"/>
        <v>113402.59937500001</v>
      </c>
      <c r="AA82" s="331"/>
      <c r="AB82" s="362"/>
      <c r="AC82" s="1181" t="str">
        <f t="shared" si="101"/>
        <v>Melissa Feldman</v>
      </c>
      <c r="AD82" s="668" t="s">
        <v>530</v>
      </c>
      <c r="AE82" s="669">
        <f t="shared" si="121"/>
        <v>125.65</v>
      </c>
      <c r="AF82" s="670" t="s">
        <v>511</v>
      </c>
      <c r="AG82" s="669">
        <f t="shared" si="122"/>
        <v>6.92</v>
      </c>
      <c r="AH82" s="670" t="s">
        <v>512</v>
      </c>
      <c r="AI82" s="364">
        <f t="shared" si="123"/>
        <v>1.63</v>
      </c>
      <c r="AJ82" s="364">
        <f t="shared" si="102"/>
        <v>553.53</v>
      </c>
      <c r="AK82" s="364">
        <f t="shared" si="103"/>
        <v>19.369999999999997</v>
      </c>
      <c r="AL82" s="364">
        <f t="shared" si="104"/>
        <v>3.8</v>
      </c>
      <c r="AM82" s="365">
        <f t="shared" si="105"/>
        <v>134.19999999999999</v>
      </c>
      <c r="AN82" s="366">
        <f t="shared" si="106"/>
        <v>576.69999999999993</v>
      </c>
      <c r="AO82" s="367">
        <f t="shared" si="107"/>
        <v>710.89999999999986</v>
      </c>
      <c r="AP82" s="368">
        <v>8.7999999999999998E-5</v>
      </c>
      <c r="AQ82" s="369">
        <v>2.0000000000000002E-5</v>
      </c>
      <c r="AR82" s="370">
        <v>2.22E-4</v>
      </c>
      <c r="AS82" s="371">
        <v>3.1E-4</v>
      </c>
      <c r="AT82" s="372">
        <f t="shared" si="108"/>
        <v>364.79999999999995</v>
      </c>
      <c r="AV82" s="433">
        <f t="shared" si="109"/>
        <v>47500</v>
      </c>
      <c r="AW82" s="374">
        <f t="shared" si="110"/>
        <v>0</v>
      </c>
      <c r="AX82" s="375" t="str">
        <f>IF(ISERROR(AV82/AW82),"",(AV82/AW82))</f>
        <v/>
      </c>
      <c r="AY82" s="376">
        <v>41821</v>
      </c>
      <c r="AZ82" s="377">
        <f t="shared" si="112"/>
        <v>-29872</v>
      </c>
      <c r="BA82" s="378">
        <f>AW82-AZ82</f>
        <v>29872</v>
      </c>
      <c r="BB82" s="379" t="str">
        <f>IF(ISERROR(BA82*AX82),"",(BA82*AX82))</f>
        <v/>
      </c>
      <c r="BC82" s="379" t="str">
        <f>IF(ISERROR(AZ82*AX82),"",(AZ82*AX82))</f>
        <v/>
      </c>
      <c r="BD82" s="379">
        <f>IF(ISERROR(SUM(BB82:BC82)),"",((SUM(BB82:BC82))))</f>
        <v>0</v>
      </c>
      <c r="BE82" s="379" t="str">
        <f>IF(ISERROR(BC82*7.65%),"",((BC82*7.65%)))</f>
        <v/>
      </c>
      <c r="BF82" s="380" t="str">
        <f>IF(ISERROR(BC82*21.17%),"",((BC82*21.17%)))</f>
        <v/>
      </c>
      <c r="BG82" s="381" t="e">
        <f>SUM(BE82:BF82)+BC82</f>
        <v>#VALUE!</v>
      </c>
      <c r="BH82" s="447"/>
    </row>
    <row r="83" spans="1:61" x14ac:dyDescent="0.2">
      <c r="A83" s="382"/>
      <c r="B83" s="325">
        <v>8</v>
      </c>
      <c r="C83" s="385"/>
      <c r="D83" s="385"/>
      <c r="E83" s="385"/>
      <c r="F83" s="681"/>
      <c r="G83" s="882"/>
      <c r="H83" s="882"/>
      <c r="I83" s="882"/>
      <c r="J83" s="919"/>
      <c r="K83" s="672">
        <v>0</v>
      </c>
      <c r="L83" s="663">
        <v>0</v>
      </c>
      <c r="M83" s="666"/>
      <c r="N83" s="1122">
        <f t="shared" si="92"/>
        <v>0</v>
      </c>
      <c r="O83" s="1122">
        <v>0</v>
      </c>
      <c r="P83" s="1122">
        <f t="shared" si="120"/>
        <v>0</v>
      </c>
      <c r="Q83" s="667"/>
      <c r="R83" s="666">
        <f t="shared" si="93"/>
        <v>0</v>
      </c>
      <c r="S83" s="665">
        <f t="shared" si="94"/>
        <v>0</v>
      </c>
      <c r="T83" s="665">
        <f t="shared" si="95"/>
        <v>0</v>
      </c>
      <c r="U83" s="666">
        <f t="shared" si="91"/>
        <v>0</v>
      </c>
      <c r="V83" s="666">
        <f t="shared" si="96"/>
        <v>0</v>
      </c>
      <c r="W83" s="665">
        <f t="shared" si="97"/>
        <v>0</v>
      </c>
      <c r="X83" s="665">
        <f t="shared" si="98"/>
        <v>0</v>
      </c>
      <c r="Y83" s="665">
        <f t="shared" si="99"/>
        <v>0</v>
      </c>
      <c r="Z83" s="361">
        <f t="shared" si="100"/>
        <v>0</v>
      </c>
      <c r="AA83" s="331"/>
      <c r="AB83" s="362"/>
      <c r="AC83" s="1181">
        <f t="shared" si="101"/>
        <v>0</v>
      </c>
      <c r="AD83" s="818" t="s">
        <v>526</v>
      </c>
      <c r="AE83" s="819">
        <f t="shared" si="121"/>
        <v>0</v>
      </c>
      <c r="AF83" s="820" t="s">
        <v>526</v>
      </c>
      <c r="AG83" s="819">
        <f t="shared" si="122"/>
        <v>0</v>
      </c>
      <c r="AH83" s="820" t="s">
        <v>526</v>
      </c>
      <c r="AI83" s="819">
        <f t="shared" si="123"/>
        <v>0</v>
      </c>
      <c r="AJ83" s="819">
        <f t="shared" si="102"/>
        <v>0</v>
      </c>
      <c r="AK83" s="819">
        <f t="shared" si="103"/>
        <v>0</v>
      </c>
      <c r="AL83" s="819">
        <f t="shared" si="104"/>
        <v>0</v>
      </c>
      <c r="AM83" s="365">
        <f t="shared" si="105"/>
        <v>0</v>
      </c>
      <c r="AN83" s="366">
        <f t="shared" si="106"/>
        <v>0</v>
      </c>
      <c r="AO83" s="367">
        <f t="shared" si="107"/>
        <v>0</v>
      </c>
      <c r="AP83" s="821">
        <v>8.7999999999999998E-5</v>
      </c>
      <c r="AQ83" s="822">
        <v>2.0000000000000002E-5</v>
      </c>
      <c r="AR83" s="370">
        <v>2.22E-4</v>
      </c>
      <c r="AS83" s="371">
        <v>3.1E-4</v>
      </c>
      <c r="AT83" s="372">
        <f t="shared" si="108"/>
        <v>0</v>
      </c>
      <c r="AV83" s="433">
        <f t="shared" si="109"/>
        <v>0</v>
      </c>
      <c r="AW83" s="374">
        <f t="shared" si="110"/>
        <v>0</v>
      </c>
      <c r="AX83" s="375" t="str">
        <f>IF(ISERROR(AV83/AW83),"",(AV83/AW83))</f>
        <v/>
      </c>
      <c r="AY83" s="376">
        <v>41822</v>
      </c>
      <c r="AZ83" s="377">
        <f t="shared" si="112"/>
        <v>-29873</v>
      </c>
      <c r="BA83" s="378">
        <f>AW83-AZ83</f>
        <v>29873</v>
      </c>
      <c r="BB83" s="824" t="str">
        <f>IF(ISERROR(BA83*AX83),"",(BA83*AX83))</f>
        <v/>
      </c>
      <c r="BC83" s="824" t="str">
        <f>IF(ISERROR(AZ83*AX83),"",(AZ83*AX83))</f>
        <v/>
      </c>
      <c r="BD83" s="824">
        <f>IF(ISERROR(SUM(BB83:BC83)),"",((SUM(BB83:BC83))))</f>
        <v>0</v>
      </c>
      <c r="BE83" s="824" t="str">
        <f>IF(ISERROR(BC83*7.65%),"",((BC83*7.65%)))</f>
        <v/>
      </c>
      <c r="BF83" s="825" t="str">
        <f>IF(ISERROR(BC83*21.17%),"",((BC83*21.17%)))</f>
        <v/>
      </c>
      <c r="BG83" s="826" t="e">
        <f>SUM(BE83:BF83)+BC83</f>
        <v>#VALUE!</v>
      </c>
      <c r="BH83" s="827"/>
    </row>
    <row r="84" spans="1:61" x14ac:dyDescent="0.2">
      <c r="A84" s="382"/>
      <c r="B84" s="325">
        <v>9</v>
      </c>
      <c r="C84" s="384"/>
      <c r="D84" s="384"/>
      <c r="E84" s="384"/>
      <c r="F84" s="681" t="s">
        <v>988</v>
      </c>
      <c r="G84" s="684" t="s">
        <v>1361</v>
      </c>
      <c r="H84" s="684" t="s">
        <v>1362</v>
      </c>
      <c r="I84" s="684" t="s">
        <v>924</v>
      </c>
      <c r="J84" s="884">
        <v>27360</v>
      </c>
      <c r="K84" s="672">
        <v>0.03</v>
      </c>
      <c r="L84" s="663">
        <v>0</v>
      </c>
      <c r="M84" s="666">
        <v>0</v>
      </c>
      <c r="N84" s="1122">
        <f>J84*(1+K84)+L84+M84</f>
        <v>28180.799999999999</v>
      </c>
      <c r="O84" s="1122">
        <v>18240</v>
      </c>
      <c r="P84" s="1122">
        <f t="shared" si="120"/>
        <v>9940.7999999999993</v>
      </c>
      <c r="Q84" s="667"/>
      <c r="R84" s="666">
        <f t="shared" si="93"/>
        <v>0</v>
      </c>
      <c r="S84" s="665">
        <f t="shared" si="94"/>
        <v>1747.2095999999999</v>
      </c>
      <c r="T84" s="665">
        <f t="shared" si="95"/>
        <v>408.6216</v>
      </c>
      <c r="U84" s="666">
        <f t="shared" si="91"/>
        <v>42</v>
      </c>
      <c r="V84" s="666">
        <f t="shared" si="96"/>
        <v>100.8</v>
      </c>
      <c r="W84" s="665">
        <f t="shared" si="97"/>
        <v>210.12479999999999</v>
      </c>
      <c r="X84" s="665">
        <f t="shared" si="98"/>
        <v>0</v>
      </c>
      <c r="Y84" s="665">
        <f t="shared" si="99"/>
        <v>0</v>
      </c>
      <c r="Z84" s="361">
        <f t="shared" si="100"/>
        <v>58870.356000000007</v>
      </c>
      <c r="AA84" s="331"/>
      <c r="AB84" s="362"/>
      <c r="AC84" s="1181" t="str">
        <f t="shared" si="101"/>
        <v>Christopher Reiss</v>
      </c>
      <c r="AD84" s="668" t="s">
        <v>526</v>
      </c>
      <c r="AE84" s="669">
        <f t="shared" si="121"/>
        <v>0</v>
      </c>
      <c r="AF84" s="670" t="s">
        <v>526</v>
      </c>
      <c r="AG84" s="669">
        <f t="shared" si="122"/>
        <v>0</v>
      </c>
      <c r="AH84" s="670" t="s">
        <v>526</v>
      </c>
      <c r="AI84" s="364">
        <f t="shared" si="123"/>
        <v>0</v>
      </c>
      <c r="AJ84" s="364">
        <f t="shared" si="102"/>
        <v>0</v>
      </c>
      <c r="AK84" s="364">
        <f t="shared" si="103"/>
        <v>0</v>
      </c>
      <c r="AL84" s="364">
        <f t="shared" si="104"/>
        <v>0</v>
      </c>
      <c r="AM84" s="365">
        <f t="shared" si="105"/>
        <v>0</v>
      </c>
      <c r="AN84" s="366">
        <f t="shared" si="106"/>
        <v>0</v>
      </c>
      <c r="AO84" s="367">
        <f t="shared" si="107"/>
        <v>0</v>
      </c>
      <c r="AP84" s="368">
        <v>8.7999999999999998E-5</v>
      </c>
      <c r="AQ84" s="369">
        <v>2.0000000000000002E-5</v>
      </c>
      <c r="AR84" s="370">
        <v>2.22E-4</v>
      </c>
      <c r="AS84" s="371">
        <v>3.1E-4</v>
      </c>
      <c r="AT84" s="372">
        <f t="shared" si="108"/>
        <v>210.12479999999999</v>
      </c>
      <c r="AV84" s="433">
        <f t="shared" si="109"/>
        <v>27360</v>
      </c>
      <c r="AW84" s="374">
        <f t="shared" si="110"/>
        <v>0</v>
      </c>
      <c r="AX84" s="375" t="str">
        <f>IF(ISERROR(AV84/AW84),"",(AV84/AW84))</f>
        <v/>
      </c>
      <c r="AY84" s="376">
        <v>41823</v>
      </c>
      <c r="AZ84" s="377">
        <f t="shared" si="112"/>
        <v>-29874</v>
      </c>
      <c r="BA84" s="378">
        <f>AW84-AZ84</f>
        <v>29874</v>
      </c>
      <c r="BB84" s="379" t="str">
        <f>IF(ISERROR(BA84*AX84),"",(BA84*AX84))</f>
        <v/>
      </c>
      <c r="BC84" s="379" t="str">
        <f>IF(ISERROR(AZ84*AX84),"",(AZ84*AX84))</f>
        <v/>
      </c>
      <c r="BD84" s="379">
        <f>IF(ISERROR(SUM(BB84:BC84)),"",((SUM(BB84:BC84))))</f>
        <v>0</v>
      </c>
      <c r="BE84" s="379" t="str">
        <f>IF(ISERROR(BC84*7.65%),"",((BC84*7.65%)))</f>
        <v/>
      </c>
      <c r="BF84" s="380" t="str">
        <f>IF(ISERROR(BC84*21.17%),"",((BC84*21.17%)))</f>
        <v/>
      </c>
      <c r="BG84" s="381" t="e">
        <f>SUM(BE84:BF84)+BC84</f>
        <v>#VALUE!</v>
      </c>
      <c r="BH84" s="447"/>
    </row>
    <row r="85" spans="1:61" x14ac:dyDescent="0.2">
      <c r="A85" s="382"/>
      <c r="B85" s="325">
        <v>10</v>
      </c>
      <c r="C85" s="384"/>
      <c r="D85" s="384"/>
      <c r="E85" s="384"/>
      <c r="F85" s="681"/>
      <c r="G85" s="684"/>
      <c r="H85" s="684"/>
      <c r="I85" s="684"/>
      <c r="J85" s="681"/>
      <c r="K85" s="672">
        <v>0</v>
      </c>
      <c r="L85" s="663">
        <v>0</v>
      </c>
      <c r="M85" s="666"/>
      <c r="N85" s="1122">
        <f t="shared" si="92"/>
        <v>0</v>
      </c>
      <c r="O85" s="1122">
        <v>0</v>
      </c>
      <c r="P85" s="1122">
        <f t="shared" si="120"/>
        <v>0</v>
      </c>
      <c r="Q85" s="667"/>
      <c r="R85" s="666">
        <f t="shared" si="93"/>
        <v>0</v>
      </c>
      <c r="S85" s="665">
        <f t="shared" si="94"/>
        <v>0</v>
      </c>
      <c r="T85" s="665">
        <f t="shared" si="95"/>
        <v>0</v>
      </c>
      <c r="U85" s="666">
        <f t="shared" si="91"/>
        <v>0</v>
      </c>
      <c r="V85" s="666">
        <f t="shared" si="96"/>
        <v>0</v>
      </c>
      <c r="W85" s="665">
        <f t="shared" si="97"/>
        <v>0</v>
      </c>
      <c r="X85" s="665">
        <f t="shared" si="98"/>
        <v>0</v>
      </c>
      <c r="Y85" s="665">
        <f t="shared" si="99"/>
        <v>0</v>
      </c>
      <c r="Z85" s="361">
        <f t="shared" si="100"/>
        <v>0</v>
      </c>
      <c r="AA85" s="331"/>
      <c r="AB85" s="362"/>
      <c r="AC85" s="363">
        <f t="shared" si="101"/>
        <v>0</v>
      </c>
      <c r="AD85" s="668" t="s">
        <v>526</v>
      </c>
      <c r="AE85" s="669">
        <f t="shared" si="121"/>
        <v>0</v>
      </c>
      <c r="AF85" s="670" t="s">
        <v>526</v>
      </c>
      <c r="AG85" s="669">
        <f t="shared" si="122"/>
        <v>0</v>
      </c>
      <c r="AH85" s="670" t="s">
        <v>526</v>
      </c>
      <c r="AI85" s="364">
        <f t="shared" si="123"/>
        <v>0</v>
      </c>
      <c r="AJ85" s="364">
        <f t="shared" si="102"/>
        <v>0</v>
      </c>
      <c r="AK85" s="364">
        <f t="shared" si="103"/>
        <v>0</v>
      </c>
      <c r="AL85" s="364">
        <f t="shared" si="104"/>
        <v>0</v>
      </c>
      <c r="AM85" s="365">
        <f t="shared" si="105"/>
        <v>0</v>
      </c>
      <c r="AN85" s="366">
        <f t="shared" si="106"/>
        <v>0</v>
      </c>
      <c r="AO85" s="367">
        <f t="shared" si="107"/>
        <v>0</v>
      </c>
      <c r="AP85" s="368">
        <v>8.7999999999999998E-5</v>
      </c>
      <c r="AQ85" s="369">
        <v>2.0000000000000002E-5</v>
      </c>
      <c r="AR85" s="370">
        <v>2.22E-4</v>
      </c>
      <c r="AS85" s="371">
        <v>3.1E-4</v>
      </c>
      <c r="AT85" s="372">
        <f t="shared" si="108"/>
        <v>0</v>
      </c>
      <c r="AV85" s="433">
        <f t="shared" si="109"/>
        <v>0</v>
      </c>
      <c r="AW85" s="374">
        <f t="shared" si="110"/>
        <v>0</v>
      </c>
      <c r="AX85" s="375" t="str">
        <f>IF(ISERROR(AV85/AW85),"",(AV85/AW85))</f>
        <v/>
      </c>
      <c r="AY85" s="376">
        <v>41824</v>
      </c>
      <c r="AZ85" s="377">
        <f t="shared" si="112"/>
        <v>-29875</v>
      </c>
      <c r="BA85" s="378">
        <f>AW85-AZ85</f>
        <v>29875</v>
      </c>
      <c r="BB85" s="379" t="str">
        <f>IF(ISERROR(BA85*AX85),"",(BA85*AX85))</f>
        <v/>
      </c>
      <c r="BC85" s="379" t="str">
        <f>IF(ISERROR(AZ85*AX85),"",(AZ85*AX85))</f>
        <v/>
      </c>
      <c r="BD85" s="379">
        <f>IF(ISERROR(SUM(BB85:BC85)),"",((SUM(BB85:BC85))))</f>
        <v>0</v>
      </c>
      <c r="BE85" s="379" t="str">
        <f>IF(ISERROR(BC85*7.65%),"",((BC85*7.65%)))</f>
        <v/>
      </c>
      <c r="BF85" s="380" t="str">
        <f>IF(ISERROR(BC85*21.17%),"",((BC85*21.17%)))</f>
        <v/>
      </c>
      <c r="BG85" s="381" t="e">
        <f>SUM(BE85:BF85)+BC85</f>
        <v>#VALUE!</v>
      </c>
      <c r="BH85" s="447"/>
    </row>
    <row r="86" spans="1:61" x14ac:dyDescent="0.2">
      <c r="A86" s="382"/>
      <c r="B86" s="325">
        <v>11</v>
      </c>
      <c r="C86" s="384"/>
      <c r="D86" s="384"/>
      <c r="E86" s="384"/>
      <c r="F86" s="681"/>
      <c r="G86" s="681" t="s">
        <v>1409</v>
      </c>
      <c r="H86" s="681" t="s">
        <v>296</v>
      </c>
      <c r="I86" s="681"/>
      <c r="J86" s="681"/>
      <c r="K86" s="672">
        <v>0</v>
      </c>
      <c r="L86" s="663">
        <v>0</v>
      </c>
      <c r="M86" s="666">
        <v>12500</v>
      </c>
      <c r="N86" s="1122">
        <f>J86*(1+K86)+L86+M86</f>
        <v>12500</v>
      </c>
      <c r="O86" s="1122">
        <v>11250</v>
      </c>
      <c r="P86" s="1122">
        <f t="shared" si="120"/>
        <v>1250</v>
      </c>
      <c r="Q86" s="667"/>
      <c r="R86" s="666"/>
      <c r="S86" s="665">
        <f t="shared" si="94"/>
        <v>775</v>
      </c>
      <c r="T86" s="665">
        <f t="shared" si="95"/>
        <v>181.25</v>
      </c>
      <c r="U86" s="666">
        <f t="shared" si="91"/>
        <v>42</v>
      </c>
      <c r="V86" s="666">
        <f t="shared" si="96"/>
        <v>100.8</v>
      </c>
      <c r="W86" s="665">
        <f t="shared" si="97"/>
        <v>0</v>
      </c>
      <c r="X86" s="665">
        <f t="shared" si="98"/>
        <v>0</v>
      </c>
      <c r="Y86" s="665">
        <f t="shared" si="99"/>
        <v>0</v>
      </c>
      <c r="Z86" s="361">
        <f t="shared" si="100"/>
        <v>26099.05</v>
      </c>
      <c r="AA86" s="331"/>
      <c r="AB86" s="362"/>
      <c r="AC86" s="363" t="str">
        <f t="shared" si="101"/>
        <v>Stipends for sports</v>
      </c>
      <c r="AD86" s="668" t="s">
        <v>526</v>
      </c>
      <c r="AE86" s="669">
        <f t="shared" si="121"/>
        <v>0</v>
      </c>
      <c r="AF86" s="670" t="s">
        <v>526</v>
      </c>
      <c r="AG86" s="669">
        <f t="shared" si="122"/>
        <v>0</v>
      </c>
      <c r="AH86" s="670" t="s">
        <v>526</v>
      </c>
      <c r="AI86" s="364">
        <f t="shared" si="123"/>
        <v>0</v>
      </c>
      <c r="AJ86" s="364">
        <f t="shared" si="102"/>
        <v>0</v>
      </c>
      <c r="AK86" s="364">
        <f t="shared" si="103"/>
        <v>0</v>
      </c>
      <c r="AL86" s="364">
        <f t="shared" si="104"/>
        <v>0</v>
      </c>
      <c r="AM86" s="365">
        <f t="shared" si="105"/>
        <v>0</v>
      </c>
      <c r="AN86" s="366">
        <f t="shared" si="106"/>
        <v>0</v>
      </c>
      <c r="AO86" s="367">
        <f t="shared" si="107"/>
        <v>0</v>
      </c>
      <c r="AP86" s="368">
        <v>8.7999999999999998E-5</v>
      </c>
      <c r="AQ86" s="369">
        <v>2.0000000000000002E-5</v>
      </c>
      <c r="AR86" s="370">
        <v>2.22E-4</v>
      </c>
      <c r="AS86" s="371">
        <v>3.1E-4</v>
      </c>
      <c r="AT86" s="372">
        <f t="shared" si="108"/>
        <v>0</v>
      </c>
      <c r="AV86" s="373"/>
      <c r="AW86" s="374"/>
      <c r="AX86" s="375"/>
      <c r="AY86" s="376"/>
      <c r="AZ86" s="377"/>
      <c r="BA86" s="378"/>
      <c r="BB86" s="379"/>
      <c r="BC86" s="379"/>
      <c r="BD86" s="379"/>
      <c r="BE86" s="379"/>
      <c r="BF86" s="380"/>
      <c r="BG86" s="381"/>
      <c r="BH86" s="447"/>
    </row>
    <row r="87" spans="1:61" x14ac:dyDescent="0.2">
      <c r="A87" s="382"/>
      <c r="B87" s="325">
        <v>12</v>
      </c>
      <c r="C87" s="384"/>
      <c r="D87" s="384"/>
      <c r="E87" s="384"/>
      <c r="F87" s="681"/>
      <c r="G87" s="684"/>
      <c r="H87" s="684"/>
      <c r="I87" s="684"/>
      <c r="J87" s="681"/>
      <c r="K87" s="672">
        <v>0</v>
      </c>
      <c r="L87" s="663">
        <v>0</v>
      </c>
      <c r="M87" s="666"/>
      <c r="N87" s="1122">
        <f t="shared" si="92"/>
        <v>0</v>
      </c>
      <c r="O87" s="1122">
        <v>0</v>
      </c>
      <c r="P87" s="1122"/>
      <c r="Q87" s="667"/>
      <c r="R87" s="666"/>
      <c r="S87" s="665">
        <f t="shared" si="94"/>
        <v>0</v>
      </c>
      <c r="T87" s="665">
        <f t="shared" si="95"/>
        <v>0</v>
      </c>
      <c r="U87" s="666">
        <f t="shared" si="91"/>
        <v>0</v>
      </c>
      <c r="V87" s="666">
        <f t="shared" si="96"/>
        <v>0</v>
      </c>
      <c r="W87" s="665">
        <f t="shared" si="97"/>
        <v>0</v>
      </c>
      <c r="X87" s="665">
        <f t="shared" si="98"/>
        <v>0</v>
      </c>
      <c r="Y87" s="665">
        <f t="shared" si="99"/>
        <v>0</v>
      </c>
      <c r="Z87" s="361">
        <f t="shared" si="100"/>
        <v>0</v>
      </c>
      <c r="AA87" s="331"/>
      <c r="AB87" s="362"/>
      <c r="AC87" s="363">
        <f t="shared" si="101"/>
        <v>0</v>
      </c>
      <c r="AD87" s="668" t="s">
        <v>526</v>
      </c>
      <c r="AE87" s="669">
        <f t="shared" si="121"/>
        <v>0</v>
      </c>
      <c r="AF87" s="670" t="s">
        <v>526</v>
      </c>
      <c r="AG87" s="669">
        <f t="shared" si="122"/>
        <v>0</v>
      </c>
      <c r="AH87" s="670" t="s">
        <v>526</v>
      </c>
      <c r="AI87" s="364">
        <f t="shared" si="123"/>
        <v>0</v>
      </c>
      <c r="AJ87" s="364">
        <f t="shared" si="102"/>
        <v>0</v>
      </c>
      <c r="AK87" s="364">
        <f t="shared" si="103"/>
        <v>0</v>
      </c>
      <c r="AL87" s="364">
        <f t="shared" si="104"/>
        <v>0</v>
      </c>
      <c r="AM87" s="365">
        <f t="shared" si="105"/>
        <v>0</v>
      </c>
      <c r="AN87" s="366">
        <f t="shared" si="106"/>
        <v>0</v>
      </c>
      <c r="AO87" s="367">
        <f t="shared" si="107"/>
        <v>0</v>
      </c>
      <c r="AP87" s="368">
        <v>8.7999999999999998E-5</v>
      </c>
      <c r="AQ87" s="369">
        <v>2.0000000000000002E-5</v>
      </c>
      <c r="AR87" s="370">
        <v>2.22E-4</v>
      </c>
      <c r="AS87" s="371">
        <v>3.1E-4</v>
      </c>
      <c r="AT87" s="372">
        <f t="shared" si="108"/>
        <v>0</v>
      </c>
      <c r="AV87" s="373"/>
      <c r="AW87" s="374"/>
      <c r="AX87" s="375"/>
      <c r="AY87" s="376"/>
      <c r="AZ87" s="377"/>
      <c r="BA87" s="378"/>
      <c r="BB87" s="379"/>
      <c r="BC87" s="379"/>
      <c r="BD87" s="379"/>
      <c r="BE87" s="379"/>
      <c r="BF87" s="380"/>
      <c r="BG87" s="381"/>
      <c r="BH87" s="447"/>
    </row>
    <row r="88" spans="1:61" x14ac:dyDescent="0.2">
      <c r="A88" s="382"/>
      <c r="B88" s="325">
        <v>13</v>
      </c>
      <c r="C88" s="384"/>
      <c r="D88" s="384"/>
      <c r="E88" s="384"/>
      <c r="F88" s="681"/>
      <c r="G88" s="681"/>
      <c r="H88" s="681"/>
      <c r="I88" s="681"/>
      <c r="J88" s="685"/>
      <c r="K88" s="672">
        <v>0</v>
      </c>
      <c r="L88" s="663">
        <v>0</v>
      </c>
      <c r="M88" s="666"/>
      <c r="N88" s="1122">
        <f t="shared" si="92"/>
        <v>0</v>
      </c>
      <c r="O88" s="1122"/>
      <c r="P88" s="1122"/>
      <c r="Q88" s="679"/>
      <c r="R88" s="666">
        <f>N88*Q88</f>
        <v>0</v>
      </c>
      <c r="S88" s="665">
        <f t="shared" si="94"/>
        <v>0</v>
      </c>
      <c r="T88" s="665">
        <f t="shared" si="95"/>
        <v>0</v>
      </c>
      <c r="U88" s="666">
        <f t="shared" si="91"/>
        <v>0</v>
      </c>
      <c r="V88" s="666">
        <f t="shared" si="96"/>
        <v>0</v>
      </c>
      <c r="W88" s="665">
        <f t="shared" si="97"/>
        <v>0</v>
      </c>
      <c r="X88" s="665">
        <f t="shared" si="98"/>
        <v>0</v>
      </c>
      <c r="Y88" s="665">
        <f t="shared" si="99"/>
        <v>0</v>
      </c>
      <c r="Z88" s="361">
        <f>SUM(N88:Y88)</f>
        <v>0</v>
      </c>
      <c r="AA88" s="331"/>
      <c r="AB88" s="362"/>
      <c r="AC88" s="363">
        <f>G88</f>
        <v>0</v>
      </c>
      <c r="AD88" s="669"/>
      <c r="AE88" s="669" t="str">
        <f>IF(ISNA(VLOOKUP(AD88,$A$226:$E$266,4,FALSE)),"0",VLOOKUP(AD88,$A$226:$E$266,4,FALSE))</f>
        <v>0</v>
      </c>
      <c r="AF88" s="669"/>
      <c r="AG88" s="669" t="str">
        <f>IF(ISNA(VLOOKUP(AF88,$A$226:$E$266,4,FALSE)),"0",VLOOKUP(AF88,$A$226:$E$266,4,FALSE))</f>
        <v>0</v>
      </c>
      <c r="AH88" s="669"/>
      <c r="AI88" s="364" t="str">
        <f>IF(ISNA(VLOOKUP(AH88,$A$226:$E$266,4,FALSE)),"0",VLOOKUP(AH88,$A$226:$E$266,4,FALSE))</f>
        <v>0</v>
      </c>
      <c r="AJ88" s="364" t="str">
        <f>IF(ISNA(VLOOKUP(AD88,$A$226:$E$266,5,FALSE)),"0",VLOOKUP(AD88,$A$226:$E$266,5,FALSE))</f>
        <v>0</v>
      </c>
      <c r="AK88" s="364" t="str">
        <f>IF(ISNA(VLOOKUP(AF88,$A$226:$E$266,5,FALSE)),"0",VLOOKUP(AF88,$A$226:$E$266,5,FALSE))</f>
        <v>0</v>
      </c>
      <c r="AL88" s="364" t="str">
        <f>IF(ISNA(VLOOKUP(AH88,$A$226:$E$259,5,FALSE)),"0",VLOOKUP(AH88,$A$226:$E$259,5,FALSE))</f>
        <v>0</v>
      </c>
      <c r="AM88" s="365">
        <f t="shared" si="105"/>
        <v>0</v>
      </c>
      <c r="AN88" s="366">
        <f t="shared" si="106"/>
        <v>0</v>
      </c>
      <c r="AO88" s="367">
        <f t="shared" si="107"/>
        <v>0</v>
      </c>
      <c r="AP88" s="368">
        <v>8.7999999999999998E-5</v>
      </c>
      <c r="AQ88" s="369">
        <v>2.0000000000000002E-5</v>
      </c>
      <c r="AR88" s="370">
        <v>2.22E-4</v>
      </c>
      <c r="AS88" s="371">
        <v>3.1E-4</v>
      </c>
      <c r="AT88" s="372">
        <f t="shared" si="108"/>
        <v>0</v>
      </c>
      <c r="AV88" s="373">
        <f>J88</f>
        <v>0</v>
      </c>
      <c r="AW88" s="374">
        <f>NETWORKDAYS(C88,D88)</f>
        <v>0</v>
      </c>
      <c r="AX88" s="375" t="str">
        <f>IF(ISERROR(AV88/AW88),"",(AV88/AW88))</f>
        <v/>
      </c>
      <c r="AY88" s="376">
        <v>41823</v>
      </c>
      <c r="AZ88" s="377">
        <f>NETWORKDAYS(AY88,D88)</f>
        <v>-29874</v>
      </c>
      <c r="BA88" s="378">
        <f>AW88-AZ88</f>
        <v>29874</v>
      </c>
      <c r="BB88" s="379" t="str">
        <f>IF(ISERROR(BA88*AX88),"",(BA88*AX88))</f>
        <v/>
      </c>
      <c r="BC88" s="379" t="str">
        <f>IF(ISERROR(AZ88*AX88),"",(AZ88*AX88))</f>
        <v/>
      </c>
      <c r="BD88" s="379">
        <f>IF(ISERROR(SUM(BB88:BC88)),"",((SUM(BB88:BC88))))</f>
        <v>0</v>
      </c>
      <c r="BE88" s="379" t="str">
        <f>IF(ISERROR(BC88*7.65%),"",((BC88*7.65%)))</f>
        <v/>
      </c>
      <c r="BF88" s="380" t="str">
        <f>IF(ISERROR(BC88*21.17%),"",((BC88*21.17%)))</f>
        <v/>
      </c>
      <c r="BG88" s="381" t="e">
        <f>SUM(BE88:BF88)+BC88</f>
        <v>#VALUE!</v>
      </c>
      <c r="BH88" s="447"/>
    </row>
    <row r="89" spans="1:61" ht="13.5" thickBot="1" x14ac:dyDescent="0.25">
      <c r="A89" s="392"/>
      <c r="B89" s="392"/>
      <c r="C89" s="392"/>
      <c r="D89" s="392"/>
      <c r="E89" s="392"/>
      <c r="F89" s="393"/>
      <c r="G89" s="393"/>
      <c r="H89" s="393"/>
      <c r="I89" s="393"/>
      <c r="J89" s="395"/>
      <c r="K89" s="394"/>
      <c r="L89" s="663">
        <v>0</v>
      </c>
      <c r="M89" s="396"/>
      <c r="N89" s="1123"/>
      <c r="O89" s="1123"/>
      <c r="P89" s="1123"/>
      <c r="Q89" s="396"/>
      <c r="R89" s="396"/>
      <c r="S89" s="396"/>
      <c r="T89" s="396"/>
      <c r="U89" s="666">
        <f t="shared" si="91"/>
        <v>0</v>
      </c>
      <c r="V89" s="396"/>
      <c r="W89" s="396"/>
      <c r="X89" s="396"/>
      <c r="Y89" s="396"/>
      <c r="Z89" s="397"/>
      <c r="AA89" s="398">
        <f>SUM(Z76:Z88)</f>
        <v>806303.58037500014</v>
      </c>
      <c r="AB89" s="399"/>
      <c r="AC89" s="400"/>
      <c r="AD89" s="401"/>
      <c r="AE89" s="402"/>
      <c r="AF89" s="401"/>
      <c r="AG89" s="402"/>
      <c r="AH89" s="401"/>
      <c r="AI89" s="402"/>
      <c r="AJ89" s="402"/>
      <c r="AK89" s="402"/>
      <c r="AL89" s="402"/>
      <c r="AM89" s="403"/>
      <c r="AN89" s="404"/>
      <c r="AO89" s="405"/>
      <c r="AP89" s="406"/>
      <c r="AQ89" s="407"/>
      <c r="AR89" s="408"/>
      <c r="AS89" s="409"/>
      <c r="AT89" s="372">
        <f t="shared" si="108"/>
        <v>0</v>
      </c>
      <c r="AU89" s="411"/>
      <c r="AV89" s="412"/>
      <c r="AW89" s="413"/>
      <c r="AX89" s="414"/>
      <c r="AY89" s="415"/>
      <c r="AZ89" s="416"/>
      <c r="BA89" s="417"/>
      <c r="BB89" s="418"/>
      <c r="BC89" s="418"/>
      <c r="BD89" s="418"/>
      <c r="BE89" s="418"/>
      <c r="BF89" s="419"/>
      <c r="BG89" s="448"/>
      <c r="BH89" s="449">
        <f>SUM(BH79:BH81)</f>
        <v>0</v>
      </c>
      <c r="BI89" s="422">
        <f>AA81</f>
        <v>0</v>
      </c>
    </row>
    <row r="90" spans="1:61" ht="19.5" customHeight="1" x14ac:dyDescent="0.2">
      <c r="A90" s="1293" t="s">
        <v>532</v>
      </c>
      <c r="B90" s="358">
        <v>1</v>
      </c>
      <c r="C90" s="359"/>
      <c r="D90" s="359"/>
      <c r="E90" s="360"/>
      <c r="F90" s="675"/>
      <c r="G90" s="675"/>
      <c r="H90" s="675"/>
      <c r="I90" s="675"/>
      <c r="J90" s="686">
        <v>0</v>
      </c>
      <c r="K90" s="662">
        <v>0</v>
      </c>
      <c r="L90" s="663">
        <v>0</v>
      </c>
      <c r="M90" s="666"/>
      <c r="N90" s="1122">
        <f>J90*(1+K90)+L90+M90</f>
        <v>0</v>
      </c>
      <c r="O90" s="1122"/>
      <c r="P90" s="1122"/>
      <c r="Q90" s="667"/>
      <c r="R90" s="666">
        <f>N90*Q90</f>
        <v>0</v>
      </c>
      <c r="S90" s="665">
        <f>(N90-R90)*0.062</f>
        <v>0</v>
      </c>
      <c r="T90" s="665">
        <f>(N90-R90)*0.0145</f>
        <v>0</v>
      </c>
      <c r="U90" s="666">
        <f t="shared" si="91"/>
        <v>0</v>
      </c>
      <c r="V90" s="666">
        <f>IF(N90&gt;=7000,7000*0.0144,IF(N90&lt;=7000,N90*0.0144))</f>
        <v>0</v>
      </c>
      <c r="W90" s="665">
        <f>AT90</f>
        <v>0</v>
      </c>
      <c r="X90" s="665">
        <f>+AN90*6</f>
        <v>0</v>
      </c>
      <c r="Y90" s="665">
        <f>+AN90*6</f>
        <v>0</v>
      </c>
      <c r="Z90" s="361">
        <f>SUM(N90:Y90)</f>
        <v>0</v>
      </c>
      <c r="AB90" s="362"/>
      <c r="AC90" s="424">
        <f>G90</f>
        <v>0</v>
      </c>
      <c r="AD90" s="668" t="s">
        <v>526</v>
      </c>
      <c r="AE90" s="669">
        <f>IF(ISNA(VLOOKUP(AD90,$A$226:$E$266,4,FALSE)),"0",VLOOKUP(AD90,$A$226:$E$266,4,FALSE))</f>
        <v>0</v>
      </c>
      <c r="AF90" s="670" t="s">
        <v>526</v>
      </c>
      <c r="AG90" s="669">
        <f>IF(ISNA(VLOOKUP(AF90,$A$253:$E$266,4,FALSE)),"0",VLOOKUP(AF90,$A$253:$E$266,4,FALSE))</f>
        <v>0</v>
      </c>
      <c r="AH90" s="670" t="s">
        <v>526</v>
      </c>
      <c r="AI90" s="364">
        <f>IF(ISNA(VLOOKUP(AH90,$A$226:$E$266,4,FALSE)),"0",VLOOKUP(AH90,$A$226:$E$266,4,FALSE))</f>
        <v>0</v>
      </c>
      <c r="AJ90" s="364">
        <f>IF(ISNA(VLOOKUP(AD90,$A$226:$E$266,5,FALSE)),"0",VLOOKUP(AD90,$A$226:$E$266,5,FALSE))</f>
        <v>0</v>
      </c>
      <c r="AK90" s="364">
        <f>IF(ISNA(VLOOKUP(AF90,$A$226:$E$266,5,FALSE)),"0",VLOOKUP(AF90,$A$226:$E$266,5,FALSE))</f>
        <v>0</v>
      </c>
      <c r="AL90" s="364">
        <f>IF(ISNA(VLOOKUP(AH90,$A$226:$E$259,5,FALSE)),"0",VLOOKUP(AH90,$A$226:$E$259,5,FALSE))</f>
        <v>0</v>
      </c>
      <c r="AM90" s="365">
        <f>AE90+AG90+AI90</f>
        <v>0</v>
      </c>
      <c r="AN90" s="365">
        <f>AJ90+AK90+AL90</f>
        <v>0</v>
      </c>
      <c r="AO90" s="367">
        <f>SUM(AM90:AN90)</f>
        <v>0</v>
      </c>
      <c r="AP90" s="428">
        <v>8.7999999999999998E-5</v>
      </c>
      <c r="AQ90" s="429">
        <v>2.0000000000000002E-5</v>
      </c>
      <c r="AR90" s="430">
        <v>2.22E-4</v>
      </c>
      <c r="AS90" s="431">
        <v>3.1E-4</v>
      </c>
      <c r="AT90" s="372">
        <f t="shared" si="108"/>
        <v>0</v>
      </c>
      <c r="AV90" s="433"/>
      <c r="AW90" s="446"/>
      <c r="AX90" s="435"/>
      <c r="AY90" s="436"/>
      <c r="AZ90" s="437"/>
      <c r="BA90" s="438"/>
      <c r="BB90" s="380"/>
      <c r="BC90" s="380"/>
      <c r="BD90" s="450"/>
      <c r="BE90" s="380"/>
      <c r="BF90" s="439"/>
      <c r="BG90" s="381"/>
      <c r="BH90" s="447">
        <f>SUM(BC90:BC92)</f>
        <v>0</v>
      </c>
      <c r="BI90" s="279" t="s">
        <v>527</v>
      </c>
    </row>
    <row r="91" spans="1:61" x14ac:dyDescent="0.2">
      <c r="A91" s="1294"/>
      <c r="B91" s="385">
        <v>2</v>
      </c>
      <c r="C91" s="384"/>
      <c r="D91" s="384"/>
      <c r="E91" s="384"/>
      <c r="F91" s="681"/>
      <c r="G91" s="681"/>
      <c r="H91" s="681"/>
      <c r="I91" s="681"/>
      <c r="J91" s="681"/>
      <c r="K91" s="672">
        <v>0</v>
      </c>
      <c r="L91" s="663">
        <v>0</v>
      </c>
      <c r="M91" s="666"/>
      <c r="N91" s="1122">
        <f>J91*(1+K91)+L91+M91</f>
        <v>0</v>
      </c>
      <c r="O91" s="1122"/>
      <c r="P91" s="1122"/>
      <c r="Q91" s="667"/>
      <c r="R91" s="666">
        <f>N91*Q91</f>
        <v>0</v>
      </c>
      <c r="S91" s="665">
        <f>(N91-R91)*0.062</f>
        <v>0</v>
      </c>
      <c r="T91" s="665">
        <f>(N91-R91)*0.0145</f>
        <v>0</v>
      </c>
      <c r="U91" s="666">
        <f t="shared" si="91"/>
        <v>0</v>
      </c>
      <c r="V91" s="666">
        <f>IF(N91&gt;=7000,7000*0.0144,IF(N91&lt;=7000,N91*0.0144))</f>
        <v>0</v>
      </c>
      <c r="W91" s="665">
        <f>AT91</f>
        <v>0</v>
      </c>
      <c r="X91" s="665">
        <f>+AN91*6</f>
        <v>0</v>
      </c>
      <c r="Y91" s="665">
        <f>+AN91*6</f>
        <v>0</v>
      </c>
      <c r="Z91" s="361">
        <f>SUM(N91:Y91)</f>
        <v>0</v>
      </c>
      <c r="AB91" s="362"/>
      <c r="AC91" s="363">
        <f>G91</f>
        <v>0</v>
      </c>
      <c r="AD91" s="668" t="s">
        <v>526</v>
      </c>
      <c r="AE91" s="669">
        <f>IF(ISNA(VLOOKUP(AD91,$A$226:$E$266,4,FALSE)),"0",VLOOKUP(AD91,$A$226:$E$266,4,FALSE))</f>
        <v>0</v>
      </c>
      <c r="AF91" s="670" t="s">
        <v>526</v>
      </c>
      <c r="AG91" s="669">
        <f>IF(ISNA(VLOOKUP(AF91,$A$253:$E$266,4,FALSE)),"0",VLOOKUP(AF91,$A$253:$E$266,4,FALSE))</f>
        <v>0</v>
      </c>
      <c r="AH91" s="670" t="s">
        <v>526</v>
      </c>
      <c r="AI91" s="364">
        <f>IF(ISNA(VLOOKUP(AH91,$A$226:$E$266,4,FALSE)),"0",VLOOKUP(AH91,$A$226:$E$266,4,FALSE))</f>
        <v>0</v>
      </c>
      <c r="AJ91" s="364">
        <f>IF(ISNA(VLOOKUP(AD91,$A$226:$E$266,5,FALSE)),"0",VLOOKUP(AD91,$A$226:$E$266,5,FALSE))</f>
        <v>0</v>
      </c>
      <c r="AK91" s="364">
        <f>IF(ISNA(VLOOKUP(AF91,$A$226:$E$266,5,FALSE)),"0",VLOOKUP(AF91,$A$226:$E$266,5,FALSE))</f>
        <v>0</v>
      </c>
      <c r="AL91" s="364">
        <f>IF(ISNA(VLOOKUP(AH91,$A$226:$E$259,5,FALSE)),"0",VLOOKUP(AH91,$A$226:$E$259,5,FALSE))</f>
        <v>0</v>
      </c>
      <c r="AM91" s="365">
        <f>AE91+AG91+AI91</f>
        <v>0</v>
      </c>
      <c r="AN91" s="366">
        <f>AJ91+AK91+AL91</f>
        <v>0</v>
      </c>
      <c r="AO91" s="367">
        <f>SUM(AM91:AN91)</f>
        <v>0</v>
      </c>
      <c r="AP91" s="368">
        <v>8.7999999999999998E-5</v>
      </c>
      <c r="AQ91" s="369">
        <v>2.0000000000000002E-5</v>
      </c>
      <c r="AR91" s="370">
        <v>2.22E-4</v>
      </c>
      <c r="AS91" s="371">
        <v>3.1E-4</v>
      </c>
      <c r="AT91" s="372">
        <f t="shared" si="108"/>
        <v>0</v>
      </c>
      <c r="AV91" s="433"/>
      <c r="AW91" s="446"/>
      <c r="AX91" s="435"/>
      <c r="AY91" s="376"/>
      <c r="AZ91" s="437"/>
      <c r="BA91" s="438"/>
      <c r="BB91" s="380"/>
      <c r="BC91" s="380"/>
      <c r="BD91" s="450"/>
      <c r="BE91" s="380"/>
      <c r="BF91" s="439"/>
      <c r="BG91" s="381"/>
      <c r="BH91" s="447">
        <f>SUM(BE90:BE92)</f>
        <v>0</v>
      </c>
      <c r="BI91" s="279" t="s">
        <v>504</v>
      </c>
    </row>
    <row r="92" spans="1:61" x14ac:dyDescent="0.2">
      <c r="A92" s="382"/>
      <c r="B92" s="385">
        <v>3</v>
      </c>
      <c r="C92" s="384"/>
      <c r="D92" s="384"/>
      <c r="E92" s="384"/>
      <c r="F92" s="681"/>
      <c r="G92" s="681"/>
      <c r="H92" s="681"/>
      <c r="I92" s="681"/>
      <c r="J92" s="681"/>
      <c r="K92" s="672">
        <v>0</v>
      </c>
      <c r="L92" s="663">
        <v>0</v>
      </c>
      <c r="M92" s="666"/>
      <c r="N92" s="1122">
        <f>J92*(1+K92)+L92+M92</f>
        <v>0</v>
      </c>
      <c r="O92" s="1122"/>
      <c r="P92" s="1122"/>
      <c r="Q92" s="679"/>
      <c r="R92" s="666"/>
      <c r="S92" s="665">
        <f>(N92-R92)*0.062</f>
        <v>0</v>
      </c>
      <c r="T92" s="665">
        <f>(N92-R92)*0.0145</f>
        <v>0</v>
      </c>
      <c r="U92" s="666">
        <f t="shared" si="91"/>
        <v>0</v>
      </c>
      <c r="V92" s="666">
        <f>IF(N92&gt;=7000,7000*0.0144,IF(N92&lt;=7000,N92*0.0144))</f>
        <v>0</v>
      </c>
      <c r="W92" s="665"/>
      <c r="X92" s="666"/>
      <c r="Y92" s="665"/>
      <c r="Z92" s="361">
        <f>SUM(N92:Y92)</f>
        <v>0</v>
      </c>
      <c r="AA92" s="1202" t="s">
        <v>532</v>
      </c>
      <c r="AB92" s="362"/>
      <c r="AC92" s="363">
        <f>G92</f>
        <v>0</v>
      </c>
      <c r="AD92" s="668" t="s">
        <v>526</v>
      </c>
      <c r="AE92" s="669">
        <f>IF(ISNA(VLOOKUP(AD92,$A$226:$E$266,4,FALSE)),"0",VLOOKUP(AD92,$A$226:$E$266,4,FALSE))</f>
        <v>0</v>
      </c>
      <c r="AF92" s="670" t="s">
        <v>526</v>
      </c>
      <c r="AG92" s="669">
        <f>IF(ISNA(VLOOKUP(AF92,$A$253:$E$266,4,FALSE)),"0",VLOOKUP(AF92,$A$253:$E$266,4,FALSE))</f>
        <v>0</v>
      </c>
      <c r="AH92" s="670" t="s">
        <v>526</v>
      </c>
      <c r="AI92" s="364">
        <f>IF(ISNA(VLOOKUP(AH92,$A$226:$E$266,4,FALSE)),"0",VLOOKUP(AH92,$A$226:$E$266,4,FALSE))</f>
        <v>0</v>
      </c>
      <c r="AJ92" s="364">
        <f>IF(ISNA(VLOOKUP(AD92,$A$226:$E$266,5,FALSE)),"0",VLOOKUP(AD92,$A$226:$E$266,5,FALSE))</f>
        <v>0</v>
      </c>
      <c r="AK92" s="364">
        <f>IF(ISNA(VLOOKUP(AF92,$A$226:$E$266,5,FALSE)),"0",VLOOKUP(AF92,$A$226:$E$266,5,FALSE))</f>
        <v>0</v>
      </c>
      <c r="AL92" s="364">
        <f>IF(ISNA(VLOOKUP(AH92,$A$226:$E$259,5,FALSE)),"0",VLOOKUP(AH92,$A$226:$E$259,5,FALSE))</f>
        <v>0</v>
      </c>
      <c r="AM92" s="365">
        <f>AE92+AG92+AI92</f>
        <v>0</v>
      </c>
      <c r="AN92" s="366">
        <f>AJ92+AK92+AL92</f>
        <v>0</v>
      </c>
      <c r="AO92" s="367">
        <f>SUM(AM92:AN92)</f>
        <v>0</v>
      </c>
      <c r="AP92" s="368">
        <v>8.7999999999999998E-5</v>
      </c>
      <c r="AQ92" s="369">
        <v>2.0000000000000002E-5</v>
      </c>
      <c r="AR92" s="370">
        <v>2.22E-4</v>
      </c>
      <c r="AS92" s="371">
        <v>3.1E-4</v>
      </c>
      <c r="AT92" s="372">
        <f t="shared" si="108"/>
        <v>0</v>
      </c>
      <c r="AV92" s="433"/>
      <c r="AW92" s="446"/>
      <c r="AX92" s="435"/>
      <c r="AY92" s="376"/>
      <c r="AZ92" s="437"/>
      <c r="BA92" s="438"/>
      <c r="BB92" s="380"/>
      <c r="BC92" s="380"/>
      <c r="BD92" s="450"/>
      <c r="BE92" s="380"/>
      <c r="BF92" s="439"/>
      <c r="BG92" s="381"/>
      <c r="BI92" s="279" t="s">
        <v>505</v>
      </c>
    </row>
    <row r="93" spans="1:61" ht="13.5" thickBot="1" x14ac:dyDescent="0.25">
      <c r="A93" s="392"/>
      <c r="B93" s="392"/>
      <c r="C93" s="392"/>
      <c r="D93" s="392"/>
      <c r="E93" s="392"/>
      <c r="F93" s="393"/>
      <c r="G93" s="393"/>
      <c r="H93" s="393"/>
      <c r="I93" s="393"/>
      <c r="J93" s="395"/>
      <c r="K93" s="394"/>
      <c r="L93" s="663">
        <v>0</v>
      </c>
      <c r="M93" s="396"/>
      <c r="N93" s="1123"/>
      <c r="O93" s="1123"/>
      <c r="P93" s="1123"/>
      <c r="Q93" s="396"/>
      <c r="R93" s="396"/>
      <c r="S93" s="396"/>
      <c r="T93" s="396"/>
      <c r="U93" s="666">
        <f t="shared" si="91"/>
        <v>0</v>
      </c>
      <c r="V93" s="396"/>
      <c r="W93" s="396"/>
      <c r="X93" s="396"/>
      <c r="Y93" s="396"/>
      <c r="Z93" s="397"/>
      <c r="AA93" s="398">
        <f>SUM(Z90:Z92)</f>
        <v>0</v>
      </c>
      <c r="AB93" s="399"/>
      <c r="AC93" s="400"/>
      <c r="AD93" s="401"/>
      <c r="AE93" s="402"/>
      <c r="AF93" s="401"/>
      <c r="AG93" s="402"/>
      <c r="AH93" s="401"/>
      <c r="AI93" s="402"/>
      <c r="AJ93" s="402"/>
      <c r="AK93" s="402"/>
      <c r="AL93" s="402"/>
      <c r="AM93" s="403"/>
      <c r="AN93" s="404"/>
      <c r="AO93" s="405"/>
      <c r="AP93" s="406"/>
      <c r="AQ93" s="407"/>
      <c r="AR93" s="408"/>
      <c r="AS93" s="409"/>
      <c r="AT93" s="410"/>
      <c r="AU93" s="411"/>
      <c r="AV93" s="412"/>
      <c r="AW93" s="413"/>
      <c r="AX93" s="414"/>
      <c r="AY93" s="415"/>
      <c r="AZ93" s="416"/>
      <c r="BA93" s="417"/>
      <c r="BB93" s="418"/>
      <c r="BC93" s="418"/>
      <c r="BD93" s="418"/>
      <c r="BE93" s="418"/>
      <c r="BF93" s="419"/>
      <c r="BG93" s="420"/>
      <c r="BH93" s="421">
        <f>SUM(BH90:BH91)</f>
        <v>0</v>
      </c>
      <c r="BI93" s="422" t="str">
        <f>AA92</f>
        <v>Instructional - ESOL</v>
      </c>
    </row>
    <row r="94" spans="1:61" x14ac:dyDescent="0.2">
      <c r="A94" s="1277" t="s">
        <v>535</v>
      </c>
      <c r="B94" s="358">
        <v>1</v>
      </c>
      <c r="C94" s="359"/>
      <c r="D94" s="359"/>
      <c r="E94" s="360" t="s">
        <v>13</v>
      </c>
      <c r="F94" s="675" t="s">
        <v>673</v>
      </c>
      <c r="G94" s="878" t="s">
        <v>847</v>
      </c>
      <c r="H94" s="878" t="s">
        <v>925</v>
      </c>
      <c r="I94" s="878" t="s">
        <v>926</v>
      </c>
      <c r="J94" s="923">
        <v>44152</v>
      </c>
      <c r="K94" s="672">
        <v>0.03</v>
      </c>
      <c r="L94" s="663">
        <v>2000</v>
      </c>
      <c r="M94" s="666"/>
      <c r="N94" s="1122">
        <f>J94*(1+K94)+L94+M94</f>
        <v>47476.56</v>
      </c>
      <c r="O94" s="1122"/>
      <c r="P94" s="1122"/>
      <c r="Q94" s="667">
        <v>0.05</v>
      </c>
      <c r="R94" s="665">
        <f>N94*Q94</f>
        <v>2373.828</v>
      </c>
      <c r="S94" s="665">
        <f>(N94-R94)*0.062</f>
        <v>2796.3693839999996</v>
      </c>
      <c r="T94" s="665">
        <f>(N94-R94)*0.0145</f>
        <v>653.98961399999996</v>
      </c>
      <c r="U94" s="666">
        <f t="shared" si="91"/>
        <v>42</v>
      </c>
      <c r="V94" s="666">
        <f>IF(N94&gt;=7000,7000*0.0144,IF(N94&lt;=7000,N94*0.0144))</f>
        <v>100.8</v>
      </c>
      <c r="W94" s="665">
        <f>AT94</f>
        <v>339.08735999999999</v>
      </c>
      <c r="X94" s="665">
        <f>+AN94*6</f>
        <v>0</v>
      </c>
      <c r="Y94" s="665">
        <f>+AN94*6</f>
        <v>0</v>
      </c>
      <c r="Z94" s="361">
        <f>SUM(N94:Y94)</f>
        <v>53782.684357999999</v>
      </c>
      <c r="AB94" s="362"/>
      <c r="AC94" s="1182" t="str">
        <f>G94</f>
        <v>Gladys Glynn - 144 days</v>
      </c>
      <c r="AD94" s="668" t="s">
        <v>526</v>
      </c>
      <c r="AE94" s="669">
        <f>IF(ISNA(VLOOKUP(AD94,$A$226:$E$266,4,FALSE)),"0",VLOOKUP(AD94,$A$226:$E$266,4,FALSE))</f>
        <v>0</v>
      </c>
      <c r="AF94" s="670" t="s">
        <v>526</v>
      </c>
      <c r="AG94" s="669">
        <f>IF(ISNA(VLOOKUP(AF94,$A$253:$E$266,4,FALSE)),"0",VLOOKUP(AF94,$A$253:$E$266,4,FALSE))</f>
        <v>0</v>
      </c>
      <c r="AH94" s="670" t="s">
        <v>526</v>
      </c>
      <c r="AI94" s="364">
        <f>IF(ISNA(VLOOKUP(AH94,$A$226:$E$266,4,FALSE)),"0",VLOOKUP(AH94,$A$226:$E$266,4,FALSE))</f>
        <v>0</v>
      </c>
      <c r="AJ94" s="364">
        <f>IF(ISNA(VLOOKUP(AD94,$A$226:$E$266,5,FALSE)),"0",VLOOKUP(AD94,$A$226:$E$266,5,FALSE))</f>
        <v>0</v>
      </c>
      <c r="AK94" s="364">
        <f>IF(ISNA(VLOOKUP(AF94,$A$226:$E$266,5,FALSE)),"0",VLOOKUP(AF94,$A$226:$E$266,5,FALSE))</f>
        <v>0</v>
      </c>
      <c r="AL94" s="364">
        <f>IF(ISNA(VLOOKUP(AH94,$A$226:$E$259,5,FALSE)),"0",VLOOKUP(AH94,$A$226:$E$259,5,FALSE))</f>
        <v>0</v>
      </c>
      <c r="AM94" s="365">
        <f>AE94+AG94+AI94</f>
        <v>0</v>
      </c>
      <c r="AN94" s="365">
        <f>AJ94+AK94+AL94</f>
        <v>0</v>
      </c>
      <c r="AO94" s="367">
        <f>SUM(AM94:AN94)</f>
        <v>0</v>
      </c>
      <c r="AP94" s="428">
        <v>8.7999999999999998E-5</v>
      </c>
      <c r="AQ94" s="429">
        <v>2.0000000000000002E-5</v>
      </c>
      <c r="AR94" s="430">
        <v>2.22E-4</v>
      </c>
      <c r="AS94" s="431">
        <v>3.1E-4</v>
      </c>
      <c r="AT94" s="372">
        <f>SUM((J94*AP94)+(J94*AQ94)+(J94*AR94)+(J94*AS94))*12</f>
        <v>339.08735999999999</v>
      </c>
      <c r="AV94" s="433">
        <f>J94</f>
        <v>44152</v>
      </c>
      <c r="AW94" s="446">
        <f>NETWORKDAYS(C94,D94)</f>
        <v>0</v>
      </c>
      <c r="AX94" s="435" t="str">
        <f>IF(ISERROR(AV94/AW94),"",(AV94/AW94))</f>
        <v/>
      </c>
      <c r="AY94" s="436">
        <v>41820</v>
      </c>
      <c r="AZ94" s="437">
        <f>NETWORKDAYS(AY94,D94)</f>
        <v>-29871</v>
      </c>
      <c r="BA94" s="438">
        <f>AW94-AZ94</f>
        <v>29871</v>
      </c>
      <c r="BB94" s="380" t="str">
        <f>IF(ISERROR(BA94*AX94),"",(BA94*AX94))</f>
        <v/>
      </c>
      <c r="BC94" s="380" t="str">
        <f>IF(ISERROR(AZ94*AX94),"",(AZ94*AX94))</f>
        <v/>
      </c>
      <c r="BD94" s="380">
        <f>IF(ISERROR(SUM(BB94:BC94)),"",((SUM(BB94:BC94))))</f>
        <v>0</v>
      </c>
      <c r="BE94" s="380" t="str">
        <f>IF(ISERROR(BC94*7.65%),"",((BC94*7.65%)))</f>
        <v/>
      </c>
      <c r="BF94" s="380" t="str">
        <f>IF(ISERROR(BC94*21.17%),"",((BC94*21.17%)))</f>
        <v/>
      </c>
      <c r="BG94" s="381" t="e">
        <f>SUM(BE94:BF94)+BC94</f>
        <v>#VALUE!</v>
      </c>
      <c r="BH94" s="447">
        <f>SUM(BC94:BC98)</f>
        <v>0</v>
      </c>
      <c r="BI94" s="279" t="s">
        <v>527</v>
      </c>
    </row>
    <row r="95" spans="1:61" x14ac:dyDescent="0.2">
      <c r="A95" s="1278"/>
      <c r="B95" s="358">
        <v>2</v>
      </c>
      <c r="C95" s="359"/>
      <c r="D95" s="359"/>
      <c r="E95" s="360" t="s">
        <v>13</v>
      </c>
      <c r="F95" s="675" t="s">
        <v>200</v>
      </c>
      <c r="G95" s="675" t="s">
        <v>986</v>
      </c>
      <c r="H95" s="675" t="s">
        <v>987</v>
      </c>
      <c r="I95" s="675" t="s">
        <v>985</v>
      </c>
      <c r="J95" s="686">
        <v>50201</v>
      </c>
      <c r="K95" s="672">
        <v>0.03</v>
      </c>
      <c r="L95" s="663">
        <v>0</v>
      </c>
      <c r="M95" s="666"/>
      <c r="N95" s="1122">
        <f>J95*(1+K95)+L95+M95</f>
        <v>51707.03</v>
      </c>
      <c r="O95" s="1122"/>
      <c r="P95" s="1122"/>
      <c r="Q95" s="667">
        <v>0.05</v>
      </c>
      <c r="R95" s="665">
        <f>N95*Q95</f>
        <v>2585.3515000000002</v>
      </c>
      <c r="S95" s="665">
        <f>(N95-R95)*0.062</f>
        <v>3045.5440670000003</v>
      </c>
      <c r="T95" s="665">
        <f>(N95-R95)*0.0145</f>
        <v>712.26433825000004</v>
      </c>
      <c r="U95" s="666">
        <f t="shared" si="91"/>
        <v>42</v>
      </c>
      <c r="V95" s="666">
        <f>IF(N95&gt;=7000,7000*0.0144,IF(N95&lt;=7000,N95*0.0144))</f>
        <v>100.8</v>
      </c>
      <c r="W95" s="665">
        <f>AT95</f>
        <v>385.54368000000005</v>
      </c>
      <c r="X95" s="665">
        <f>+AN95*6</f>
        <v>8658.7199999999993</v>
      </c>
      <c r="Y95" s="665">
        <f>+AN95*6</f>
        <v>8658.7199999999993</v>
      </c>
      <c r="Z95" s="361">
        <f>SUM(N95:Y95)</f>
        <v>75896.023585250005</v>
      </c>
      <c r="AB95" s="362"/>
      <c r="AC95" s="1182" t="str">
        <f>G95</f>
        <v>Lindsay Templeton</v>
      </c>
      <c r="AD95" s="668" t="s">
        <v>513</v>
      </c>
      <c r="AE95" s="669">
        <f>IF(ISNA(VLOOKUP(AD95,$A$226:$E$266,4,FALSE)),"0",VLOOKUP(AD95,$A$226:$E$266,4,FALSE))</f>
        <v>339.32</v>
      </c>
      <c r="AF95" s="670" t="s">
        <v>520</v>
      </c>
      <c r="AG95" s="669">
        <f>IF(ISNA(VLOOKUP(AF95,$A$253:$E$266,4,FALSE)),"0",VLOOKUP(AF95,$A$253:$E$266,4,FALSE))</f>
        <v>28.02</v>
      </c>
      <c r="AH95" s="670" t="s">
        <v>512</v>
      </c>
      <c r="AI95" s="364">
        <f>IF(ISNA(VLOOKUP(AH95,$A$226:$E$266,4,FALSE)),"0",VLOOKUP(AH95,$A$226:$E$266,4,FALSE))</f>
        <v>1.63</v>
      </c>
      <c r="AJ95" s="364">
        <f>IF(ISNA(VLOOKUP(AD95,$A$226:$E$266,5,FALSE)),"0",VLOOKUP(AD95,$A$226:$E$266,5,FALSE))</f>
        <v>1400.78</v>
      </c>
      <c r="AK95" s="364">
        <f>IF(ISNA(VLOOKUP(AF95,$A$226:$E$266,5,FALSE)),"0",VLOOKUP(AF95,$A$226:$E$266,5,FALSE))</f>
        <v>38.540000000000006</v>
      </c>
      <c r="AL95" s="364">
        <f>IF(ISNA(VLOOKUP(AH95,$A$226:$E$259,5,FALSE)),"0",VLOOKUP(AH95,$A$226:$E$259,5,FALSE))</f>
        <v>3.8</v>
      </c>
      <c r="AM95" s="365">
        <f>AE95+AG95+AI95</f>
        <v>368.96999999999997</v>
      </c>
      <c r="AN95" s="365">
        <f>AJ95+AK95+AL95</f>
        <v>1443.12</v>
      </c>
      <c r="AO95" s="367">
        <f>SUM(AM95:AN95)</f>
        <v>1812.09</v>
      </c>
      <c r="AP95" s="428">
        <v>8.7999999999999998E-5</v>
      </c>
      <c r="AQ95" s="429">
        <v>2.0000000000000002E-5</v>
      </c>
      <c r="AR95" s="430">
        <v>2.22E-4</v>
      </c>
      <c r="AS95" s="431">
        <v>3.1E-4</v>
      </c>
      <c r="AT95" s="372">
        <f>SUM((J95*AP95)+(J95*AQ95)+(J95*AR95)+(J95*AS95))*12</f>
        <v>385.54368000000005</v>
      </c>
      <c r="AV95" s="433">
        <f>J95</f>
        <v>50201</v>
      </c>
      <c r="AW95" s="446">
        <f>NETWORKDAYS(C95,D95)</f>
        <v>0</v>
      </c>
      <c r="AX95" s="435" t="str">
        <f>IF(ISERROR(AV95/AW95),"",(AV95/AW95))</f>
        <v/>
      </c>
      <c r="AY95" s="436">
        <v>41820</v>
      </c>
      <c r="AZ95" s="437">
        <f>NETWORKDAYS(AY95,D95)</f>
        <v>-29871</v>
      </c>
      <c r="BA95" s="438">
        <f>AW95-AZ95</f>
        <v>29871</v>
      </c>
      <c r="BB95" s="380" t="str">
        <f>IF(ISERROR(BA95*AX95),"",(BA95*AX95))</f>
        <v/>
      </c>
      <c r="BC95" s="380" t="str">
        <f>IF(ISERROR(AZ95*AX95),"",(AZ95*AX95))</f>
        <v/>
      </c>
      <c r="BD95" s="380">
        <f>IF(ISERROR(SUM(BB95:BC95)),"",((SUM(BB95:BC95))))</f>
        <v>0</v>
      </c>
      <c r="BE95" s="380" t="str">
        <f>IF(ISERROR(BC95*7.65%),"",((BC95*7.65%)))</f>
        <v/>
      </c>
      <c r="BF95" s="380" t="str">
        <f>IF(ISERROR(BC95*21.17%),"",((BC95*21.17%)))</f>
        <v/>
      </c>
      <c r="BG95" s="381" t="e">
        <f>SUM(BE95:BF95)+BC95</f>
        <v>#VALUE!</v>
      </c>
      <c r="BH95" s="447"/>
    </row>
    <row r="96" spans="1:61" x14ac:dyDescent="0.2">
      <c r="A96" s="1288"/>
      <c r="B96" s="358">
        <v>3</v>
      </c>
      <c r="C96" s="359"/>
      <c r="D96" s="359"/>
      <c r="E96" s="384"/>
      <c r="F96" s="924"/>
      <c r="G96" s="925"/>
      <c r="H96" s="925"/>
      <c r="I96" s="925"/>
      <c r="J96" s="926"/>
      <c r="K96" s="672">
        <v>0</v>
      </c>
      <c r="L96" s="663">
        <v>0</v>
      </c>
      <c r="M96" s="666"/>
      <c r="N96" s="1122">
        <f>J96*(1+K96)+L96+M96</f>
        <v>0</v>
      </c>
      <c r="O96" s="1122"/>
      <c r="P96" s="1122"/>
      <c r="Q96" s="667">
        <v>0</v>
      </c>
      <c r="R96" s="666">
        <f>N96*Q96</f>
        <v>0</v>
      </c>
      <c r="S96" s="665">
        <f>(N96-R96)*0.062</f>
        <v>0</v>
      </c>
      <c r="T96" s="665">
        <f>(N96-R96)*0.0145</f>
        <v>0</v>
      </c>
      <c r="U96" s="666">
        <f t="shared" si="91"/>
        <v>0</v>
      </c>
      <c r="V96" s="666">
        <f>IF(N96&gt;=7000,7000*0.0144,IF(N96&lt;=7000,N96*0.0144))</f>
        <v>0</v>
      </c>
      <c r="W96" s="665">
        <f>AT96</f>
        <v>0</v>
      </c>
      <c r="X96" s="665">
        <f>+AN96*6</f>
        <v>0</v>
      </c>
      <c r="Y96" s="665">
        <f>+AN96*6</f>
        <v>0</v>
      </c>
      <c r="Z96" s="361">
        <f>SUM(N96:Y96)</f>
        <v>0</v>
      </c>
      <c r="AB96" s="362"/>
      <c r="AC96" s="363">
        <f>G96</f>
        <v>0</v>
      </c>
      <c r="AD96" s="668" t="s">
        <v>526</v>
      </c>
      <c r="AE96" s="669">
        <f>IF(ISNA(VLOOKUP(AD96,$A$226:$E$266,4,FALSE)),"0",VLOOKUP(AD96,$A$226:$E$266,4,FALSE))</f>
        <v>0</v>
      </c>
      <c r="AF96" s="670" t="s">
        <v>526</v>
      </c>
      <c r="AG96" s="669">
        <f>IF(ISNA(VLOOKUP(AF96,$A$253:$E$266,4,FALSE)),"0",VLOOKUP(AF96,$A$253:$E$266,4,FALSE))</f>
        <v>0</v>
      </c>
      <c r="AH96" s="670"/>
      <c r="AI96" s="364" t="str">
        <f>IF(ISNA(VLOOKUP(AH96,$A$226:$E$266,4,FALSE)),"0",VLOOKUP(AH96,$A$226:$E$266,4,FALSE))</f>
        <v>0</v>
      </c>
      <c r="AJ96" s="364">
        <f>IF(ISNA(VLOOKUP(AD96,$A$226:$E$266,5,FALSE)),"0",VLOOKUP(AD96,$A$226:$E$266,5,FALSE))</f>
        <v>0</v>
      </c>
      <c r="AK96" s="364">
        <f>IF(ISNA(VLOOKUP(AF96,$A$226:$E$266,5,FALSE)),"0",VLOOKUP(AF96,$A$226:$E$266,5,FALSE))</f>
        <v>0</v>
      </c>
      <c r="AL96" s="364" t="str">
        <f>IF(ISNA(VLOOKUP(AH96,$A$226:$E$259,5,FALSE)),"0",VLOOKUP(AH96,$A$226:$E$259,5,FALSE))</f>
        <v>0</v>
      </c>
      <c r="AM96" s="365">
        <f>AE96+AG96+AI96</f>
        <v>0</v>
      </c>
      <c r="AN96" s="366">
        <f>AJ96+AK96+AL96</f>
        <v>0</v>
      </c>
      <c r="AO96" s="367">
        <f>SUM(AM96:AN96)</f>
        <v>0</v>
      </c>
      <c r="AP96" s="368">
        <v>8.7999999999999998E-5</v>
      </c>
      <c r="AQ96" s="369">
        <v>2.0000000000000002E-5</v>
      </c>
      <c r="AR96" s="370">
        <v>2.22E-4</v>
      </c>
      <c r="AS96" s="371">
        <v>3.1E-4</v>
      </c>
      <c r="AT96" s="372">
        <f>SUM((J96*AP96)+(J96*AQ96)+(J96*AR96)+(J96*AS96))*12</f>
        <v>0</v>
      </c>
      <c r="AV96" s="373">
        <f>J96</f>
        <v>0</v>
      </c>
      <c r="AW96" s="374">
        <f>NETWORKDAYS(C96,D96)</f>
        <v>0</v>
      </c>
      <c r="AX96" s="375" t="str">
        <f>IF(ISERROR(AV96/AW96),"",(AV96/AW96))</f>
        <v/>
      </c>
      <c r="AY96" s="376">
        <v>41820</v>
      </c>
      <c r="AZ96" s="377">
        <f>NETWORKDAYS(AY96,D96)</f>
        <v>-29871</v>
      </c>
      <c r="BA96" s="378">
        <f>AW96-AZ96</f>
        <v>29871</v>
      </c>
      <c r="BB96" s="379" t="str">
        <f>IF(ISERROR(BA96*AX96),"",(BA96*AX96))</f>
        <v/>
      </c>
      <c r="BC96" s="379" t="str">
        <f>IF(ISERROR(AZ96*AX96),"",(AZ96*AX96))</f>
        <v/>
      </c>
      <c r="BD96" s="379">
        <f>IF(ISERROR(SUM(BB96:BC96)),"",((SUM(BB96:BC96))))</f>
        <v>0</v>
      </c>
      <c r="BE96" s="379" t="str">
        <f>IF(ISERROR(BC96*7.65%),"",((BC96*7.65%)))</f>
        <v/>
      </c>
      <c r="BF96" s="380" t="str">
        <f>IF(ISERROR(BC96*21.17%),"",((BC96*21.17%)))</f>
        <v/>
      </c>
      <c r="BG96" s="381" t="e">
        <f>SUM(BE96:BF96)+BC96</f>
        <v>#VALUE!</v>
      </c>
      <c r="BH96" s="447">
        <f>SUM(BE94:BE98)</f>
        <v>0</v>
      </c>
      <c r="BI96" s="279" t="s">
        <v>504</v>
      </c>
    </row>
    <row r="97" spans="1:61" x14ac:dyDescent="0.2">
      <c r="A97" s="382"/>
      <c r="B97" s="383"/>
      <c r="C97" s="359"/>
      <c r="D97" s="359"/>
      <c r="E97" s="671"/>
      <c r="F97" s="806" t="s">
        <v>1010</v>
      </c>
      <c r="G97" s="882" t="s">
        <v>916</v>
      </c>
      <c r="H97" s="882" t="s">
        <v>25</v>
      </c>
      <c r="I97" s="882" t="s">
        <v>915</v>
      </c>
      <c r="J97" s="919">
        <v>52561</v>
      </c>
      <c r="K97" s="672">
        <v>0.03</v>
      </c>
      <c r="L97" s="663">
        <v>2000</v>
      </c>
      <c r="M97" s="697">
        <v>7000</v>
      </c>
      <c r="N97" s="1122">
        <f>J97*(1+K97)+L97+M97</f>
        <v>63137.83</v>
      </c>
      <c r="O97" s="1122"/>
      <c r="P97" s="1122"/>
      <c r="Q97" s="667">
        <v>0.05</v>
      </c>
      <c r="R97" s="666">
        <f>N97*Q97</f>
        <v>3156.8915000000002</v>
      </c>
      <c r="S97" s="665">
        <f>(N97-R97)*0.062</f>
        <v>3718.8181870000003</v>
      </c>
      <c r="T97" s="665">
        <f>(N97-R97)*0.0145</f>
        <v>869.7236082500001</v>
      </c>
      <c r="U97" s="666">
        <f t="shared" si="91"/>
        <v>42</v>
      </c>
      <c r="V97" s="666">
        <f>IF(N97&gt;=7000,7000*0.0144,IF(N97&lt;=7000,N97*0.0144))</f>
        <v>100.8</v>
      </c>
      <c r="W97" s="665">
        <f>AT97</f>
        <v>403.66848000000005</v>
      </c>
      <c r="X97" s="665">
        <f>+AN97*6</f>
        <v>8700</v>
      </c>
      <c r="Y97" s="665">
        <f>+AN97*6</f>
        <v>8700</v>
      </c>
      <c r="Z97" s="361">
        <f>SUM(N97:Y97)</f>
        <v>88829.781775249998</v>
      </c>
      <c r="AB97" s="362"/>
      <c r="AC97" s="1181" t="str">
        <f>G97</f>
        <v>Charlotte Denson</v>
      </c>
      <c r="AD97" s="668" t="s">
        <v>513</v>
      </c>
      <c r="AE97" s="669">
        <f>IF(ISNA(VLOOKUP(AD97,$A$226:$E$266,4,FALSE)),"0",VLOOKUP(AD97,$A$226:$E$266,4,FALSE))</f>
        <v>339.32</v>
      </c>
      <c r="AF97" s="670" t="s">
        <v>555</v>
      </c>
      <c r="AG97" s="669">
        <f>IF(ISNA(VLOOKUP(AF97,$A$253:$E$266,4,FALSE)),"0",VLOOKUP(AF97,$A$253:$E$266,4,FALSE))</f>
        <v>38.93</v>
      </c>
      <c r="AH97" s="670" t="s">
        <v>521</v>
      </c>
      <c r="AI97" s="364">
        <f>IF(ISNA(VLOOKUP(AH97,$A$226:$E$266,4,FALSE)),"0",VLOOKUP(AH97,$A$226:$E$266,4,FALSE))</f>
        <v>4.88</v>
      </c>
      <c r="AJ97" s="364">
        <f>IF(ISNA(VLOOKUP(AD97,$A$226:$E$266,5,FALSE)),"0",VLOOKUP(AD97,$A$226:$E$266,5,FALSE))</f>
        <v>1400.78</v>
      </c>
      <c r="AK97" s="364">
        <f>IF(ISNA(VLOOKUP(AF97,$A$226:$E$266,5,FALSE)),"0",VLOOKUP(AF97,$A$226:$E$266,5,FALSE))</f>
        <v>43.250000000000007</v>
      </c>
      <c r="AL97" s="364">
        <f>IF(ISNA(VLOOKUP(AH97,$A$226:$E$259,5,FALSE)),"0",VLOOKUP(AH97,$A$226:$E$259,5,FALSE))</f>
        <v>5.97</v>
      </c>
      <c r="AM97" s="365">
        <f>AE97+AG97+AI97</f>
        <v>383.13</v>
      </c>
      <c r="AN97" s="366">
        <f>AJ97+AK97+AL97</f>
        <v>1450</v>
      </c>
      <c r="AO97" s="367">
        <f>SUM(AM97:AN97)</f>
        <v>1833.13</v>
      </c>
      <c r="AP97" s="368">
        <v>8.7999999999999998E-5</v>
      </c>
      <c r="AQ97" s="369">
        <v>2.0000000000000002E-5</v>
      </c>
      <c r="AR97" s="370">
        <v>2.22E-4</v>
      </c>
      <c r="AS97" s="371">
        <v>3.1E-4</v>
      </c>
      <c r="AT97" s="372">
        <f>SUM((J97*AP97)+(J97*AQ97)+(J97*AR97)+(J97*AS97))*12</f>
        <v>403.66848000000005</v>
      </c>
      <c r="AV97" s="373">
        <f>J97</f>
        <v>52561</v>
      </c>
      <c r="AW97" s="374">
        <f>NETWORKDAYS(C97,D97)</f>
        <v>0</v>
      </c>
      <c r="AX97" s="375" t="str">
        <f>IF(ISERROR(AV97/AW97),"",(AV97/AW97))</f>
        <v/>
      </c>
      <c r="AY97" s="376">
        <v>41820</v>
      </c>
      <c r="AZ97" s="377">
        <f>NETWORKDAYS(AY97,D97)</f>
        <v>-29871</v>
      </c>
      <c r="BA97" s="378">
        <f>AW97-AZ97</f>
        <v>29871</v>
      </c>
      <c r="BB97" s="379" t="str">
        <f>IF(ISERROR(BA97*AX97),"",(BA97*AX97))</f>
        <v/>
      </c>
      <c r="BC97" s="379" t="str">
        <f>IF(ISERROR(AZ97*AX97),"",(AZ97*AX97))</f>
        <v/>
      </c>
      <c r="BD97" s="379">
        <f>IF(ISERROR(SUM(BB97:BC97)),"",((SUM(BB97:BC97))))</f>
        <v>0</v>
      </c>
      <c r="BE97" s="379" t="str">
        <f>IF(ISERROR(BC97*7.65%),"",((BC97*7.65%)))</f>
        <v/>
      </c>
      <c r="BF97" s="380" t="str">
        <f>IF(ISERROR(BC97*21.17%),"",((BC97*21.17%)))</f>
        <v/>
      </c>
      <c r="BG97" s="381" t="e">
        <f>SUM(BE97:BF97)+BC97</f>
        <v>#VALUE!</v>
      </c>
    </row>
    <row r="98" spans="1:61" x14ac:dyDescent="0.2">
      <c r="A98" s="382"/>
      <c r="B98" s="358">
        <v>4</v>
      </c>
      <c r="C98" s="384"/>
      <c r="D98" s="384"/>
      <c r="E98" s="384"/>
      <c r="F98" s="687"/>
      <c r="G98" s="675"/>
      <c r="H98" s="675"/>
      <c r="I98" s="675"/>
      <c r="J98" s="786"/>
      <c r="K98" s="672">
        <v>0</v>
      </c>
      <c r="L98" s="685"/>
      <c r="M98" s="666"/>
      <c r="N98" s="1122">
        <f>J98*(1+K98)+L98+M98</f>
        <v>0</v>
      </c>
      <c r="O98" s="1122"/>
      <c r="P98" s="1122"/>
      <c r="Q98" s="667"/>
      <c r="R98" s="666">
        <f>N98*Q98</f>
        <v>0</v>
      </c>
      <c r="S98" s="665">
        <f>(N98-R98)*0.062</f>
        <v>0</v>
      </c>
      <c r="T98" s="665">
        <f>(N98-R98)*0.0145</f>
        <v>0</v>
      </c>
      <c r="U98" s="666">
        <f t="shared" si="91"/>
        <v>0</v>
      </c>
      <c r="V98" s="666">
        <f>IF(N98&gt;=7000,7000*0.0144,IF(N98&lt;=7000,N98*0.0144))</f>
        <v>0</v>
      </c>
      <c r="W98" s="665">
        <f>AT98</f>
        <v>0</v>
      </c>
      <c r="X98" s="665">
        <f>+AN98*6</f>
        <v>0</v>
      </c>
      <c r="Y98" s="665">
        <f>+AN98*6</f>
        <v>0</v>
      </c>
      <c r="Z98" s="361">
        <f>SUM(N98:Y98)</f>
        <v>0</v>
      </c>
      <c r="AB98" s="362"/>
      <c r="AC98" s="363">
        <f>G98</f>
        <v>0</v>
      </c>
      <c r="AD98" s="668"/>
      <c r="AE98" s="669" t="str">
        <f>IF(ISNA(VLOOKUP(AD98,$A$226:$E$266,4,FALSE)),"0",VLOOKUP(AD98,$A$226:$E$266,4,FALSE))</f>
        <v>0</v>
      </c>
      <c r="AF98" s="670" t="s">
        <v>526</v>
      </c>
      <c r="AG98" s="669">
        <f>IF(ISNA(VLOOKUP(AF98,$A$253:$E$266,4,FALSE)),"0",VLOOKUP(AF98,$A$253:$E$266,4,FALSE))</f>
        <v>0</v>
      </c>
      <c r="AH98" s="670"/>
      <c r="AI98" s="364" t="str">
        <f>IF(ISNA(VLOOKUP(AH98,$A$226:$E$266,4,FALSE)),"0",VLOOKUP(AH98,$A$226:$E$266,4,FALSE))</f>
        <v>0</v>
      </c>
      <c r="AJ98" s="364" t="str">
        <f>IF(ISNA(VLOOKUP(AD98,$A$226:$E$266,5,FALSE)),"0",VLOOKUP(AD98,$A$226:$E$266,5,FALSE))</f>
        <v>0</v>
      </c>
      <c r="AK98" s="364">
        <f>IF(ISNA(VLOOKUP(AF98,$A$226:$E$266,5,FALSE)),"0",VLOOKUP(AF98,$A$226:$E$266,5,FALSE))</f>
        <v>0</v>
      </c>
      <c r="AL98" s="364" t="str">
        <f>IF(ISNA(VLOOKUP(AH98,$A$226:$E$259,5,FALSE)),"0",VLOOKUP(AH98,$A$226:$E$259,5,FALSE))</f>
        <v>0</v>
      </c>
      <c r="AM98" s="365">
        <f>AE98+AG98+AI98</f>
        <v>0</v>
      </c>
      <c r="AN98" s="366">
        <f>AJ98+AK98+AL98</f>
        <v>0</v>
      </c>
      <c r="AO98" s="367">
        <f>SUM(AM98:AN98)</f>
        <v>0</v>
      </c>
      <c r="AP98" s="368">
        <v>8.7999999999999998E-5</v>
      </c>
      <c r="AQ98" s="369">
        <v>2.0000000000000002E-5</v>
      </c>
      <c r="AR98" s="370">
        <v>2.22E-4</v>
      </c>
      <c r="AS98" s="371">
        <v>3.1E-4</v>
      </c>
      <c r="AT98" s="372">
        <f>SUM((J98*AP98)+(J98*AQ98)+(J98*AR98)+(J98*AS98))*12</f>
        <v>0</v>
      </c>
      <c r="AV98" s="373">
        <f>J98</f>
        <v>0</v>
      </c>
      <c r="AW98" s="374">
        <f>NETWORKDAYS(C98,D98)</f>
        <v>0</v>
      </c>
      <c r="AX98" s="375" t="str">
        <f>IF(ISERROR(AV98/AW98),"",(AV98/AW98))</f>
        <v/>
      </c>
      <c r="AY98" s="376">
        <v>41820</v>
      </c>
      <c r="AZ98" s="377">
        <f>NETWORKDAYS(AY98,D98)</f>
        <v>-29871</v>
      </c>
      <c r="BA98" s="378">
        <f>AW98-AZ98</f>
        <v>29871</v>
      </c>
      <c r="BB98" s="379" t="str">
        <f>IF(ISERROR(BA98*AX98),"",(BA98*AX98))</f>
        <v/>
      </c>
      <c r="BC98" s="379" t="str">
        <f>IF(ISERROR(AZ98*AX98),"",(AZ98*AX98))</f>
        <v/>
      </c>
      <c r="BD98" s="379">
        <f>IF(ISERROR(SUM(BB98:BC98)),"",((SUM(BB98:BC98))))</f>
        <v>0</v>
      </c>
      <c r="BE98" s="379" t="str">
        <f>IF(ISERROR(BC98*7.65%),"",((BC98*7.65%)))</f>
        <v/>
      </c>
      <c r="BF98" s="380" t="str">
        <f>IF(ISERROR(BC98*21.17%),"",((BC98*21.17%)))</f>
        <v/>
      </c>
      <c r="BG98" s="381" t="e">
        <f>SUM(BE98:BF98)+BC98</f>
        <v>#VALUE!</v>
      </c>
      <c r="BI98" s="279" t="s">
        <v>505</v>
      </c>
    </row>
    <row r="99" spans="1:61" ht="13.5" thickBot="1" x14ac:dyDescent="0.25">
      <c r="A99" s="392"/>
      <c r="B99" s="392"/>
      <c r="C99" s="392"/>
      <c r="D99" s="392"/>
      <c r="E99" s="392"/>
      <c r="F99" s="393"/>
      <c r="G99" s="393"/>
      <c r="H99" s="393"/>
      <c r="I99" s="393"/>
      <c r="J99" s="395"/>
      <c r="K99" s="394"/>
      <c r="L99" s="395"/>
      <c r="M99" s="396"/>
      <c r="N99" s="1123"/>
      <c r="O99" s="1123"/>
      <c r="P99" s="1123"/>
      <c r="Q99" s="396"/>
      <c r="R99" s="396"/>
      <c r="S99" s="396"/>
      <c r="T99" s="396"/>
      <c r="U99" s="666">
        <f t="shared" si="91"/>
        <v>0</v>
      </c>
      <c r="V99" s="396"/>
      <c r="W99" s="396"/>
      <c r="X99" s="396"/>
      <c r="Y99" s="396"/>
      <c r="Z99" s="397"/>
      <c r="AA99" s="398">
        <f>SUM(Z94:Z98)</f>
        <v>218508.4897185</v>
      </c>
      <c r="AB99" s="399"/>
      <c r="AC99" s="400"/>
      <c r="AD99" s="401"/>
      <c r="AE99" s="402"/>
      <c r="AF99" s="401"/>
      <c r="AG99" s="402"/>
      <c r="AH99" s="401"/>
      <c r="AI99" s="402"/>
      <c r="AJ99" s="402"/>
      <c r="AK99" s="402"/>
      <c r="AL99" s="402"/>
      <c r="AM99" s="403"/>
      <c r="AN99" s="404"/>
      <c r="AO99" s="405"/>
      <c r="AP99" s="406"/>
      <c r="AQ99" s="407"/>
      <c r="AR99" s="408"/>
      <c r="AS99" s="409"/>
      <c r="AT99" s="410"/>
      <c r="AU99" s="411"/>
      <c r="AV99" s="412"/>
      <c r="AW99" s="413"/>
      <c r="AX99" s="414"/>
      <c r="AY99" s="415"/>
      <c r="AZ99" s="416"/>
      <c r="BA99" s="417"/>
      <c r="BB99" s="418"/>
      <c r="BC99" s="418"/>
      <c r="BD99" s="418"/>
      <c r="BE99" s="418"/>
      <c r="BF99" s="419"/>
      <c r="BG99" s="420"/>
      <c r="BH99" s="421">
        <f>SUM(BH94:BH98)</f>
        <v>0</v>
      </c>
      <c r="BI99" s="422">
        <f>AA98</f>
        <v>0</v>
      </c>
    </row>
    <row r="100" spans="1:61" x14ac:dyDescent="0.2">
      <c r="A100" s="1277" t="s">
        <v>365</v>
      </c>
      <c r="B100" s="358">
        <v>1</v>
      </c>
      <c r="C100" s="359"/>
      <c r="D100" s="359"/>
      <c r="E100" s="360"/>
      <c r="F100" s="681"/>
      <c r="G100" s="681"/>
      <c r="H100" s="681"/>
      <c r="I100" s="681"/>
      <c r="J100" s="685"/>
      <c r="K100" s="662">
        <v>0</v>
      </c>
      <c r="L100" s="685"/>
      <c r="M100" s="666"/>
      <c r="N100" s="1122">
        <f>J100*(1+K100)+L100+M100</f>
        <v>0</v>
      </c>
      <c r="O100" s="1122"/>
      <c r="P100" s="1122"/>
      <c r="Q100" s="683"/>
      <c r="R100" s="666">
        <f>N100*Q100</f>
        <v>0</v>
      </c>
      <c r="S100" s="665">
        <f>(N100-R100)*0.062</f>
        <v>0</v>
      </c>
      <c r="T100" s="665">
        <f>(N100-R100)*0.0145</f>
        <v>0</v>
      </c>
      <c r="U100" s="666">
        <f t="shared" si="91"/>
        <v>0</v>
      </c>
      <c r="V100" s="666">
        <f>IF(N100&gt;=7000,7000*0.05,IF(N100&lt;=7000,N100*0.05))</f>
        <v>0</v>
      </c>
      <c r="W100" s="665">
        <f>AT100</f>
        <v>0</v>
      </c>
      <c r="X100" s="665">
        <v>0</v>
      </c>
      <c r="Y100" s="665">
        <f>X100</f>
        <v>0</v>
      </c>
      <c r="Z100" s="361">
        <f>SUM(N100:Y100)</f>
        <v>0</v>
      </c>
      <c r="AB100" s="362"/>
      <c r="AC100" s="424">
        <f>G100</f>
        <v>0</v>
      </c>
      <c r="AD100" s="668" t="s">
        <v>526</v>
      </c>
      <c r="AE100" s="669">
        <f>IF(ISNA(VLOOKUP(AD100,$A$226:$E$266,4,FALSE)),"0",VLOOKUP(AD100,$A$226:$E$266,4,FALSE))</f>
        <v>0</v>
      </c>
      <c r="AF100" s="670" t="s">
        <v>526</v>
      </c>
      <c r="AG100" s="669">
        <f>IF(ISNA(VLOOKUP(AF100,$A$253:$E$266,4,FALSE)),"0",VLOOKUP(AF100,$A$253:$E$266,4,FALSE))</f>
        <v>0</v>
      </c>
      <c r="AH100" s="670" t="s">
        <v>526</v>
      </c>
      <c r="AI100" s="364">
        <f>IF(ISNA(VLOOKUP(AH100,$A$226:$E$266,4,FALSE)),"0",VLOOKUP(AH100,$A$226:$E$266,4,FALSE))</f>
        <v>0</v>
      </c>
      <c r="AJ100" s="364">
        <f>IF(ISNA(VLOOKUP(AD100,$A$226:$E$266,5,FALSE)),"0",VLOOKUP(AD100,$A$226:$E$266,5,FALSE))</f>
        <v>0</v>
      </c>
      <c r="AK100" s="364">
        <f>IF(ISNA(VLOOKUP(AF100,$A$226:$E$266,5,FALSE)),"0",VLOOKUP(AF100,$A$226:$E$266,5,FALSE))</f>
        <v>0</v>
      </c>
      <c r="AL100" s="364">
        <f>IF(ISNA(VLOOKUP(AH100,$A$226:$E$259,5,FALSE)),"0",VLOOKUP(AH100,$A$226:$E$259,5,FALSE))</f>
        <v>0</v>
      </c>
      <c r="AM100" s="365">
        <f>AE100+AG100+AI100</f>
        <v>0</v>
      </c>
      <c r="AN100" s="366">
        <f>AJ100+AK100+AL100</f>
        <v>0</v>
      </c>
      <c r="AO100" s="367">
        <f>SUM(AM100:AN100)</f>
        <v>0</v>
      </c>
      <c r="AP100" s="428">
        <v>8.7999999999999998E-5</v>
      </c>
      <c r="AQ100" s="429">
        <v>2.0000000000000002E-5</v>
      </c>
      <c r="AR100" s="430">
        <v>2.22E-4</v>
      </c>
      <c r="AS100" s="431">
        <v>3.1E-4</v>
      </c>
      <c r="AT100" s="432">
        <f>SUM((J100*AP100)+(J100*AQ100)+(J100*AR100)+(J100*AS100))*12</f>
        <v>0</v>
      </c>
      <c r="AV100" s="433"/>
      <c r="AW100" s="446"/>
      <c r="AX100" s="435"/>
      <c r="AY100" s="376"/>
      <c r="AZ100" s="437"/>
      <c r="BA100" s="438"/>
      <c r="BB100" s="380"/>
      <c r="BC100" s="380"/>
      <c r="BD100" s="380"/>
      <c r="BE100" s="380"/>
      <c r="BF100" s="439"/>
      <c r="BG100" s="381"/>
      <c r="BH100" s="447">
        <f>SUM(BC100:BC102)</f>
        <v>0</v>
      </c>
      <c r="BI100" s="279" t="s">
        <v>527</v>
      </c>
    </row>
    <row r="101" spans="1:61" x14ac:dyDescent="0.2">
      <c r="A101" s="1288"/>
      <c r="B101" s="385">
        <v>2</v>
      </c>
      <c r="C101" s="384"/>
      <c r="D101" s="384"/>
      <c r="E101" s="384"/>
      <c r="F101" s="681"/>
      <c r="G101" s="681"/>
      <c r="H101" s="681"/>
      <c r="I101" s="681"/>
      <c r="J101" s="685"/>
      <c r="K101" s="672">
        <v>0</v>
      </c>
      <c r="L101" s="685"/>
      <c r="M101" s="666"/>
      <c r="N101" s="1122">
        <f>J101*(1+K101)+L101+M101</f>
        <v>0</v>
      </c>
      <c r="O101" s="1122"/>
      <c r="P101" s="1122"/>
      <c r="Q101" s="683"/>
      <c r="R101" s="666">
        <f>N101*Q101</f>
        <v>0</v>
      </c>
      <c r="S101" s="665">
        <f>(N101-R101)*0.062</f>
        <v>0</v>
      </c>
      <c r="T101" s="665">
        <f>(N101-R101)*0.0145</f>
        <v>0</v>
      </c>
      <c r="U101" s="666">
        <f t="shared" si="91"/>
        <v>0</v>
      </c>
      <c r="V101" s="666">
        <f>IF(N101&gt;=7000,7000*0.05,IF(N101&lt;=7000,N101*0.05))</f>
        <v>0</v>
      </c>
      <c r="W101" s="665">
        <f>AT101</f>
        <v>0</v>
      </c>
      <c r="X101" s="665">
        <v>0</v>
      </c>
      <c r="Y101" s="665">
        <f>X101</f>
        <v>0</v>
      </c>
      <c r="Z101" s="361">
        <f>SUM(N101:Y101)</f>
        <v>0</v>
      </c>
      <c r="AB101" s="362"/>
      <c r="AC101" s="363">
        <f>G101</f>
        <v>0</v>
      </c>
      <c r="AD101" s="668" t="s">
        <v>526</v>
      </c>
      <c r="AE101" s="669">
        <f>IF(ISNA(VLOOKUP(AD101,$A$226:$E$266,4,FALSE)),"0",VLOOKUP(AD101,$A$226:$E$266,4,FALSE))</f>
        <v>0</v>
      </c>
      <c r="AF101" s="670" t="s">
        <v>526</v>
      </c>
      <c r="AG101" s="669">
        <f>IF(ISNA(VLOOKUP(AF101,$A$253:$E$266,4,FALSE)),"0",VLOOKUP(AF101,$A$253:$E$266,4,FALSE))</f>
        <v>0</v>
      </c>
      <c r="AH101" s="670" t="s">
        <v>526</v>
      </c>
      <c r="AI101" s="364">
        <f>IF(ISNA(VLOOKUP(AH101,$A$226:$E$266,4,FALSE)),"0",VLOOKUP(AH101,$A$226:$E$266,4,FALSE))</f>
        <v>0</v>
      </c>
      <c r="AJ101" s="364">
        <f>IF(ISNA(VLOOKUP(AD101,$A$226:$E$266,5,FALSE)),"0",VLOOKUP(AD101,$A$226:$E$266,5,FALSE))</f>
        <v>0</v>
      </c>
      <c r="AK101" s="364">
        <f>IF(ISNA(VLOOKUP(AF101,$A$226:$E$266,5,FALSE)),"0",VLOOKUP(AF101,$A$226:$E$266,5,FALSE))</f>
        <v>0</v>
      </c>
      <c r="AL101" s="364">
        <f>IF(ISNA(VLOOKUP(AH101,$A$226:$E$259,5,FALSE)),"0",VLOOKUP(AH101,$A$226:$E$259,5,FALSE))</f>
        <v>0</v>
      </c>
      <c r="AM101" s="365">
        <f>AE101+AG101+AI101</f>
        <v>0</v>
      </c>
      <c r="AN101" s="366">
        <f>AJ101+AK101+AL101</f>
        <v>0</v>
      </c>
      <c r="AO101" s="367">
        <f>SUM(AM101:AN101)</f>
        <v>0</v>
      </c>
      <c r="AP101" s="368">
        <v>8.7999999999999998E-5</v>
      </c>
      <c r="AQ101" s="369">
        <v>2.0000000000000002E-5</v>
      </c>
      <c r="AR101" s="370">
        <v>2.22E-4</v>
      </c>
      <c r="AS101" s="371">
        <v>3.1E-4</v>
      </c>
      <c r="AT101" s="372">
        <f>SUM((J101*AP101)+(J101*AQ101)+(J101*AR101)+(J101*AS101))*12</f>
        <v>0</v>
      </c>
      <c r="AV101" s="433"/>
      <c r="AW101" s="446"/>
      <c r="AX101" s="435"/>
      <c r="AY101" s="376"/>
      <c r="AZ101" s="437"/>
      <c r="BA101" s="438"/>
      <c r="BB101" s="380"/>
      <c r="BC101" s="380"/>
      <c r="BD101" s="380"/>
      <c r="BE101" s="380"/>
      <c r="BF101" s="439"/>
      <c r="BG101" s="381"/>
      <c r="BH101" s="447">
        <f>SUM(BE100:BE102)</f>
        <v>0</v>
      </c>
      <c r="BI101" s="279" t="s">
        <v>504</v>
      </c>
    </row>
    <row r="102" spans="1:61" x14ac:dyDescent="0.2">
      <c r="B102" s="385">
        <v>3</v>
      </c>
      <c r="C102" s="384"/>
      <c r="D102" s="384"/>
      <c r="E102" s="384"/>
      <c r="F102" s="681"/>
      <c r="G102" s="681"/>
      <c r="H102" s="681"/>
      <c r="I102" s="681"/>
      <c r="J102" s="685"/>
      <c r="K102" s="672">
        <v>0</v>
      </c>
      <c r="L102" s="685"/>
      <c r="M102" s="666"/>
      <c r="N102" s="1122">
        <f>J102*(1+K102)+L102+M102</f>
        <v>0</v>
      </c>
      <c r="O102" s="1122"/>
      <c r="P102" s="1122"/>
      <c r="Q102" s="683"/>
      <c r="R102" s="666">
        <f>N102*Q102</f>
        <v>0</v>
      </c>
      <c r="S102" s="665">
        <f>(N102-R102)*0.062</f>
        <v>0</v>
      </c>
      <c r="T102" s="665">
        <f>(N102-R102)*0.0145</f>
        <v>0</v>
      </c>
      <c r="U102" s="666">
        <f t="shared" si="91"/>
        <v>0</v>
      </c>
      <c r="V102" s="666">
        <f>IF(N102&gt;=7000,7000*0.05,IF(N102&lt;=7000,N102*0.05))</f>
        <v>0</v>
      </c>
      <c r="W102" s="665">
        <f>AT102</f>
        <v>0</v>
      </c>
      <c r="X102" s="665">
        <v>0</v>
      </c>
      <c r="Y102" s="665">
        <f>X102</f>
        <v>0</v>
      </c>
      <c r="Z102" s="361">
        <f>SUM(N102:Y102)</f>
        <v>0</v>
      </c>
      <c r="AA102" s="1202" t="s">
        <v>365</v>
      </c>
      <c r="AB102" s="362"/>
      <c r="AC102" s="363">
        <f>G102</f>
        <v>0</v>
      </c>
      <c r="AD102" s="668" t="s">
        <v>526</v>
      </c>
      <c r="AE102" s="669">
        <f>IF(ISNA(VLOOKUP(AD102,$A$226:$E$266,4,FALSE)),"0",VLOOKUP(AD102,$A$226:$E$266,4,FALSE))</f>
        <v>0</v>
      </c>
      <c r="AF102" s="670" t="s">
        <v>526</v>
      </c>
      <c r="AG102" s="669">
        <f>IF(ISNA(VLOOKUP(AF102,$A$253:$E$266,4,FALSE)),"0",VLOOKUP(AF102,$A$253:$E$266,4,FALSE))</f>
        <v>0</v>
      </c>
      <c r="AH102" s="670" t="s">
        <v>526</v>
      </c>
      <c r="AI102" s="364">
        <f>IF(ISNA(VLOOKUP(AH102,$A$226:$E$266,4,FALSE)),"0",VLOOKUP(AH102,$A$226:$E$266,4,FALSE))</f>
        <v>0</v>
      </c>
      <c r="AJ102" s="364">
        <f>IF(ISNA(VLOOKUP(AD102,$A$226:$E$266,5,FALSE)),"0",VLOOKUP(AD102,$A$226:$E$266,5,FALSE))</f>
        <v>0</v>
      </c>
      <c r="AK102" s="364">
        <f>IF(ISNA(VLOOKUP(AF102,$A$226:$E$266,5,FALSE)),"0",VLOOKUP(AF102,$A$226:$E$266,5,FALSE))</f>
        <v>0</v>
      </c>
      <c r="AL102" s="364">
        <f>IF(ISNA(VLOOKUP(AH102,$A$226:$E$259,5,FALSE)),"0",VLOOKUP(AH102,$A$226:$E$259,5,FALSE))</f>
        <v>0</v>
      </c>
      <c r="AM102" s="365">
        <f>AE102+AG102+AI102</f>
        <v>0</v>
      </c>
      <c r="AN102" s="366">
        <f>AJ102+AK102+AL102</f>
        <v>0</v>
      </c>
      <c r="AO102" s="367">
        <f>SUM(AM102:AN102)</f>
        <v>0</v>
      </c>
      <c r="AP102" s="368">
        <v>8.7999999999999998E-5</v>
      </c>
      <c r="AQ102" s="369">
        <v>2.0000000000000002E-5</v>
      </c>
      <c r="AR102" s="370">
        <v>2.22E-4</v>
      </c>
      <c r="AS102" s="371">
        <v>3.1E-4</v>
      </c>
      <c r="AT102" s="372">
        <f>SUM((J102*AP102)+(J102*AQ102)+(J102*AR102)+(J102*AS102))*12</f>
        <v>0</v>
      </c>
      <c r="AV102" s="433"/>
      <c r="AW102" s="446"/>
      <c r="AX102" s="435"/>
      <c r="AY102" s="376"/>
      <c r="AZ102" s="437"/>
      <c r="BA102" s="438"/>
      <c r="BB102" s="380"/>
      <c r="BC102" s="380"/>
      <c r="BD102" s="380"/>
      <c r="BE102" s="380"/>
      <c r="BF102" s="439"/>
      <c r="BG102" s="381"/>
      <c r="BI102" s="279" t="s">
        <v>505</v>
      </c>
    </row>
    <row r="103" spans="1:61" ht="13.5" thickBot="1" x14ac:dyDescent="0.25">
      <c r="A103" s="392"/>
      <c r="B103" s="392"/>
      <c r="C103" s="392"/>
      <c r="D103" s="392"/>
      <c r="E103" s="392"/>
      <c r="F103" s="393"/>
      <c r="G103" s="393"/>
      <c r="H103" s="393"/>
      <c r="I103" s="393"/>
      <c r="J103" s="395"/>
      <c r="K103" s="394"/>
      <c r="L103" s="395"/>
      <c r="M103" s="396"/>
      <c r="N103" s="1123"/>
      <c r="O103" s="1123"/>
      <c r="P103" s="1123"/>
      <c r="Q103" s="396"/>
      <c r="R103" s="396"/>
      <c r="S103" s="396"/>
      <c r="T103" s="396"/>
      <c r="U103" s="666">
        <f t="shared" si="91"/>
        <v>0</v>
      </c>
      <c r="V103" s="396"/>
      <c r="W103" s="396"/>
      <c r="X103" s="396"/>
      <c r="Y103" s="396"/>
      <c r="Z103" s="397"/>
      <c r="AA103" s="398">
        <f>SUM(Z100:Z102)</f>
        <v>0</v>
      </c>
      <c r="AB103" s="399"/>
      <c r="AC103" s="400"/>
      <c r="AD103" s="401"/>
      <c r="AE103" s="402"/>
      <c r="AF103" s="401"/>
      <c r="AG103" s="402"/>
      <c r="AH103" s="401"/>
      <c r="AI103" s="402"/>
      <c r="AJ103" s="402"/>
      <c r="AK103" s="402"/>
      <c r="AL103" s="402"/>
      <c r="AM103" s="403"/>
      <c r="AN103" s="404"/>
      <c r="AO103" s="405"/>
      <c r="AP103" s="406"/>
      <c r="AQ103" s="407"/>
      <c r="AR103" s="408"/>
      <c r="AS103" s="409"/>
      <c r="AT103" s="410"/>
      <c r="AU103" s="411"/>
      <c r="AV103" s="412"/>
      <c r="AW103" s="413"/>
      <c r="AX103" s="414"/>
      <c r="AY103" s="415"/>
      <c r="AZ103" s="416"/>
      <c r="BA103" s="417"/>
      <c r="BB103" s="418"/>
      <c r="BC103" s="418"/>
      <c r="BD103" s="418"/>
      <c r="BE103" s="418"/>
      <c r="BF103" s="419"/>
      <c r="BG103" s="420"/>
      <c r="BH103" s="421">
        <f>SUM(BH100:BH101)</f>
        <v>0</v>
      </c>
      <c r="BI103" s="422" t="str">
        <f>AA102</f>
        <v>VPK</v>
      </c>
    </row>
    <row r="104" spans="1:61" x14ac:dyDescent="0.2">
      <c r="A104" s="1277" t="s">
        <v>366</v>
      </c>
      <c r="B104" s="358">
        <v>1</v>
      </c>
      <c r="C104" s="359"/>
      <c r="D104" s="359"/>
      <c r="E104" s="360"/>
      <c r="F104" s="681"/>
      <c r="G104" s="681"/>
      <c r="H104" s="681"/>
      <c r="I104" s="681"/>
      <c r="J104" s="688"/>
      <c r="K104" s="662">
        <v>0</v>
      </c>
      <c r="L104" s="685"/>
      <c r="M104" s="666"/>
      <c r="N104" s="1122">
        <f t="shared" ref="N104:N118" si="124">J104*(1+K104)+L104+M104</f>
        <v>0</v>
      </c>
      <c r="O104" s="1122"/>
      <c r="P104" s="1122"/>
      <c r="Q104" s="689"/>
      <c r="R104" s="666">
        <f t="shared" ref="R104:R120" si="125">N104*Q104</f>
        <v>0</v>
      </c>
      <c r="S104" s="665">
        <f t="shared" ref="S104:S120" si="126">(N104-R104)*0.062</f>
        <v>0</v>
      </c>
      <c r="T104" s="665">
        <f t="shared" ref="T104:T120" si="127">(N104-R104)*0.0145</f>
        <v>0</v>
      </c>
      <c r="U104" s="666">
        <f t="shared" si="91"/>
        <v>0</v>
      </c>
      <c r="V104" s="666">
        <f t="shared" ref="V104:V120" si="128">IF(N104&gt;=7000,7000*0.05,IF(N104&lt;=7000,N104*0.05))</f>
        <v>0</v>
      </c>
      <c r="W104" s="665">
        <f>AT104</f>
        <v>0</v>
      </c>
      <c r="X104" s="665">
        <v>0</v>
      </c>
      <c r="Y104" s="665">
        <f>X104</f>
        <v>0</v>
      </c>
      <c r="Z104" s="361">
        <f t="shared" ref="Z104:Z118" si="129">SUM(N104:Y104)</f>
        <v>0</v>
      </c>
      <c r="AB104" s="362"/>
      <c r="AC104" s="424">
        <f t="shared" ref="AC104:AC118" si="130">G104</f>
        <v>0</v>
      </c>
      <c r="AD104" s="668" t="s">
        <v>526</v>
      </c>
      <c r="AE104" s="669">
        <f t="shared" ref="AE104:AE118" si="131">IF(ISNA(VLOOKUP(AD104,$A$225:$E$265,4,FALSE)),"0",VLOOKUP(AD104,$A$225:$E$265,4,FALSE))</f>
        <v>0</v>
      </c>
      <c r="AF104" s="670" t="s">
        <v>526</v>
      </c>
      <c r="AG104" s="669">
        <f t="shared" ref="AG104:AG118" si="132">IF(ISNA(VLOOKUP(AF104,$A$252:$E$265,4,FALSE)),"0",VLOOKUP(AF104,$A$252:$E$265,4,FALSE))</f>
        <v>0</v>
      </c>
      <c r="AH104" s="670" t="s">
        <v>526</v>
      </c>
      <c r="AI104" s="364">
        <f t="shared" ref="AI104:AI118" si="133">IF(ISNA(VLOOKUP(AH104,$A$225:$E$265,4,FALSE)),"0",VLOOKUP(AH104,$A$225:$E$265,4,FALSE))</f>
        <v>0</v>
      </c>
      <c r="AJ104" s="364">
        <f t="shared" ref="AJ104:AJ118" si="134">IF(ISNA(VLOOKUP(AD104,$A$225:$E$265,5,FALSE)),"0",VLOOKUP(AD104,$A$225:$E$265,5,FALSE))</f>
        <v>0</v>
      </c>
      <c r="AK104" s="364">
        <f t="shared" ref="AK104:AK118" si="135">IF(ISNA(VLOOKUP(AF104,$A$225:$E$265,5,FALSE)),"0",VLOOKUP(AF104,$A$225:$E$265,5,FALSE))</f>
        <v>0</v>
      </c>
      <c r="AL104" s="364">
        <f t="shared" ref="AL104:AL118" si="136">IF(ISNA(VLOOKUP(AH104,$A$225:$E$258,5,FALSE)),"0",VLOOKUP(AH104,$A$225:$E$258,5,FALSE))</f>
        <v>0</v>
      </c>
      <c r="AM104" s="365">
        <f>AE104+AG104+AI104</f>
        <v>0</v>
      </c>
      <c r="AN104" s="366">
        <f>AJ104+AK104+AL104</f>
        <v>0</v>
      </c>
      <c r="AO104" s="367">
        <f>SUM(AM104:AN104)</f>
        <v>0</v>
      </c>
      <c r="AP104" s="428">
        <v>8.7999999999999998E-5</v>
      </c>
      <c r="AQ104" s="429">
        <v>2.0000000000000002E-5</v>
      </c>
      <c r="AR104" s="430">
        <v>2.22E-4</v>
      </c>
      <c r="AS104" s="431">
        <v>3.1E-4</v>
      </c>
      <c r="AT104" s="432">
        <f t="shared" ref="AT104:AT118" si="137">SUM((J104*AP104)+(J104*AQ104)+(J104*AR104)+(J104*AS104))*12</f>
        <v>0</v>
      </c>
      <c r="AV104" s="433"/>
      <c r="AW104" s="446"/>
      <c r="AX104" s="435"/>
      <c r="AY104" s="376"/>
      <c r="AZ104" s="437"/>
      <c r="BA104" s="438"/>
      <c r="BB104" s="380"/>
      <c r="BC104" s="380"/>
      <c r="BD104" s="380"/>
      <c r="BE104" s="380"/>
      <c r="BF104" s="439"/>
      <c r="BG104" s="381"/>
      <c r="BH104" s="447">
        <f>SUM(BC104:BC120)</f>
        <v>0</v>
      </c>
      <c r="BI104" s="279" t="s">
        <v>527</v>
      </c>
    </row>
    <row r="105" spans="1:61" x14ac:dyDescent="0.2">
      <c r="A105" s="1288"/>
      <c r="B105" s="385">
        <v>2</v>
      </c>
      <c r="C105" s="384"/>
      <c r="D105" s="384"/>
      <c r="E105" s="384"/>
      <c r="F105" s="681"/>
      <c r="G105" s="681"/>
      <c r="H105" s="681"/>
      <c r="I105" s="681"/>
      <c r="J105" s="688"/>
      <c r="K105" s="672">
        <v>0</v>
      </c>
      <c r="L105" s="685"/>
      <c r="M105" s="666"/>
      <c r="N105" s="1122">
        <f t="shared" si="124"/>
        <v>0</v>
      </c>
      <c r="O105" s="1122"/>
      <c r="P105" s="1122"/>
      <c r="Q105" s="690"/>
      <c r="R105" s="666">
        <f t="shared" si="125"/>
        <v>0</v>
      </c>
      <c r="S105" s="665">
        <f t="shared" si="126"/>
        <v>0</v>
      </c>
      <c r="T105" s="665">
        <f t="shared" si="127"/>
        <v>0</v>
      </c>
      <c r="U105" s="666">
        <f t="shared" si="91"/>
        <v>0</v>
      </c>
      <c r="V105" s="666">
        <f t="shared" si="128"/>
        <v>0</v>
      </c>
      <c r="W105" s="665">
        <f t="shared" ref="W105:W120" si="138">AT105</f>
        <v>0</v>
      </c>
      <c r="X105" s="665">
        <v>0</v>
      </c>
      <c r="Y105" s="665">
        <f t="shared" ref="Y105:Y120" si="139">X105</f>
        <v>0</v>
      </c>
      <c r="Z105" s="361">
        <f t="shared" si="129"/>
        <v>0</v>
      </c>
      <c r="AA105" s="279" t="s">
        <v>366</v>
      </c>
      <c r="AB105" s="362"/>
      <c r="AC105" s="363">
        <f t="shared" si="130"/>
        <v>0</v>
      </c>
      <c r="AD105" s="668" t="s">
        <v>526</v>
      </c>
      <c r="AE105" s="669">
        <f t="shared" si="131"/>
        <v>0</v>
      </c>
      <c r="AF105" s="670" t="s">
        <v>526</v>
      </c>
      <c r="AG105" s="669">
        <f t="shared" si="132"/>
        <v>0</v>
      </c>
      <c r="AH105" s="670" t="s">
        <v>526</v>
      </c>
      <c r="AI105" s="364">
        <f t="shared" si="133"/>
        <v>0</v>
      </c>
      <c r="AJ105" s="364">
        <f t="shared" si="134"/>
        <v>0</v>
      </c>
      <c r="AK105" s="364">
        <f t="shared" si="135"/>
        <v>0</v>
      </c>
      <c r="AL105" s="364">
        <f t="shared" si="136"/>
        <v>0</v>
      </c>
      <c r="AM105" s="365">
        <f>AE105+AG105+AI105</f>
        <v>0</v>
      </c>
      <c r="AN105" s="366">
        <f>AJ105+AK105+AL105</f>
        <v>0</v>
      </c>
      <c r="AO105" s="367">
        <f>SUM(AM105:AN105)</f>
        <v>0</v>
      </c>
      <c r="AP105" s="368">
        <v>8.7999999999999998E-5</v>
      </c>
      <c r="AQ105" s="369">
        <v>2.0000000000000002E-5</v>
      </c>
      <c r="AR105" s="370">
        <v>2.22E-4</v>
      </c>
      <c r="AS105" s="371">
        <v>3.1E-4</v>
      </c>
      <c r="AT105" s="372">
        <f t="shared" si="137"/>
        <v>0</v>
      </c>
      <c r="AV105" s="433"/>
      <c r="AW105" s="446"/>
      <c r="AX105" s="435"/>
      <c r="AY105" s="376"/>
      <c r="AZ105" s="437"/>
      <c r="BA105" s="438"/>
      <c r="BB105" s="380"/>
      <c r="BC105" s="380"/>
      <c r="BD105" s="380"/>
      <c r="BE105" s="380"/>
      <c r="BF105" s="439"/>
      <c r="BG105" s="381"/>
      <c r="BH105" s="447">
        <f>SUM(BE104:BE120)</f>
        <v>0</v>
      </c>
      <c r="BI105" s="279" t="s">
        <v>504</v>
      </c>
    </row>
    <row r="106" spans="1:61" x14ac:dyDescent="0.2">
      <c r="A106" s="1203"/>
      <c r="B106" s="385">
        <v>3</v>
      </c>
      <c r="C106" s="384"/>
      <c r="D106" s="384"/>
      <c r="E106" s="384"/>
      <c r="F106" s="681"/>
      <c r="G106" s="681"/>
      <c r="H106" s="681"/>
      <c r="I106" s="681"/>
      <c r="J106" s="688"/>
      <c r="K106" s="672">
        <v>0</v>
      </c>
      <c r="L106" s="685"/>
      <c r="M106" s="666"/>
      <c r="N106" s="1122">
        <f t="shared" si="124"/>
        <v>0</v>
      </c>
      <c r="O106" s="1122"/>
      <c r="P106" s="1122"/>
      <c r="Q106" s="690"/>
      <c r="R106" s="666">
        <f t="shared" si="125"/>
        <v>0</v>
      </c>
      <c r="S106" s="665">
        <f t="shared" si="126"/>
        <v>0</v>
      </c>
      <c r="T106" s="665">
        <f t="shared" si="127"/>
        <v>0</v>
      </c>
      <c r="U106" s="666">
        <f t="shared" si="91"/>
        <v>0</v>
      </c>
      <c r="V106" s="666">
        <f t="shared" si="128"/>
        <v>0</v>
      </c>
      <c r="W106" s="665">
        <f t="shared" si="138"/>
        <v>0</v>
      </c>
      <c r="X106" s="665">
        <v>0</v>
      </c>
      <c r="Y106" s="665">
        <f t="shared" si="139"/>
        <v>0</v>
      </c>
      <c r="Z106" s="361">
        <f t="shared" si="129"/>
        <v>0</v>
      </c>
      <c r="AB106" s="362"/>
      <c r="AC106" s="363">
        <f t="shared" si="130"/>
        <v>0</v>
      </c>
      <c r="AD106" s="668" t="s">
        <v>526</v>
      </c>
      <c r="AE106" s="669">
        <f t="shared" si="131"/>
        <v>0</v>
      </c>
      <c r="AF106" s="670" t="s">
        <v>526</v>
      </c>
      <c r="AG106" s="669">
        <f t="shared" si="132"/>
        <v>0</v>
      </c>
      <c r="AH106" s="670" t="s">
        <v>526</v>
      </c>
      <c r="AI106" s="364">
        <f t="shared" si="133"/>
        <v>0</v>
      </c>
      <c r="AJ106" s="364">
        <f t="shared" si="134"/>
        <v>0</v>
      </c>
      <c r="AK106" s="364">
        <f t="shared" si="135"/>
        <v>0</v>
      </c>
      <c r="AL106" s="364">
        <f t="shared" si="136"/>
        <v>0</v>
      </c>
      <c r="AM106" s="365">
        <f t="shared" ref="AM106:AM118" si="140">AE106+AG106+AI106</f>
        <v>0</v>
      </c>
      <c r="AN106" s="366">
        <f t="shared" ref="AN106:AN118" si="141">AJ106+AK106+AL106</f>
        <v>0</v>
      </c>
      <c r="AO106" s="367">
        <f t="shared" ref="AO106:AO118" si="142">SUM(AM106:AN106)</f>
        <v>0</v>
      </c>
      <c r="AP106" s="368">
        <v>8.7999999999999998E-5</v>
      </c>
      <c r="AQ106" s="369">
        <v>2.0000000000000002E-5</v>
      </c>
      <c r="AR106" s="370">
        <v>2.22E-4</v>
      </c>
      <c r="AS106" s="371">
        <v>3.1E-4</v>
      </c>
      <c r="AT106" s="372">
        <f t="shared" si="137"/>
        <v>0</v>
      </c>
      <c r="AV106" s="433"/>
      <c r="AW106" s="446"/>
      <c r="AX106" s="435"/>
      <c r="AY106" s="376"/>
      <c r="AZ106" s="437"/>
      <c r="BA106" s="438"/>
      <c r="BB106" s="380"/>
      <c r="BC106" s="380"/>
      <c r="BD106" s="380"/>
      <c r="BE106" s="380"/>
      <c r="BF106" s="439"/>
      <c r="BG106" s="381"/>
      <c r="BH106" s="447"/>
    </row>
    <row r="107" spans="1:61" x14ac:dyDescent="0.2">
      <c r="A107" s="1203"/>
      <c r="B107" s="385">
        <v>4</v>
      </c>
      <c r="C107" s="384"/>
      <c r="D107" s="384"/>
      <c r="E107" s="384"/>
      <c r="F107" s="681"/>
      <c r="G107" s="681"/>
      <c r="H107" s="681"/>
      <c r="I107" s="681"/>
      <c r="J107" s="688"/>
      <c r="K107" s="672">
        <v>0</v>
      </c>
      <c r="L107" s="685"/>
      <c r="M107" s="666"/>
      <c r="N107" s="1122">
        <f t="shared" si="124"/>
        <v>0</v>
      </c>
      <c r="O107" s="1122"/>
      <c r="P107" s="1122"/>
      <c r="Q107" s="690"/>
      <c r="R107" s="666">
        <f t="shared" si="125"/>
        <v>0</v>
      </c>
      <c r="S107" s="665">
        <f t="shared" si="126"/>
        <v>0</v>
      </c>
      <c r="T107" s="665">
        <f t="shared" si="127"/>
        <v>0</v>
      </c>
      <c r="U107" s="666">
        <f t="shared" si="91"/>
        <v>0</v>
      </c>
      <c r="V107" s="666">
        <f t="shared" si="128"/>
        <v>0</v>
      </c>
      <c r="W107" s="665">
        <f t="shared" si="138"/>
        <v>0</v>
      </c>
      <c r="X107" s="665">
        <v>0</v>
      </c>
      <c r="Y107" s="665">
        <f t="shared" si="139"/>
        <v>0</v>
      </c>
      <c r="Z107" s="361">
        <f t="shared" si="129"/>
        <v>0</v>
      </c>
      <c r="AB107" s="362"/>
      <c r="AC107" s="363">
        <f t="shared" si="130"/>
        <v>0</v>
      </c>
      <c r="AD107" s="668" t="s">
        <v>526</v>
      </c>
      <c r="AE107" s="669">
        <f t="shared" si="131"/>
        <v>0</v>
      </c>
      <c r="AF107" s="670" t="s">
        <v>526</v>
      </c>
      <c r="AG107" s="669">
        <f t="shared" si="132"/>
        <v>0</v>
      </c>
      <c r="AH107" s="670" t="s">
        <v>526</v>
      </c>
      <c r="AI107" s="364">
        <f t="shared" si="133"/>
        <v>0</v>
      </c>
      <c r="AJ107" s="364">
        <f t="shared" si="134"/>
        <v>0</v>
      </c>
      <c r="AK107" s="364">
        <f t="shared" si="135"/>
        <v>0</v>
      </c>
      <c r="AL107" s="364">
        <f t="shared" si="136"/>
        <v>0</v>
      </c>
      <c r="AM107" s="365">
        <f t="shared" si="140"/>
        <v>0</v>
      </c>
      <c r="AN107" s="366">
        <f t="shared" si="141"/>
        <v>0</v>
      </c>
      <c r="AO107" s="367">
        <f t="shared" si="142"/>
        <v>0</v>
      </c>
      <c r="AP107" s="368">
        <v>8.7999999999999998E-5</v>
      </c>
      <c r="AQ107" s="369">
        <v>2.0000000000000002E-5</v>
      </c>
      <c r="AR107" s="370">
        <v>2.22E-4</v>
      </c>
      <c r="AS107" s="371">
        <v>3.1E-4</v>
      </c>
      <c r="AT107" s="372">
        <f t="shared" si="137"/>
        <v>0</v>
      </c>
      <c r="AV107" s="433"/>
      <c r="AW107" s="446"/>
      <c r="AX107" s="435"/>
      <c r="AY107" s="376"/>
      <c r="AZ107" s="437"/>
      <c r="BA107" s="438"/>
      <c r="BB107" s="380"/>
      <c r="BC107" s="380"/>
      <c r="BD107" s="380"/>
      <c r="BE107" s="380"/>
      <c r="BF107" s="439"/>
      <c r="BG107" s="381"/>
      <c r="BH107" s="447"/>
    </row>
    <row r="108" spans="1:61" x14ac:dyDescent="0.2">
      <c r="A108" s="1203"/>
      <c r="B108" s="385">
        <v>5</v>
      </c>
      <c r="C108" s="384"/>
      <c r="D108" s="384"/>
      <c r="E108" s="384"/>
      <c r="F108" s="681"/>
      <c r="G108" s="681"/>
      <c r="H108" s="681"/>
      <c r="I108" s="681"/>
      <c r="J108" s="688"/>
      <c r="K108" s="672">
        <v>0</v>
      </c>
      <c r="L108" s="685"/>
      <c r="M108" s="666"/>
      <c r="N108" s="1122">
        <f t="shared" si="124"/>
        <v>0</v>
      </c>
      <c r="O108" s="1122"/>
      <c r="P108" s="1122"/>
      <c r="Q108" s="690"/>
      <c r="R108" s="666">
        <f t="shared" si="125"/>
        <v>0</v>
      </c>
      <c r="S108" s="665">
        <f t="shared" si="126"/>
        <v>0</v>
      </c>
      <c r="T108" s="665">
        <f t="shared" si="127"/>
        <v>0</v>
      </c>
      <c r="U108" s="666">
        <f t="shared" si="91"/>
        <v>0</v>
      </c>
      <c r="V108" s="666">
        <f t="shared" si="128"/>
        <v>0</v>
      </c>
      <c r="W108" s="665">
        <f t="shared" si="138"/>
        <v>0</v>
      </c>
      <c r="X108" s="665">
        <v>0</v>
      </c>
      <c r="Y108" s="665">
        <f t="shared" si="139"/>
        <v>0</v>
      </c>
      <c r="Z108" s="361">
        <f t="shared" si="129"/>
        <v>0</v>
      </c>
      <c r="AB108" s="362"/>
      <c r="AC108" s="363">
        <f t="shared" si="130"/>
        <v>0</v>
      </c>
      <c r="AD108" s="668" t="s">
        <v>526</v>
      </c>
      <c r="AE108" s="669">
        <f t="shared" si="131"/>
        <v>0</v>
      </c>
      <c r="AF108" s="670" t="s">
        <v>526</v>
      </c>
      <c r="AG108" s="669">
        <f t="shared" si="132"/>
        <v>0</v>
      </c>
      <c r="AH108" s="670" t="s">
        <v>526</v>
      </c>
      <c r="AI108" s="364">
        <f t="shared" si="133"/>
        <v>0</v>
      </c>
      <c r="AJ108" s="364">
        <f t="shared" si="134"/>
        <v>0</v>
      </c>
      <c r="AK108" s="364">
        <f t="shared" si="135"/>
        <v>0</v>
      </c>
      <c r="AL108" s="364">
        <f t="shared" si="136"/>
        <v>0</v>
      </c>
      <c r="AM108" s="365">
        <f t="shared" si="140"/>
        <v>0</v>
      </c>
      <c r="AN108" s="366">
        <f t="shared" si="141"/>
        <v>0</v>
      </c>
      <c r="AO108" s="367">
        <f t="shared" si="142"/>
        <v>0</v>
      </c>
      <c r="AP108" s="368">
        <v>8.7999999999999998E-5</v>
      </c>
      <c r="AQ108" s="369">
        <v>2.0000000000000002E-5</v>
      </c>
      <c r="AR108" s="370">
        <v>2.22E-4</v>
      </c>
      <c r="AS108" s="371">
        <v>3.1E-4</v>
      </c>
      <c r="AT108" s="372">
        <f t="shared" si="137"/>
        <v>0</v>
      </c>
      <c r="AV108" s="433"/>
      <c r="AW108" s="446"/>
      <c r="AX108" s="435"/>
      <c r="AY108" s="376"/>
      <c r="AZ108" s="437"/>
      <c r="BA108" s="438"/>
      <c r="BB108" s="380"/>
      <c r="BC108" s="380"/>
      <c r="BD108" s="380"/>
      <c r="BE108" s="380"/>
      <c r="BF108" s="439"/>
      <c r="BG108" s="381"/>
      <c r="BH108" s="447"/>
    </row>
    <row r="109" spans="1:61" x14ac:dyDescent="0.2">
      <c r="A109" s="1203"/>
      <c r="B109" s="385">
        <v>7</v>
      </c>
      <c r="C109" s="384"/>
      <c r="D109" s="384"/>
      <c r="E109" s="384"/>
      <c r="F109" s="681"/>
      <c r="G109" s="681"/>
      <c r="H109" s="681"/>
      <c r="I109" s="681"/>
      <c r="J109" s="688"/>
      <c r="K109" s="672">
        <v>0</v>
      </c>
      <c r="L109" s="685"/>
      <c r="M109" s="666"/>
      <c r="N109" s="1122">
        <f t="shared" si="124"/>
        <v>0</v>
      </c>
      <c r="O109" s="1122"/>
      <c r="P109" s="1122"/>
      <c r="Q109" s="690"/>
      <c r="R109" s="666">
        <f t="shared" si="125"/>
        <v>0</v>
      </c>
      <c r="S109" s="665">
        <f t="shared" si="126"/>
        <v>0</v>
      </c>
      <c r="T109" s="665">
        <f t="shared" si="127"/>
        <v>0</v>
      </c>
      <c r="U109" s="666">
        <f t="shared" si="91"/>
        <v>0</v>
      </c>
      <c r="V109" s="666">
        <f t="shared" si="128"/>
        <v>0</v>
      </c>
      <c r="W109" s="665">
        <f t="shared" si="138"/>
        <v>0</v>
      </c>
      <c r="X109" s="665">
        <v>0</v>
      </c>
      <c r="Y109" s="665">
        <f t="shared" si="139"/>
        <v>0</v>
      </c>
      <c r="Z109" s="361">
        <f t="shared" si="129"/>
        <v>0</v>
      </c>
      <c r="AB109" s="362"/>
      <c r="AC109" s="363">
        <f t="shared" si="130"/>
        <v>0</v>
      </c>
      <c r="AD109" s="668" t="s">
        <v>526</v>
      </c>
      <c r="AE109" s="669">
        <f t="shared" si="131"/>
        <v>0</v>
      </c>
      <c r="AF109" s="670" t="s">
        <v>526</v>
      </c>
      <c r="AG109" s="669">
        <f t="shared" si="132"/>
        <v>0</v>
      </c>
      <c r="AH109" s="670" t="s">
        <v>526</v>
      </c>
      <c r="AI109" s="364">
        <f t="shared" si="133"/>
        <v>0</v>
      </c>
      <c r="AJ109" s="364">
        <f t="shared" si="134"/>
        <v>0</v>
      </c>
      <c r="AK109" s="364">
        <f t="shared" si="135"/>
        <v>0</v>
      </c>
      <c r="AL109" s="364">
        <f t="shared" si="136"/>
        <v>0</v>
      </c>
      <c r="AM109" s="365">
        <f t="shared" si="140"/>
        <v>0</v>
      </c>
      <c r="AN109" s="366">
        <f t="shared" si="141"/>
        <v>0</v>
      </c>
      <c r="AO109" s="367">
        <f t="shared" si="142"/>
        <v>0</v>
      </c>
      <c r="AP109" s="368">
        <v>8.7999999999999998E-5</v>
      </c>
      <c r="AQ109" s="369">
        <v>2.0000000000000002E-5</v>
      </c>
      <c r="AR109" s="370">
        <v>2.22E-4</v>
      </c>
      <c r="AS109" s="371">
        <v>3.1E-4</v>
      </c>
      <c r="AT109" s="372">
        <f t="shared" si="137"/>
        <v>0</v>
      </c>
      <c r="AV109" s="433"/>
      <c r="AW109" s="446"/>
      <c r="AX109" s="435"/>
      <c r="AY109" s="376"/>
      <c r="AZ109" s="437"/>
      <c r="BA109" s="438"/>
      <c r="BB109" s="380"/>
      <c r="BC109" s="380"/>
      <c r="BD109" s="380"/>
      <c r="BE109" s="380"/>
      <c r="BF109" s="439"/>
      <c r="BG109" s="381"/>
      <c r="BH109" s="447"/>
    </row>
    <row r="110" spans="1:61" x14ac:dyDescent="0.2">
      <c r="A110" s="1203"/>
      <c r="B110" s="385">
        <v>8</v>
      </c>
      <c r="C110" s="384"/>
      <c r="D110" s="384"/>
      <c r="E110" s="384"/>
      <c r="F110" s="681"/>
      <c r="G110" s="681"/>
      <c r="H110" s="681"/>
      <c r="I110" s="681"/>
      <c r="J110" s="688"/>
      <c r="K110" s="672">
        <v>0</v>
      </c>
      <c r="L110" s="685"/>
      <c r="M110" s="666"/>
      <c r="N110" s="1122">
        <f t="shared" si="124"/>
        <v>0</v>
      </c>
      <c r="O110" s="1122"/>
      <c r="P110" s="1122"/>
      <c r="Q110" s="690"/>
      <c r="R110" s="666">
        <f t="shared" si="125"/>
        <v>0</v>
      </c>
      <c r="S110" s="665">
        <f t="shared" si="126"/>
        <v>0</v>
      </c>
      <c r="T110" s="665">
        <f t="shared" si="127"/>
        <v>0</v>
      </c>
      <c r="U110" s="666">
        <f t="shared" si="91"/>
        <v>0</v>
      </c>
      <c r="V110" s="666">
        <f t="shared" si="128"/>
        <v>0</v>
      </c>
      <c r="W110" s="665">
        <f t="shared" si="138"/>
        <v>0</v>
      </c>
      <c r="X110" s="665">
        <v>0</v>
      </c>
      <c r="Y110" s="665">
        <f t="shared" si="139"/>
        <v>0</v>
      </c>
      <c r="Z110" s="361">
        <f t="shared" si="129"/>
        <v>0</v>
      </c>
      <c r="AB110" s="362"/>
      <c r="AC110" s="363">
        <f t="shared" si="130"/>
        <v>0</v>
      </c>
      <c r="AD110" s="668" t="s">
        <v>526</v>
      </c>
      <c r="AE110" s="669">
        <f t="shared" si="131"/>
        <v>0</v>
      </c>
      <c r="AF110" s="670" t="s">
        <v>526</v>
      </c>
      <c r="AG110" s="669">
        <f t="shared" si="132"/>
        <v>0</v>
      </c>
      <c r="AH110" s="670" t="s">
        <v>526</v>
      </c>
      <c r="AI110" s="364">
        <f t="shared" si="133"/>
        <v>0</v>
      </c>
      <c r="AJ110" s="364">
        <f t="shared" si="134"/>
        <v>0</v>
      </c>
      <c r="AK110" s="364">
        <f t="shared" si="135"/>
        <v>0</v>
      </c>
      <c r="AL110" s="364">
        <f t="shared" si="136"/>
        <v>0</v>
      </c>
      <c r="AM110" s="365">
        <f t="shared" si="140"/>
        <v>0</v>
      </c>
      <c r="AN110" s="366">
        <f t="shared" si="141"/>
        <v>0</v>
      </c>
      <c r="AO110" s="367">
        <f t="shared" si="142"/>
        <v>0</v>
      </c>
      <c r="AP110" s="368">
        <v>8.7999999999999998E-5</v>
      </c>
      <c r="AQ110" s="369">
        <v>2.0000000000000002E-5</v>
      </c>
      <c r="AR110" s="370">
        <v>2.22E-4</v>
      </c>
      <c r="AS110" s="371">
        <v>3.1E-4</v>
      </c>
      <c r="AT110" s="372">
        <f t="shared" si="137"/>
        <v>0</v>
      </c>
      <c r="AV110" s="433"/>
      <c r="AW110" s="446"/>
      <c r="AX110" s="435"/>
      <c r="AY110" s="376"/>
      <c r="AZ110" s="437"/>
      <c r="BA110" s="438"/>
      <c r="BB110" s="380"/>
      <c r="BC110" s="380"/>
      <c r="BD110" s="380"/>
      <c r="BE110" s="380"/>
      <c r="BF110" s="439"/>
      <c r="BG110" s="381"/>
      <c r="BH110" s="447"/>
    </row>
    <row r="111" spans="1:61" x14ac:dyDescent="0.2">
      <c r="A111" s="1203"/>
      <c r="B111" s="385">
        <v>9</v>
      </c>
      <c r="C111" s="384"/>
      <c r="D111" s="384"/>
      <c r="E111" s="384"/>
      <c r="F111" s="681"/>
      <c r="G111" s="681"/>
      <c r="H111" s="681"/>
      <c r="I111" s="681"/>
      <c r="J111" s="688"/>
      <c r="K111" s="672">
        <v>0</v>
      </c>
      <c r="L111" s="685"/>
      <c r="M111" s="666"/>
      <c r="N111" s="1122">
        <f t="shared" si="124"/>
        <v>0</v>
      </c>
      <c r="O111" s="1122"/>
      <c r="P111" s="1122"/>
      <c r="Q111" s="690"/>
      <c r="R111" s="666">
        <f t="shared" si="125"/>
        <v>0</v>
      </c>
      <c r="S111" s="665">
        <f t="shared" si="126"/>
        <v>0</v>
      </c>
      <c r="T111" s="665">
        <f t="shared" si="127"/>
        <v>0</v>
      </c>
      <c r="U111" s="666">
        <f t="shared" si="91"/>
        <v>0</v>
      </c>
      <c r="V111" s="666">
        <f t="shared" si="128"/>
        <v>0</v>
      </c>
      <c r="W111" s="665">
        <f t="shared" si="138"/>
        <v>0</v>
      </c>
      <c r="X111" s="665">
        <v>0</v>
      </c>
      <c r="Y111" s="665">
        <f t="shared" si="139"/>
        <v>0</v>
      </c>
      <c r="Z111" s="361">
        <f t="shared" si="129"/>
        <v>0</v>
      </c>
      <c r="AB111" s="362"/>
      <c r="AC111" s="363">
        <f t="shared" si="130"/>
        <v>0</v>
      </c>
      <c r="AD111" s="668" t="s">
        <v>526</v>
      </c>
      <c r="AE111" s="669">
        <f t="shared" si="131"/>
        <v>0</v>
      </c>
      <c r="AF111" s="670" t="s">
        <v>526</v>
      </c>
      <c r="AG111" s="669">
        <f t="shared" si="132"/>
        <v>0</v>
      </c>
      <c r="AH111" s="670" t="s">
        <v>526</v>
      </c>
      <c r="AI111" s="364">
        <f t="shared" si="133"/>
        <v>0</v>
      </c>
      <c r="AJ111" s="364">
        <f t="shared" si="134"/>
        <v>0</v>
      </c>
      <c r="AK111" s="364">
        <f t="shared" si="135"/>
        <v>0</v>
      </c>
      <c r="AL111" s="364">
        <f t="shared" si="136"/>
        <v>0</v>
      </c>
      <c r="AM111" s="365">
        <f t="shared" si="140"/>
        <v>0</v>
      </c>
      <c r="AN111" s="366">
        <f t="shared" si="141"/>
        <v>0</v>
      </c>
      <c r="AO111" s="367">
        <f t="shared" si="142"/>
        <v>0</v>
      </c>
      <c r="AP111" s="368">
        <v>8.7999999999999998E-5</v>
      </c>
      <c r="AQ111" s="369">
        <v>2.0000000000000002E-5</v>
      </c>
      <c r="AR111" s="370">
        <v>2.22E-4</v>
      </c>
      <c r="AS111" s="371">
        <v>3.1E-4</v>
      </c>
      <c r="AT111" s="372">
        <f t="shared" si="137"/>
        <v>0</v>
      </c>
      <c r="AV111" s="433"/>
      <c r="AW111" s="446"/>
      <c r="AX111" s="435"/>
      <c r="AY111" s="376"/>
      <c r="AZ111" s="437"/>
      <c r="BA111" s="438"/>
      <c r="BB111" s="380"/>
      <c r="BC111" s="380"/>
      <c r="BD111" s="380"/>
      <c r="BE111" s="380"/>
      <c r="BF111" s="439"/>
      <c r="BG111" s="381"/>
      <c r="BH111" s="447"/>
    </row>
    <row r="112" spans="1:61" x14ac:dyDescent="0.2">
      <c r="A112" s="1203"/>
      <c r="B112" s="385">
        <v>10</v>
      </c>
      <c r="C112" s="384"/>
      <c r="D112" s="384"/>
      <c r="E112" s="384"/>
      <c r="F112" s="681"/>
      <c r="G112" s="681"/>
      <c r="H112" s="681"/>
      <c r="I112" s="681"/>
      <c r="J112" s="688"/>
      <c r="K112" s="672">
        <v>0</v>
      </c>
      <c r="L112" s="685"/>
      <c r="M112" s="666"/>
      <c r="N112" s="1122">
        <f t="shared" si="124"/>
        <v>0</v>
      </c>
      <c r="O112" s="1122"/>
      <c r="P112" s="1122"/>
      <c r="Q112" s="690"/>
      <c r="R112" s="666">
        <f t="shared" si="125"/>
        <v>0</v>
      </c>
      <c r="S112" s="665">
        <f t="shared" si="126"/>
        <v>0</v>
      </c>
      <c r="T112" s="665">
        <f t="shared" si="127"/>
        <v>0</v>
      </c>
      <c r="U112" s="666">
        <f t="shared" si="91"/>
        <v>0</v>
      </c>
      <c r="V112" s="666">
        <f t="shared" si="128"/>
        <v>0</v>
      </c>
      <c r="W112" s="665">
        <f t="shared" si="138"/>
        <v>0</v>
      </c>
      <c r="X112" s="665">
        <v>0</v>
      </c>
      <c r="Y112" s="665">
        <f t="shared" si="139"/>
        <v>0</v>
      </c>
      <c r="Z112" s="361">
        <f t="shared" si="129"/>
        <v>0</v>
      </c>
      <c r="AB112" s="362"/>
      <c r="AC112" s="363">
        <f t="shared" si="130"/>
        <v>0</v>
      </c>
      <c r="AD112" s="668" t="s">
        <v>526</v>
      </c>
      <c r="AE112" s="669">
        <f t="shared" si="131"/>
        <v>0</v>
      </c>
      <c r="AF112" s="670" t="s">
        <v>526</v>
      </c>
      <c r="AG112" s="669">
        <f t="shared" si="132"/>
        <v>0</v>
      </c>
      <c r="AH112" s="670" t="s">
        <v>526</v>
      </c>
      <c r="AI112" s="364">
        <f t="shared" si="133"/>
        <v>0</v>
      </c>
      <c r="AJ112" s="364">
        <f t="shared" si="134"/>
        <v>0</v>
      </c>
      <c r="AK112" s="364">
        <f t="shared" si="135"/>
        <v>0</v>
      </c>
      <c r="AL112" s="364">
        <f t="shared" si="136"/>
        <v>0</v>
      </c>
      <c r="AM112" s="365">
        <f t="shared" si="140"/>
        <v>0</v>
      </c>
      <c r="AN112" s="366">
        <f t="shared" si="141"/>
        <v>0</v>
      </c>
      <c r="AO112" s="367">
        <f t="shared" si="142"/>
        <v>0</v>
      </c>
      <c r="AP112" s="368">
        <v>8.7999999999999998E-5</v>
      </c>
      <c r="AQ112" s="369">
        <v>2.0000000000000002E-5</v>
      </c>
      <c r="AR112" s="370">
        <v>2.22E-4</v>
      </c>
      <c r="AS112" s="371">
        <v>3.1E-4</v>
      </c>
      <c r="AT112" s="372">
        <f t="shared" si="137"/>
        <v>0</v>
      </c>
      <c r="AV112" s="433"/>
      <c r="AW112" s="446"/>
      <c r="AX112" s="435"/>
      <c r="AY112" s="376"/>
      <c r="AZ112" s="437"/>
      <c r="BA112" s="438"/>
      <c r="BB112" s="380"/>
      <c r="BC112" s="380"/>
      <c r="BD112" s="380"/>
      <c r="BE112" s="380"/>
      <c r="BF112" s="439"/>
      <c r="BG112" s="381"/>
      <c r="BH112" s="447"/>
    </row>
    <row r="113" spans="1:61" x14ac:dyDescent="0.2">
      <c r="A113" s="1203"/>
      <c r="B113" s="385">
        <v>11</v>
      </c>
      <c r="C113" s="384"/>
      <c r="D113" s="384"/>
      <c r="E113" s="384"/>
      <c r="F113" s="681"/>
      <c r="G113" s="681"/>
      <c r="H113" s="681"/>
      <c r="I113" s="681"/>
      <c r="J113" s="688"/>
      <c r="K113" s="672">
        <v>0</v>
      </c>
      <c r="L113" s="685"/>
      <c r="M113" s="666"/>
      <c r="N113" s="1122">
        <f t="shared" si="124"/>
        <v>0</v>
      </c>
      <c r="O113" s="1122"/>
      <c r="P113" s="1122"/>
      <c r="Q113" s="689">
        <v>0</v>
      </c>
      <c r="R113" s="666">
        <f t="shared" si="125"/>
        <v>0</v>
      </c>
      <c r="S113" s="665">
        <f t="shared" si="126"/>
        <v>0</v>
      </c>
      <c r="T113" s="665">
        <f t="shared" si="127"/>
        <v>0</v>
      </c>
      <c r="U113" s="666">
        <f t="shared" si="91"/>
        <v>0</v>
      </c>
      <c r="V113" s="666">
        <f t="shared" si="128"/>
        <v>0</v>
      </c>
      <c r="W113" s="665">
        <f t="shared" si="138"/>
        <v>0</v>
      </c>
      <c r="X113" s="665">
        <v>0</v>
      </c>
      <c r="Y113" s="665">
        <f t="shared" si="139"/>
        <v>0</v>
      </c>
      <c r="Z113" s="361">
        <f t="shared" si="129"/>
        <v>0</v>
      </c>
      <c r="AB113" s="362"/>
      <c r="AC113" s="363">
        <f t="shared" si="130"/>
        <v>0</v>
      </c>
      <c r="AD113" s="668" t="s">
        <v>526</v>
      </c>
      <c r="AE113" s="669">
        <f t="shared" si="131"/>
        <v>0</v>
      </c>
      <c r="AF113" s="670" t="s">
        <v>526</v>
      </c>
      <c r="AG113" s="669">
        <f t="shared" si="132"/>
        <v>0</v>
      </c>
      <c r="AH113" s="670" t="s">
        <v>526</v>
      </c>
      <c r="AI113" s="364">
        <f t="shared" si="133"/>
        <v>0</v>
      </c>
      <c r="AJ113" s="364">
        <f t="shared" si="134"/>
        <v>0</v>
      </c>
      <c r="AK113" s="364">
        <f t="shared" si="135"/>
        <v>0</v>
      </c>
      <c r="AL113" s="364">
        <f t="shared" si="136"/>
        <v>0</v>
      </c>
      <c r="AM113" s="365">
        <f t="shared" si="140"/>
        <v>0</v>
      </c>
      <c r="AN113" s="366">
        <f t="shared" si="141"/>
        <v>0</v>
      </c>
      <c r="AO113" s="367">
        <f t="shared" si="142"/>
        <v>0</v>
      </c>
      <c r="AP113" s="368">
        <v>8.7999999999999998E-5</v>
      </c>
      <c r="AQ113" s="369">
        <v>2.0000000000000002E-5</v>
      </c>
      <c r="AR113" s="370">
        <v>2.22E-4</v>
      </c>
      <c r="AS113" s="371">
        <v>3.1E-4</v>
      </c>
      <c r="AT113" s="372">
        <f t="shared" si="137"/>
        <v>0</v>
      </c>
      <c r="AV113" s="433"/>
      <c r="AW113" s="446"/>
      <c r="AX113" s="435"/>
      <c r="AY113" s="376"/>
      <c r="AZ113" s="437"/>
      <c r="BA113" s="438"/>
      <c r="BB113" s="380"/>
      <c r="BC113" s="380"/>
      <c r="BD113" s="380"/>
      <c r="BE113" s="380"/>
      <c r="BF113" s="439"/>
      <c r="BG113" s="381"/>
      <c r="BH113" s="447"/>
    </row>
    <row r="114" spans="1:61" x14ac:dyDescent="0.2">
      <c r="A114" s="1203"/>
      <c r="B114" s="385">
        <v>12</v>
      </c>
      <c r="C114" s="384"/>
      <c r="D114" s="384"/>
      <c r="E114" s="384"/>
      <c r="F114" s="681"/>
      <c r="G114" s="681"/>
      <c r="H114" s="681"/>
      <c r="I114" s="681"/>
      <c r="J114" s="688"/>
      <c r="K114" s="672">
        <v>0</v>
      </c>
      <c r="L114" s="685"/>
      <c r="M114" s="666"/>
      <c r="N114" s="1122">
        <f t="shared" si="124"/>
        <v>0</v>
      </c>
      <c r="O114" s="1122"/>
      <c r="P114" s="1122"/>
      <c r="Q114" s="690">
        <v>0</v>
      </c>
      <c r="R114" s="666">
        <f t="shared" si="125"/>
        <v>0</v>
      </c>
      <c r="S114" s="665">
        <f t="shared" si="126"/>
        <v>0</v>
      </c>
      <c r="T114" s="665">
        <f t="shared" si="127"/>
        <v>0</v>
      </c>
      <c r="U114" s="666">
        <f t="shared" si="91"/>
        <v>0</v>
      </c>
      <c r="V114" s="666">
        <f t="shared" si="128"/>
        <v>0</v>
      </c>
      <c r="W114" s="665">
        <f t="shared" si="138"/>
        <v>0</v>
      </c>
      <c r="X114" s="665">
        <v>0</v>
      </c>
      <c r="Y114" s="665">
        <f t="shared" si="139"/>
        <v>0</v>
      </c>
      <c r="Z114" s="361">
        <f t="shared" si="129"/>
        <v>0</v>
      </c>
      <c r="AB114" s="362"/>
      <c r="AC114" s="363">
        <f t="shared" si="130"/>
        <v>0</v>
      </c>
      <c r="AD114" s="668" t="s">
        <v>526</v>
      </c>
      <c r="AE114" s="669">
        <f t="shared" si="131"/>
        <v>0</v>
      </c>
      <c r="AF114" s="670" t="s">
        <v>526</v>
      </c>
      <c r="AG114" s="669">
        <f t="shared" si="132"/>
        <v>0</v>
      </c>
      <c r="AH114" s="670" t="s">
        <v>526</v>
      </c>
      <c r="AI114" s="364">
        <f t="shared" si="133"/>
        <v>0</v>
      </c>
      <c r="AJ114" s="364">
        <f t="shared" si="134"/>
        <v>0</v>
      </c>
      <c r="AK114" s="364">
        <f t="shared" si="135"/>
        <v>0</v>
      </c>
      <c r="AL114" s="364">
        <f t="shared" si="136"/>
        <v>0</v>
      </c>
      <c r="AM114" s="365">
        <f t="shared" si="140"/>
        <v>0</v>
      </c>
      <c r="AN114" s="366">
        <f t="shared" si="141"/>
        <v>0</v>
      </c>
      <c r="AO114" s="367">
        <f t="shared" si="142"/>
        <v>0</v>
      </c>
      <c r="AP114" s="368">
        <v>8.7999999999999998E-5</v>
      </c>
      <c r="AQ114" s="369">
        <v>2.0000000000000002E-5</v>
      </c>
      <c r="AR114" s="370">
        <v>2.22E-4</v>
      </c>
      <c r="AS114" s="371">
        <v>3.1E-4</v>
      </c>
      <c r="AT114" s="372">
        <f t="shared" si="137"/>
        <v>0</v>
      </c>
      <c r="AV114" s="433"/>
      <c r="AW114" s="446"/>
      <c r="AX114" s="435"/>
      <c r="AY114" s="376"/>
      <c r="AZ114" s="437"/>
      <c r="BA114" s="438"/>
      <c r="BB114" s="380"/>
      <c r="BC114" s="380"/>
      <c r="BD114" s="380"/>
      <c r="BE114" s="380"/>
      <c r="BF114" s="439"/>
      <c r="BG114" s="381"/>
      <c r="BH114" s="447"/>
    </row>
    <row r="115" spans="1:61" x14ac:dyDescent="0.2">
      <c r="A115" s="1203"/>
      <c r="B115" s="385">
        <v>13</v>
      </c>
      <c r="C115" s="384"/>
      <c r="D115" s="384"/>
      <c r="E115" s="384"/>
      <c r="F115" s="681"/>
      <c r="G115" s="681"/>
      <c r="H115" s="681"/>
      <c r="I115" s="681"/>
      <c r="J115" s="688"/>
      <c r="K115" s="672">
        <v>0</v>
      </c>
      <c r="L115" s="685"/>
      <c r="M115" s="666"/>
      <c r="N115" s="1122">
        <f t="shared" si="124"/>
        <v>0</v>
      </c>
      <c r="O115" s="1122"/>
      <c r="P115" s="1122"/>
      <c r="Q115" s="690">
        <v>0</v>
      </c>
      <c r="R115" s="666">
        <f t="shared" si="125"/>
        <v>0</v>
      </c>
      <c r="S115" s="665">
        <f t="shared" si="126"/>
        <v>0</v>
      </c>
      <c r="T115" s="665">
        <f t="shared" si="127"/>
        <v>0</v>
      </c>
      <c r="U115" s="666">
        <f t="shared" si="91"/>
        <v>0</v>
      </c>
      <c r="V115" s="666">
        <f t="shared" si="128"/>
        <v>0</v>
      </c>
      <c r="W115" s="665">
        <f t="shared" si="138"/>
        <v>0</v>
      </c>
      <c r="X115" s="665">
        <v>0</v>
      </c>
      <c r="Y115" s="665">
        <f t="shared" si="139"/>
        <v>0</v>
      </c>
      <c r="Z115" s="361">
        <f t="shared" si="129"/>
        <v>0</v>
      </c>
      <c r="AB115" s="362"/>
      <c r="AC115" s="363">
        <f t="shared" si="130"/>
        <v>0</v>
      </c>
      <c r="AD115" s="668" t="s">
        <v>526</v>
      </c>
      <c r="AE115" s="669">
        <f t="shared" si="131"/>
        <v>0</v>
      </c>
      <c r="AF115" s="670" t="s">
        <v>526</v>
      </c>
      <c r="AG115" s="669">
        <f t="shared" si="132"/>
        <v>0</v>
      </c>
      <c r="AH115" s="670" t="s">
        <v>526</v>
      </c>
      <c r="AI115" s="364">
        <f t="shared" si="133"/>
        <v>0</v>
      </c>
      <c r="AJ115" s="364">
        <f t="shared" si="134"/>
        <v>0</v>
      </c>
      <c r="AK115" s="364">
        <f t="shared" si="135"/>
        <v>0</v>
      </c>
      <c r="AL115" s="364">
        <f t="shared" si="136"/>
        <v>0</v>
      </c>
      <c r="AM115" s="365">
        <f t="shared" si="140"/>
        <v>0</v>
      </c>
      <c r="AN115" s="366">
        <f t="shared" si="141"/>
        <v>0</v>
      </c>
      <c r="AO115" s="367">
        <f t="shared" si="142"/>
        <v>0</v>
      </c>
      <c r="AP115" s="368">
        <v>8.7999999999999998E-5</v>
      </c>
      <c r="AQ115" s="369">
        <v>2.0000000000000002E-5</v>
      </c>
      <c r="AR115" s="370">
        <v>2.22E-4</v>
      </c>
      <c r="AS115" s="371">
        <v>3.1E-4</v>
      </c>
      <c r="AT115" s="372">
        <f t="shared" si="137"/>
        <v>0</v>
      </c>
      <c r="AV115" s="433"/>
      <c r="AW115" s="446"/>
      <c r="AX115" s="435"/>
      <c r="AY115" s="376"/>
      <c r="AZ115" s="437"/>
      <c r="BA115" s="438"/>
      <c r="BB115" s="380"/>
      <c r="BC115" s="380"/>
      <c r="BD115" s="380"/>
      <c r="BE115" s="380"/>
      <c r="BF115" s="439"/>
      <c r="BG115" s="381"/>
      <c r="BH115" s="447"/>
    </row>
    <row r="116" spans="1:61" x14ac:dyDescent="0.2">
      <c r="A116" s="1203"/>
      <c r="B116" s="385">
        <v>14</v>
      </c>
      <c r="C116" s="384"/>
      <c r="D116" s="384"/>
      <c r="E116" s="384"/>
      <c r="F116" s="681"/>
      <c r="G116" s="681"/>
      <c r="H116" s="681"/>
      <c r="I116" s="681"/>
      <c r="J116" s="688"/>
      <c r="K116" s="672">
        <v>0</v>
      </c>
      <c r="L116" s="685"/>
      <c r="M116" s="666"/>
      <c r="N116" s="1122">
        <f t="shared" si="124"/>
        <v>0</v>
      </c>
      <c r="O116" s="1122"/>
      <c r="P116" s="1122"/>
      <c r="Q116" s="689">
        <v>0</v>
      </c>
      <c r="R116" s="666">
        <f t="shared" si="125"/>
        <v>0</v>
      </c>
      <c r="S116" s="665">
        <f t="shared" si="126"/>
        <v>0</v>
      </c>
      <c r="T116" s="665">
        <f t="shared" si="127"/>
        <v>0</v>
      </c>
      <c r="U116" s="666">
        <f t="shared" si="91"/>
        <v>0</v>
      </c>
      <c r="V116" s="666">
        <f t="shared" si="128"/>
        <v>0</v>
      </c>
      <c r="W116" s="665">
        <f t="shared" si="138"/>
        <v>0</v>
      </c>
      <c r="X116" s="665">
        <v>0</v>
      </c>
      <c r="Y116" s="665">
        <f t="shared" si="139"/>
        <v>0</v>
      </c>
      <c r="Z116" s="361">
        <f t="shared" si="129"/>
        <v>0</v>
      </c>
      <c r="AB116" s="362"/>
      <c r="AC116" s="363">
        <f t="shared" si="130"/>
        <v>0</v>
      </c>
      <c r="AD116" s="668" t="s">
        <v>526</v>
      </c>
      <c r="AE116" s="669">
        <f t="shared" si="131"/>
        <v>0</v>
      </c>
      <c r="AF116" s="670" t="s">
        <v>526</v>
      </c>
      <c r="AG116" s="669">
        <f t="shared" si="132"/>
        <v>0</v>
      </c>
      <c r="AH116" s="670" t="s">
        <v>526</v>
      </c>
      <c r="AI116" s="364">
        <f t="shared" si="133"/>
        <v>0</v>
      </c>
      <c r="AJ116" s="364">
        <f t="shared" si="134"/>
        <v>0</v>
      </c>
      <c r="AK116" s="364">
        <f t="shared" si="135"/>
        <v>0</v>
      </c>
      <c r="AL116" s="364">
        <f t="shared" si="136"/>
        <v>0</v>
      </c>
      <c r="AM116" s="365">
        <f t="shared" si="140"/>
        <v>0</v>
      </c>
      <c r="AN116" s="366">
        <f t="shared" si="141"/>
        <v>0</v>
      </c>
      <c r="AO116" s="367">
        <f t="shared" si="142"/>
        <v>0</v>
      </c>
      <c r="AP116" s="368">
        <v>8.7999999999999998E-5</v>
      </c>
      <c r="AQ116" s="369">
        <v>2.0000000000000002E-5</v>
      </c>
      <c r="AR116" s="370">
        <v>2.22E-4</v>
      </c>
      <c r="AS116" s="371">
        <v>3.1E-4</v>
      </c>
      <c r="AT116" s="372">
        <f t="shared" si="137"/>
        <v>0</v>
      </c>
      <c r="AV116" s="433"/>
      <c r="AW116" s="446"/>
      <c r="AX116" s="435"/>
      <c r="AY116" s="376"/>
      <c r="AZ116" s="437"/>
      <c r="BA116" s="438"/>
      <c r="BB116" s="380"/>
      <c r="BC116" s="380"/>
      <c r="BD116" s="380"/>
      <c r="BE116" s="380"/>
      <c r="BF116" s="439"/>
      <c r="BG116" s="381"/>
      <c r="BH116" s="447"/>
    </row>
    <row r="117" spans="1:61" x14ac:dyDescent="0.2">
      <c r="A117" s="1203"/>
      <c r="B117" s="385">
        <v>15</v>
      </c>
      <c r="C117" s="384"/>
      <c r="D117" s="384"/>
      <c r="E117" s="384"/>
      <c r="F117" s="681"/>
      <c r="G117" s="681"/>
      <c r="H117" s="681"/>
      <c r="I117" s="681"/>
      <c r="J117" s="688"/>
      <c r="K117" s="672">
        <v>0</v>
      </c>
      <c r="L117" s="685"/>
      <c r="M117" s="666"/>
      <c r="N117" s="1122">
        <f t="shared" si="124"/>
        <v>0</v>
      </c>
      <c r="O117" s="1122"/>
      <c r="P117" s="1122"/>
      <c r="Q117" s="690"/>
      <c r="R117" s="666">
        <f t="shared" si="125"/>
        <v>0</v>
      </c>
      <c r="S117" s="665">
        <f t="shared" si="126"/>
        <v>0</v>
      </c>
      <c r="T117" s="665">
        <f t="shared" si="127"/>
        <v>0</v>
      </c>
      <c r="U117" s="666">
        <f t="shared" si="91"/>
        <v>0</v>
      </c>
      <c r="V117" s="666">
        <f t="shared" si="128"/>
        <v>0</v>
      </c>
      <c r="W117" s="665">
        <f t="shared" si="138"/>
        <v>0</v>
      </c>
      <c r="X117" s="665">
        <v>0</v>
      </c>
      <c r="Y117" s="665">
        <f t="shared" si="139"/>
        <v>0</v>
      </c>
      <c r="Z117" s="361">
        <f t="shared" si="129"/>
        <v>0</v>
      </c>
      <c r="AB117" s="362"/>
      <c r="AC117" s="363">
        <f t="shared" si="130"/>
        <v>0</v>
      </c>
      <c r="AD117" s="668" t="s">
        <v>526</v>
      </c>
      <c r="AE117" s="669">
        <f t="shared" si="131"/>
        <v>0</v>
      </c>
      <c r="AF117" s="670" t="s">
        <v>526</v>
      </c>
      <c r="AG117" s="669">
        <f t="shared" si="132"/>
        <v>0</v>
      </c>
      <c r="AH117" s="670" t="s">
        <v>526</v>
      </c>
      <c r="AI117" s="364">
        <f t="shared" si="133"/>
        <v>0</v>
      </c>
      <c r="AJ117" s="364">
        <f t="shared" si="134"/>
        <v>0</v>
      </c>
      <c r="AK117" s="364">
        <f t="shared" si="135"/>
        <v>0</v>
      </c>
      <c r="AL117" s="364">
        <f t="shared" si="136"/>
        <v>0</v>
      </c>
      <c r="AM117" s="365">
        <f t="shared" si="140"/>
        <v>0</v>
      </c>
      <c r="AN117" s="366">
        <f t="shared" si="141"/>
        <v>0</v>
      </c>
      <c r="AO117" s="367">
        <f t="shared" si="142"/>
        <v>0</v>
      </c>
      <c r="AP117" s="368">
        <v>8.7999999999999998E-5</v>
      </c>
      <c r="AQ117" s="369">
        <v>2.0000000000000002E-5</v>
      </c>
      <c r="AR117" s="370">
        <v>2.22E-4</v>
      </c>
      <c r="AS117" s="371">
        <v>3.1E-4</v>
      </c>
      <c r="AT117" s="372">
        <f t="shared" si="137"/>
        <v>0</v>
      </c>
      <c r="AV117" s="433"/>
      <c r="AW117" s="446"/>
      <c r="AX117" s="435"/>
      <c r="AY117" s="376"/>
      <c r="AZ117" s="437"/>
      <c r="BA117" s="438"/>
      <c r="BB117" s="380"/>
      <c r="BC117" s="380"/>
      <c r="BD117" s="380"/>
      <c r="BE117" s="380"/>
      <c r="BF117" s="439"/>
      <c r="BG117" s="381"/>
      <c r="BH117" s="447"/>
    </row>
    <row r="118" spans="1:61" x14ac:dyDescent="0.2">
      <c r="A118" s="1203"/>
      <c r="B118" s="385">
        <v>16</v>
      </c>
      <c r="C118" s="384"/>
      <c r="D118" s="384"/>
      <c r="E118" s="384"/>
      <c r="F118" s="681"/>
      <c r="G118" s="681"/>
      <c r="H118" s="681"/>
      <c r="I118" s="681"/>
      <c r="J118" s="688"/>
      <c r="K118" s="672">
        <v>0</v>
      </c>
      <c r="L118" s="685"/>
      <c r="M118" s="666"/>
      <c r="N118" s="1122">
        <f t="shared" si="124"/>
        <v>0</v>
      </c>
      <c r="O118" s="1122"/>
      <c r="P118" s="1122"/>
      <c r="Q118" s="690"/>
      <c r="R118" s="666">
        <f t="shared" si="125"/>
        <v>0</v>
      </c>
      <c r="S118" s="665">
        <f t="shared" si="126"/>
        <v>0</v>
      </c>
      <c r="T118" s="665">
        <f t="shared" si="127"/>
        <v>0</v>
      </c>
      <c r="U118" s="666">
        <f t="shared" si="91"/>
        <v>0</v>
      </c>
      <c r="V118" s="666">
        <f t="shared" si="128"/>
        <v>0</v>
      </c>
      <c r="W118" s="665">
        <f t="shared" si="138"/>
        <v>0</v>
      </c>
      <c r="X118" s="665">
        <v>0</v>
      </c>
      <c r="Y118" s="665">
        <f t="shared" si="139"/>
        <v>0</v>
      </c>
      <c r="Z118" s="361">
        <f t="shared" si="129"/>
        <v>0</v>
      </c>
      <c r="AB118" s="362"/>
      <c r="AC118" s="363">
        <f t="shared" si="130"/>
        <v>0</v>
      </c>
      <c r="AD118" s="668" t="s">
        <v>526</v>
      </c>
      <c r="AE118" s="669">
        <f t="shared" si="131"/>
        <v>0</v>
      </c>
      <c r="AF118" s="670" t="s">
        <v>526</v>
      </c>
      <c r="AG118" s="669">
        <f t="shared" si="132"/>
        <v>0</v>
      </c>
      <c r="AH118" s="670" t="s">
        <v>526</v>
      </c>
      <c r="AI118" s="364">
        <f t="shared" si="133"/>
        <v>0</v>
      </c>
      <c r="AJ118" s="364">
        <f t="shared" si="134"/>
        <v>0</v>
      </c>
      <c r="AK118" s="364">
        <f t="shared" si="135"/>
        <v>0</v>
      </c>
      <c r="AL118" s="364">
        <f t="shared" si="136"/>
        <v>0</v>
      </c>
      <c r="AM118" s="365">
        <f t="shared" si="140"/>
        <v>0</v>
      </c>
      <c r="AN118" s="366">
        <f t="shared" si="141"/>
        <v>0</v>
      </c>
      <c r="AO118" s="367">
        <f t="shared" si="142"/>
        <v>0</v>
      </c>
      <c r="AP118" s="368">
        <v>8.7999999999999998E-5</v>
      </c>
      <c r="AQ118" s="369">
        <v>2.0000000000000002E-5</v>
      </c>
      <c r="AR118" s="370">
        <v>2.22E-4</v>
      </c>
      <c r="AS118" s="371">
        <v>3.1E-4</v>
      </c>
      <c r="AT118" s="372">
        <f t="shared" si="137"/>
        <v>0</v>
      </c>
      <c r="AV118" s="433"/>
      <c r="AW118" s="446"/>
      <c r="AX118" s="435"/>
      <c r="AY118" s="376"/>
      <c r="AZ118" s="437"/>
      <c r="BA118" s="438"/>
      <c r="BB118" s="380"/>
      <c r="BC118" s="380"/>
      <c r="BD118" s="380"/>
      <c r="BE118" s="380"/>
      <c r="BF118" s="439"/>
      <c r="BG118" s="381"/>
      <c r="BH118" s="447"/>
    </row>
    <row r="119" spans="1:61" x14ac:dyDescent="0.2">
      <c r="A119" s="1203"/>
      <c r="B119" s="385"/>
      <c r="C119" s="384"/>
      <c r="D119" s="384"/>
      <c r="E119" s="384"/>
      <c r="F119" s="681"/>
      <c r="G119" s="681"/>
      <c r="H119" s="681"/>
      <c r="I119" s="681"/>
      <c r="J119" s="685"/>
      <c r="K119" s="672"/>
      <c r="L119" s="685"/>
      <c r="M119" s="666"/>
      <c r="N119" s="1122"/>
      <c r="O119" s="1122"/>
      <c r="P119" s="1122"/>
      <c r="Q119" s="690"/>
      <c r="R119" s="666">
        <f t="shared" si="125"/>
        <v>0</v>
      </c>
      <c r="S119" s="665">
        <f t="shared" si="126"/>
        <v>0</v>
      </c>
      <c r="T119" s="665">
        <f t="shared" si="127"/>
        <v>0</v>
      </c>
      <c r="U119" s="666">
        <f t="shared" si="91"/>
        <v>0</v>
      </c>
      <c r="V119" s="666">
        <f t="shared" si="128"/>
        <v>0</v>
      </c>
      <c r="W119" s="665">
        <f t="shared" si="138"/>
        <v>0</v>
      </c>
      <c r="X119" s="665">
        <v>0</v>
      </c>
      <c r="Y119" s="665">
        <f t="shared" si="139"/>
        <v>0</v>
      </c>
      <c r="Z119" s="361"/>
      <c r="AB119" s="362"/>
      <c r="AC119" s="363"/>
      <c r="AD119" s="364"/>
      <c r="AE119" s="364"/>
      <c r="AF119" s="364"/>
      <c r="AG119" s="364"/>
      <c r="AH119" s="364"/>
      <c r="AI119" s="364"/>
      <c r="AJ119" s="364"/>
      <c r="AK119" s="364"/>
      <c r="AL119" s="364"/>
      <c r="AM119" s="365"/>
      <c r="AN119" s="366"/>
      <c r="AO119" s="367"/>
      <c r="AP119" s="368"/>
      <c r="AQ119" s="369"/>
      <c r="AR119" s="370"/>
      <c r="AS119" s="371"/>
      <c r="AT119" s="372"/>
      <c r="AV119" s="433"/>
      <c r="AW119" s="446"/>
      <c r="AX119" s="435"/>
      <c r="AY119" s="376"/>
      <c r="AZ119" s="437"/>
      <c r="BA119" s="438"/>
      <c r="BB119" s="380"/>
      <c r="BC119" s="380"/>
      <c r="BD119" s="380"/>
      <c r="BE119" s="380"/>
      <c r="BF119" s="439"/>
      <c r="BG119" s="381"/>
      <c r="BH119" s="447"/>
    </row>
    <row r="120" spans="1:61" x14ac:dyDescent="0.2">
      <c r="A120" s="385"/>
      <c r="B120" s="385"/>
      <c r="C120" s="384"/>
      <c r="D120" s="384"/>
      <c r="E120" s="384"/>
      <c r="F120" s="681"/>
      <c r="G120" s="681"/>
      <c r="H120" s="681"/>
      <c r="I120" s="681"/>
      <c r="J120" s="685"/>
      <c r="K120" s="672"/>
      <c r="L120" s="685"/>
      <c r="M120" s="666"/>
      <c r="N120" s="1122">
        <f>J120*(1+K120)+L120+M120</f>
        <v>0</v>
      </c>
      <c r="O120" s="1122"/>
      <c r="P120" s="1122"/>
      <c r="Q120" s="683"/>
      <c r="R120" s="666">
        <f t="shared" si="125"/>
        <v>0</v>
      </c>
      <c r="S120" s="665">
        <f t="shared" si="126"/>
        <v>0</v>
      </c>
      <c r="T120" s="665">
        <f t="shared" si="127"/>
        <v>0</v>
      </c>
      <c r="U120" s="666">
        <f t="shared" si="91"/>
        <v>0</v>
      </c>
      <c r="V120" s="666">
        <f t="shared" si="128"/>
        <v>0</v>
      </c>
      <c r="W120" s="665">
        <f t="shared" si="138"/>
        <v>0</v>
      </c>
      <c r="X120" s="665">
        <v>0</v>
      </c>
      <c r="Y120" s="665">
        <f t="shared" si="139"/>
        <v>0</v>
      </c>
      <c r="Z120" s="361">
        <f>SUM(N120:Y120)</f>
        <v>0</v>
      </c>
      <c r="AA120" s="1202" t="s">
        <v>366</v>
      </c>
      <c r="AB120" s="362"/>
      <c r="AC120" s="363">
        <f>G120</f>
        <v>0</v>
      </c>
      <c r="AD120" s="364"/>
      <c r="AE120" s="364" t="str">
        <f>IF(ISNA(VLOOKUP(AD120,$A$226:$E$266,4,FALSE)),"0",VLOOKUP(AD120,$A$226:$E$266,4,FALSE))</f>
        <v>0</v>
      </c>
      <c r="AF120" s="364"/>
      <c r="AG120" s="364" t="str">
        <f>IF(ISNA(VLOOKUP(AF120,$A$226:$E$266,4,FALSE)),"0",VLOOKUP(AF120,$A$226:$E$266,4,FALSE))</f>
        <v>0</v>
      </c>
      <c r="AH120" s="364"/>
      <c r="AI120" s="364" t="str">
        <f>IF(ISNA(VLOOKUP(AH120,$A$226:$E$266,4,FALSE)),"0",VLOOKUP(AH120,$A$226:$E$266,4,FALSE))</f>
        <v>0</v>
      </c>
      <c r="AJ120" s="364" t="str">
        <f>IF(ISNA(VLOOKUP(AD120,$A$226:$E$266,5,FALSE)),"0",VLOOKUP(AD120,$A$226:$E$266,5,FALSE))</f>
        <v>0</v>
      </c>
      <c r="AK120" s="364" t="str">
        <f>IF(ISNA(VLOOKUP(AF120,$A$226:$E$266,5,FALSE)),"0",VLOOKUP(AF120,$A$226:$E$266,5,FALSE))</f>
        <v>0</v>
      </c>
      <c r="AL120" s="364" t="str">
        <f>IF(ISNA(VLOOKUP(AH120,$A$226:$E$259,5,FALSE)),"0",VLOOKUP(AH120,$A$226:$E$259,5,FALSE))</f>
        <v>0</v>
      </c>
      <c r="AM120" s="365">
        <f>AE120+AG120+AI120</f>
        <v>0</v>
      </c>
      <c r="AN120" s="366">
        <f>AJ120+AK120+AL120</f>
        <v>0</v>
      </c>
      <c r="AO120" s="367">
        <f>SUM(AM120:AN120)</f>
        <v>0</v>
      </c>
      <c r="AP120" s="368">
        <v>8.7999999999999998E-5</v>
      </c>
      <c r="AQ120" s="369">
        <v>2.0000000000000002E-5</v>
      </c>
      <c r="AR120" s="370">
        <v>2.22E-4</v>
      </c>
      <c r="AS120" s="371">
        <v>3.1E-4</v>
      </c>
      <c r="AT120" s="372">
        <f>SUM((J120*AP120)+(J120*AQ120)+(J120*AR120)+(J120*AS120))*12</f>
        <v>0</v>
      </c>
      <c r="AV120" s="433"/>
      <c r="AW120" s="446"/>
      <c r="AX120" s="435"/>
      <c r="AY120" s="376"/>
      <c r="AZ120" s="437"/>
      <c r="BA120" s="438"/>
      <c r="BB120" s="380"/>
      <c r="BC120" s="380"/>
      <c r="BD120" s="380"/>
      <c r="BE120" s="380"/>
      <c r="BF120" s="439"/>
      <c r="BG120" s="381"/>
      <c r="BI120" s="279" t="s">
        <v>505</v>
      </c>
    </row>
    <row r="121" spans="1:61" ht="13.5" thickBot="1" x14ac:dyDescent="0.25">
      <c r="A121" s="392"/>
      <c r="B121" s="392"/>
      <c r="C121" s="392"/>
      <c r="D121" s="392"/>
      <c r="E121" s="392"/>
      <c r="F121" s="393"/>
      <c r="G121" s="393"/>
      <c r="H121" s="393"/>
      <c r="I121" s="393"/>
      <c r="J121" s="395"/>
      <c r="K121" s="394"/>
      <c r="L121" s="395"/>
      <c r="M121" s="396"/>
      <c r="N121" s="1123"/>
      <c r="O121" s="1123"/>
      <c r="P121" s="1123"/>
      <c r="Q121" s="396"/>
      <c r="R121" s="396"/>
      <c r="S121" s="396"/>
      <c r="T121" s="396"/>
      <c r="U121" s="666">
        <f t="shared" si="91"/>
        <v>0</v>
      </c>
      <c r="V121" s="396"/>
      <c r="W121" s="396"/>
      <c r="X121" s="396"/>
      <c r="Y121" s="396"/>
      <c r="Z121" s="397"/>
      <c r="AA121" s="398">
        <f>SUM(Z104:Z120)</f>
        <v>0</v>
      </c>
      <c r="AB121" s="399"/>
      <c r="AC121" s="400"/>
      <c r="AD121" s="401"/>
      <c r="AE121" s="402"/>
      <c r="AF121" s="401"/>
      <c r="AG121" s="402"/>
      <c r="AH121" s="401"/>
      <c r="AI121" s="402"/>
      <c r="AJ121" s="402"/>
      <c r="AK121" s="402"/>
      <c r="AL121" s="402"/>
      <c r="AM121" s="403"/>
      <c r="AN121" s="404"/>
      <c r="AO121" s="405"/>
      <c r="AP121" s="406"/>
      <c r="AQ121" s="407"/>
      <c r="AR121" s="408"/>
      <c r="AS121" s="409"/>
      <c r="AT121" s="410"/>
      <c r="AU121" s="411"/>
      <c r="AV121" s="412"/>
      <c r="AW121" s="413"/>
      <c r="AX121" s="414"/>
      <c r="AY121" s="415"/>
      <c r="AZ121" s="416"/>
      <c r="BA121" s="417"/>
      <c r="BB121" s="418"/>
      <c r="BC121" s="418"/>
      <c r="BD121" s="418"/>
      <c r="BE121" s="418"/>
      <c r="BF121" s="419"/>
      <c r="BG121" s="420"/>
      <c r="BH121" s="421">
        <f>SUM(BH104:BH105)</f>
        <v>0</v>
      </c>
      <c r="BI121" s="422" t="str">
        <f>AA120</f>
        <v>Preschool</v>
      </c>
    </row>
    <row r="122" spans="1:61" x14ac:dyDescent="0.2">
      <c r="A122" s="1278" t="s">
        <v>368</v>
      </c>
      <c r="B122" s="358">
        <v>1</v>
      </c>
      <c r="C122" s="360"/>
      <c r="D122" s="360"/>
      <c r="E122" s="360"/>
      <c r="F122" s="691"/>
      <c r="G122" s="691"/>
      <c r="H122" s="691"/>
      <c r="I122" s="691"/>
      <c r="J122" s="692"/>
      <c r="K122" s="662">
        <v>0</v>
      </c>
      <c r="L122" s="692"/>
      <c r="M122" s="665"/>
      <c r="N122" s="1122">
        <f>J122*(1+K122)+L122+M122</f>
        <v>0</v>
      </c>
      <c r="O122" s="1122"/>
      <c r="P122" s="1122"/>
      <c r="Q122" s="683"/>
      <c r="R122" s="665">
        <f>N122*Q122</f>
        <v>0</v>
      </c>
      <c r="S122" s="665">
        <f>(N122-R122)*0.062</f>
        <v>0</v>
      </c>
      <c r="T122" s="665">
        <f>(N122-R122)*0.0145</f>
        <v>0</v>
      </c>
      <c r="U122" s="666">
        <f t="shared" si="91"/>
        <v>0</v>
      </c>
      <c r="V122" s="666">
        <f>IF(N122&gt;=7000,7000*0.0144,IF(N122&lt;=7000,N122*0.0144))</f>
        <v>0</v>
      </c>
      <c r="W122" s="665">
        <f>AT122</f>
        <v>0</v>
      </c>
      <c r="X122" s="665">
        <f>+AN122*6</f>
        <v>0</v>
      </c>
      <c r="Y122" s="665">
        <f>+AN122*6</f>
        <v>0</v>
      </c>
      <c r="Z122" s="693">
        <f>SUM(N122:Y122)</f>
        <v>0</v>
      </c>
      <c r="AB122" s="362"/>
      <c r="AC122" s="424">
        <f>G122</f>
        <v>0</v>
      </c>
      <c r="AD122" s="668" t="s">
        <v>526</v>
      </c>
      <c r="AE122" s="669">
        <f>IF(ISNA(VLOOKUP(AD122,$A$226:$E$266,4,FALSE)),"0",VLOOKUP(AD122,$A$226:$E$266,4,FALSE))</f>
        <v>0</v>
      </c>
      <c r="AF122" s="670" t="s">
        <v>526</v>
      </c>
      <c r="AG122" s="669">
        <f>IF(ISNA(VLOOKUP(AF122,$A$253:$E$266,4,FALSE)),"0",VLOOKUP(AF122,$A$253:$E$266,4,FALSE))</f>
        <v>0</v>
      </c>
      <c r="AH122" s="670" t="s">
        <v>526</v>
      </c>
      <c r="AI122" s="364">
        <f>IF(ISNA(VLOOKUP(AH122,$A$226:$E$266,4,FALSE)),"0",VLOOKUP(AH122,$A$226:$E$266,4,FALSE))</f>
        <v>0</v>
      </c>
      <c r="AJ122" s="451">
        <f>IF(ISNA(VLOOKUP(AD122,$A$226:$E$266,5,FALSE)),"0",VLOOKUP(AD122,$A$226:$E$266,5,FALSE))</f>
        <v>0</v>
      </c>
      <c r="AK122" s="451">
        <f>IF(ISNA(VLOOKUP(AF122,$A$226:$E$266,5,FALSE)),"0",VLOOKUP(AF122,$A$226:$E$266,5,FALSE))</f>
        <v>0</v>
      </c>
      <c r="AL122" s="451">
        <f>IF(ISNA(VLOOKUP(AH122,$A$226:$E$259,5,FALSE)),"0",VLOOKUP(AH122,$A$226:$E$259,5,FALSE))</f>
        <v>0</v>
      </c>
      <c r="AM122" s="365">
        <f>AE122+AG122+AI122</f>
        <v>0</v>
      </c>
      <c r="AN122" s="366">
        <f>AJ122+AK122+AL122</f>
        <v>0</v>
      </c>
      <c r="AO122" s="367">
        <f>SUM(AM122:AN122)</f>
        <v>0</v>
      </c>
      <c r="AP122" s="428">
        <v>8.7999999999999998E-5</v>
      </c>
      <c r="AQ122" s="429">
        <v>2.0000000000000002E-5</v>
      </c>
      <c r="AR122" s="430">
        <v>2.22E-4</v>
      </c>
      <c r="AS122" s="431">
        <v>3.1E-4</v>
      </c>
      <c r="AT122" s="372">
        <f>SUM((J122*AP122)+(J122*AQ122)+(J122*AR122)+(J122*AS122))*12</f>
        <v>0</v>
      </c>
      <c r="AV122" s="433"/>
      <c r="AW122" s="446"/>
      <c r="AX122" s="435"/>
      <c r="AY122" s="436"/>
      <c r="AZ122" s="437"/>
      <c r="BA122" s="438"/>
      <c r="BB122" s="380"/>
      <c r="BC122" s="380"/>
      <c r="BD122" s="380"/>
      <c r="BE122" s="380"/>
      <c r="BF122" s="439"/>
      <c r="BG122" s="381"/>
      <c r="BH122" s="447">
        <f>SUM(BC122:BC124)</f>
        <v>0</v>
      </c>
      <c r="BI122" s="279" t="s">
        <v>527</v>
      </c>
    </row>
    <row r="123" spans="1:61" x14ac:dyDescent="0.2">
      <c r="A123" s="1288"/>
      <c r="B123" s="385">
        <v>2</v>
      </c>
      <c r="C123" s="384"/>
      <c r="D123" s="384"/>
      <c r="E123" s="384"/>
      <c r="F123" s="681"/>
      <c r="G123" s="681"/>
      <c r="H123" s="681"/>
      <c r="I123" s="681"/>
      <c r="J123" s="685"/>
      <c r="K123" s="672">
        <v>0</v>
      </c>
      <c r="L123" s="685"/>
      <c r="M123" s="666"/>
      <c r="N123" s="1122">
        <f>J123*(1+K123)+L123+M123</f>
        <v>0</v>
      </c>
      <c r="O123" s="1122"/>
      <c r="P123" s="1122"/>
      <c r="Q123" s="683"/>
      <c r="R123" s="665">
        <f>N123*Q123</f>
        <v>0</v>
      </c>
      <c r="S123" s="665">
        <f>(N123-R123)*0.062</f>
        <v>0</v>
      </c>
      <c r="T123" s="665">
        <f>(N123-R123)*0.0145</f>
        <v>0</v>
      </c>
      <c r="U123" s="666">
        <f t="shared" si="91"/>
        <v>0</v>
      </c>
      <c r="V123" s="666">
        <f>IF(N123&gt;=7000,7000*0.0144,IF(N123&lt;=7000,N123*0.0144))</f>
        <v>0</v>
      </c>
      <c r="W123" s="665">
        <f>AT123</f>
        <v>0</v>
      </c>
      <c r="X123" s="665">
        <f>+AN123*6</f>
        <v>0</v>
      </c>
      <c r="Y123" s="665">
        <f>+AN123*6</f>
        <v>0</v>
      </c>
      <c r="Z123" s="361">
        <f>SUM(N123:Y123)</f>
        <v>0</v>
      </c>
      <c r="AB123" s="362"/>
      <c r="AC123" s="363">
        <f>G123</f>
        <v>0</v>
      </c>
      <c r="AD123" s="668" t="s">
        <v>526</v>
      </c>
      <c r="AE123" s="669">
        <f>IF(ISNA(VLOOKUP(AD123,$A$226:$E$266,4,FALSE)),"0",VLOOKUP(AD123,$A$226:$E$266,4,FALSE))</f>
        <v>0</v>
      </c>
      <c r="AF123" s="670" t="s">
        <v>526</v>
      </c>
      <c r="AG123" s="669">
        <f>IF(ISNA(VLOOKUP(AF123,$A$253:$E$266,4,FALSE)),"0",VLOOKUP(AF123,$A$253:$E$266,4,FALSE))</f>
        <v>0</v>
      </c>
      <c r="AH123" s="670" t="s">
        <v>526</v>
      </c>
      <c r="AI123" s="364">
        <f>IF(ISNA(VLOOKUP(AH123,$A$226:$E$266,4,FALSE)),"0",VLOOKUP(AH123,$A$226:$E$266,4,FALSE))</f>
        <v>0</v>
      </c>
      <c r="AJ123" s="364">
        <f>IF(ISNA(VLOOKUP(AD123,$A$226:$E$266,5,FALSE)),"0",VLOOKUP(AD123,$A$226:$E$266,5,FALSE))</f>
        <v>0</v>
      </c>
      <c r="AK123" s="364">
        <f>IF(ISNA(VLOOKUP(AF123,$A$226:$E$266,5,FALSE)),"0",VLOOKUP(AF123,$A$226:$E$266,5,FALSE))</f>
        <v>0</v>
      </c>
      <c r="AL123" s="364">
        <f>IF(ISNA(VLOOKUP(AH123,$A$226:$E$259,5,FALSE)),"0",VLOOKUP(AH123,$A$226:$E$259,5,FALSE))</f>
        <v>0</v>
      </c>
      <c r="AM123" s="365">
        <f>AE123+AG123+AI123</f>
        <v>0</v>
      </c>
      <c r="AN123" s="366">
        <f>AJ123+AK123+AL123</f>
        <v>0</v>
      </c>
      <c r="AO123" s="367">
        <f>SUM(AM123:AN123)</f>
        <v>0</v>
      </c>
      <c r="AP123" s="368">
        <v>8.7999999999999998E-5</v>
      </c>
      <c r="AQ123" s="369">
        <v>2.0000000000000002E-5</v>
      </c>
      <c r="AR123" s="370">
        <v>2.22E-4</v>
      </c>
      <c r="AS123" s="371">
        <v>3.1E-4</v>
      </c>
      <c r="AT123" s="372">
        <f>SUM((J123*AP123)+(J123*AQ123)+(J123*AR123)+(J123*AS123))*12</f>
        <v>0</v>
      </c>
      <c r="AV123" s="433"/>
      <c r="AW123" s="446"/>
      <c r="AX123" s="435"/>
      <c r="AY123" s="376"/>
      <c r="AZ123" s="437"/>
      <c r="BA123" s="438"/>
      <c r="BB123" s="380"/>
      <c r="BC123" s="380"/>
      <c r="BD123" s="380"/>
      <c r="BE123" s="380"/>
      <c r="BF123" s="439"/>
      <c r="BG123" s="381"/>
      <c r="BH123" s="447">
        <f>SUM(BE122:BE124)</f>
        <v>0</v>
      </c>
      <c r="BI123" s="279" t="s">
        <v>504</v>
      </c>
    </row>
    <row r="124" spans="1:61" x14ac:dyDescent="0.2">
      <c r="A124" s="385"/>
      <c r="B124" s="385">
        <v>3</v>
      </c>
      <c r="C124" s="384"/>
      <c r="D124" s="384"/>
      <c r="E124" s="384"/>
      <c r="F124" s="681"/>
      <c r="G124" s="681"/>
      <c r="H124" s="681"/>
      <c r="I124" s="681"/>
      <c r="J124" s="685"/>
      <c r="K124" s="672">
        <v>0</v>
      </c>
      <c r="L124" s="685"/>
      <c r="M124" s="666"/>
      <c r="N124" s="1122">
        <f>J124*(1+K124)+L124+M124</f>
        <v>0</v>
      </c>
      <c r="O124" s="1122"/>
      <c r="P124" s="1122"/>
      <c r="Q124" s="683"/>
      <c r="R124" s="665">
        <f>N124*Q124</f>
        <v>0</v>
      </c>
      <c r="S124" s="665">
        <f>(N124-R124)*0.062</f>
        <v>0</v>
      </c>
      <c r="T124" s="665">
        <f>(N124-R124)*0.0145</f>
        <v>0</v>
      </c>
      <c r="U124" s="666">
        <f t="shared" si="91"/>
        <v>0</v>
      </c>
      <c r="V124" s="666">
        <f>IF(N124&gt;=7000,7000*0.0144,IF(N124&lt;=7000,N124*0.0144))</f>
        <v>0</v>
      </c>
      <c r="W124" s="665">
        <f>AT124</f>
        <v>0</v>
      </c>
      <c r="X124" s="665">
        <f>+AN124*6</f>
        <v>0</v>
      </c>
      <c r="Y124" s="665">
        <f>+AN124*6</f>
        <v>0</v>
      </c>
      <c r="Z124" s="361">
        <f>SUM(N124:Y124)</f>
        <v>0</v>
      </c>
      <c r="AA124" s="1202" t="s">
        <v>368</v>
      </c>
      <c r="AB124" s="362"/>
      <c r="AC124" s="363">
        <f>G124</f>
        <v>0</v>
      </c>
      <c r="AD124" s="668" t="s">
        <v>526</v>
      </c>
      <c r="AE124" s="669">
        <f>IF(ISNA(VLOOKUP(AD124,$A$226:$E$266,4,FALSE)),"0",VLOOKUP(AD124,$A$226:$E$266,4,FALSE))</f>
        <v>0</v>
      </c>
      <c r="AF124" s="670" t="s">
        <v>526</v>
      </c>
      <c r="AG124" s="669">
        <f>IF(ISNA(VLOOKUP(AF124,$A$253:$E$266,4,FALSE)),"0",VLOOKUP(AF124,$A$253:$E$266,4,FALSE))</f>
        <v>0</v>
      </c>
      <c r="AH124" s="670" t="s">
        <v>526</v>
      </c>
      <c r="AI124" s="364">
        <f>IF(ISNA(VLOOKUP(AH124,$A$226:$E$266,4,FALSE)),"0",VLOOKUP(AH124,$A$226:$E$266,4,FALSE))</f>
        <v>0</v>
      </c>
      <c r="AJ124" s="364">
        <f>IF(ISNA(VLOOKUP(AD124,$A$226:$E$266,5,FALSE)),"0",VLOOKUP(AD124,$A$226:$E$266,5,FALSE))</f>
        <v>0</v>
      </c>
      <c r="AK124" s="364">
        <f>IF(ISNA(VLOOKUP(AF124,$A$226:$E$266,5,FALSE)),"0",VLOOKUP(AF124,$A$226:$E$266,5,FALSE))</f>
        <v>0</v>
      </c>
      <c r="AL124" s="364">
        <f>IF(ISNA(VLOOKUP(AH124,$A$226:$E$259,5,FALSE)),"0",VLOOKUP(AH124,$A$226:$E$259,5,FALSE))</f>
        <v>0</v>
      </c>
      <c r="AM124" s="365">
        <f>AE124+AG124+AI124</f>
        <v>0</v>
      </c>
      <c r="AN124" s="366">
        <f>AJ124+AK124+AL124</f>
        <v>0</v>
      </c>
      <c r="AO124" s="367">
        <f>SUM(AM124:AN124)</f>
        <v>0</v>
      </c>
      <c r="AP124" s="368">
        <v>8.7999999999999998E-5</v>
      </c>
      <c r="AQ124" s="369">
        <v>2.0000000000000002E-5</v>
      </c>
      <c r="AR124" s="370">
        <v>2.22E-4</v>
      </c>
      <c r="AS124" s="371">
        <v>3.1E-4</v>
      </c>
      <c r="AT124" s="372">
        <f>SUM((J124*AP124)+(J124*AQ124)+(J124*AR124)+(J124*AS124))*12</f>
        <v>0</v>
      </c>
      <c r="AV124" s="433"/>
      <c r="AW124" s="446"/>
      <c r="AX124" s="435"/>
      <c r="AY124" s="376"/>
      <c r="AZ124" s="437"/>
      <c r="BA124" s="438"/>
      <c r="BB124" s="380"/>
      <c r="BC124" s="380"/>
      <c r="BD124" s="380"/>
      <c r="BE124" s="380"/>
      <c r="BF124" s="439"/>
      <c r="BG124" s="381"/>
      <c r="BI124" s="279" t="s">
        <v>505</v>
      </c>
    </row>
    <row r="125" spans="1:61" ht="13.5" thickBot="1" x14ac:dyDescent="0.25">
      <c r="A125" s="392"/>
      <c r="B125" s="392"/>
      <c r="C125" s="392"/>
      <c r="D125" s="392"/>
      <c r="E125" s="392"/>
      <c r="F125" s="393"/>
      <c r="G125" s="393"/>
      <c r="H125" s="393"/>
      <c r="I125" s="393"/>
      <c r="J125" s="395"/>
      <c r="K125" s="394"/>
      <c r="L125" s="395"/>
      <c r="M125" s="396"/>
      <c r="N125" s="1123"/>
      <c r="O125" s="1123"/>
      <c r="P125" s="1123"/>
      <c r="Q125" s="396"/>
      <c r="R125" s="396"/>
      <c r="S125" s="396"/>
      <c r="T125" s="396"/>
      <c r="U125" s="666">
        <f t="shared" si="91"/>
        <v>0</v>
      </c>
      <c r="V125" s="396"/>
      <c r="W125" s="396"/>
      <c r="X125" s="396"/>
      <c r="Y125" s="396"/>
      <c r="Z125" s="397"/>
      <c r="AA125" s="398">
        <f>SUM(Z122:Z124)</f>
        <v>0</v>
      </c>
      <c r="AB125" s="399"/>
      <c r="AC125" s="400"/>
      <c r="AD125" s="401"/>
      <c r="AE125" s="402"/>
      <c r="AF125" s="401"/>
      <c r="AG125" s="402"/>
      <c r="AH125" s="401"/>
      <c r="AI125" s="402"/>
      <c r="AJ125" s="402"/>
      <c r="AK125" s="402"/>
      <c r="AL125" s="402"/>
      <c r="AM125" s="403"/>
      <c r="AN125" s="404"/>
      <c r="AO125" s="405"/>
      <c r="AP125" s="406"/>
      <c r="AQ125" s="407"/>
      <c r="AR125" s="408"/>
      <c r="AS125" s="409"/>
      <c r="AT125" s="410"/>
      <c r="AU125" s="411"/>
      <c r="AV125" s="412"/>
      <c r="AW125" s="413"/>
      <c r="AX125" s="414"/>
      <c r="AY125" s="415"/>
      <c r="AZ125" s="416"/>
      <c r="BA125" s="417"/>
      <c r="BB125" s="418"/>
      <c r="BC125" s="418"/>
      <c r="BD125" s="418"/>
      <c r="BE125" s="418"/>
      <c r="BF125" s="419"/>
      <c r="BG125" s="420"/>
      <c r="BH125" s="421">
        <f>SUM(BH122:BH123)</f>
        <v>0</v>
      </c>
      <c r="BI125" s="422" t="str">
        <f>AA124</f>
        <v>Instructional Speech</v>
      </c>
    </row>
    <row r="126" spans="1:61" ht="12.75" customHeight="1" x14ac:dyDescent="0.2">
      <c r="A126" s="1277" t="s">
        <v>536</v>
      </c>
      <c r="B126" s="358">
        <v>1</v>
      </c>
      <c r="C126" s="359"/>
      <c r="D126" s="359"/>
      <c r="E126" s="360"/>
      <c r="F126" s="681"/>
      <c r="G126" s="681"/>
      <c r="H126" s="691"/>
      <c r="I126" s="691"/>
      <c r="J126" s="692"/>
      <c r="K126" s="672">
        <v>0</v>
      </c>
      <c r="L126" s="685"/>
      <c r="M126" s="666"/>
      <c r="N126" s="1122">
        <f>J126*(1+K126)+L126+M126</f>
        <v>0</v>
      </c>
      <c r="O126" s="1122"/>
      <c r="P126" s="1122"/>
      <c r="Q126" s="667">
        <v>0</v>
      </c>
      <c r="R126" s="665">
        <f>N126*Q126</f>
        <v>0</v>
      </c>
      <c r="S126" s="665">
        <f>(N126-R126)*0.062</f>
        <v>0</v>
      </c>
      <c r="T126" s="665">
        <f>(N126-R126)*0.0145</f>
        <v>0</v>
      </c>
      <c r="U126" s="666">
        <f t="shared" si="91"/>
        <v>0</v>
      </c>
      <c r="V126" s="666">
        <f>IF(N126&gt;=7000,7000*0.0144,IF(N126&lt;=7000,N126*0.0144))</f>
        <v>0</v>
      </c>
      <c r="W126" s="665">
        <f>AT126</f>
        <v>0</v>
      </c>
      <c r="X126" s="665">
        <f>+AN126*6</f>
        <v>0</v>
      </c>
      <c r="Y126" s="665">
        <f>+AN126*6</f>
        <v>0</v>
      </c>
      <c r="Z126" s="361">
        <f>SUM(N126:Y126)</f>
        <v>0</v>
      </c>
      <c r="AB126" s="362"/>
      <c r="AC126" s="424">
        <f>G126</f>
        <v>0</v>
      </c>
      <c r="AD126" s="668" t="s">
        <v>526</v>
      </c>
      <c r="AE126" s="669">
        <f>IF(ISNA(VLOOKUP(AD126,$A$226:$E$266,4,FALSE)),"0",VLOOKUP(AD126,$A$226:$E$266,4,FALSE))</f>
        <v>0</v>
      </c>
      <c r="AF126" s="670" t="s">
        <v>526</v>
      </c>
      <c r="AG126" s="669">
        <f>IF(ISNA(VLOOKUP(AF126,$A$253:$E$266,4,FALSE)),"0",VLOOKUP(AF126,$A$253:$E$266,4,FALSE))</f>
        <v>0</v>
      </c>
      <c r="AH126" s="670" t="s">
        <v>526</v>
      </c>
      <c r="AI126" s="364">
        <f>IF(ISNA(VLOOKUP(AH126,$A$226:$E$266,4,FALSE)),"0",VLOOKUP(AH126,$A$226:$E$266,4,FALSE))</f>
        <v>0</v>
      </c>
      <c r="AJ126" s="364">
        <f>IF(ISNA(VLOOKUP(AD126,$A$226:$E$266,5,FALSE)),"0",VLOOKUP(AD126,$A$226:$E$266,5,FALSE))</f>
        <v>0</v>
      </c>
      <c r="AK126" s="364">
        <f>IF(ISNA(VLOOKUP(AF126,$A$226:$E$266,5,FALSE)),"0",VLOOKUP(AF126,$A$226:$E$266,5,FALSE))</f>
        <v>0</v>
      </c>
      <c r="AL126" s="364">
        <f>IF(ISNA(VLOOKUP(AH126,$A$226:$E$259,5,FALSE)),"0",VLOOKUP(AH126,$A$226:$E$259,5,FALSE))</f>
        <v>0</v>
      </c>
      <c r="AM126" s="365">
        <f>AE126+AG126+AI126</f>
        <v>0</v>
      </c>
      <c r="AN126" s="366">
        <f>AJ126+AK126+AL126</f>
        <v>0</v>
      </c>
      <c r="AO126" s="367">
        <f>SUM(AM126:AN126)</f>
        <v>0</v>
      </c>
      <c r="AP126" s="428">
        <v>8.7999999999999998E-5</v>
      </c>
      <c r="AQ126" s="429">
        <v>2.0000000000000002E-5</v>
      </c>
      <c r="AR126" s="430">
        <v>2.22E-4</v>
      </c>
      <c r="AS126" s="431">
        <v>3.1E-4</v>
      </c>
      <c r="AT126" s="372">
        <f>SUM((J126*AP126)+(J126*AQ126)+(J126*AR126)+(J126*AS126))*12</f>
        <v>0</v>
      </c>
      <c r="AV126" s="433">
        <f>J126</f>
        <v>0</v>
      </c>
      <c r="AW126" s="446">
        <f>NETWORKDAYS(C126,D126)</f>
        <v>0</v>
      </c>
      <c r="AX126" s="435" t="str">
        <f>IF(ISERROR(AV126/AW126),"",(AV126/AW126))</f>
        <v/>
      </c>
      <c r="AY126" s="376">
        <v>41820</v>
      </c>
      <c r="AZ126" s="437">
        <f>NETWORKDAYS(AY126,D126)</f>
        <v>-29871</v>
      </c>
      <c r="BA126" s="438">
        <f>AW126-AZ126</f>
        <v>29871</v>
      </c>
      <c r="BB126" s="380" t="str">
        <f>IF(ISERROR(BA126*AX126),"",(BA126*AX126))</f>
        <v/>
      </c>
      <c r="BC126" s="380" t="str">
        <f>IF(ISERROR(AZ126*AX126),"",(AZ126*AX126))</f>
        <v/>
      </c>
      <c r="BD126" s="380">
        <f>IF(ISERROR(SUM(BB126:BC126)),"",((SUM(BB126:BC126))))</f>
        <v>0</v>
      </c>
      <c r="BE126" s="380" t="str">
        <f>IF(ISERROR(BC126*7.65%),"",((BC126*7.65%)))</f>
        <v/>
      </c>
      <c r="BF126" s="380" t="str">
        <f>IF(ISERROR(BC126*21.17%),"",((BC126*21.17%)))</f>
        <v/>
      </c>
      <c r="BG126" s="381" t="e">
        <f>SUM(BE126:BF126)+BC126</f>
        <v>#VALUE!</v>
      </c>
      <c r="BH126" s="447">
        <f>SUM(BC126:BC128)</f>
        <v>0</v>
      </c>
      <c r="BI126" s="279" t="s">
        <v>527</v>
      </c>
    </row>
    <row r="127" spans="1:61" x14ac:dyDescent="0.2">
      <c r="A127" s="1278"/>
      <c r="B127" s="358">
        <v>2</v>
      </c>
      <c r="C127" s="359"/>
      <c r="D127" s="359"/>
      <c r="E127" s="360"/>
      <c r="F127" s="681"/>
      <c r="G127" s="681"/>
      <c r="H127" s="691"/>
      <c r="I127" s="691"/>
      <c r="J127" s="694"/>
      <c r="K127" s="672">
        <v>0</v>
      </c>
      <c r="L127" s="685"/>
      <c r="M127" s="666"/>
      <c r="N127" s="1122"/>
      <c r="O127" s="1122"/>
      <c r="P127" s="1122"/>
      <c r="Q127" s="667"/>
      <c r="R127" s="665">
        <f>N127*Q127</f>
        <v>0</v>
      </c>
      <c r="S127" s="665">
        <f>(N127-R127)*0.062</f>
        <v>0</v>
      </c>
      <c r="T127" s="665">
        <f>(N127-R127)*0.0145</f>
        <v>0</v>
      </c>
      <c r="U127" s="666">
        <f t="shared" si="91"/>
        <v>0</v>
      </c>
      <c r="V127" s="666">
        <f>IF(N127&gt;=7000,7000*0.0144,IF(N127&lt;=7000,N127*0.0144))</f>
        <v>0</v>
      </c>
      <c r="W127" s="665">
        <f>AT127</f>
        <v>0</v>
      </c>
      <c r="X127" s="665">
        <f>+AN127*6</f>
        <v>0</v>
      </c>
      <c r="Y127" s="665">
        <f>+AN127*6</f>
        <v>0</v>
      </c>
      <c r="Z127" s="361"/>
      <c r="AB127" s="362"/>
      <c r="AC127" s="424">
        <f>G127</f>
        <v>0</v>
      </c>
      <c r="AD127" s="668" t="s">
        <v>526</v>
      </c>
      <c r="AE127" s="669">
        <f>IF(ISNA(VLOOKUP(AD127,$A$226:$E$266,4,FALSE)),"0",VLOOKUP(AD127,$A$226:$E$266,4,FALSE))</f>
        <v>0</v>
      </c>
      <c r="AF127" s="670" t="s">
        <v>526</v>
      </c>
      <c r="AG127" s="669">
        <f>IF(ISNA(VLOOKUP(AF127,$A$253:$E$266,4,FALSE)),"0",VLOOKUP(AF127,$A$253:$E$266,4,FALSE))</f>
        <v>0</v>
      </c>
      <c r="AH127" s="670" t="s">
        <v>526</v>
      </c>
      <c r="AI127" s="364">
        <f>IF(ISNA(VLOOKUP(AH127,$A$226:$E$266,4,FALSE)),"0",VLOOKUP(AH127,$A$226:$E$266,4,FALSE))</f>
        <v>0</v>
      </c>
      <c r="AJ127" s="364">
        <f>IF(ISNA(VLOOKUP(AD127,$A$226:$E$266,5,FALSE)),"0",VLOOKUP(AD127,$A$226:$E$266,5,FALSE))</f>
        <v>0</v>
      </c>
      <c r="AK127" s="364">
        <f>IF(ISNA(VLOOKUP(AF127,$A$226:$E$266,5,FALSE)),"0",VLOOKUP(AF127,$A$226:$E$266,5,FALSE))</f>
        <v>0</v>
      </c>
      <c r="AL127" s="364">
        <f>IF(ISNA(VLOOKUP(AH127,$A$226:$E$259,5,FALSE)),"0",VLOOKUP(AH127,$A$226:$E$259,5,FALSE))</f>
        <v>0</v>
      </c>
      <c r="AM127" s="365">
        <f>AE127+AG127+AI127</f>
        <v>0</v>
      </c>
      <c r="AN127" s="366">
        <f>AJ127+AK127+AL127</f>
        <v>0</v>
      </c>
      <c r="AO127" s="367">
        <f>SUM(AM127:AN127)</f>
        <v>0</v>
      </c>
      <c r="AP127" s="428">
        <v>8.7999999999999998E-5</v>
      </c>
      <c r="AQ127" s="429">
        <v>2.0000000000000002E-5</v>
      </c>
      <c r="AR127" s="430">
        <v>2.22E-4</v>
      </c>
      <c r="AS127" s="431">
        <v>3.1E-4</v>
      </c>
      <c r="AT127" s="372">
        <f>SUM((J127*AP127)+(J127*AQ127)+(J127*AR127)+(J127*AS127))*12</f>
        <v>0</v>
      </c>
      <c r="AV127" s="433">
        <f>J127</f>
        <v>0</v>
      </c>
      <c r="AW127" s="446">
        <f>NETWORKDAYS(C127,D127)</f>
        <v>0</v>
      </c>
      <c r="AX127" s="435" t="str">
        <f>IF(ISERROR(AV127/AW127),"",(AV127/AW127))</f>
        <v/>
      </c>
      <c r="AY127" s="376">
        <v>41821</v>
      </c>
      <c r="AZ127" s="437">
        <f>NETWORKDAYS(AY127,D127)</f>
        <v>-29872</v>
      </c>
      <c r="BA127" s="438">
        <f>AW127-AZ127</f>
        <v>29872</v>
      </c>
      <c r="BB127" s="380" t="str">
        <f>IF(ISERROR(BA127*AX127),"",(BA127*AX127))</f>
        <v/>
      </c>
      <c r="BC127" s="380" t="str">
        <f>IF(ISERROR(AZ127*AX127),"",(AZ127*AX127))</f>
        <v/>
      </c>
      <c r="BD127" s="380">
        <f>IF(ISERROR(SUM(BB127:BC127)),"",((SUM(BB127:BC127))))</f>
        <v>0</v>
      </c>
      <c r="BE127" s="380" t="str">
        <f>IF(ISERROR(BC127*7.65%),"",((BC127*7.65%)))</f>
        <v/>
      </c>
      <c r="BF127" s="380" t="str">
        <f>IF(ISERROR(BC127*21.17%),"",((BC127*21.17%)))</f>
        <v/>
      </c>
      <c r="BG127" s="381" t="e">
        <f>SUM(BE127:BF127)+BC127</f>
        <v>#VALUE!</v>
      </c>
      <c r="BH127" s="447">
        <f>SUM(BE126:BE128)</f>
        <v>0</v>
      </c>
      <c r="BI127" s="279" t="s">
        <v>504</v>
      </c>
    </row>
    <row r="128" spans="1:61" x14ac:dyDescent="0.2">
      <c r="A128" s="452"/>
      <c r="B128" s="385"/>
      <c r="C128" s="384"/>
      <c r="D128" s="384"/>
      <c r="E128" s="384"/>
      <c r="F128" s="681"/>
      <c r="G128" s="681"/>
      <c r="H128" s="681"/>
      <c r="I128" s="681"/>
      <c r="J128" s="685"/>
      <c r="K128" s="672">
        <v>0</v>
      </c>
      <c r="L128" s="685"/>
      <c r="M128" s="666"/>
      <c r="N128" s="1122">
        <f>J128*(1+K128)+L128+M128</f>
        <v>0</v>
      </c>
      <c r="O128" s="1122"/>
      <c r="P128" s="1122"/>
      <c r="Q128" s="683"/>
      <c r="R128" s="665">
        <f>N128*Q128</f>
        <v>0</v>
      </c>
      <c r="S128" s="665">
        <f>(N128-R128)*0.062</f>
        <v>0</v>
      </c>
      <c r="T128" s="665">
        <f>(N128-R128)*0.0145</f>
        <v>0</v>
      </c>
      <c r="U128" s="666">
        <f t="shared" si="91"/>
        <v>0</v>
      </c>
      <c r="V128" s="666">
        <f>IF(N128&gt;=7000,7000*0.0144,IF(N128&lt;=7000,N128*0.0144))</f>
        <v>0</v>
      </c>
      <c r="W128" s="665">
        <f>AT128</f>
        <v>0</v>
      </c>
      <c r="X128" s="665">
        <f>+AN128*6</f>
        <v>0</v>
      </c>
      <c r="Y128" s="665">
        <f>+AN128*6</f>
        <v>0</v>
      </c>
      <c r="Z128" s="361">
        <f>SUM(N128:Y128)</f>
        <v>0</v>
      </c>
      <c r="AA128" s="453" t="s">
        <v>536</v>
      </c>
      <c r="AB128" s="362"/>
      <c r="AC128" s="363">
        <f>G128</f>
        <v>0</v>
      </c>
      <c r="AD128" s="668" t="s">
        <v>526</v>
      </c>
      <c r="AE128" s="669">
        <f>IF(ISNA(VLOOKUP(AD128,$A$226:$E$266,4,FALSE)),"0",VLOOKUP(AD128,$A$226:$E$266,4,FALSE))</f>
        <v>0</v>
      </c>
      <c r="AF128" s="670" t="s">
        <v>526</v>
      </c>
      <c r="AG128" s="669">
        <f>IF(ISNA(VLOOKUP(AF128,$A$253:$E$266,4,FALSE)),"0",VLOOKUP(AF128,$A$253:$E$266,4,FALSE))</f>
        <v>0</v>
      </c>
      <c r="AH128" s="670" t="s">
        <v>526</v>
      </c>
      <c r="AI128" s="364">
        <f>IF(ISNA(VLOOKUP(AH128,$A$226:$E$266,4,FALSE)),"0",VLOOKUP(AH128,$A$226:$E$266,4,FALSE))</f>
        <v>0</v>
      </c>
      <c r="AJ128" s="364">
        <f>IF(ISNA(VLOOKUP(AD128,$A$226:$E$266,5,FALSE)),"0",VLOOKUP(AD128,$A$226:$E$266,5,FALSE))</f>
        <v>0</v>
      </c>
      <c r="AK128" s="364">
        <f>IF(ISNA(VLOOKUP(AF128,$A$226:$E$266,5,FALSE)),"0",VLOOKUP(AF128,$A$226:$E$266,5,FALSE))</f>
        <v>0</v>
      </c>
      <c r="AL128" s="364">
        <f>IF(ISNA(VLOOKUP(AH128,$A$226:$E$259,5,FALSE)),"0",VLOOKUP(AH128,$A$226:$E$259,5,FALSE))</f>
        <v>0</v>
      </c>
      <c r="AM128" s="365">
        <f>AE128+AG128+AI128</f>
        <v>0</v>
      </c>
      <c r="AN128" s="366">
        <f>AJ128+AK128+AL128</f>
        <v>0</v>
      </c>
      <c r="AO128" s="367">
        <f>SUM(AM128:AN128)</f>
        <v>0</v>
      </c>
      <c r="AP128" s="368">
        <v>8.7999999999999998E-5</v>
      </c>
      <c r="AQ128" s="369">
        <v>2.0000000000000002E-5</v>
      </c>
      <c r="AR128" s="370">
        <v>2.22E-4</v>
      </c>
      <c r="AS128" s="371">
        <v>3.1E-4</v>
      </c>
      <c r="AT128" s="372">
        <f>SUM((J128*AP128)+(J128*AQ128)+(J128*AR128)+(J128*AS128))*12</f>
        <v>0</v>
      </c>
      <c r="AV128" s="433">
        <f>J128</f>
        <v>0</v>
      </c>
      <c r="AW128" s="446">
        <f>NETWORKDAYS(C128,D128)</f>
        <v>0</v>
      </c>
      <c r="AX128" s="435" t="str">
        <f>IF(ISERROR(AV128/AW128),"",(AV128/AW128))</f>
        <v/>
      </c>
      <c r="AY128" s="376">
        <v>41820</v>
      </c>
      <c r="AZ128" s="437">
        <f>NETWORKDAYS(AY128,D128)</f>
        <v>-29871</v>
      </c>
      <c r="BA128" s="438">
        <f>AW128-AZ128</f>
        <v>29871</v>
      </c>
      <c r="BB128" s="380" t="str">
        <f>IF(ISERROR(BA128*AX128),"",(BA128*AX128))</f>
        <v/>
      </c>
      <c r="BC128" s="380" t="str">
        <f>IF(ISERROR(AZ128*AX128),"",(AZ128*AX128))</f>
        <v/>
      </c>
      <c r="BD128" s="380">
        <f>IF(ISERROR(SUM(BB128:BC128)),"",((SUM(BB128:BC128))))</f>
        <v>0</v>
      </c>
      <c r="BE128" s="380" t="str">
        <f>IF(ISERROR(BC128*7.65%),"",((BC128*7.65%)))</f>
        <v/>
      </c>
      <c r="BF128" s="439"/>
      <c r="BG128" s="381" t="str">
        <f>IF(ISERROR(BC128+SUM(BE128:BE128)),"",((BC128+SUM(BE128:BE128))))</f>
        <v/>
      </c>
      <c r="BH128" s="447">
        <f>SUM(BF126:BF128)</f>
        <v>0</v>
      </c>
      <c r="BI128" s="279" t="s">
        <v>505</v>
      </c>
    </row>
    <row r="129" spans="1:61" ht="13.5" thickBot="1" x14ac:dyDescent="0.25">
      <c r="A129" s="392"/>
      <c r="B129" s="392"/>
      <c r="C129" s="392"/>
      <c r="D129" s="392"/>
      <c r="E129" s="392"/>
      <c r="F129" s="393"/>
      <c r="G129" s="393"/>
      <c r="H129" s="393"/>
      <c r="I129" s="393"/>
      <c r="J129" s="395"/>
      <c r="K129" s="394"/>
      <c r="L129" s="395"/>
      <c r="M129" s="396"/>
      <c r="N129" s="1123"/>
      <c r="O129" s="1123"/>
      <c r="P129" s="1123"/>
      <c r="Q129" s="454"/>
      <c r="R129" s="396"/>
      <c r="S129" s="396"/>
      <c r="T129" s="396"/>
      <c r="U129" s="666">
        <f t="shared" si="91"/>
        <v>0</v>
      </c>
      <c r="V129" s="396"/>
      <c r="W129" s="396"/>
      <c r="X129" s="396"/>
      <c r="Y129" s="396"/>
      <c r="Z129" s="397"/>
      <c r="AA129" s="398">
        <f>SUM(Z126:Z128)</f>
        <v>0</v>
      </c>
      <c r="AB129" s="399"/>
      <c r="AC129" s="400"/>
      <c r="AD129" s="401"/>
      <c r="AE129" s="402"/>
      <c r="AF129" s="401"/>
      <c r="AG129" s="402"/>
      <c r="AH129" s="401"/>
      <c r="AI129" s="402"/>
      <c r="AJ129" s="402"/>
      <c r="AK129" s="402"/>
      <c r="AL129" s="402"/>
      <c r="AM129" s="403"/>
      <c r="AN129" s="404"/>
      <c r="AO129" s="405"/>
      <c r="AP129" s="406"/>
      <c r="AQ129" s="407"/>
      <c r="AR129" s="408"/>
      <c r="AS129" s="409"/>
      <c r="AT129" s="410"/>
      <c r="AU129" s="411"/>
      <c r="AV129" s="412"/>
      <c r="AW129" s="413"/>
      <c r="AX129" s="414"/>
      <c r="AY129" s="415"/>
      <c r="AZ129" s="416"/>
      <c r="BA129" s="417"/>
      <c r="BB129" s="418"/>
      <c r="BC129" s="418"/>
      <c r="BD129" s="418"/>
      <c r="BE129" s="418"/>
      <c r="BF129" s="419"/>
      <c r="BG129" s="420"/>
      <c r="BH129" s="455">
        <f>SUM(BH126:BH128)</f>
        <v>0</v>
      </c>
      <c r="BI129" s="422" t="str">
        <f>AA128</f>
        <v>Guidance Counselor</v>
      </c>
    </row>
    <row r="130" spans="1:61" x14ac:dyDescent="0.2">
      <c r="A130" s="461" t="s">
        <v>371</v>
      </c>
      <c r="B130" s="358">
        <v>1</v>
      </c>
      <c r="C130" s="359"/>
      <c r="D130" s="359"/>
      <c r="E130" s="360"/>
      <c r="F130" s="691"/>
      <c r="G130" s="691"/>
      <c r="H130" s="691"/>
      <c r="I130" s="691"/>
      <c r="J130" s="688"/>
      <c r="K130" s="662">
        <v>0</v>
      </c>
      <c r="L130" s="685"/>
      <c r="M130" s="666"/>
      <c r="N130" s="1122">
        <f>J130*(1+K130)+L130+M130</f>
        <v>0</v>
      </c>
      <c r="O130" s="1122"/>
      <c r="P130" s="1122"/>
      <c r="Q130" s="667">
        <v>0.05</v>
      </c>
      <c r="R130" s="665">
        <f>N130*Q130</f>
        <v>0</v>
      </c>
      <c r="S130" s="665">
        <f>(N130-R130)*0.062</f>
        <v>0</v>
      </c>
      <c r="T130" s="665">
        <f>(N130-R130)*0.0145</f>
        <v>0</v>
      </c>
      <c r="U130" s="666">
        <f t="shared" si="91"/>
        <v>0</v>
      </c>
      <c r="V130" s="666">
        <f>IF(N130&gt;=7000,7000*0.05,IF(N130&lt;=7000,N130*0.05))</f>
        <v>0</v>
      </c>
      <c r="W130" s="665">
        <f>AT130</f>
        <v>0</v>
      </c>
      <c r="X130" s="665">
        <v>0</v>
      </c>
      <c r="Y130" s="665">
        <f>X130</f>
        <v>0</v>
      </c>
      <c r="Z130" s="361">
        <f>SUM(N130:Y130)</f>
        <v>0.05</v>
      </c>
      <c r="AB130" s="362"/>
      <c r="AC130" s="424">
        <f>G130</f>
        <v>0</v>
      </c>
      <c r="AD130" s="668" t="s">
        <v>526</v>
      </c>
      <c r="AE130" s="669">
        <f>IF(ISNA(VLOOKUP(AD130,$A$226:$E$266,4,FALSE)),"0",VLOOKUP(AD130,$A$226:$E$266,4,FALSE))</f>
        <v>0</v>
      </c>
      <c r="AF130" s="670" t="s">
        <v>526</v>
      </c>
      <c r="AG130" s="669">
        <f>IF(ISNA(VLOOKUP(AF130,$A$253:$E$266,4,FALSE)),"0",VLOOKUP(AF130,$A$253:$E$266,4,FALSE))</f>
        <v>0</v>
      </c>
      <c r="AH130" s="670" t="s">
        <v>526</v>
      </c>
      <c r="AI130" s="364">
        <f>IF(ISNA(VLOOKUP(AH130,$A$226:$E$266,4,FALSE)),"0",VLOOKUP(AH130,$A$226:$E$266,4,FALSE))</f>
        <v>0</v>
      </c>
      <c r="AJ130" s="364">
        <f>IF(ISNA(VLOOKUP(AD130,$A$226:$E$266,5,FALSE)),"0",VLOOKUP(AD130,$A$226:$E$266,5,FALSE))</f>
        <v>0</v>
      </c>
      <c r="AK130" s="364">
        <f>IF(ISNA(VLOOKUP(AF130,$A$226:$E$266,5,FALSE)),"0",VLOOKUP(AF130,$A$226:$E$266,5,FALSE))</f>
        <v>0</v>
      </c>
      <c r="AL130" s="364">
        <f>IF(ISNA(VLOOKUP(AH130,$A$226:$E$259,5,FALSE)),"0",VLOOKUP(AH130,$A$226:$E$259,5,FALSE))</f>
        <v>0</v>
      </c>
      <c r="AM130" s="365">
        <f>AE130+AG130+AI130</f>
        <v>0</v>
      </c>
      <c r="AN130" s="366">
        <f>AJ130+AK130+AL130</f>
        <v>0</v>
      </c>
      <c r="AO130" s="367">
        <f>SUM(AM130:AN130)</f>
        <v>0</v>
      </c>
      <c r="AP130" s="428">
        <v>8.7999999999999998E-5</v>
      </c>
      <c r="AQ130" s="429">
        <v>2.0000000000000002E-5</v>
      </c>
      <c r="AR130" s="430">
        <v>2.22E-4</v>
      </c>
      <c r="AS130" s="431">
        <v>3.1E-4</v>
      </c>
      <c r="AT130" s="432">
        <f>SUM((J130*AP130)+(J130*AQ130)+(J130*AR130)+(J130*AS130))*12</f>
        <v>0</v>
      </c>
      <c r="AV130" s="433"/>
      <c r="AW130" s="446"/>
      <c r="AX130" s="435"/>
      <c r="AY130" s="376"/>
      <c r="AZ130" s="437"/>
      <c r="BA130" s="438"/>
      <c r="BB130" s="380"/>
      <c r="BC130" s="380"/>
      <c r="BD130" s="380"/>
      <c r="BE130" s="380"/>
      <c r="BF130" s="439"/>
      <c r="BG130" s="381"/>
      <c r="BH130" s="447">
        <f>SUM(BC130:BC131)</f>
        <v>0</v>
      </c>
      <c r="BI130" s="279" t="s">
        <v>527</v>
      </c>
    </row>
    <row r="131" spans="1:61" x14ac:dyDescent="0.2">
      <c r="A131" s="385"/>
      <c r="B131" s="385">
        <v>2</v>
      </c>
      <c r="C131" s="384"/>
      <c r="D131" s="384"/>
      <c r="E131" s="384"/>
      <c r="F131" s="691"/>
      <c r="G131" s="691"/>
      <c r="H131" s="691"/>
      <c r="I131" s="691"/>
      <c r="J131" s="688"/>
      <c r="K131" s="672">
        <v>0</v>
      </c>
      <c r="L131" s="685"/>
      <c r="M131" s="666"/>
      <c r="N131" s="1122">
        <f>J131*(1+K131)+L131+M131</f>
        <v>0</v>
      </c>
      <c r="O131" s="1122"/>
      <c r="P131" s="1122"/>
      <c r="Q131" s="667">
        <v>0.05</v>
      </c>
      <c r="R131" s="665">
        <f>N131*Q131</f>
        <v>0</v>
      </c>
      <c r="S131" s="665">
        <f>(N131-R131)*0.062</f>
        <v>0</v>
      </c>
      <c r="T131" s="665">
        <f>(N131-R131)*0.0145</f>
        <v>0</v>
      </c>
      <c r="U131" s="666">
        <f t="shared" si="91"/>
        <v>0</v>
      </c>
      <c r="V131" s="666">
        <f>IF(N131&gt;=7000,7000*0.05,IF(N131&lt;=7000,N131*0.05))</f>
        <v>0</v>
      </c>
      <c r="W131" s="665">
        <f>AT131</f>
        <v>0</v>
      </c>
      <c r="X131" s="665">
        <v>0</v>
      </c>
      <c r="Y131" s="665">
        <f>X131</f>
        <v>0</v>
      </c>
      <c r="Z131" s="361">
        <f>SUM(N131:Y131)</f>
        <v>0.05</v>
      </c>
      <c r="AA131" s="331" t="s">
        <v>371</v>
      </c>
      <c r="AB131" s="362"/>
      <c r="AC131" s="363">
        <f>G131</f>
        <v>0</v>
      </c>
      <c r="AD131" s="668" t="s">
        <v>526</v>
      </c>
      <c r="AE131" s="669">
        <f>IF(ISNA(VLOOKUP(AD131,$A$226:$E$266,4,FALSE)),"0",VLOOKUP(AD131,$A$226:$E$266,4,FALSE))</f>
        <v>0</v>
      </c>
      <c r="AF131" s="670" t="s">
        <v>526</v>
      </c>
      <c r="AG131" s="669">
        <f>IF(ISNA(VLOOKUP(AF131,$A$253:$E$266,4,FALSE)),"0",VLOOKUP(AF131,$A$253:$E$266,4,FALSE))</f>
        <v>0</v>
      </c>
      <c r="AH131" s="670" t="s">
        <v>526</v>
      </c>
      <c r="AI131" s="364">
        <f>IF(ISNA(VLOOKUP(AH131,$A$226:$E$266,4,FALSE)),"0",VLOOKUP(AH131,$A$226:$E$266,4,FALSE))</f>
        <v>0</v>
      </c>
      <c r="AJ131" s="364">
        <f>IF(ISNA(VLOOKUP(AD131,$A$226:$E$266,5,FALSE)),"0",VLOOKUP(AD131,$A$226:$E$266,5,FALSE))</f>
        <v>0</v>
      </c>
      <c r="AK131" s="364">
        <f>IF(ISNA(VLOOKUP(AF131,$A$226:$E$266,5,FALSE)),"0",VLOOKUP(AF131,$A$226:$E$266,5,FALSE))</f>
        <v>0</v>
      </c>
      <c r="AL131" s="364">
        <f>IF(ISNA(VLOOKUP(AH131,$A$226:$E$259,5,FALSE)),"0",VLOOKUP(AH131,$A$226:$E$259,5,FALSE))</f>
        <v>0</v>
      </c>
      <c r="AM131" s="365">
        <f>AE131+AG131+AI131</f>
        <v>0</v>
      </c>
      <c r="AN131" s="366">
        <f>AJ131+AK131+AL131</f>
        <v>0</v>
      </c>
      <c r="AO131" s="367">
        <f>SUM(AM131:AN131)</f>
        <v>0</v>
      </c>
      <c r="AP131" s="368">
        <v>8.7999999999999998E-5</v>
      </c>
      <c r="AQ131" s="369">
        <v>2.0000000000000002E-5</v>
      </c>
      <c r="AR131" s="370">
        <v>2.22E-4</v>
      </c>
      <c r="AS131" s="371">
        <v>3.1E-4</v>
      </c>
      <c r="AT131" s="372">
        <f>SUM((J131*AP131)+(J131*AQ131)+(J131*AR131)+(J131*AS131))*12</f>
        <v>0</v>
      </c>
      <c r="AV131" s="433"/>
      <c r="AW131" s="446"/>
      <c r="AX131" s="435"/>
      <c r="AY131" s="376"/>
      <c r="AZ131" s="437"/>
      <c r="BA131" s="438"/>
      <c r="BB131" s="380"/>
      <c r="BC131" s="380"/>
      <c r="BD131" s="380"/>
      <c r="BE131" s="380"/>
      <c r="BF131" s="439"/>
      <c r="BG131" s="381"/>
      <c r="BH131" s="447">
        <f>SUM(BE130:BE131)</f>
        <v>0</v>
      </c>
      <c r="BI131" s="279" t="s">
        <v>504</v>
      </c>
    </row>
    <row r="132" spans="1:61" ht="13.5" thickBot="1" x14ac:dyDescent="0.25">
      <c r="A132" s="392"/>
      <c r="B132" s="392"/>
      <c r="C132" s="392"/>
      <c r="D132" s="392"/>
      <c r="E132" s="392"/>
      <c r="F132" s="393"/>
      <c r="G132" s="393"/>
      <c r="H132" s="393"/>
      <c r="I132" s="393"/>
      <c r="J132" s="395"/>
      <c r="K132" s="394"/>
      <c r="L132" s="395"/>
      <c r="M132" s="396"/>
      <c r="N132" s="1123"/>
      <c r="O132" s="1123"/>
      <c r="P132" s="1123"/>
      <c r="Q132" s="396"/>
      <c r="R132" s="396"/>
      <c r="S132" s="396"/>
      <c r="T132" s="396"/>
      <c r="U132" s="666">
        <f t="shared" si="91"/>
        <v>0</v>
      </c>
      <c r="V132" s="396"/>
      <c r="W132" s="396"/>
      <c r="X132" s="396"/>
      <c r="Y132" s="396"/>
      <c r="Z132" s="397"/>
      <c r="AA132" s="398">
        <f>SUM(Z130:Z131)</f>
        <v>0.1</v>
      </c>
      <c r="AB132" s="399"/>
      <c r="AC132" s="400"/>
      <c r="AD132" s="401"/>
      <c r="AE132" s="402"/>
      <c r="AF132" s="401"/>
      <c r="AG132" s="402"/>
      <c r="AH132" s="401"/>
      <c r="AI132" s="402"/>
      <c r="AJ132" s="402"/>
      <c r="AK132" s="402"/>
      <c r="AL132" s="402"/>
      <c r="AM132" s="403"/>
      <c r="AN132" s="404"/>
      <c r="AO132" s="405"/>
      <c r="AP132" s="406"/>
      <c r="AQ132" s="407"/>
      <c r="AR132" s="408"/>
      <c r="AS132" s="409"/>
      <c r="AT132" s="410"/>
      <c r="AU132" s="411"/>
      <c r="AV132" s="412"/>
      <c r="AW132" s="413"/>
      <c r="AX132" s="414"/>
      <c r="AY132" s="415"/>
      <c r="AZ132" s="416"/>
      <c r="BA132" s="417"/>
      <c r="BB132" s="418"/>
      <c r="BC132" s="418"/>
      <c r="BD132" s="418"/>
      <c r="BE132" s="418"/>
      <c r="BF132" s="419"/>
      <c r="BG132" s="420"/>
      <c r="BH132" s="456">
        <f>SUM(BH130:BH131)</f>
        <v>0</v>
      </c>
      <c r="BI132" s="422" t="str">
        <f>AA131</f>
        <v>Health</v>
      </c>
    </row>
    <row r="133" spans="1:61" x14ac:dyDescent="0.2">
      <c r="A133" s="1289" t="s">
        <v>537</v>
      </c>
      <c r="B133" s="358">
        <v>1</v>
      </c>
      <c r="C133" s="359"/>
      <c r="D133" s="359"/>
      <c r="E133" s="360"/>
      <c r="F133" s="681"/>
      <c r="G133" s="681"/>
      <c r="H133" s="681"/>
      <c r="I133" s="681"/>
      <c r="J133" s="688"/>
      <c r="K133" s="672">
        <v>0</v>
      </c>
      <c r="L133" s="685"/>
      <c r="M133" s="666"/>
      <c r="N133" s="1122">
        <f>J133*(1+K133)+L133+M133</f>
        <v>0</v>
      </c>
      <c r="O133" s="1122"/>
      <c r="P133" s="1122"/>
      <c r="Q133" s="690"/>
      <c r="R133" s="665">
        <f>N133*Q133</f>
        <v>0</v>
      </c>
      <c r="S133" s="665">
        <f>(N133-R133)*0.062</f>
        <v>0</v>
      </c>
      <c r="T133" s="665">
        <f>(N133-R133)*0.0145</f>
        <v>0</v>
      </c>
      <c r="U133" s="666">
        <f t="shared" ref="U133:U178" si="143">IF(N133&gt;=7000,7000*0.006,IF(N133&lt;=7000,N133*0.006))</f>
        <v>0</v>
      </c>
      <c r="V133" s="666">
        <f>IF(N133&gt;=7000,7000*0.05,IF(N133&lt;=7000,N133*0.05))</f>
        <v>0</v>
      </c>
      <c r="W133" s="665">
        <f>AT133</f>
        <v>0</v>
      </c>
      <c r="X133" s="665">
        <v>0</v>
      </c>
      <c r="Y133" s="665">
        <f>X133</f>
        <v>0</v>
      </c>
      <c r="Z133" s="361">
        <f>SUM(N133:Y133)</f>
        <v>0</v>
      </c>
      <c r="AB133" s="362"/>
      <c r="AC133" s="424">
        <f>G133</f>
        <v>0</v>
      </c>
      <c r="AD133" s="668" t="s">
        <v>526</v>
      </c>
      <c r="AE133" s="669">
        <f>IF(ISNA(VLOOKUP(AD133,$A$226:$E$266,4,FALSE)),"0",VLOOKUP(AD133,$A$226:$E$266,4,FALSE))</f>
        <v>0</v>
      </c>
      <c r="AF133" s="670" t="s">
        <v>526</v>
      </c>
      <c r="AG133" s="669">
        <f>IF(ISNA(VLOOKUP(AF133,$A$253:$E$266,4,FALSE)),"0",VLOOKUP(AF133,$A$253:$E$266,4,FALSE))</f>
        <v>0</v>
      </c>
      <c r="AH133" s="670" t="s">
        <v>526</v>
      </c>
      <c r="AI133" s="364">
        <f>IF(ISNA(VLOOKUP(AH133,$A$226:$E$266,4,FALSE)),"0",VLOOKUP(AH133,$A$226:$E$266,4,FALSE))</f>
        <v>0</v>
      </c>
      <c r="AJ133" s="364">
        <f>IF(ISNA(VLOOKUP(AD133,$A$226:$E$266,5,FALSE)),"0",VLOOKUP(AD133,$A$226:$E$266,5,FALSE))</f>
        <v>0</v>
      </c>
      <c r="AK133" s="364">
        <f>IF(ISNA(VLOOKUP(AF133,$A$226:$E$266,5,FALSE)),"0",VLOOKUP(AF133,$A$226:$E$266,5,FALSE))</f>
        <v>0</v>
      </c>
      <c r="AL133" s="364">
        <f>IF(ISNA(VLOOKUP(AH133,$A$226:$E$259,5,FALSE)),"0",VLOOKUP(AH133,$A$226:$E$259,5,FALSE))</f>
        <v>0</v>
      </c>
      <c r="AM133" s="365">
        <f>AE133+AG133+AI133</f>
        <v>0</v>
      </c>
      <c r="AN133" s="366">
        <f>AJ133+AK133+AL133</f>
        <v>0</v>
      </c>
      <c r="AO133" s="367">
        <f>SUM(AM133:AN133)</f>
        <v>0</v>
      </c>
      <c r="AP133" s="428">
        <v>8.7999999999999998E-5</v>
      </c>
      <c r="AQ133" s="429">
        <v>2.0000000000000002E-5</v>
      </c>
      <c r="AR133" s="430">
        <v>2.22E-4</v>
      </c>
      <c r="AS133" s="431">
        <v>3.1E-4</v>
      </c>
      <c r="AT133" s="432">
        <f>SUM((J133*AP133)+(J133*AQ133)+(J133*AR133)+(J133*AS133))*12</f>
        <v>0</v>
      </c>
      <c r="AV133" s="433">
        <f>J133</f>
        <v>0</v>
      </c>
      <c r="AW133" s="446">
        <f>NETWORKDAYS(C133,D133)</f>
        <v>0</v>
      </c>
      <c r="AX133" s="435" t="str">
        <f>IF(ISERROR(AV133/AW133),"",(AV133/AW133))</f>
        <v/>
      </c>
      <c r="AY133" s="376">
        <v>41820</v>
      </c>
      <c r="AZ133" s="437">
        <f>NETWORKDAYS(AY133,D133)</f>
        <v>-29871</v>
      </c>
      <c r="BA133" s="438">
        <f>AW133-AZ133</f>
        <v>29871</v>
      </c>
      <c r="BB133" s="380" t="str">
        <f>IF(ISERROR(BA133*AX133),"",(BA133*AX133))</f>
        <v/>
      </c>
      <c r="BC133" s="380" t="str">
        <f>IF(ISERROR(AZ133*AX133),"",(AZ133*AX133))</f>
        <v/>
      </c>
      <c r="BD133" s="380">
        <f>IF(ISERROR(SUM(BB133:BC133)),"",((SUM(BB133:BC133))))</f>
        <v>0</v>
      </c>
      <c r="BE133" s="380" t="str">
        <f>IF(ISERROR(BC133*7.65%),"",((BC133*7.65%)))</f>
        <v/>
      </c>
      <c r="BF133" s="380" t="str">
        <f>IF(ISERROR(BC133*21.17%),"",((BC133*21.17%)))</f>
        <v/>
      </c>
      <c r="BG133" s="381" t="e">
        <f>SUM(BE133:BF133)+BC133</f>
        <v>#VALUE!</v>
      </c>
      <c r="BH133" s="447">
        <f>SUM(BC133:BC135)</f>
        <v>0</v>
      </c>
      <c r="BI133" s="279" t="s">
        <v>527</v>
      </c>
    </row>
    <row r="134" spans="1:61" x14ac:dyDescent="0.2">
      <c r="A134" s="1290"/>
      <c r="B134" s="358">
        <v>2</v>
      </c>
      <c r="C134" s="359"/>
      <c r="D134" s="359"/>
      <c r="E134" s="360"/>
      <c r="F134" s="691"/>
      <c r="G134" s="691"/>
      <c r="H134" s="691"/>
      <c r="I134" s="691"/>
      <c r="J134" s="685"/>
      <c r="K134" s="672">
        <v>0</v>
      </c>
      <c r="L134" s="685"/>
      <c r="M134" s="666"/>
      <c r="N134" s="1122"/>
      <c r="O134" s="1122"/>
      <c r="P134" s="1122"/>
      <c r="Q134" s="683"/>
      <c r="R134" s="665">
        <f>N134*Q134</f>
        <v>0</v>
      </c>
      <c r="S134" s="665">
        <f>(N134-R134)*0.062</f>
        <v>0</v>
      </c>
      <c r="T134" s="665">
        <f>(N134-R134)*0.0145</f>
        <v>0</v>
      </c>
      <c r="U134" s="666">
        <f t="shared" si="143"/>
        <v>0</v>
      </c>
      <c r="V134" s="666">
        <f>IF(N134&gt;=7000,7000*0.05,IF(N134&lt;=7000,N134*0.05))</f>
        <v>0</v>
      </c>
      <c r="W134" s="665">
        <f>AT134</f>
        <v>0</v>
      </c>
      <c r="X134" s="665">
        <v>0</v>
      </c>
      <c r="Y134" s="665">
        <f>X134</f>
        <v>0</v>
      </c>
      <c r="Z134" s="361"/>
      <c r="AB134" s="362"/>
      <c r="AC134" s="424"/>
      <c r="AD134" s="668" t="s">
        <v>526</v>
      </c>
      <c r="AE134" s="669">
        <f>IF(ISNA(VLOOKUP(AD134,$A$226:$E$266,4,FALSE)),"0",VLOOKUP(AD134,$A$226:$E$266,4,FALSE))</f>
        <v>0</v>
      </c>
      <c r="AF134" s="670" t="s">
        <v>526</v>
      </c>
      <c r="AG134" s="669">
        <f>IF(ISNA(VLOOKUP(AF134,$A$253:$E$266,4,FALSE)),"0",VLOOKUP(AF134,$A$253:$E$266,4,FALSE))</f>
        <v>0</v>
      </c>
      <c r="AH134" s="670" t="s">
        <v>526</v>
      </c>
      <c r="AI134" s="364">
        <f>IF(ISNA(VLOOKUP(AH134,$A$226:$E$266,4,FALSE)),"0",VLOOKUP(AH134,$A$226:$E$266,4,FALSE))</f>
        <v>0</v>
      </c>
      <c r="AJ134" s="364">
        <f>IF(ISNA(VLOOKUP(AD134,$A$226:$E$266,5,FALSE)),"0",VLOOKUP(AD134,$A$226:$E$266,5,FALSE))</f>
        <v>0</v>
      </c>
      <c r="AK134" s="364">
        <f>IF(ISNA(VLOOKUP(AF134,$A$226:$E$266,5,FALSE)),"0",VLOOKUP(AF134,$A$226:$E$266,5,FALSE))</f>
        <v>0</v>
      </c>
      <c r="AL134" s="364">
        <f>IF(ISNA(VLOOKUP(AH134,$A$226:$E$259,5,FALSE)),"0",VLOOKUP(AH134,$A$226:$E$259,5,FALSE))</f>
        <v>0</v>
      </c>
      <c r="AM134" s="365">
        <f>AE134+AG134+AI134</f>
        <v>0</v>
      </c>
      <c r="AN134" s="366">
        <f>AJ134+AK134+AL134</f>
        <v>0</v>
      </c>
      <c r="AO134" s="367">
        <f>SUM(AM134:AN134)</f>
        <v>0</v>
      </c>
      <c r="AP134" s="428">
        <v>8.7999999999999998E-5</v>
      </c>
      <c r="AQ134" s="429">
        <v>2.0000000000000002E-5</v>
      </c>
      <c r="AR134" s="430">
        <v>2.22E-4</v>
      </c>
      <c r="AS134" s="431">
        <v>3.1E-4</v>
      </c>
      <c r="AT134" s="432">
        <f>SUM((J134*AP134)+(J134*AQ134)+(J134*AR134)+(J134*AS134))*12</f>
        <v>0</v>
      </c>
      <c r="AV134" s="433">
        <f>J134</f>
        <v>0</v>
      </c>
      <c r="AW134" s="446">
        <f>NETWORKDAYS(C134,D134)</f>
        <v>0</v>
      </c>
      <c r="AX134" s="435" t="str">
        <f>IF(ISERROR(AV134/AW134),"",(AV134/AW134))</f>
        <v/>
      </c>
      <c r="AY134" s="376">
        <v>41821</v>
      </c>
      <c r="AZ134" s="437">
        <f>NETWORKDAYS(AY134,D134)</f>
        <v>-29872</v>
      </c>
      <c r="BA134" s="438">
        <f>AW134-AZ134</f>
        <v>29872</v>
      </c>
      <c r="BB134" s="380" t="str">
        <f>IF(ISERROR(BA134*AX134),"",(BA134*AX134))</f>
        <v/>
      </c>
      <c r="BC134" s="380" t="str">
        <f>IF(ISERROR(AZ134*AX134),"",(AZ134*AX134))</f>
        <v/>
      </c>
      <c r="BD134" s="380">
        <f>IF(ISERROR(SUM(BB134:BC134)),"",((SUM(BB134:BC134))))</f>
        <v>0</v>
      </c>
      <c r="BE134" s="380" t="str">
        <f>IF(ISERROR(BC134*7.65%),"",((BC134*7.65%)))</f>
        <v/>
      </c>
      <c r="BF134" s="380" t="str">
        <f>IF(ISERROR(BC134*21.17%),"",((BC134*21.17%)))</f>
        <v/>
      </c>
      <c r="BG134" s="381" t="e">
        <f>SUM(BE134:BF134)+BC134</f>
        <v>#VALUE!</v>
      </c>
      <c r="BH134" s="447">
        <f>SUM(BE133:BE135)</f>
        <v>0</v>
      </c>
      <c r="BI134" s="279" t="s">
        <v>504</v>
      </c>
    </row>
    <row r="135" spans="1:61" x14ac:dyDescent="0.2">
      <c r="A135" s="457"/>
      <c r="B135" s="385"/>
      <c r="C135" s="384"/>
      <c r="D135" s="384"/>
      <c r="E135" s="384"/>
      <c r="F135" s="681"/>
      <c r="G135" s="681"/>
      <c r="H135" s="681"/>
      <c r="I135" s="681"/>
      <c r="J135" s="685"/>
      <c r="K135" s="672">
        <v>0</v>
      </c>
      <c r="L135" s="685"/>
      <c r="M135" s="666"/>
      <c r="N135" s="1122">
        <f>J135*(1+K135)+L135+M135</f>
        <v>0</v>
      </c>
      <c r="O135" s="1122"/>
      <c r="P135" s="1122"/>
      <c r="Q135" s="683"/>
      <c r="R135" s="665">
        <f>N135*Q135</f>
        <v>0</v>
      </c>
      <c r="S135" s="665">
        <f>(N135-R135)*0.062</f>
        <v>0</v>
      </c>
      <c r="T135" s="665">
        <f>(N135-R135)*0.0145</f>
        <v>0</v>
      </c>
      <c r="U135" s="666">
        <f t="shared" si="143"/>
        <v>0</v>
      </c>
      <c r="V135" s="666">
        <f>IF(N135&gt;=7000,7000*0.05,IF(N135&lt;=7000,N135*0.05))</f>
        <v>0</v>
      </c>
      <c r="W135" s="665">
        <f>AT135</f>
        <v>0</v>
      </c>
      <c r="X135" s="665">
        <v>0</v>
      </c>
      <c r="Y135" s="665">
        <f>X135</f>
        <v>0</v>
      </c>
      <c r="Z135" s="361">
        <f>SUM(N135:Y135)</f>
        <v>0</v>
      </c>
      <c r="AA135" s="453" t="s">
        <v>537</v>
      </c>
      <c r="AB135" s="362"/>
      <c r="AC135" s="363">
        <f>G135</f>
        <v>0</v>
      </c>
      <c r="AD135" s="668" t="s">
        <v>526</v>
      </c>
      <c r="AE135" s="669">
        <f>IF(ISNA(VLOOKUP(AD135,$A$226:$E$266,4,FALSE)),"0",VLOOKUP(AD135,$A$226:$E$266,4,FALSE))</f>
        <v>0</v>
      </c>
      <c r="AF135" s="670" t="s">
        <v>526</v>
      </c>
      <c r="AG135" s="669">
        <f>IF(ISNA(VLOOKUP(AF135,$A$253:$E$266,4,FALSE)),"0",VLOOKUP(AF135,$A$253:$E$266,4,FALSE))</f>
        <v>0</v>
      </c>
      <c r="AH135" s="670" t="s">
        <v>526</v>
      </c>
      <c r="AI135" s="364">
        <f>IF(ISNA(VLOOKUP(AH135,$A$226:$E$266,4,FALSE)),"0",VLOOKUP(AH135,$A$226:$E$266,4,FALSE))</f>
        <v>0</v>
      </c>
      <c r="AJ135" s="364">
        <f>IF(ISNA(VLOOKUP(AD135,$A$226:$E$266,5,FALSE)),"0",VLOOKUP(AD135,$A$226:$E$266,5,FALSE))</f>
        <v>0</v>
      </c>
      <c r="AK135" s="364">
        <f>IF(ISNA(VLOOKUP(AF135,$A$226:$E$266,5,FALSE)),"0",VLOOKUP(AF135,$A$226:$E$266,5,FALSE))</f>
        <v>0</v>
      </c>
      <c r="AL135" s="364">
        <f>IF(ISNA(VLOOKUP(AH135,$A$226:$E$259,5,FALSE)),"0",VLOOKUP(AH135,$A$226:$E$259,5,FALSE))</f>
        <v>0</v>
      </c>
      <c r="AM135" s="365">
        <f>AE135+AG135+AI135</f>
        <v>0</v>
      </c>
      <c r="AN135" s="366">
        <f>AJ135+AK135+AL135</f>
        <v>0</v>
      </c>
      <c r="AO135" s="367">
        <f>SUM(AM135:AN135)</f>
        <v>0</v>
      </c>
      <c r="AP135" s="368">
        <v>8.7999999999999998E-5</v>
      </c>
      <c r="AQ135" s="369">
        <v>2.0000000000000002E-5</v>
      </c>
      <c r="AR135" s="370">
        <v>2.22E-4</v>
      </c>
      <c r="AS135" s="371">
        <v>3.1E-4</v>
      </c>
      <c r="AT135" s="372">
        <f>SUM((J135*AP135)+(J135*AQ135)+(J135*AR135)+(J135*AS135))*12</f>
        <v>0</v>
      </c>
      <c r="AV135" s="433">
        <f>J135</f>
        <v>0</v>
      </c>
      <c r="AW135" s="446">
        <f>NETWORKDAYS(C135,D135)</f>
        <v>0</v>
      </c>
      <c r="AX135" s="435" t="str">
        <f>IF(ISERROR(AV135/AW135),"",(AV135/AW135))</f>
        <v/>
      </c>
      <c r="AY135" s="376">
        <v>41820</v>
      </c>
      <c r="AZ135" s="437">
        <f>NETWORKDAYS(AY135,D135)</f>
        <v>-29871</v>
      </c>
      <c r="BA135" s="438">
        <f>AW135-AZ135</f>
        <v>29871</v>
      </c>
      <c r="BB135" s="380" t="str">
        <f>IF(ISERROR(BA135*AX135),"",(BA135*AX135))</f>
        <v/>
      </c>
      <c r="BC135" s="380" t="str">
        <f>IF(ISERROR(AZ135*AX135),"",(AZ135*AX135))</f>
        <v/>
      </c>
      <c r="BD135" s="380">
        <f>IF(ISERROR(SUM(BB135:BC135)),"",((SUM(BB135:BC135))))</f>
        <v>0</v>
      </c>
      <c r="BE135" s="380" t="str">
        <f>IF(ISERROR(BC135*7.65%),"",((BC135*7.65%)))</f>
        <v/>
      </c>
      <c r="BF135" s="439"/>
      <c r="BG135" s="381" t="str">
        <f>IF(ISERROR(BC135+SUM(BE135:BE135)),"",((BC135+SUM(BE135:BE135))))</f>
        <v/>
      </c>
      <c r="BH135" s="447">
        <f>SUM(BF133:BF135)</f>
        <v>0</v>
      </c>
      <c r="BI135" s="279" t="s">
        <v>505</v>
      </c>
    </row>
    <row r="136" spans="1:61" ht="13.5" thickBot="1" x14ac:dyDescent="0.25">
      <c r="A136" s="392"/>
      <c r="B136" s="392"/>
      <c r="C136" s="392"/>
      <c r="D136" s="392"/>
      <c r="E136" s="392"/>
      <c r="F136" s="393"/>
      <c r="G136" s="393"/>
      <c r="H136" s="393"/>
      <c r="I136" s="393"/>
      <c r="J136" s="395"/>
      <c r="K136" s="394"/>
      <c r="L136" s="395"/>
      <c r="M136" s="396"/>
      <c r="N136" s="1123"/>
      <c r="O136" s="1123"/>
      <c r="P136" s="1123"/>
      <c r="Q136" s="454"/>
      <c r="R136" s="396"/>
      <c r="S136" s="396"/>
      <c r="T136" s="396"/>
      <c r="U136" s="666">
        <f t="shared" si="143"/>
        <v>0</v>
      </c>
      <c r="V136" s="396"/>
      <c r="W136" s="396"/>
      <c r="X136" s="396"/>
      <c r="Y136" s="396"/>
      <c r="Z136" s="397"/>
      <c r="AA136" s="398">
        <f>SUM(Z133:Z135)</f>
        <v>0</v>
      </c>
      <c r="AB136" s="399"/>
      <c r="AC136" s="400"/>
      <c r="AD136" s="401"/>
      <c r="AE136" s="402"/>
      <c r="AF136" s="401"/>
      <c r="AG136" s="402"/>
      <c r="AH136" s="401"/>
      <c r="AI136" s="402"/>
      <c r="AJ136" s="402"/>
      <c r="AK136" s="402"/>
      <c r="AL136" s="402"/>
      <c r="AM136" s="403"/>
      <c r="AN136" s="404"/>
      <c r="AO136" s="405"/>
      <c r="AP136" s="406"/>
      <c r="AQ136" s="407"/>
      <c r="AR136" s="408"/>
      <c r="AS136" s="409"/>
      <c r="AT136" s="410"/>
      <c r="AU136" s="411"/>
      <c r="AV136" s="412"/>
      <c r="AW136" s="413"/>
      <c r="AX136" s="414"/>
      <c r="AY136" s="415"/>
      <c r="AZ136" s="416"/>
      <c r="BA136" s="417"/>
      <c r="BB136" s="418"/>
      <c r="BC136" s="418"/>
      <c r="BD136" s="418"/>
      <c r="BE136" s="418"/>
      <c r="BF136" s="419"/>
      <c r="BG136" s="420"/>
      <c r="BH136" s="421">
        <f>SUM(BH133:BH135)</f>
        <v>0</v>
      </c>
      <c r="BI136" s="422" t="str">
        <f>AA135</f>
        <v>Media Svcs/Librarian</v>
      </c>
    </row>
    <row r="137" spans="1:61" x14ac:dyDescent="0.2">
      <c r="A137" s="1291" t="s">
        <v>373</v>
      </c>
      <c r="B137" s="385">
        <v>1</v>
      </c>
      <c r="C137" s="359"/>
      <c r="D137" s="359"/>
      <c r="E137" s="384" t="s">
        <v>13</v>
      </c>
      <c r="F137" s="675" t="s">
        <v>674</v>
      </c>
      <c r="G137" s="675" t="s">
        <v>855</v>
      </c>
      <c r="H137" s="675" t="s">
        <v>875</v>
      </c>
      <c r="I137" s="675" t="s">
        <v>876</v>
      </c>
      <c r="J137" s="686">
        <v>54826</v>
      </c>
      <c r="K137" s="1253">
        <v>0</v>
      </c>
      <c r="L137" s="663">
        <v>2000</v>
      </c>
      <c r="M137" s="666">
        <v>0</v>
      </c>
      <c r="N137" s="1122">
        <f>J137*(1+K137)+L137+M137</f>
        <v>56826</v>
      </c>
      <c r="O137" s="1122"/>
      <c r="P137" s="1122"/>
      <c r="Q137" s="667">
        <v>0.05</v>
      </c>
      <c r="R137" s="665">
        <f>N137*Q137</f>
        <v>2841.3</v>
      </c>
      <c r="S137" s="665">
        <f>(N137-R137)*0.062</f>
        <v>3347.0513999999998</v>
      </c>
      <c r="T137" s="665">
        <f>(N137-R137)*0.0145</f>
        <v>782.77814999999998</v>
      </c>
      <c r="U137" s="666">
        <f t="shared" si="143"/>
        <v>42</v>
      </c>
      <c r="V137" s="666">
        <f>IF(N137&gt;=7000,7000*0.0144,IF(N137&lt;=7000,N137*0.0144))</f>
        <v>100.8</v>
      </c>
      <c r="W137" s="665">
        <f>AT137</f>
        <v>421.06367999999998</v>
      </c>
      <c r="X137" s="665">
        <f>+AN137*6</f>
        <v>35.82</v>
      </c>
      <c r="Y137" s="665">
        <f>+AN137*6</f>
        <v>35.82</v>
      </c>
      <c r="Z137" s="361">
        <f>SUM(N137:Y137)</f>
        <v>64432.683230000002</v>
      </c>
      <c r="AA137" s="875" t="str">
        <f>A137</f>
        <v>Instructional Support/Curriculum Dev</v>
      </c>
      <c r="AB137" s="362"/>
      <c r="AC137" s="1181" t="str">
        <f t="shared" ref="AC137:AC151" si="144">G137</f>
        <v>Roxanne Dotson</v>
      </c>
      <c r="AD137" s="668" t="s">
        <v>526</v>
      </c>
      <c r="AE137" s="669">
        <f>IF(ISNA(VLOOKUP(AD137,$A$226:$E$266,4,FALSE)),"0",VLOOKUP(AD137,$A$226:$E$266,4,FALSE))</f>
        <v>0</v>
      </c>
      <c r="AF137" s="670" t="s">
        <v>526</v>
      </c>
      <c r="AG137" s="669">
        <f>IF(ISNA(VLOOKUP(AF137,$A$253:$E$266,4,FALSE)),"0",VLOOKUP(AF137,$A$253:$E$266,4,FALSE))</f>
        <v>0</v>
      </c>
      <c r="AH137" s="670" t="s">
        <v>521</v>
      </c>
      <c r="AI137" s="364">
        <f>IF(ISNA(VLOOKUP(AH137,$A$226:$E$266,4,FALSE)),"0",VLOOKUP(AH137,$A$226:$E$266,4,FALSE))</f>
        <v>4.88</v>
      </c>
      <c r="AJ137" s="364">
        <f>IF(ISNA(VLOOKUP(AD137,$A$226:$E$266,5,FALSE)),"0",VLOOKUP(AD137,$A$226:$E$266,5,FALSE))</f>
        <v>0</v>
      </c>
      <c r="AK137" s="364">
        <f>IF(ISNA(VLOOKUP(AF137,$A$226:$E$266,5,FALSE)),"0",VLOOKUP(AF137,$A$226:$E$266,5,FALSE))</f>
        <v>0</v>
      </c>
      <c r="AL137" s="364">
        <f>IF(ISNA(VLOOKUP(AH137,$A$226:$E$259,5,FALSE)),"0",VLOOKUP(AH137,$A$226:$E$259,5,FALSE))</f>
        <v>5.97</v>
      </c>
      <c r="AM137" s="365">
        <f>AE137+AG137+AI137</f>
        <v>4.88</v>
      </c>
      <c r="AN137" s="366">
        <f>AJ137+AK137+AL137</f>
        <v>5.97</v>
      </c>
      <c r="AO137" s="367">
        <f>SUM(AM137:AN137)</f>
        <v>10.85</v>
      </c>
      <c r="AP137" s="368">
        <v>8.7999999999999998E-5</v>
      </c>
      <c r="AQ137" s="369">
        <v>2.0000000000000002E-5</v>
      </c>
      <c r="AR137" s="370">
        <v>2.22E-4</v>
      </c>
      <c r="AS137" s="371">
        <v>3.1E-4</v>
      </c>
      <c r="AT137" s="372">
        <f>SUM((J137*AP137)+(J137*AQ137)+(J137*AR137)+(J137*AS137))*12</f>
        <v>421.06367999999998</v>
      </c>
      <c r="AV137" s="373">
        <f>J137</f>
        <v>54826</v>
      </c>
      <c r="AW137" s="374">
        <f>NETWORKDAYS(C137,D137)</f>
        <v>0</v>
      </c>
      <c r="AX137" s="375" t="str">
        <f>IF(ISERROR(AV137/AW137),"",(AV137/AW137))</f>
        <v/>
      </c>
      <c r="AY137" s="376">
        <v>41820</v>
      </c>
      <c r="AZ137" s="377">
        <f>NETWORKDAYS(AY137,D137)</f>
        <v>-29871</v>
      </c>
      <c r="BA137" s="378">
        <f>AW137-AZ137</f>
        <v>29871</v>
      </c>
      <c r="BB137" s="379" t="str">
        <f>IF(ISERROR(BA137*AX137),"",(BA137*AX137))</f>
        <v/>
      </c>
      <c r="BC137" s="379" t="str">
        <f>IF(ISERROR(AZ137*AX137),"",(AZ137*AX137))</f>
        <v/>
      </c>
      <c r="BD137" s="379">
        <f>IF(ISERROR(SUM(BB137:BC137)),"",((SUM(BB137:BC137))))</f>
        <v>0</v>
      </c>
      <c r="BE137" s="379" t="str">
        <f>IF(ISERROR(BC137*7.65%),"",((BC137*7.65%)))</f>
        <v/>
      </c>
      <c r="BF137" s="380" t="str">
        <f>IF(ISERROR(BC137*21.17%),"",((BC137*21.17%)))</f>
        <v/>
      </c>
      <c r="BG137" s="381" t="e">
        <f>SUM(BE137:BF137)+BC137</f>
        <v>#VALUE!</v>
      </c>
      <c r="BH137" s="447">
        <f>SUM(BC137:BC139)</f>
        <v>0</v>
      </c>
      <c r="BI137" s="279" t="s">
        <v>527</v>
      </c>
    </row>
    <row r="138" spans="1:61" x14ac:dyDescent="0.2">
      <c r="A138" s="1292"/>
      <c r="B138" s="358">
        <v>2</v>
      </c>
      <c r="C138" s="359"/>
      <c r="D138" s="359"/>
      <c r="E138" s="360"/>
      <c r="F138" s="675"/>
      <c r="G138" s="675"/>
      <c r="H138" s="675"/>
      <c r="I138" s="675"/>
      <c r="J138" s="686"/>
      <c r="K138" s="672">
        <v>0</v>
      </c>
      <c r="L138" s="685"/>
      <c r="M138" s="666"/>
      <c r="N138" s="1122">
        <f>J138*(1+K138)+L138+M138</f>
        <v>0</v>
      </c>
      <c r="O138" s="1122"/>
      <c r="P138" s="1122"/>
      <c r="Q138" s="667">
        <v>0.03</v>
      </c>
      <c r="R138" s="666">
        <f>N138*Q138</f>
        <v>0</v>
      </c>
      <c r="S138" s="665">
        <f>(N138-R138)*0.062</f>
        <v>0</v>
      </c>
      <c r="T138" s="665">
        <f>(N138-R138)*0.0145</f>
        <v>0</v>
      </c>
      <c r="U138" s="666">
        <f t="shared" si="143"/>
        <v>0</v>
      </c>
      <c r="V138" s="666">
        <f>IF(N138&gt;=7000,7000*0.0144,IF(N138&lt;=7000,N138*0.0144))</f>
        <v>0</v>
      </c>
      <c r="W138" s="665">
        <f>AT138</f>
        <v>0</v>
      </c>
      <c r="X138" s="665">
        <f>+AN138*6</f>
        <v>0</v>
      </c>
      <c r="Y138" s="665">
        <f>+AN138*6</f>
        <v>0</v>
      </c>
      <c r="Z138" s="361">
        <f>SUM(N138:Y138)</f>
        <v>0.03</v>
      </c>
      <c r="AB138" s="362"/>
      <c r="AC138" s="363">
        <f t="shared" si="144"/>
        <v>0</v>
      </c>
      <c r="AD138" s="668"/>
      <c r="AE138" s="669" t="str">
        <f>IF(ISNA(VLOOKUP(AD138,$A$226:$E$266,4,FALSE)),"0",VLOOKUP(AD138,$A$226:$E$266,4,FALSE))</f>
        <v>0</v>
      </c>
      <c r="AF138" s="670" t="s">
        <v>526</v>
      </c>
      <c r="AG138" s="669">
        <f>IF(ISNA(VLOOKUP(AF138,$A$253:$E$266,4,FALSE)),"0",VLOOKUP(AF138,$A$253:$E$266,4,FALSE))</f>
        <v>0</v>
      </c>
      <c r="AH138" s="670"/>
      <c r="AI138" s="364" t="str">
        <f>IF(ISNA(VLOOKUP(AH138,$A$226:$E$266,4,FALSE)),"0",VLOOKUP(AH138,$A$226:$E$266,4,FALSE))</f>
        <v>0</v>
      </c>
      <c r="AJ138" s="364" t="str">
        <f>IF(ISNA(VLOOKUP(AD138,$A$226:$E$266,5,FALSE)),"0",VLOOKUP(AD138,$A$226:$E$266,5,FALSE))</f>
        <v>0</v>
      </c>
      <c r="AK138" s="364">
        <f>IF(ISNA(VLOOKUP(AF138,$A$226:$E$266,5,FALSE)),"0",VLOOKUP(AF138,$A$226:$E$266,5,FALSE))</f>
        <v>0</v>
      </c>
      <c r="AL138" s="364" t="str">
        <f>IF(ISNA(VLOOKUP(AH138,$A$226:$E$259,5,FALSE)),"0",VLOOKUP(AH138,$A$226:$E$259,5,FALSE))</f>
        <v>0</v>
      </c>
      <c r="AM138" s="365">
        <f>AE138+AG138+AI138</f>
        <v>0</v>
      </c>
      <c r="AN138" s="366">
        <f>AJ138+AK138+AL138</f>
        <v>0</v>
      </c>
      <c r="AO138" s="367">
        <f>SUM(AM138:AN138)</f>
        <v>0</v>
      </c>
      <c r="AP138" s="368">
        <v>8.7999999999999998E-5</v>
      </c>
      <c r="AQ138" s="369">
        <v>2.0000000000000002E-5</v>
      </c>
      <c r="AR138" s="370">
        <v>2.22E-4</v>
      </c>
      <c r="AS138" s="371">
        <v>3.1E-4</v>
      </c>
      <c r="AT138" s="372">
        <f>SUM((J138*AP138)+(J138*AQ138)+(J138*AR138)+(J138*AS138))*12</f>
        <v>0</v>
      </c>
      <c r="AV138" s="373">
        <f>J138</f>
        <v>0</v>
      </c>
      <c r="AW138" s="374">
        <f>NETWORKDAYS(C138,D138)</f>
        <v>0</v>
      </c>
      <c r="AX138" s="375" t="str">
        <f>IF(ISERROR(AV138/AW138),"",(AV138/AW138))</f>
        <v/>
      </c>
      <c r="AY138" s="376">
        <v>41820</v>
      </c>
      <c r="AZ138" s="377">
        <f>NETWORKDAYS(AY138,D138)</f>
        <v>-29871</v>
      </c>
      <c r="BA138" s="378">
        <f>AW138-AZ138</f>
        <v>29871</v>
      </c>
      <c r="BB138" s="379" t="str">
        <f>IF(ISERROR(BA138*AX138),"",(BA138*AX138))</f>
        <v/>
      </c>
      <c r="BC138" s="379" t="str">
        <f>IF(ISERROR(AZ138*AX138),"",(AZ138*AX138))</f>
        <v/>
      </c>
      <c r="BD138" s="379">
        <f>IF(ISERROR(SUM(BB138:BC138)),"",((SUM(BB138:BC138))))</f>
        <v>0</v>
      </c>
      <c r="BE138" s="379" t="str">
        <f>IF(ISERROR(BC138*7.65%),"",((BC138*7.65%)))</f>
        <v/>
      </c>
      <c r="BF138" s="380" t="str">
        <f>IF(ISERROR(BC138*21.17%),"",((BC138*21.17%)))</f>
        <v/>
      </c>
      <c r="BG138" s="381" t="e">
        <f>SUM(BE138:BF138)+BC138</f>
        <v>#VALUE!</v>
      </c>
      <c r="BH138" s="447">
        <f>SUM(BE137:BE139)</f>
        <v>0</v>
      </c>
      <c r="BI138" s="279" t="s">
        <v>504</v>
      </c>
    </row>
    <row r="139" spans="1:61" x14ac:dyDescent="0.2">
      <c r="A139" s="1292"/>
      <c r="B139" s="358">
        <v>3</v>
      </c>
      <c r="C139" s="359"/>
      <c r="D139" s="359"/>
      <c r="E139" s="360"/>
      <c r="F139" s="681"/>
      <c r="G139" s="695"/>
      <c r="H139" s="695"/>
      <c r="I139" s="695"/>
      <c r="J139" s="685"/>
      <c r="K139" s="672">
        <v>0</v>
      </c>
      <c r="L139" s="685"/>
      <c r="M139" s="666"/>
      <c r="N139" s="1122">
        <f>J139*(1+K139)+L139+M139</f>
        <v>0</v>
      </c>
      <c r="O139" s="1122"/>
      <c r="P139" s="1122"/>
      <c r="Q139" s="683"/>
      <c r="R139" s="665">
        <f>N139*Q139</f>
        <v>0</v>
      </c>
      <c r="S139" s="665">
        <f>(N139-R139)*0.062</f>
        <v>0</v>
      </c>
      <c r="T139" s="665">
        <f>(N139-R139)*0.0145</f>
        <v>0</v>
      </c>
      <c r="U139" s="666">
        <f t="shared" si="143"/>
        <v>0</v>
      </c>
      <c r="V139" s="666">
        <f>IF(N139&gt;=7000,7000*0.0144,IF(N139&lt;=7000,N139*0.0144))</f>
        <v>0</v>
      </c>
      <c r="W139" s="665">
        <f>AT139</f>
        <v>0</v>
      </c>
      <c r="X139" s="665">
        <f>+AN139*6</f>
        <v>0</v>
      </c>
      <c r="Y139" s="665">
        <f>+AN139*6</f>
        <v>0</v>
      </c>
      <c r="Z139" s="361">
        <f>SUM(N139:Y139)</f>
        <v>0</v>
      </c>
      <c r="AA139" s="876"/>
      <c r="AB139" s="362"/>
      <c r="AC139" s="363">
        <f t="shared" si="144"/>
        <v>0</v>
      </c>
      <c r="AD139" s="668" t="s">
        <v>526</v>
      </c>
      <c r="AE139" s="669">
        <f>IF(ISNA(VLOOKUP(AD139,$A$226:$E$266,4,FALSE)),"0",VLOOKUP(AD139,$A$226:$E$266,4,FALSE))</f>
        <v>0</v>
      </c>
      <c r="AF139" s="670" t="s">
        <v>526</v>
      </c>
      <c r="AG139" s="669">
        <f>IF(ISNA(VLOOKUP(AF139,$A$253:$E$266,4,FALSE)),"0",VLOOKUP(AF139,$A$253:$E$266,4,FALSE))</f>
        <v>0</v>
      </c>
      <c r="AH139" s="670" t="s">
        <v>526</v>
      </c>
      <c r="AI139" s="364">
        <f>IF(ISNA(VLOOKUP(AH139,$A$226:$E$266,4,FALSE)),"0",VLOOKUP(AH139,$A$226:$E$266,4,FALSE))</f>
        <v>0</v>
      </c>
      <c r="AJ139" s="364">
        <f>IF(ISNA(VLOOKUP(AD139,$A$226:$E$266,5,FALSE)),"0",VLOOKUP(AD139,$A$226:$E$266,5,FALSE))</f>
        <v>0</v>
      </c>
      <c r="AK139" s="364">
        <f>IF(ISNA(VLOOKUP(AF139,$A$226:$E$266,5,FALSE)),"0",VLOOKUP(AF139,$A$226:$E$266,5,FALSE))</f>
        <v>0</v>
      </c>
      <c r="AL139" s="364">
        <f>IF(ISNA(VLOOKUP(AH139,$A$226:$E$259,5,FALSE)),"0",VLOOKUP(AH139,$A$226:$E$259,5,FALSE))</f>
        <v>0</v>
      </c>
      <c r="AM139" s="365">
        <f>AE139+AG139+AI139</f>
        <v>0</v>
      </c>
      <c r="AN139" s="366">
        <f>AJ139+AK139+AL139</f>
        <v>0</v>
      </c>
      <c r="AO139" s="367">
        <f>SUM(AM139:AN139)</f>
        <v>0</v>
      </c>
      <c r="AP139" s="428">
        <v>8.7999999999999998E-5</v>
      </c>
      <c r="AQ139" s="429">
        <v>2.0000000000000002E-5</v>
      </c>
      <c r="AR139" s="430">
        <v>2.22E-4</v>
      </c>
      <c r="AS139" s="431">
        <v>3.1E-4</v>
      </c>
      <c r="AT139" s="372">
        <f>SUM((J139*AP139)+(J139*AQ139)+(J139*AR139)+(J139*AS139))*12</f>
        <v>0</v>
      </c>
      <c r="AV139" s="433"/>
      <c r="AW139" s="446"/>
      <c r="AX139" s="435"/>
      <c r="AY139" s="376"/>
      <c r="AZ139" s="437"/>
      <c r="BA139" s="438"/>
      <c r="BB139" s="380"/>
      <c r="BC139" s="380"/>
      <c r="BD139" s="380"/>
      <c r="BE139" s="380"/>
      <c r="BF139" s="439"/>
      <c r="BG139" s="381"/>
      <c r="BH139" s="447">
        <f>SUM(BF137:BF139)</f>
        <v>0</v>
      </c>
      <c r="BI139" s="279" t="s">
        <v>505</v>
      </c>
    </row>
    <row r="140" spans="1:61" ht="13.5" thickBot="1" x14ac:dyDescent="0.25">
      <c r="A140" s="392"/>
      <c r="B140" s="392"/>
      <c r="C140" s="392"/>
      <c r="D140" s="392"/>
      <c r="E140" s="392"/>
      <c r="F140" s="393"/>
      <c r="G140" s="393"/>
      <c r="H140" s="393"/>
      <c r="I140" s="393"/>
      <c r="J140" s="395"/>
      <c r="K140" s="394"/>
      <c r="L140" s="395"/>
      <c r="M140" s="396"/>
      <c r="N140" s="1123"/>
      <c r="O140" s="1123"/>
      <c r="P140" s="1123"/>
      <c r="Q140" s="454"/>
      <c r="R140" s="396"/>
      <c r="S140" s="396"/>
      <c r="T140" s="396"/>
      <c r="U140" s="666">
        <f t="shared" si="143"/>
        <v>0</v>
      </c>
      <c r="V140" s="396"/>
      <c r="W140" s="396"/>
      <c r="X140" s="396"/>
      <c r="Y140" s="396"/>
      <c r="Z140" s="397"/>
      <c r="AA140" s="398">
        <f>SUM(Z137:Z139)</f>
        <v>64432.713230000001</v>
      </c>
      <c r="AB140" s="399"/>
      <c r="AC140" s="363">
        <f t="shared" si="144"/>
        <v>0</v>
      </c>
      <c r="AD140" s="401"/>
      <c r="AE140" s="402"/>
      <c r="AF140" s="401"/>
      <c r="AG140" s="402"/>
      <c r="AH140" s="401"/>
      <c r="AI140" s="402"/>
      <c r="AJ140" s="402"/>
      <c r="AK140" s="402"/>
      <c r="AL140" s="402"/>
      <c r="AM140" s="403"/>
      <c r="AN140" s="404"/>
      <c r="AO140" s="405"/>
      <c r="AP140" s="406"/>
      <c r="AQ140" s="407"/>
      <c r="AR140" s="408"/>
      <c r="AS140" s="409"/>
      <c r="AT140" s="410"/>
      <c r="AU140" s="411"/>
      <c r="AV140" s="412"/>
      <c r="AW140" s="413"/>
      <c r="AX140" s="414"/>
      <c r="AY140" s="415"/>
      <c r="AZ140" s="416"/>
      <c r="BA140" s="417"/>
      <c r="BB140" s="418"/>
      <c r="BC140" s="418"/>
      <c r="BD140" s="418"/>
      <c r="BE140" s="418"/>
      <c r="BF140" s="419"/>
      <c r="BG140" s="420"/>
      <c r="BH140" s="421">
        <f>SUM(BH137:BH139)</f>
        <v>0</v>
      </c>
      <c r="BI140" s="422" t="str">
        <f>AA137</f>
        <v>Instructional Support/Curriculum Dev</v>
      </c>
    </row>
    <row r="141" spans="1:61" x14ac:dyDescent="0.2">
      <c r="A141" s="1277" t="s">
        <v>538</v>
      </c>
      <c r="B141" s="358">
        <v>1</v>
      </c>
      <c r="C141" s="359"/>
      <c r="D141" s="359"/>
      <c r="E141" s="360"/>
      <c r="F141" s="1105"/>
      <c r="G141" s="1114"/>
      <c r="H141" s="1105"/>
      <c r="I141" s="1105"/>
      <c r="J141" s="1106"/>
      <c r="K141" s="672"/>
      <c r="L141" s="685"/>
      <c r="M141" s="665">
        <v>0</v>
      </c>
      <c r="N141" s="1122">
        <f t="shared" ref="N141:N151" si="145">J141*(1+K141)+L141+M141</f>
        <v>0</v>
      </c>
      <c r="O141" s="1122"/>
      <c r="P141" s="1122"/>
      <c r="Q141" s="667">
        <v>0.05</v>
      </c>
      <c r="R141" s="665">
        <f t="shared" ref="R141:R151" si="146">N141*Q141</f>
        <v>0</v>
      </c>
      <c r="S141" s="665">
        <f t="shared" ref="S141:S151" si="147">(N141-R141)*0.062</f>
        <v>0</v>
      </c>
      <c r="T141" s="665">
        <f t="shared" ref="T141:T151" si="148">(N141-R141)*0.0145</f>
        <v>0</v>
      </c>
      <c r="U141" s="666">
        <f t="shared" si="143"/>
        <v>0</v>
      </c>
      <c r="V141" s="666">
        <f t="shared" ref="V141:V151" si="149">IF(N141&gt;=7000,7000*0.0144,IF(N141&lt;=7000,N141*0.0144))</f>
        <v>0</v>
      </c>
      <c r="W141" s="665">
        <f>AT141</f>
        <v>0</v>
      </c>
      <c r="X141" s="665">
        <f t="shared" ref="X141:X151" si="150">+AN141*6</f>
        <v>0</v>
      </c>
      <c r="Y141" s="665">
        <f>+AN141*6</f>
        <v>0</v>
      </c>
      <c r="Z141" s="361">
        <f t="shared" ref="Z141:Z151" si="151">SUM(N141:Y141)</f>
        <v>0.05</v>
      </c>
      <c r="AB141" s="362"/>
      <c r="AC141" s="927">
        <f t="shared" si="144"/>
        <v>0</v>
      </c>
      <c r="AD141" s="668"/>
      <c r="AE141" s="669" t="str">
        <f t="shared" ref="AE141:AE151" si="152">IF(ISNA(VLOOKUP(AD141,$A$225:$E$265,4,FALSE)),"0",VLOOKUP(AD141,$A$225:$E$265,4,FALSE))</f>
        <v>0</v>
      </c>
      <c r="AF141" s="670"/>
      <c r="AG141" s="669" t="str">
        <f t="shared" ref="AG141:AG151" si="153">IF(ISNA(VLOOKUP(AF141,$A$252:$E$265,4,FALSE)),"0",VLOOKUP(AF141,$A$252:$E$265,4,FALSE))</f>
        <v>0</v>
      </c>
      <c r="AH141" s="670"/>
      <c r="AI141" s="364" t="str">
        <f t="shared" ref="AI141:AI151" si="154">IF(ISNA(VLOOKUP(AH141,$A$225:$E$265,4,FALSE)),"0",VLOOKUP(AH141,$A$225:$E$265,4,FALSE))</f>
        <v>0</v>
      </c>
      <c r="AJ141" s="364" t="str">
        <f t="shared" ref="AJ141:AJ151" si="155">IF(ISNA(VLOOKUP(AD141,$A$225:$E$265,5,FALSE)),"0",VLOOKUP(AD141,$A$225:$E$265,5,FALSE))</f>
        <v>0</v>
      </c>
      <c r="AK141" s="364" t="str">
        <f t="shared" ref="AK141:AK151" si="156">IF(ISNA(VLOOKUP(AF141,$A$225:$E$265,5,FALSE)),"0",VLOOKUP(AF141,$A$225:$E$265,5,FALSE))</f>
        <v>0</v>
      </c>
      <c r="AL141" s="364" t="str">
        <f t="shared" ref="AL141:AL151" si="157">IF(ISNA(VLOOKUP(AH141,$A$225:$E$258,5,FALSE)),"0",VLOOKUP(AH141,$A$225:$E$258,5,FALSE))</f>
        <v>0</v>
      </c>
      <c r="AM141" s="365">
        <f>AE141+AG141+AI141</f>
        <v>0</v>
      </c>
      <c r="AN141" s="366">
        <f>AJ141+AK141+AL141</f>
        <v>0</v>
      </c>
      <c r="AO141" s="367">
        <f>SUM(AM141:AN141)</f>
        <v>0</v>
      </c>
      <c r="AP141" s="428">
        <v>8.7999999999999998E-5</v>
      </c>
      <c r="AQ141" s="429">
        <v>2.0000000000000002E-5</v>
      </c>
      <c r="AR141" s="430">
        <v>2.22E-4</v>
      </c>
      <c r="AS141" s="431">
        <v>3.1E-4</v>
      </c>
      <c r="AT141" s="372">
        <f t="shared" ref="AT141:AT151" si="158">SUM((J141*AP141)+(J141*AQ141)+(J141*AR141)+(J141*AS141))*12</f>
        <v>0</v>
      </c>
      <c r="AV141" s="433">
        <f t="shared" ref="AV141:AV151" si="159">J141</f>
        <v>0</v>
      </c>
      <c r="AW141" s="446">
        <f t="shared" ref="AW141:AW151" si="160">NETWORKDAYS(C141,D141)</f>
        <v>0</v>
      </c>
      <c r="AX141" s="435" t="str">
        <f t="shared" ref="AX141:AX151" si="161">IF(ISERROR(AV141/AW141),"",(AV141/AW141))</f>
        <v/>
      </c>
      <c r="AY141" s="376">
        <v>41820</v>
      </c>
      <c r="AZ141" s="437">
        <v>3</v>
      </c>
      <c r="BA141" s="438">
        <f t="shared" ref="BA141:BA151" si="162">AW141-AZ141</f>
        <v>-3</v>
      </c>
      <c r="BB141" s="380" t="str">
        <f>IF(ISERROR(BA141*AX141),"",(BA141*AX141))</f>
        <v/>
      </c>
      <c r="BC141" s="380" t="str">
        <f>IF(ISERROR(AZ141*AX141),"",(AZ141*AX141))</f>
        <v/>
      </c>
      <c r="BD141" s="380">
        <f>IF(ISERROR(SUM(BB141:BC141)),"",((SUM(BB141:BC141))))</f>
        <v>0</v>
      </c>
      <c r="BE141" s="380" t="str">
        <f>IF(ISERROR(BC141*7.65%),"",((BC141*7.65%)))</f>
        <v/>
      </c>
      <c r="BF141" s="380" t="str">
        <f t="shared" ref="BF141:BF151" si="163">IF(ISERROR(BC141*21.17%),"",((BC141*21.17%)))</f>
        <v/>
      </c>
      <c r="BG141" s="381" t="e">
        <f t="shared" ref="BG141:BG151" si="164">SUM(BE141:BF141)+BC141</f>
        <v>#VALUE!</v>
      </c>
      <c r="BH141" s="447"/>
    </row>
    <row r="142" spans="1:61" x14ac:dyDescent="0.2">
      <c r="A142" s="1278"/>
      <c r="B142" s="358">
        <v>2</v>
      </c>
      <c r="C142" s="359"/>
      <c r="D142" s="359"/>
      <c r="E142" s="360" t="s">
        <v>13</v>
      </c>
      <c r="F142" s="675" t="s">
        <v>675</v>
      </c>
      <c r="G142" s="1115" t="s">
        <v>856</v>
      </c>
      <c r="H142" s="675" t="s">
        <v>920</v>
      </c>
      <c r="I142" s="675" t="s">
        <v>921</v>
      </c>
      <c r="J142" s="885">
        <v>39420</v>
      </c>
      <c r="K142" s="672">
        <v>0.03</v>
      </c>
      <c r="L142" s="685">
        <v>1000</v>
      </c>
      <c r="M142" s="697">
        <v>0</v>
      </c>
      <c r="N142" s="1122">
        <f t="shared" si="145"/>
        <v>41602.6</v>
      </c>
      <c r="O142" s="1122"/>
      <c r="P142" s="1122"/>
      <c r="Q142" s="667"/>
      <c r="R142" s="665">
        <f t="shared" si="146"/>
        <v>0</v>
      </c>
      <c r="S142" s="665">
        <f t="shared" si="147"/>
        <v>2579.3611999999998</v>
      </c>
      <c r="T142" s="665">
        <f t="shared" si="148"/>
        <v>603.23770000000002</v>
      </c>
      <c r="U142" s="666">
        <f t="shared" si="143"/>
        <v>42</v>
      </c>
      <c r="V142" s="666">
        <f t="shared" si="149"/>
        <v>100.8</v>
      </c>
      <c r="W142" s="665">
        <f t="shared" ref="W142:W151" si="165">AT142</f>
        <v>302.74559999999997</v>
      </c>
      <c r="X142" s="665">
        <f t="shared" si="150"/>
        <v>11229.18</v>
      </c>
      <c r="Y142" s="665">
        <f t="shared" ref="Y142:Y151" si="166">+AN142*6</f>
        <v>11229.18</v>
      </c>
      <c r="Z142" s="361">
        <f t="shared" si="151"/>
        <v>67689.104500000001</v>
      </c>
      <c r="AB142" s="362"/>
      <c r="AC142" s="1181" t="str">
        <f t="shared" si="144"/>
        <v>Melissa Andresen</v>
      </c>
      <c r="AD142" s="668" t="s">
        <v>516</v>
      </c>
      <c r="AE142" s="669">
        <f t="shared" si="152"/>
        <v>637.86</v>
      </c>
      <c r="AF142" s="670" t="s">
        <v>526</v>
      </c>
      <c r="AG142" s="669">
        <f t="shared" si="153"/>
        <v>0</v>
      </c>
      <c r="AH142" s="670" t="s">
        <v>519</v>
      </c>
      <c r="AI142" s="364">
        <f t="shared" si="154"/>
        <v>7.96</v>
      </c>
      <c r="AJ142" s="364">
        <f t="shared" si="155"/>
        <v>1863.54</v>
      </c>
      <c r="AK142" s="364">
        <f t="shared" si="156"/>
        <v>0</v>
      </c>
      <c r="AL142" s="364">
        <f t="shared" si="157"/>
        <v>7.9899999999999993</v>
      </c>
      <c r="AM142" s="365">
        <f t="shared" ref="AM142:AM151" si="167">AE142+AG142+AI142</f>
        <v>645.82000000000005</v>
      </c>
      <c r="AN142" s="366">
        <f t="shared" ref="AN142:AN151" si="168">AJ142+AK142+AL142</f>
        <v>1871.53</v>
      </c>
      <c r="AO142" s="367">
        <f t="shared" ref="AO142:AO151" si="169">SUM(AM142:AN142)</f>
        <v>2517.35</v>
      </c>
      <c r="AP142" s="428">
        <v>8.7999999999999998E-5</v>
      </c>
      <c r="AQ142" s="429">
        <v>2.0000000000000002E-5</v>
      </c>
      <c r="AR142" s="430">
        <v>2.22E-4</v>
      </c>
      <c r="AS142" s="431">
        <v>3.1E-4</v>
      </c>
      <c r="AT142" s="372">
        <f t="shared" si="158"/>
        <v>302.74559999999997</v>
      </c>
      <c r="AV142" s="433">
        <f t="shared" si="159"/>
        <v>39420</v>
      </c>
      <c r="AW142" s="446">
        <f t="shared" si="160"/>
        <v>0</v>
      </c>
      <c r="AX142" s="435" t="str">
        <f t="shared" si="161"/>
        <v/>
      </c>
      <c r="AY142" s="376">
        <v>41820</v>
      </c>
      <c r="AZ142" s="437">
        <v>3</v>
      </c>
      <c r="BA142" s="438">
        <f t="shared" si="162"/>
        <v>-3</v>
      </c>
      <c r="BB142" s="380" t="str">
        <f t="shared" ref="BB142:BB151" si="170">IF(ISERROR(BA142*AX142),"",(BA142*AX142))</f>
        <v/>
      </c>
      <c r="BC142" s="380" t="str">
        <f t="shared" ref="BC142:BC151" si="171">IF(ISERROR(AZ142*AX142),"",(AZ142*AX142))</f>
        <v/>
      </c>
      <c r="BD142" s="380">
        <f t="shared" ref="BD142:BD151" si="172">IF(ISERROR(SUM(BB142:BC142)),"",((SUM(BB142:BC142))))</f>
        <v>0</v>
      </c>
      <c r="BE142" s="380" t="str">
        <f t="shared" ref="BE142:BE151" si="173">IF(ISERROR(BC142*7.65%),"",((BC142*7.65%)))</f>
        <v/>
      </c>
      <c r="BF142" s="380" t="str">
        <f t="shared" si="163"/>
        <v/>
      </c>
      <c r="BG142" s="381" t="e">
        <f t="shared" si="164"/>
        <v>#VALUE!</v>
      </c>
      <c r="BH142" s="447"/>
    </row>
    <row r="143" spans="1:61" x14ac:dyDescent="0.2">
      <c r="A143" s="1201"/>
      <c r="B143" s="358">
        <v>3</v>
      </c>
      <c r="C143" s="359"/>
      <c r="D143" s="359"/>
      <c r="E143" s="360" t="s">
        <v>13</v>
      </c>
      <c r="F143" s="675" t="s">
        <v>1413</v>
      </c>
      <c r="G143" s="1115" t="s">
        <v>1564</v>
      </c>
      <c r="H143" s="675" t="s">
        <v>1565</v>
      </c>
      <c r="I143" s="675" t="s">
        <v>919</v>
      </c>
      <c r="J143" s="885">
        <v>34000</v>
      </c>
      <c r="K143" s="672">
        <v>0</v>
      </c>
      <c r="L143" s="685"/>
      <c r="M143" s="697"/>
      <c r="N143" s="1122">
        <f t="shared" si="145"/>
        <v>34000</v>
      </c>
      <c r="O143" s="1122"/>
      <c r="P143" s="1122"/>
      <c r="Q143" s="667">
        <v>0.05</v>
      </c>
      <c r="R143" s="665">
        <f t="shared" si="146"/>
        <v>1700</v>
      </c>
      <c r="S143" s="665">
        <f t="shared" si="147"/>
        <v>2002.6</v>
      </c>
      <c r="T143" s="665">
        <f t="shared" si="148"/>
        <v>468.35</v>
      </c>
      <c r="U143" s="666">
        <f t="shared" si="143"/>
        <v>42</v>
      </c>
      <c r="V143" s="666">
        <f t="shared" si="149"/>
        <v>100.8</v>
      </c>
      <c r="W143" s="665">
        <f t="shared" si="165"/>
        <v>261.12</v>
      </c>
      <c r="X143" s="665">
        <f t="shared" si="150"/>
        <v>0</v>
      </c>
      <c r="Y143" s="665">
        <f t="shared" si="166"/>
        <v>0</v>
      </c>
      <c r="Z143" s="361">
        <f t="shared" si="151"/>
        <v>38574.920000000006</v>
      </c>
      <c r="AB143" s="362"/>
      <c r="AC143" s="1181" t="str">
        <f t="shared" si="144"/>
        <v>Marisol Connell</v>
      </c>
      <c r="AD143" s="668" t="s">
        <v>526</v>
      </c>
      <c r="AE143" s="669">
        <f t="shared" si="152"/>
        <v>0</v>
      </c>
      <c r="AF143" s="670" t="s">
        <v>526</v>
      </c>
      <c r="AG143" s="669">
        <f t="shared" si="153"/>
        <v>0</v>
      </c>
      <c r="AH143" s="670" t="s">
        <v>526</v>
      </c>
      <c r="AI143" s="364">
        <f t="shared" si="154"/>
        <v>0</v>
      </c>
      <c r="AJ143" s="364">
        <f t="shared" si="155"/>
        <v>0</v>
      </c>
      <c r="AK143" s="364">
        <f t="shared" si="156"/>
        <v>0</v>
      </c>
      <c r="AL143" s="364">
        <f t="shared" si="157"/>
        <v>0</v>
      </c>
      <c r="AM143" s="365">
        <f t="shared" si="167"/>
        <v>0</v>
      </c>
      <c r="AN143" s="366">
        <f t="shared" si="168"/>
        <v>0</v>
      </c>
      <c r="AO143" s="367">
        <f t="shared" si="169"/>
        <v>0</v>
      </c>
      <c r="AP143" s="428">
        <v>8.7999999999999998E-5</v>
      </c>
      <c r="AQ143" s="429">
        <v>2.0000000000000002E-5</v>
      </c>
      <c r="AR143" s="430">
        <v>2.22E-4</v>
      </c>
      <c r="AS143" s="431">
        <v>3.1E-4</v>
      </c>
      <c r="AT143" s="372">
        <f t="shared" si="158"/>
        <v>261.12</v>
      </c>
      <c r="AV143" s="433">
        <f t="shared" si="159"/>
        <v>34000</v>
      </c>
      <c r="AW143" s="446">
        <f t="shared" si="160"/>
        <v>0</v>
      </c>
      <c r="AX143" s="435" t="str">
        <f t="shared" si="161"/>
        <v/>
      </c>
      <c r="AY143" s="376">
        <v>41820</v>
      </c>
      <c r="AZ143" s="437">
        <v>3</v>
      </c>
      <c r="BA143" s="438">
        <f t="shared" si="162"/>
        <v>-3</v>
      </c>
      <c r="BB143" s="380" t="str">
        <f t="shared" si="170"/>
        <v/>
      </c>
      <c r="BC143" s="380" t="str">
        <f t="shared" si="171"/>
        <v/>
      </c>
      <c r="BD143" s="380">
        <f t="shared" si="172"/>
        <v>0</v>
      </c>
      <c r="BE143" s="380" t="str">
        <f t="shared" si="173"/>
        <v/>
      </c>
      <c r="BF143" s="380" t="str">
        <f t="shared" si="163"/>
        <v/>
      </c>
      <c r="BG143" s="381" t="e">
        <f t="shared" si="164"/>
        <v>#VALUE!</v>
      </c>
      <c r="BH143" s="447"/>
    </row>
    <row r="144" spans="1:61" x14ac:dyDescent="0.2">
      <c r="A144" s="1201"/>
      <c r="B144" s="358">
        <v>4</v>
      </c>
      <c r="C144" s="359"/>
      <c r="D144" s="359"/>
      <c r="E144" s="360" t="s">
        <v>13</v>
      </c>
      <c r="F144" s="675" t="s">
        <v>676</v>
      </c>
      <c r="G144" s="1115" t="s">
        <v>1566</v>
      </c>
      <c r="H144" s="675" t="s">
        <v>1567</v>
      </c>
      <c r="I144" s="675" t="s">
        <v>1568</v>
      </c>
      <c r="J144" s="885">
        <v>35000</v>
      </c>
      <c r="K144" s="672">
        <v>0</v>
      </c>
      <c r="L144" s="685"/>
      <c r="M144" s="697"/>
      <c r="N144" s="1122">
        <f t="shared" si="145"/>
        <v>35000</v>
      </c>
      <c r="O144" s="1122"/>
      <c r="P144" s="1122"/>
      <c r="Q144" s="667">
        <v>0.05</v>
      </c>
      <c r="R144" s="665">
        <f t="shared" si="146"/>
        <v>1750</v>
      </c>
      <c r="S144" s="665">
        <f t="shared" si="147"/>
        <v>2061.5</v>
      </c>
      <c r="T144" s="665">
        <f t="shared" si="148"/>
        <v>482.125</v>
      </c>
      <c r="U144" s="666">
        <f t="shared" si="143"/>
        <v>42</v>
      </c>
      <c r="V144" s="666">
        <f t="shared" si="149"/>
        <v>100.8</v>
      </c>
      <c r="W144" s="665">
        <f t="shared" si="165"/>
        <v>268.79999999999995</v>
      </c>
      <c r="X144" s="665">
        <f t="shared" si="150"/>
        <v>3930.3600000000006</v>
      </c>
      <c r="Y144" s="665">
        <f t="shared" si="166"/>
        <v>3930.3600000000006</v>
      </c>
      <c r="Z144" s="361">
        <f t="shared" si="151"/>
        <v>47565.99500000001</v>
      </c>
      <c r="AB144" s="362"/>
      <c r="AC144" s="1181" t="str">
        <f t="shared" si="144"/>
        <v>Lance Cromer</v>
      </c>
      <c r="AD144" s="668" t="s">
        <v>510</v>
      </c>
      <c r="AE144" s="669">
        <f t="shared" si="152"/>
        <v>143.44</v>
      </c>
      <c r="AF144" s="670" t="s">
        <v>511</v>
      </c>
      <c r="AG144" s="669">
        <f t="shared" si="153"/>
        <v>6.92</v>
      </c>
      <c r="AH144" s="670" t="s">
        <v>512</v>
      </c>
      <c r="AI144" s="364">
        <f t="shared" si="154"/>
        <v>1.63</v>
      </c>
      <c r="AJ144" s="364">
        <f t="shared" si="155"/>
        <v>631.8900000000001</v>
      </c>
      <c r="AK144" s="364">
        <f t="shared" si="156"/>
        <v>19.369999999999997</v>
      </c>
      <c r="AL144" s="364">
        <f t="shared" si="157"/>
        <v>3.8</v>
      </c>
      <c r="AM144" s="365">
        <f t="shared" si="167"/>
        <v>151.98999999999998</v>
      </c>
      <c r="AN144" s="366">
        <f t="shared" si="168"/>
        <v>655.06000000000006</v>
      </c>
      <c r="AO144" s="367">
        <f t="shared" si="169"/>
        <v>807.05000000000007</v>
      </c>
      <c r="AP144" s="428">
        <v>8.7999999999999998E-5</v>
      </c>
      <c r="AQ144" s="429">
        <v>2.0000000000000002E-5</v>
      </c>
      <c r="AR144" s="430">
        <v>2.22E-4</v>
      </c>
      <c r="AS144" s="431">
        <v>3.1E-4</v>
      </c>
      <c r="AT144" s="372">
        <f t="shared" si="158"/>
        <v>268.79999999999995</v>
      </c>
      <c r="AV144" s="433">
        <f t="shared" si="159"/>
        <v>35000</v>
      </c>
      <c r="AW144" s="446">
        <f t="shared" si="160"/>
        <v>0</v>
      </c>
      <c r="AX144" s="435" t="str">
        <f t="shared" si="161"/>
        <v/>
      </c>
      <c r="AY144" s="376">
        <v>41820</v>
      </c>
      <c r="AZ144" s="437">
        <v>3</v>
      </c>
      <c r="BA144" s="438">
        <f t="shared" si="162"/>
        <v>-3</v>
      </c>
      <c r="BB144" s="380" t="str">
        <f t="shared" si="170"/>
        <v/>
      </c>
      <c r="BC144" s="380" t="str">
        <f t="shared" si="171"/>
        <v/>
      </c>
      <c r="BD144" s="380">
        <f t="shared" si="172"/>
        <v>0</v>
      </c>
      <c r="BE144" s="380" t="str">
        <f t="shared" si="173"/>
        <v/>
      </c>
      <c r="BF144" s="380" t="str">
        <f t="shared" si="163"/>
        <v/>
      </c>
      <c r="BG144" s="381" t="e">
        <f t="shared" si="164"/>
        <v>#VALUE!</v>
      </c>
      <c r="BH144" s="447"/>
    </row>
    <row r="145" spans="1:61" x14ac:dyDescent="0.2">
      <c r="A145" s="1201"/>
      <c r="B145" s="358">
        <v>5</v>
      </c>
      <c r="C145" s="359"/>
      <c r="D145" s="359"/>
      <c r="E145" s="384" t="s">
        <v>13</v>
      </c>
      <c r="F145" s="675" t="s">
        <v>677</v>
      </c>
      <c r="G145" s="1115" t="s">
        <v>678</v>
      </c>
      <c r="H145" s="675" t="s">
        <v>870</v>
      </c>
      <c r="I145" s="675" t="s">
        <v>922</v>
      </c>
      <c r="J145" s="686">
        <v>102118</v>
      </c>
      <c r="K145" s="672">
        <v>0.03</v>
      </c>
      <c r="L145" s="663">
        <v>2000</v>
      </c>
      <c r="M145" s="697">
        <v>1200</v>
      </c>
      <c r="N145" s="1122">
        <f t="shared" si="145"/>
        <v>108381.54000000001</v>
      </c>
      <c r="O145" s="1122"/>
      <c r="P145" s="1122"/>
      <c r="Q145" s="667">
        <v>0.05</v>
      </c>
      <c r="R145" s="665">
        <f t="shared" si="146"/>
        <v>5419.0770000000011</v>
      </c>
      <c r="S145" s="665">
        <f t="shared" si="147"/>
        <v>6383.6727060000003</v>
      </c>
      <c r="T145" s="665">
        <f t="shared" si="148"/>
        <v>1492.9557135000002</v>
      </c>
      <c r="U145" s="666">
        <f t="shared" si="143"/>
        <v>42</v>
      </c>
      <c r="V145" s="666">
        <f t="shared" si="149"/>
        <v>100.8</v>
      </c>
      <c r="W145" s="665">
        <f>AT145</f>
        <v>784.26623999999993</v>
      </c>
      <c r="X145" s="665">
        <f t="shared" si="150"/>
        <v>7812.48</v>
      </c>
      <c r="Y145" s="665">
        <f t="shared" si="166"/>
        <v>7812.48</v>
      </c>
      <c r="Z145" s="361">
        <f t="shared" si="151"/>
        <v>138229.32165950001</v>
      </c>
      <c r="AB145" s="362"/>
      <c r="AC145" s="1181" t="str">
        <f t="shared" si="144"/>
        <v>Aimee Williams</v>
      </c>
      <c r="AD145" s="668" t="s">
        <v>534</v>
      </c>
      <c r="AE145" s="669">
        <f t="shared" si="152"/>
        <v>266.76</v>
      </c>
      <c r="AF145" s="670" t="s">
        <v>520</v>
      </c>
      <c r="AG145" s="669">
        <f t="shared" si="153"/>
        <v>28.02</v>
      </c>
      <c r="AH145" s="670" t="s">
        <v>521</v>
      </c>
      <c r="AI145" s="364">
        <f t="shared" si="154"/>
        <v>4.88</v>
      </c>
      <c r="AJ145" s="364">
        <f t="shared" si="155"/>
        <v>1257.57</v>
      </c>
      <c r="AK145" s="364">
        <f t="shared" si="156"/>
        <v>38.540000000000006</v>
      </c>
      <c r="AL145" s="364">
        <f t="shared" si="157"/>
        <v>5.97</v>
      </c>
      <c r="AM145" s="365">
        <f>AE145+AG145+AI145</f>
        <v>299.65999999999997</v>
      </c>
      <c r="AN145" s="366">
        <f>AJ145+AK145+AL145</f>
        <v>1302.08</v>
      </c>
      <c r="AO145" s="367">
        <f>SUM(AM145:AN145)</f>
        <v>1601.7399999999998</v>
      </c>
      <c r="AP145" s="368">
        <v>8.7999999999999998E-5</v>
      </c>
      <c r="AQ145" s="369">
        <v>2.0000000000000002E-5</v>
      </c>
      <c r="AR145" s="370">
        <v>2.22E-4</v>
      </c>
      <c r="AS145" s="371">
        <v>3.1E-4</v>
      </c>
      <c r="AT145" s="372">
        <f t="shared" si="158"/>
        <v>784.26623999999993</v>
      </c>
      <c r="AV145" s="433">
        <f t="shared" si="159"/>
        <v>102118</v>
      </c>
      <c r="AW145" s="446">
        <f t="shared" si="160"/>
        <v>0</v>
      </c>
      <c r="AX145" s="435" t="str">
        <f>IF(ISERROR(AV145/AW145),"",(AV145/AW145))</f>
        <v/>
      </c>
      <c r="AY145" s="376">
        <v>41820</v>
      </c>
      <c r="AZ145" s="437">
        <v>3</v>
      </c>
      <c r="BA145" s="438">
        <f>AW145-AZ145</f>
        <v>-3</v>
      </c>
      <c r="BB145" s="380" t="str">
        <f>IF(ISERROR(BA145*AX145),"",(BA145*AX145))</f>
        <v/>
      </c>
      <c r="BC145" s="380" t="str">
        <f>IF(ISERROR(AZ145*AX145),"",(AZ145*AX145))</f>
        <v/>
      </c>
      <c r="BD145" s="380">
        <f>IF(ISERROR(SUM(BB145:BC145)),"",((SUM(BB145:BC145))))</f>
        <v>0</v>
      </c>
      <c r="BE145" s="380" t="str">
        <f>IF(ISERROR(BC145*7.65%),"",((BC145*7.65%)))</f>
        <v/>
      </c>
      <c r="BF145" s="380" t="str">
        <f>IF(ISERROR(BC145*21.17%),"",((BC145*21.17%)))</f>
        <v/>
      </c>
      <c r="BG145" s="381" t="e">
        <f>SUM(BE145:BF145)+BC145</f>
        <v>#VALUE!</v>
      </c>
      <c r="BH145" s="447"/>
    </row>
    <row r="146" spans="1:61" x14ac:dyDescent="0.2">
      <c r="A146" s="1203"/>
      <c r="B146" s="358"/>
      <c r="C146" s="359"/>
      <c r="D146" s="359"/>
      <c r="E146" s="384"/>
      <c r="F146" s="698"/>
      <c r="G146" s="1116"/>
      <c r="H146" s="698"/>
      <c r="I146" s="698"/>
      <c r="J146" s="699"/>
      <c r="K146" s="672"/>
      <c r="L146" s="685"/>
      <c r="M146" s="700"/>
      <c r="N146" s="1122">
        <f t="shared" si="145"/>
        <v>0</v>
      </c>
      <c r="O146" s="1122"/>
      <c r="P146" s="1122"/>
      <c r="Q146" s="667"/>
      <c r="R146" s="665">
        <f t="shared" si="146"/>
        <v>0</v>
      </c>
      <c r="S146" s="665">
        <f t="shared" si="147"/>
        <v>0</v>
      </c>
      <c r="T146" s="665">
        <f t="shared" si="148"/>
        <v>0</v>
      </c>
      <c r="U146" s="666">
        <f t="shared" si="143"/>
        <v>0</v>
      </c>
      <c r="V146" s="666">
        <f t="shared" si="149"/>
        <v>0</v>
      </c>
      <c r="W146" s="665">
        <f t="shared" si="165"/>
        <v>0</v>
      </c>
      <c r="X146" s="665">
        <f t="shared" si="150"/>
        <v>0</v>
      </c>
      <c r="Y146" s="665">
        <f t="shared" si="166"/>
        <v>0</v>
      </c>
      <c r="Z146" s="361">
        <f t="shared" si="151"/>
        <v>0</v>
      </c>
      <c r="AB146" s="362"/>
      <c r="AC146" s="363">
        <f t="shared" si="144"/>
        <v>0</v>
      </c>
      <c r="AD146" s="668" t="s">
        <v>526</v>
      </c>
      <c r="AE146" s="669">
        <f t="shared" si="152"/>
        <v>0</v>
      </c>
      <c r="AF146" s="670" t="s">
        <v>526</v>
      </c>
      <c r="AG146" s="669">
        <f t="shared" si="153"/>
        <v>0</v>
      </c>
      <c r="AH146" s="670" t="s">
        <v>526</v>
      </c>
      <c r="AI146" s="364">
        <f t="shared" si="154"/>
        <v>0</v>
      </c>
      <c r="AJ146" s="364">
        <f t="shared" si="155"/>
        <v>0</v>
      </c>
      <c r="AK146" s="364">
        <f t="shared" si="156"/>
        <v>0</v>
      </c>
      <c r="AL146" s="364">
        <f t="shared" si="157"/>
        <v>0</v>
      </c>
      <c r="AM146" s="365">
        <f t="shared" si="167"/>
        <v>0</v>
      </c>
      <c r="AN146" s="366">
        <f t="shared" si="168"/>
        <v>0</v>
      </c>
      <c r="AO146" s="367">
        <f t="shared" si="169"/>
        <v>0</v>
      </c>
      <c r="AP146" s="368">
        <v>8.7999999999999998E-5</v>
      </c>
      <c r="AQ146" s="369">
        <v>2.0000000000000002E-5</v>
      </c>
      <c r="AR146" s="370">
        <v>2.22E-4</v>
      </c>
      <c r="AS146" s="371">
        <v>3.1E-4</v>
      </c>
      <c r="AT146" s="372">
        <f t="shared" si="158"/>
        <v>0</v>
      </c>
      <c r="AV146" s="433">
        <f t="shared" si="159"/>
        <v>0</v>
      </c>
      <c r="AW146" s="446">
        <f t="shared" si="160"/>
        <v>0</v>
      </c>
      <c r="AX146" s="435" t="str">
        <f t="shared" si="161"/>
        <v/>
      </c>
      <c r="AY146" s="376">
        <v>41820</v>
      </c>
      <c r="AZ146" s="437">
        <v>3</v>
      </c>
      <c r="BA146" s="438">
        <f t="shared" si="162"/>
        <v>-3</v>
      </c>
      <c r="BB146" s="380" t="str">
        <f t="shared" si="170"/>
        <v/>
      </c>
      <c r="BC146" s="380" t="str">
        <f t="shared" si="171"/>
        <v/>
      </c>
      <c r="BD146" s="380">
        <f t="shared" si="172"/>
        <v>0</v>
      </c>
      <c r="BE146" s="380" t="str">
        <f t="shared" si="173"/>
        <v/>
      </c>
      <c r="BF146" s="380" t="str">
        <f t="shared" si="163"/>
        <v/>
      </c>
      <c r="BG146" s="381" t="e">
        <f t="shared" si="164"/>
        <v>#VALUE!</v>
      </c>
      <c r="BH146" s="279"/>
    </row>
    <row r="147" spans="1:61" x14ac:dyDescent="0.2">
      <c r="A147" s="1203"/>
      <c r="B147" s="358">
        <v>6</v>
      </c>
      <c r="C147" s="359"/>
      <c r="D147" s="359"/>
      <c r="E147" s="384" t="s">
        <v>13</v>
      </c>
      <c r="F147" s="681" t="s">
        <v>1414</v>
      </c>
      <c r="G147" s="1117" t="s">
        <v>889</v>
      </c>
      <c r="H147" s="681" t="s">
        <v>890</v>
      </c>
      <c r="I147" s="681" t="s">
        <v>880</v>
      </c>
      <c r="J147" s="1085">
        <v>70200</v>
      </c>
      <c r="K147" s="1253">
        <v>0</v>
      </c>
      <c r="L147" s="685">
        <v>2000</v>
      </c>
      <c r="M147" s="666"/>
      <c r="N147" s="1122">
        <f t="shared" si="145"/>
        <v>72200</v>
      </c>
      <c r="O147" s="1122"/>
      <c r="P147" s="1122"/>
      <c r="Q147" s="667">
        <v>0.05</v>
      </c>
      <c r="R147" s="665">
        <f t="shared" si="146"/>
        <v>3610</v>
      </c>
      <c r="S147" s="665">
        <f t="shared" si="147"/>
        <v>4252.58</v>
      </c>
      <c r="T147" s="665">
        <f t="shared" si="148"/>
        <v>994.55500000000006</v>
      </c>
      <c r="U147" s="666">
        <f t="shared" si="143"/>
        <v>42</v>
      </c>
      <c r="V147" s="666">
        <f t="shared" si="149"/>
        <v>100.8</v>
      </c>
      <c r="W147" s="665">
        <f t="shared" si="165"/>
        <v>539.13599999999997</v>
      </c>
      <c r="X147" s="665">
        <f t="shared" si="150"/>
        <v>8700</v>
      </c>
      <c r="Y147" s="665">
        <f t="shared" si="166"/>
        <v>8700</v>
      </c>
      <c r="Z147" s="361">
        <f t="shared" si="151"/>
        <v>99139.120999999999</v>
      </c>
      <c r="AA147" s="458"/>
      <c r="AB147" s="362"/>
      <c r="AC147" s="1181" t="str">
        <f t="shared" si="144"/>
        <v>BreAnne Kilmer</v>
      </c>
      <c r="AD147" s="668" t="s">
        <v>513</v>
      </c>
      <c r="AE147" s="669">
        <f t="shared" si="152"/>
        <v>339.32</v>
      </c>
      <c r="AF147" s="670" t="s">
        <v>555</v>
      </c>
      <c r="AG147" s="669">
        <f t="shared" si="153"/>
        <v>38.93</v>
      </c>
      <c r="AH147" s="670" t="s">
        <v>521</v>
      </c>
      <c r="AI147" s="364">
        <f t="shared" si="154"/>
        <v>4.88</v>
      </c>
      <c r="AJ147" s="364">
        <f t="shared" si="155"/>
        <v>1400.78</v>
      </c>
      <c r="AK147" s="364">
        <f t="shared" si="156"/>
        <v>43.250000000000007</v>
      </c>
      <c r="AL147" s="364">
        <f t="shared" si="157"/>
        <v>5.97</v>
      </c>
      <c r="AM147" s="365">
        <f t="shared" si="167"/>
        <v>383.13</v>
      </c>
      <c r="AN147" s="366">
        <f t="shared" si="168"/>
        <v>1450</v>
      </c>
      <c r="AO147" s="367">
        <f t="shared" si="169"/>
        <v>1833.13</v>
      </c>
      <c r="AP147" s="368">
        <v>8.7999999999999998E-5</v>
      </c>
      <c r="AQ147" s="369">
        <v>2.0000000000000002E-5</v>
      </c>
      <c r="AR147" s="370">
        <v>2.22E-4</v>
      </c>
      <c r="AS147" s="371">
        <v>3.1E-4</v>
      </c>
      <c r="AT147" s="372">
        <f t="shared" si="158"/>
        <v>539.13599999999997</v>
      </c>
      <c r="AV147" s="433">
        <f t="shared" si="159"/>
        <v>70200</v>
      </c>
      <c r="AW147" s="446">
        <f t="shared" si="160"/>
        <v>0</v>
      </c>
      <c r="AX147" s="435" t="str">
        <f t="shared" si="161"/>
        <v/>
      </c>
      <c r="AY147" s="376">
        <v>41821</v>
      </c>
      <c r="AZ147" s="437">
        <v>3</v>
      </c>
      <c r="BA147" s="438">
        <f t="shared" si="162"/>
        <v>-3</v>
      </c>
      <c r="BB147" s="380" t="str">
        <f t="shared" si="170"/>
        <v/>
      </c>
      <c r="BC147" s="380" t="str">
        <f t="shared" si="171"/>
        <v/>
      </c>
      <c r="BD147" s="380">
        <f t="shared" si="172"/>
        <v>0</v>
      </c>
      <c r="BE147" s="380" t="str">
        <f t="shared" si="173"/>
        <v/>
      </c>
      <c r="BF147" s="380" t="str">
        <f t="shared" si="163"/>
        <v/>
      </c>
      <c r="BG147" s="381" t="e">
        <f t="shared" si="164"/>
        <v>#VALUE!</v>
      </c>
      <c r="BH147" s="447"/>
    </row>
    <row r="148" spans="1:61" x14ac:dyDescent="0.2">
      <c r="A148" s="1203"/>
      <c r="B148" s="358">
        <v>7</v>
      </c>
      <c r="C148" s="359"/>
      <c r="D148" s="359"/>
      <c r="E148" s="384" t="s">
        <v>13</v>
      </c>
      <c r="F148" s="661" t="s">
        <v>1569</v>
      </c>
      <c r="G148" s="921" t="s">
        <v>910</v>
      </c>
      <c r="H148" s="882" t="s">
        <v>879</v>
      </c>
      <c r="I148" s="882" t="s">
        <v>911</v>
      </c>
      <c r="J148" s="886">
        <v>53500</v>
      </c>
      <c r="K148" s="1253">
        <v>0</v>
      </c>
      <c r="L148" s="663">
        <v>1000</v>
      </c>
      <c r="M148" s="664"/>
      <c r="N148" s="1122">
        <f t="shared" si="145"/>
        <v>54500</v>
      </c>
      <c r="O148" s="1122"/>
      <c r="P148" s="1122"/>
      <c r="Q148" s="667">
        <v>0</v>
      </c>
      <c r="R148" s="665">
        <f t="shared" si="146"/>
        <v>0</v>
      </c>
      <c r="S148" s="665">
        <f t="shared" si="147"/>
        <v>3379</v>
      </c>
      <c r="T148" s="665">
        <f t="shared" si="148"/>
        <v>790.25</v>
      </c>
      <c r="U148" s="666">
        <f t="shared" si="143"/>
        <v>42</v>
      </c>
      <c r="V148" s="666">
        <f t="shared" si="149"/>
        <v>100.8</v>
      </c>
      <c r="W148" s="665">
        <f t="shared" si="165"/>
        <v>410.88</v>
      </c>
      <c r="X148" s="665">
        <f t="shared" si="150"/>
        <v>0</v>
      </c>
      <c r="Y148" s="665">
        <f t="shared" si="166"/>
        <v>0</v>
      </c>
      <c r="Z148" s="361">
        <f t="shared" si="151"/>
        <v>59222.93</v>
      </c>
      <c r="AA148" s="458"/>
      <c r="AB148" s="362"/>
      <c r="AC148" s="927" t="str">
        <f t="shared" si="144"/>
        <v>Danielle Whitlow</v>
      </c>
      <c r="AD148" s="668"/>
      <c r="AE148" s="669" t="str">
        <f t="shared" si="152"/>
        <v>0</v>
      </c>
      <c r="AF148" s="670" t="s">
        <v>526</v>
      </c>
      <c r="AG148" s="669">
        <f t="shared" si="153"/>
        <v>0</v>
      </c>
      <c r="AH148" s="670" t="s">
        <v>526</v>
      </c>
      <c r="AI148" s="364">
        <f t="shared" si="154"/>
        <v>0</v>
      </c>
      <c r="AJ148" s="364" t="str">
        <f t="shared" si="155"/>
        <v>0</v>
      </c>
      <c r="AK148" s="364">
        <f t="shared" si="156"/>
        <v>0</v>
      </c>
      <c r="AL148" s="364">
        <f t="shared" si="157"/>
        <v>0</v>
      </c>
      <c r="AM148" s="365">
        <f t="shared" si="167"/>
        <v>0</v>
      </c>
      <c r="AN148" s="366">
        <f t="shared" si="168"/>
        <v>0</v>
      </c>
      <c r="AO148" s="367">
        <f t="shared" si="169"/>
        <v>0</v>
      </c>
      <c r="AP148" s="368">
        <v>8.7999999999999998E-5</v>
      </c>
      <c r="AQ148" s="369">
        <v>2.0000000000000002E-5</v>
      </c>
      <c r="AR148" s="370">
        <v>2.22E-4</v>
      </c>
      <c r="AS148" s="371">
        <v>3.1E-4</v>
      </c>
      <c r="AT148" s="372">
        <f t="shared" si="158"/>
        <v>410.88</v>
      </c>
      <c r="AV148" s="433">
        <f t="shared" si="159"/>
        <v>53500</v>
      </c>
      <c r="AW148" s="446">
        <f t="shared" si="160"/>
        <v>0</v>
      </c>
      <c r="AX148" s="435" t="str">
        <f t="shared" si="161"/>
        <v/>
      </c>
      <c r="AY148" s="376">
        <v>41822</v>
      </c>
      <c r="AZ148" s="437">
        <v>3</v>
      </c>
      <c r="BA148" s="438">
        <f t="shared" si="162"/>
        <v>-3</v>
      </c>
      <c r="BB148" s="380" t="str">
        <f t="shared" si="170"/>
        <v/>
      </c>
      <c r="BC148" s="380" t="str">
        <f t="shared" si="171"/>
        <v/>
      </c>
      <c r="BD148" s="380">
        <f t="shared" si="172"/>
        <v>0</v>
      </c>
      <c r="BE148" s="380" t="str">
        <f t="shared" si="173"/>
        <v/>
      </c>
      <c r="BF148" s="380" t="str">
        <f t="shared" si="163"/>
        <v/>
      </c>
      <c r="BG148" s="381" t="e">
        <f t="shared" si="164"/>
        <v>#VALUE!</v>
      </c>
      <c r="BH148" s="447"/>
    </row>
    <row r="149" spans="1:61" x14ac:dyDescent="0.2">
      <c r="A149" s="1203"/>
      <c r="B149" s="358">
        <v>8</v>
      </c>
      <c r="C149" s="359"/>
      <c r="D149" s="359"/>
      <c r="E149" s="384"/>
      <c r="F149" s="687"/>
      <c r="G149" s="677"/>
      <c r="H149" s="677"/>
      <c r="I149" s="677"/>
      <c r="J149" s="685"/>
      <c r="K149" s="672">
        <v>0</v>
      </c>
      <c r="L149" s="685"/>
      <c r="M149" s="666"/>
      <c r="N149" s="1122">
        <f t="shared" si="145"/>
        <v>0</v>
      </c>
      <c r="O149" s="1122"/>
      <c r="P149" s="1122"/>
      <c r="Q149" s="683">
        <v>0.05</v>
      </c>
      <c r="R149" s="665">
        <f t="shared" si="146"/>
        <v>0</v>
      </c>
      <c r="S149" s="665">
        <f t="shared" si="147"/>
        <v>0</v>
      </c>
      <c r="T149" s="665">
        <f t="shared" si="148"/>
        <v>0</v>
      </c>
      <c r="U149" s="666">
        <f t="shared" si="143"/>
        <v>0</v>
      </c>
      <c r="V149" s="666">
        <f t="shared" si="149"/>
        <v>0</v>
      </c>
      <c r="W149" s="665">
        <f t="shared" si="165"/>
        <v>0</v>
      </c>
      <c r="X149" s="665">
        <f t="shared" si="150"/>
        <v>0</v>
      </c>
      <c r="Y149" s="665">
        <f t="shared" si="166"/>
        <v>0</v>
      </c>
      <c r="Z149" s="361">
        <f t="shared" si="151"/>
        <v>0.05</v>
      </c>
      <c r="AA149" s="458"/>
      <c r="AB149" s="362"/>
      <c r="AC149" s="363">
        <f t="shared" si="144"/>
        <v>0</v>
      </c>
      <c r="AD149" s="668"/>
      <c r="AE149" s="669" t="str">
        <f t="shared" si="152"/>
        <v>0</v>
      </c>
      <c r="AF149" s="670"/>
      <c r="AG149" s="669" t="str">
        <f t="shared" si="153"/>
        <v>0</v>
      </c>
      <c r="AH149" s="670"/>
      <c r="AI149" s="364" t="str">
        <f t="shared" si="154"/>
        <v>0</v>
      </c>
      <c r="AJ149" s="364" t="str">
        <f t="shared" si="155"/>
        <v>0</v>
      </c>
      <c r="AK149" s="364" t="str">
        <f t="shared" si="156"/>
        <v>0</v>
      </c>
      <c r="AL149" s="364" t="str">
        <f t="shared" si="157"/>
        <v>0</v>
      </c>
      <c r="AM149" s="365">
        <f t="shared" si="167"/>
        <v>0</v>
      </c>
      <c r="AN149" s="366">
        <f t="shared" si="168"/>
        <v>0</v>
      </c>
      <c r="AO149" s="367">
        <f t="shared" si="169"/>
        <v>0</v>
      </c>
      <c r="AP149" s="368">
        <v>8.7999999999999998E-5</v>
      </c>
      <c r="AQ149" s="369">
        <v>2.0000000000000002E-5</v>
      </c>
      <c r="AR149" s="370">
        <v>2.22E-4</v>
      </c>
      <c r="AS149" s="371">
        <v>3.1E-4</v>
      </c>
      <c r="AT149" s="372">
        <f t="shared" si="158"/>
        <v>0</v>
      </c>
      <c r="AV149" s="433">
        <f t="shared" si="159"/>
        <v>0</v>
      </c>
      <c r="AW149" s="446">
        <f t="shared" si="160"/>
        <v>0</v>
      </c>
      <c r="AX149" s="435" t="str">
        <f t="shared" si="161"/>
        <v/>
      </c>
      <c r="AY149" s="376">
        <v>41823</v>
      </c>
      <c r="AZ149" s="437">
        <v>3</v>
      </c>
      <c r="BA149" s="438">
        <f t="shared" si="162"/>
        <v>-3</v>
      </c>
      <c r="BB149" s="380" t="str">
        <f t="shared" si="170"/>
        <v/>
      </c>
      <c r="BC149" s="380" t="str">
        <f t="shared" si="171"/>
        <v/>
      </c>
      <c r="BD149" s="380">
        <f t="shared" si="172"/>
        <v>0</v>
      </c>
      <c r="BE149" s="380" t="str">
        <f t="shared" si="173"/>
        <v/>
      </c>
      <c r="BF149" s="380" t="str">
        <f t="shared" si="163"/>
        <v/>
      </c>
      <c r="BG149" s="381" t="e">
        <f t="shared" si="164"/>
        <v>#VALUE!</v>
      </c>
      <c r="BH149" s="447">
        <f>SUM(BC141:BC151)</f>
        <v>0</v>
      </c>
      <c r="BI149" s="279" t="s">
        <v>527</v>
      </c>
    </row>
    <row r="150" spans="1:61" x14ac:dyDescent="0.2">
      <c r="A150" s="1203"/>
      <c r="B150" s="358">
        <v>9</v>
      </c>
      <c r="C150" s="359"/>
      <c r="D150" s="359"/>
      <c r="E150" s="384"/>
      <c r="F150" s="681"/>
      <c r="G150" s="677"/>
      <c r="H150" s="677"/>
      <c r="I150" s="677"/>
      <c r="J150" s="685"/>
      <c r="K150" s="672">
        <v>0</v>
      </c>
      <c r="L150" s="685"/>
      <c r="M150" s="666"/>
      <c r="N150" s="1122">
        <f t="shared" si="145"/>
        <v>0</v>
      </c>
      <c r="O150" s="1122"/>
      <c r="P150" s="1122"/>
      <c r="Q150" s="683"/>
      <c r="R150" s="665">
        <f t="shared" si="146"/>
        <v>0</v>
      </c>
      <c r="S150" s="665">
        <f t="shared" si="147"/>
        <v>0</v>
      </c>
      <c r="T150" s="665">
        <f t="shared" si="148"/>
        <v>0</v>
      </c>
      <c r="U150" s="666">
        <f t="shared" si="143"/>
        <v>0</v>
      </c>
      <c r="V150" s="666">
        <f t="shared" si="149"/>
        <v>0</v>
      </c>
      <c r="W150" s="665">
        <f t="shared" si="165"/>
        <v>0</v>
      </c>
      <c r="X150" s="665">
        <f t="shared" si="150"/>
        <v>0</v>
      </c>
      <c r="Y150" s="665">
        <f t="shared" si="166"/>
        <v>0</v>
      </c>
      <c r="Z150" s="361">
        <f t="shared" si="151"/>
        <v>0</v>
      </c>
      <c r="AA150" s="1287" t="s">
        <v>538</v>
      </c>
      <c r="AB150" s="362"/>
      <c r="AC150" s="363">
        <f t="shared" si="144"/>
        <v>0</v>
      </c>
      <c r="AD150" s="668" t="s">
        <v>526</v>
      </c>
      <c r="AE150" s="669">
        <f t="shared" si="152"/>
        <v>0</v>
      </c>
      <c r="AF150" s="670" t="s">
        <v>526</v>
      </c>
      <c r="AG150" s="669">
        <f t="shared" si="153"/>
        <v>0</v>
      </c>
      <c r="AH150" s="670" t="s">
        <v>526</v>
      </c>
      <c r="AI150" s="364">
        <f t="shared" si="154"/>
        <v>0</v>
      </c>
      <c r="AJ150" s="364">
        <f t="shared" si="155"/>
        <v>0</v>
      </c>
      <c r="AK150" s="364">
        <f t="shared" si="156"/>
        <v>0</v>
      </c>
      <c r="AL150" s="364">
        <f t="shared" si="157"/>
        <v>0</v>
      </c>
      <c r="AM150" s="365">
        <f t="shared" si="167"/>
        <v>0</v>
      </c>
      <c r="AN150" s="366">
        <f t="shared" si="168"/>
        <v>0</v>
      </c>
      <c r="AO150" s="367">
        <f t="shared" si="169"/>
        <v>0</v>
      </c>
      <c r="AP150" s="368">
        <v>8.7999999999999998E-5</v>
      </c>
      <c r="AQ150" s="369">
        <v>2.0000000000000002E-5</v>
      </c>
      <c r="AR150" s="370">
        <v>2.22E-4</v>
      </c>
      <c r="AS150" s="371">
        <v>3.1E-4</v>
      </c>
      <c r="AT150" s="372">
        <f t="shared" si="158"/>
        <v>0</v>
      </c>
      <c r="AV150" s="433">
        <f t="shared" si="159"/>
        <v>0</v>
      </c>
      <c r="AW150" s="446">
        <f t="shared" si="160"/>
        <v>0</v>
      </c>
      <c r="AX150" s="435" t="str">
        <f t="shared" si="161"/>
        <v/>
      </c>
      <c r="AY150" s="376">
        <v>41824</v>
      </c>
      <c r="AZ150" s="437">
        <v>3</v>
      </c>
      <c r="BA150" s="438">
        <f t="shared" si="162"/>
        <v>-3</v>
      </c>
      <c r="BB150" s="380" t="str">
        <f t="shared" si="170"/>
        <v/>
      </c>
      <c r="BC150" s="380" t="str">
        <f t="shared" si="171"/>
        <v/>
      </c>
      <c r="BD150" s="380">
        <f t="shared" si="172"/>
        <v>0</v>
      </c>
      <c r="BE150" s="380" t="str">
        <f t="shared" si="173"/>
        <v/>
      </c>
      <c r="BF150" s="380" t="str">
        <f t="shared" si="163"/>
        <v/>
      </c>
      <c r="BG150" s="381" t="e">
        <f t="shared" si="164"/>
        <v>#VALUE!</v>
      </c>
      <c r="BH150" s="447">
        <f>SUM(BE141:BE151)</f>
        <v>0</v>
      </c>
      <c r="BI150" s="279" t="s">
        <v>504</v>
      </c>
    </row>
    <row r="151" spans="1:61" x14ac:dyDescent="0.2">
      <c r="A151" s="1203"/>
      <c r="B151" s="358"/>
      <c r="C151" s="359"/>
      <c r="D151" s="359"/>
      <c r="E151" s="384"/>
      <c r="F151" s="681"/>
      <c r="G151" s="676"/>
      <c r="H151" s="676"/>
      <c r="I151" s="676"/>
      <c r="J151" s="678"/>
      <c r="K151" s="672">
        <v>0</v>
      </c>
      <c r="L151" s="685"/>
      <c r="M151" s="666"/>
      <c r="N151" s="1122">
        <f t="shared" si="145"/>
        <v>0</v>
      </c>
      <c r="O151" s="1122"/>
      <c r="P151" s="1122"/>
      <c r="Q151" s="683"/>
      <c r="R151" s="665">
        <f t="shared" si="146"/>
        <v>0</v>
      </c>
      <c r="S151" s="665">
        <f t="shared" si="147"/>
        <v>0</v>
      </c>
      <c r="T151" s="665">
        <f t="shared" si="148"/>
        <v>0</v>
      </c>
      <c r="U151" s="666">
        <f t="shared" si="143"/>
        <v>0</v>
      </c>
      <c r="V151" s="666">
        <f t="shared" si="149"/>
        <v>0</v>
      </c>
      <c r="W151" s="665">
        <f t="shared" si="165"/>
        <v>0</v>
      </c>
      <c r="X151" s="665">
        <f t="shared" si="150"/>
        <v>0</v>
      </c>
      <c r="Y151" s="665">
        <f t="shared" si="166"/>
        <v>0</v>
      </c>
      <c r="Z151" s="361">
        <f t="shared" si="151"/>
        <v>0</v>
      </c>
      <c r="AA151" s="1287"/>
      <c r="AB151" s="362"/>
      <c r="AC151" s="363">
        <f t="shared" si="144"/>
        <v>0</v>
      </c>
      <c r="AD151" s="668" t="s">
        <v>526</v>
      </c>
      <c r="AE151" s="669">
        <f t="shared" si="152"/>
        <v>0</v>
      </c>
      <c r="AF151" s="670" t="s">
        <v>526</v>
      </c>
      <c r="AG151" s="669">
        <f t="shared" si="153"/>
        <v>0</v>
      </c>
      <c r="AH151" s="670" t="s">
        <v>526</v>
      </c>
      <c r="AI151" s="364">
        <f t="shared" si="154"/>
        <v>0</v>
      </c>
      <c r="AJ151" s="364">
        <f t="shared" si="155"/>
        <v>0</v>
      </c>
      <c r="AK151" s="364">
        <f t="shared" si="156"/>
        <v>0</v>
      </c>
      <c r="AL151" s="364">
        <f t="shared" si="157"/>
        <v>0</v>
      </c>
      <c r="AM151" s="365">
        <f t="shared" si="167"/>
        <v>0</v>
      </c>
      <c r="AN151" s="366">
        <f t="shared" si="168"/>
        <v>0</v>
      </c>
      <c r="AO151" s="367">
        <f t="shared" si="169"/>
        <v>0</v>
      </c>
      <c r="AP151" s="368">
        <v>8.7999999999999998E-5</v>
      </c>
      <c r="AQ151" s="369">
        <v>2.0000000000000002E-5</v>
      </c>
      <c r="AR151" s="370">
        <v>2.22E-4</v>
      </c>
      <c r="AS151" s="371">
        <v>3.1E-4</v>
      </c>
      <c r="AT151" s="372">
        <f t="shared" si="158"/>
        <v>0</v>
      </c>
      <c r="AV151" s="433">
        <f t="shared" si="159"/>
        <v>0</v>
      </c>
      <c r="AW151" s="446">
        <f t="shared" si="160"/>
        <v>0</v>
      </c>
      <c r="AX151" s="435" t="str">
        <f t="shared" si="161"/>
        <v/>
      </c>
      <c r="AY151" s="376">
        <v>41825</v>
      </c>
      <c r="AZ151" s="437">
        <v>3</v>
      </c>
      <c r="BA151" s="438">
        <f t="shared" si="162"/>
        <v>-3</v>
      </c>
      <c r="BB151" s="380" t="str">
        <f t="shared" si="170"/>
        <v/>
      </c>
      <c r="BC151" s="380" t="str">
        <f t="shared" si="171"/>
        <v/>
      </c>
      <c r="BD151" s="380">
        <f t="shared" si="172"/>
        <v>0</v>
      </c>
      <c r="BE151" s="380" t="str">
        <f t="shared" si="173"/>
        <v/>
      </c>
      <c r="BF151" s="380" t="str">
        <f t="shared" si="163"/>
        <v/>
      </c>
      <c r="BG151" s="381" t="e">
        <f t="shared" si="164"/>
        <v>#VALUE!</v>
      </c>
      <c r="BH151" s="447">
        <f>SUM(BF141:BF151)</f>
        <v>0</v>
      </c>
      <c r="BI151" s="279" t="s">
        <v>505</v>
      </c>
    </row>
    <row r="152" spans="1:61" ht="13.5" thickBot="1" x14ac:dyDescent="0.25">
      <c r="A152" s="392"/>
      <c r="B152" s="392"/>
      <c r="C152" s="392"/>
      <c r="D152" s="392"/>
      <c r="E152" s="392"/>
      <c r="F152" s="393"/>
      <c r="G152" s="393"/>
      <c r="H152" s="393"/>
      <c r="I152" s="393"/>
      <c r="J152" s="395"/>
      <c r="K152" s="394"/>
      <c r="L152" s="395"/>
      <c r="M152" s="396"/>
      <c r="N152" s="1123"/>
      <c r="O152" s="1123"/>
      <c r="P152" s="1123"/>
      <c r="Q152" s="396"/>
      <c r="R152" s="396"/>
      <c r="S152" s="396"/>
      <c r="T152" s="396"/>
      <c r="U152" s="666">
        <f t="shared" si="143"/>
        <v>0</v>
      </c>
      <c r="V152" s="396"/>
      <c r="W152" s="396"/>
      <c r="X152" s="396"/>
      <c r="Y152" s="396"/>
      <c r="Z152" s="397"/>
      <c r="AA152" s="398">
        <f>SUM(Z141:Z151)</f>
        <v>450421.49215950002</v>
      </c>
      <c r="AB152" s="399"/>
      <c r="AC152" s="400"/>
      <c r="AD152" s="401"/>
      <c r="AE152" s="402"/>
      <c r="AF152" s="401"/>
      <c r="AG152" s="402"/>
      <c r="AH152" s="401"/>
      <c r="AI152" s="402"/>
      <c r="AJ152" s="402"/>
      <c r="AK152" s="402"/>
      <c r="AL152" s="402"/>
      <c r="AM152" s="403"/>
      <c r="AN152" s="404"/>
      <c r="AO152" s="405"/>
      <c r="AP152" s="406"/>
      <c r="AQ152" s="407"/>
      <c r="AR152" s="408"/>
      <c r="AS152" s="409"/>
      <c r="AT152" s="410"/>
      <c r="AU152" s="411"/>
      <c r="AV152" s="412"/>
      <c r="AW152" s="413"/>
      <c r="AX152" s="414"/>
      <c r="AY152" s="415"/>
      <c r="AZ152" s="416"/>
      <c r="BA152" s="417"/>
      <c r="BB152" s="418"/>
      <c r="BC152" s="418"/>
      <c r="BD152" s="418"/>
      <c r="BE152" s="418"/>
      <c r="BF152" s="419"/>
      <c r="BG152" s="420"/>
      <c r="BH152" s="421">
        <f>SUM(BH147:BH151)</f>
        <v>0</v>
      </c>
      <c r="BI152" s="422" t="str">
        <f>AA150</f>
        <v>Administration - Office of Principal</v>
      </c>
    </row>
    <row r="153" spans="1:61" x14ac:dyDescent="0.2">
      <c r="A153" s="325" t="s">
        <v>539</v>
      </c>
      <c r="B153" s="325">
        <v>1</v>
      </c>
      <c r="E153" s="325" t="s">
        <v>13</v>
      </c>
      <c r="F153" s="675" t="s">
        <v>1410</v>
      </c>
      <c r="G153" s="1115" t="s">
        <v>1477</v>
      </c>
      <c r="H153" s="675" t="s">
        <v>1369</v>
      </c>
      <c r="I153" s="675" t="s">
        <v>1478</v>
      </c>
      <c r="J153" s="923">
        <v>51555</v>
      </c>
      <c r="K153" s="672">
        <v>0.03</v>
      </c>
      <c r="L153" s="685">
        <v>2000</v>
      </c>
      <c r="M153" s="702"/>
      <c r="N153" s="1124">
        <f>J153*(1+K153)+L153+M153</f>
        <v>55101.65</v>
      </c>
      <c r="O153" s="1124"/>
      <c r="P153" s="1124"/>
      <c r="Q153" s="689">
        <v>0.05</v>
      </c>
      <c r="R153" s="703">
        <f>N153*Q153</f>
        <v>2755.0825000000004</v>
      </c>
      <c r="S153" s="665">
        <f>(N153-R153)*0.062</f>
        <v>3245.4871850000004</v>
      </c>
      <c r="T153" s="665">
        <f>(N153-R153)*0.0145</f>
        <v>759.02522875000011</v>
      </c>
      <c r="U153" s="666">
        <f t="shared" si="143"/>
        <v>42</v>
      </c>
      <c r="V153" s="666">
        <f>IF(N153&gt;=7000,7000*0.0144,IF(N153&lt;=7000,N153*0.0144))</f>
        <v>100.8</v>
      </c>
      <c r="W153" s="703">
        <f>AT153</f>
        <v>395.94239999999996</v>
      </c>
      <c r="X153" s="665">
        <f>+AN153*6</f>
        <v>8700</v>
      </c>
      <c r="Y153" s="665">
        <f>+AN153*6</f>
        <v>8700</v>
      </c>
      <c r="Z153" s="704">
        <f>SUM(N153:Y153)</f>
        <v>79800.037313749999</v>
      </c>
      <c r="AA153" s="459"/>
      <c r="AB153" s="362"/>
      <c r="AC153" s="1183" t="str">
        <f>G153</f>
        <v>Theresa Briggs</v>
      </c>
      <c r="AD153" s="668" t="s">
        <v>513</v>
      </c>
      <c r="AE153" s="669">
        <f>IF(ISNA(VLOOKUP(AD153,$A$226:$E$266,4,FALSE)),"0",VLOOKUP(AD153,$A$226:$E$266,4,FALSE))</f>
        <v>339.32</v>
      </c>
      <c r="AF153" s="670" t="s">
        <v>555</v>
      </c>
      <c r="AG153" s="669">
        <f>IF(ISNA(VLOOKUP(AF153,$A$253:$E$266,4,FALSE)),"0",VLOOKUP(AF153,$A$253:$E$266,4,FALSE))</f>
        <v>38.93</v>
      </c>
      <c r="AH153" s="670" t="s">
        <v>521</v>
      </c>
      <c r="AI153" s="364">
        <f>IF(ISNA(VLOOKUP(AH153,$A$226:$E$266,4,FALSE)),"0",VLOOKUP(AH153,$A$226:$E$266,4,FALSE))</f>
        <v>4.88</v>
      </c>
      <c r="AJ153" s="705">
        <f>IF(ISNA(VLOOKUP(AD153,$A$226:$E$266,5,FALSE)),"0",VLOOKUP(AD153,$A$226:$E$266,5,FALSE))</f>
        <v>1400.78</v>
      </c>
      <c r="AK153" s="705">
        <f>IF(ISNA(VLOOKUP(AF153,$A$226:$E$266,5,FALSE)),"0",VLOOKUP(AF153,$A$226:$E$266,5,FALSE))</f>
        <v>43.250000000000007</v>
      </c>
      <c r="AL153" s="705">
        <f>IF(ISNA(VLOOKUP(AH153,$A$226:$E$259,5,FALSE)),"0",VLOOKUP(AH153,$A$226:$E$259,5,FALSE))</f>
        <v>5.97</v>
      </c>
      <c r="AM153" s="365">
        <f>AE153+AG153+AI153</f>
        <v>383.13</v>
      </c>
      <c r="AN153" s="366">
        <f>AJ153+AK153+AL153</f>
        <v>1450</v>
      </c>
      <c r="AO153" s="367">
        <f>SUM(AM153:AN153)</f>
        <v>1833.13</v>
      </c>
      <c r="AP153" s="368">
        <v>8.7999999999999998E-5</v>
      </c>
      <c r="AQ153" s="369">
        <v>2.0000000000000002E-5</v>
      </c>
      <c r="AR153" s="370">
        <v>2.22E-4</v>
      </c>
      <c r="AS153" s="371">
        <v>3.1E-4</v>
      </c>
      <c r="AT153" s="372">
        <f>SUM((J153*AP153)+(J153*AQ153)+(J153*AR153)+(J153*AS153))*12</f>
        <v>395.94239999999996</v>
      </c>
      <c r="AV153" s="373">
        <f>J153</f>
        <v>51555</v>
      </c>
      <c r="AW153" s="374">
        <f>NETWORKDAYS(C153,D153)</f>
        <v>0</v>
      </c>
      <c r="AX153" s="375" t="str">
        <f>IF(ISERROR(AV153/AW153),"",(AV153/AW153))</f>
        <v/>
      </c>
      <c r="AY153" s="376">
        <v>41820</v>
      </c>
      <c r="AZ153" s="377">
        <f>NETWORKDAYS(AY153,D153)</f>
        <v>-29871</v>
      </c>
      <c r="BA153" s="378">
        <f>AW153-AZ153</f>
        <v>29871</v>
      </c>
      <c r="BB153" s="379" t="str">
        <f>IF(ISERROR(BA153*AX153),"",(BA153*AX153))</f>
        <v/>
      </c>
      <c r="BC153" s="379" t="str">
        <f>IF(ISERROR(AZ153*AX153),"",(AZ153*AX153))</f>
        <v/>
      </c>
      <c r="BD153" s="379">
        <f>IF(ISERROR(SUM(BB153:BC153)),"",((SUM(BB153:BC153))))</f>
        <v>0</v>
      </c>
      <c r="BE153" s="379" t="str">
        <f>IF(ISERROR(BC153*7.65%),"",((BC153*7.65%)))</f>
        <v/>
      </c>
      <c r="BF153" s="380" t="str">
        <f>IF(ISERROR(BC153*21.17%),"",((BC153*21.17%)))</f>
        <v/>
      </c>
      <c r="BG153" s="381" t="e">
        <f>SUM(BE153:BF153)+BC153</f>
        <v>#VALUE!</v>
      </c>
      <c r="BH153" s="447">
        <f>SUM(BC153:BC155)</f>
        <v>0</v>
      </c>
      <c r="BI153" s="279" t="s">
        <v>527</v>
      </c>
    </row>
    <row r="154" spans="1:61" x14ac:dyDescent="0.2">
      <c r="B154" s="385">
        <v>2</v>
      </c>
      <c r="C154" s="384"/>
      <c r="D154" s="384"/>
      <c r="E154" s="384" t="s">
        <v>13</v>
      </c>
      <c r="F154" s="675" t="s">
        <v>679</v>
      </c>
      <c r="G154" s="1115" t="s">
        <v>1411</v>
      </c>
      <c r="H154" s="675" t="s">
        <v>1412</v>
      </c>
      <c r="I154" s="675" t="s">
        <v>899</v>
      </c>
      <c r="J154" s="686">
        <v>41580</v>
      </c>
      <c r="K154" s="1253">
        <v>0.03</v>
      </c>
      <c r="L154" s="685">
        <v>2000</v>
      </c>
      <c r="M154" s="666"/>
      <c r="N154" s="1122">
        <f>J154*(1+K154)+L154+M154</f>
        <v>44827.4</v>
      </c>
      <c r="O154" s="1122"/>
      <c r="P154" s="1122"/>
      <c r="Q154" s="1082">
        <v>0.05</v>
      </c>
      <c r="R154" s="665">
        <f>N154*Q154</f>
        <v>2241.3700000000003</v>
      </c>
      <c r="S154" s="665">
        <f>(N154-R154)*0.062</f>
        <v>2640.3338599999997</v>
      </c>
      <c r="T154" s="665">
        <f>(N154-R154)*0.0145</f>
        <v>617.497435</v>
      </c>
      <c r="U154" s="666">
        <f t="shared" si="143"/>
        <v>42</v>
      </c>
      <c r="V154" s="666">
        <f>IF(N154&gt;=7000,7000*0.0144,IF(N154&lt;=7000,N154*0.0144))</f>
        <v>100.8</v>
      </c>
      <c r="W154" s="665">
        <f>AT154</f>
        <v>319.33439999999996</v>
      </c>
      <c r="X154" s="665">
        <f>+AN154*6</f>
        <v>3947.4600000000005</v>
      </c>
      <c r="Y154" s="665">
        <f>+AN154*6</f>
        <v>3947.4600000000005</v>
      </c>
      <c r="Z154" s="361">
        <f>SUM(N154:Y154)</f>
        <v>58683.705695000004</v>
      </c>
      <c r="AB154" s="362"/>
      <c r="AC154" s="1182" t="str">
        <f>G154</f>
        <v>Dorothy (Jeannie) Murphy</v>
      </c>
      <c r="AD154" s="668" t="s">
        <v>510</v>
      </c>
      <c r="AE154" s="669">
        <f>IF(ISNA(VLOOKUP(AD154,$A$226:$E$266,4,FALSE)),"0",VLOOKUP(AD154,$A$226:$E$266,4,FALSE))</f>
        <v>143.44</v>
      </c>
      <c r="AF154" s="670" t="s">
        <v>525</v>
      </c>
      <c r="AG154" s="669">
        <f>IF(ISNA(VLOOKUP(AF154,$A$253:$E$266,4,FALSE)),"0",VLOOKUP(AF154,$A$253:$E$266,4,FALSE))</f>
        <v>10.25</v>
      </c>
      <c r="AH154" s="670" t="s">
        <v>512</v>
      </c>
      <c r="AI154" s="364">
        <f>IF(ISNA(VLOOKUP(AH154,$A$226:$E$266,4,FALSE)),"0",VLOOKUP(AH154,$A$226:$E$266,4,FALSE))</f>
        <v>1.63</v>
      </c>
      <c r="AJ154" s="669">
        <f>IF(ISNA(VLOOKUP(AD154,$A$226:$E$266,5,FALSE)),"0",VLOOKUP(AD154,$A$226:$E$266,5,FALSE))</f>
        <v>631.8900000000001</v>
      </c>
      <c r="AK154" s="669">
        <f>IF(ISNA(VLOOKUP(AF154,$A$226:$E$266,5,FALSE)),"0",VLOOKUP(AF154,$A$226:$E$266,5,FALSE))</f>
        <v>22.22</v>
      </c>
      <c r="AL154" s="669">
        <f>IF(ISNA(VLOOKUP(AH154,$A$226:$E$259,5,FALSE)),"0",VLOOKUP(AH154,$A$226:$E$259,5,FALSE))</f>
        <v>3.8</v>
      </c>
      <c r="AM154" s="365">
        <f>AE154+AG154+AI154</f>
        <v>155.32</v>
      </c>
      <c r="AN154" s="366">
        <f>AJ154+AK154+AL154</f>
        <v>657.91000000000008</v>
      </c>
      <c r="AO154" s="367">
        <f>SUM(AM154:AN154)</f>
        <v>813.23</v>
      </c>
      <c r="AP154" s="368">
        <v>8.7999999999999998E-5</v>
      </c>
      <c r="AQ154" s="369">
        <v>2.0000000000000002E-5</v>
      </c>
      <c r="AR154" s="370">
        <v>2.22E-4</v>
      </c>
      <c r="AS154" s="371">
        <v>3.1E-4</v>
      </c>
      <c r="AT154" s="372">
        <f>SUM((J154*AP154)+(J154*AQ154)+(J154*AR154)+(J154*AS154))*12</f>
        <v>319.33439999999996</v>
      </c>
      <c r="AV154" s="373">
        <f>J154</f>
        <v>41580</v>
      </c>
      <c r="AW154" s="374">
        <f>NETWORKDAYS(C154,D154)</f>
        <v>0</v>
      </c>
      <c r="AX154" s="375" t="str">
        <f>IF(ISERROR(AV154/AW154),"",(AV154/AW154))</f>
        <v/>
      </c>
      <c r="AY154" s="376">
        <v>41820</v>
      </c>
      <c r="AZ154" s="377">
        <f>NETWORKDAYS(AY154,D154)</f>
        <v>-29871</v>
      </c>
      <c r="BA154" s="378">
        <f>AW154-AZ154</f>
        <v>29871</v>
      </c>
      <c r="BB154" s="379" t="str">
        <f>IF(ISERROR(BA154*AX154),"",(BA154*AX154))</f>
        <v/>
      </c>
      <c r="BC154" s="379" t="str">
        <f>IF(ISERROR(AZ154*AX154),"",(AZ154*AX154))</f>
        <v/>
      </c>
      <c r="BD154" s="379">
        <f>IF(ISERROR(SUM(BB154:BC154)),"",((SUM(BB154:BC154))))</f>
        <v>0</v>
      </c>
      <c r="BE154" s="379" t="str">
        <f>IF(ISERROR(BC154*7.65%),"",((BC154*7.65%)))</f>
        <v/>
      </c>
      <c r="BF154" s="380" t="str">
        <f>IF(ISERROR(BC154*21.17%),"",((BC154*21.17%)))</f>
        <v/>
      </c>
      <c r="BG154" s="381" t="e">
        <f>SUM(BE154:BF154)+BC154</f>
        <v>#VALUE!</v>
      </c>
      <c r="BH154" s="447">
        <f>SUM(BE153:BE155)</f>
        <v>0</v>
      </c>
      <c r="BI154" s="279" t="s">
        <v>504</v>
      </c>
    </row>
    <row r="155" spans="1:61" x14ac:dyDescent="0.2">
      <c r="B155" s="385">
        <v>3</v>
      </c>
      <c r="C155" s="384"/>
      <c r="D155" s="384"/>
      <c r="E155" s="384"/>
      <c r="F155" s="681"/>
      <c r="G155" s="681"/>
      <c r="H155" s="681"/>
      <c r="I155" s="681"/>
      <c r="J155" s="685"/>
      <c r="K155" s="672">
        <v>0</v>
      </c>
      <c r="L155" s="685"/>
      <c r="M155" s="666"/>
      <c r="N155" s="1122">
        <f>J155*(1+K155)+L155+M155</f>
        <v>0</v>
      </c>
      <c r="O155" s="1122"/>
      <c r="P155" s="1122"/>
      <c r="Q155" s="683"/>
      <c r="R155" s="665">
        <f>N155*Q155</f>
        <v>0</v>
      </c>
      <c r="S155" s="665">
        <f>(N155-R155)*0.062</f>
        <v>0</v>
      </c>
      <c r="T155" s="665">
        <f>(N155-R155)*0.0145</f>
        <v>0</v>
      </c>
      <c r="U155" s="666">
        <f t="shared" si="143"/>
        <v>0</v>
      </c>
      <c r="V155" s="666">
        <f>IF(N155&gt;=7000,7000*0.0144,IF(N155&lt;=7000,N155*0.0144))</f>
        <v>0</v>
      </c>
      <c r="W155" s="665">
        <f>AT155</f>
        <v>0</v>
      </c>
      <c r="X155" s="665">
        <f>+AN155*6</f>
        <v>0</v>
      </c>
      <c r="Y155" s="665">
        <f>+AN155*6</f>
        <v>0</v>
      </c>
      <c r="Z155" s="361">
        <f>SUM(N155:Y155)</f>
        <v>0</v>
      </c>
      <c r="AA155" s="461" t="s">
        <v>539</v>
      </c>
      <c r="AB155" s="362"/>
      <c r="AC155" s="424">
        <f>G155</f>
        <v>0</v>
      </c>
      <c r="AD155" s="668" t="s">
        <v>526</v>
      </c>
      <c r="AE155" s="669">
        <f>IF(ISNA(VLOOKUP(AD155,$A$226:$E$266,4,FALSE)),"0",VLOOKUP(AD155,$A$226:$E$266,4,FALSE))</f>
        <v>0</v>
      </c>
      <c r="AF155" s="670" t="s">
        <v>526</v>
      </c>
      <c r="AG155" s="669">
        <f>IF(ISNA(VLOOKUP(AF155,$A$253:$E$266,4,FALSE)),"0",VLOOKUP(AF155,$A$253:$E$266,4,FALSE))</f>
        <v>0</v>
      </c>
      <c r="AH155" s="670" t="s">
        <v>526</v>
      </c>
      <c r="AI155" s="364">
        <f>IF(ISNA(VLOOKUP(AH155,$A$226:$E$266,4,FALSE)),"0",VLOOKUP(AH155,$A$226:$E$266,4,FALSE))</f>
        <v>0</v>
      </c>
      <c r="AJ155" s="669">
        <f>IF(ISNA(VLOOKUP(AD155,$A$226:$E$266,5,FALSE)),"0",VLOOKUP(AD155,$A$226:$E$266,5,FALSE))</f>
        <v>0</v>
      </c>
      <c r="AK155" s="669">
        <f>IF(ISNA(VLOOKUP(AF155,$A$226:$E$266,5,FALSE)),"0",VLOOKUP(AF155,$A$226:$E$266,5,FALSE))</f>
        <v>0</v>
      </c>
      <c r="AL155" s="669">
        <f>IF(ISNA(VLOOKUP(AH155,$A$226:$E$259,5,FALSE)),"0",VLOOKUP(AH155,$A$226:$E$259,5,FALSE))</f>
        <v>0</v>
      </c>
      <c r="AM155" s="365">
        <f>AE155+AG155+AI155</f>
        <v>0</v>
      </c>
      <c r="AN155" s="366">
        <f>AJ155+AK155+AL155</f>
        <v>0</v>
      </c>
      <c r="AO155" s="367">
        <f>SUM(AM155:AN155)</f>
        <v>0</v>
      </c>
      <c r="AP155" s="428">
        <v>8.7999999999999998E-5</v>
      </c>
      <c r="AQ155" s="429">
        <v>2.0000000000000002E-5</v>
      </c>
      <c r="AR155" s="430">
        <v>2.22E-4</v>
      </c>
      <c r="AS155" s="431">
        <v>3.1E-4</v>
      </c>
      <c r="AT155" s="372">
        <f>SUM((J155*AP155)+(J155*AQ155)+(J155*AR155)+(J155*AS155))*12</f>
        <v>0</v>
      </c>
      <c r="AV155" s="433"/>
      <c r="AW155" s="446"/>
      <c r="AX155" s="435"/>
      <c r="AY155" s="376"/>
      <c r="AZ155" s="437"/>
      <c r="BA155" s="438"/>
      <c r="BB155" s="380"/>
      <c r="BC155" s="380"/>
      <c r="BD155" s="380"/>
      <c r="BE155" s="380"/>
      <c r="BF155" s="439"/>
      <c r="BG155" s="381"/>
      <c r="BH155" s="447">
        <f>SUM(BF153:BF155)</f>
        <v>0</v>
      </c>
      <c r="BI155" s="279" t="s">
        <v>505</v>
      </c>
    </row>
    <row r="156" spans="1:61" ht="13.5" thickBot="1" x14ac:dyDescent="0.25">
      <c r="A156" s="392"/>
      <c r="B156" s="462" t="s">
        <v>296</v>
      </c>
      <c r="C156" s="462"/>
      <c r="D156" s="462"/>
      <c r="E156" s="462"/>
      <c r="F156" s="463"/>
      <c r="G156" s="463"/>
      <c r="H156" s="463"/>
      <c r="I156" s="463"/>
      <c r="J156" s="464"/>
      <c r="K156" s="465"/>
      <c r="L156" s="466"/>
      <c r="M156" s="467"/>
      <c r="N156" s="1125"/>
      <c r="O156" s="1125"/>
      <c r="P156" s="1125"/>
      <c r="Q156" s="469"/>
      <c r="R156" s="468"/>
      <c r="S156" s="468"/>
      <c r="T156" s="468"/>
      <c r="U156" s="666">
        <f t="shared" si="143"/>
        <v>0</v>
      </c>
      <c r="V156" s="468"/>
      <c r="W156" s="468"/>
      <c r="X156" s="468"/>
      <c r="Y156" s="468"/>
      <c r="Z156" s="470"/>
      <c r="AA156" s="471">
        <f>SUM(Z153:Z155)</f>
        <v>138483.74300875</v>
      </c>
      <c r="AB156" s="399"/>
      <c r="AC156" s="400"/>
      <c r="AD156" s="401"/>
      <c r="AE156" s="402"/>
      <c r="AF156" s="401"/>
      <c r="AG156" s="402"/>
      <c r="AH156" s="401"/>
      <c r="AI156" s="402"/>
      <c r="AJ156" s="402"/>
      <c r="AK156" s="402"/>
      <c r="AL156" s="402"/>
      <c r="AM156" s="403"/>
      <c r="AN156" s="404"/>
      <c r="AO156" s="405"/>
      <c r="AP156" s="406"/>
      <c r="AQ156" s="407"/>
      <c r="AR156" s="408"/>
      <c r="AS156" s="409"/>
      <c r="AT156" s="410"/>
      <c r="AU156" s="411"/>
      <c r="AV156" s="412"/>
      <c r="AW156" s="413"/>
      <c r="AX156" s="414"/>
      <c r="AY156" s="415"/>
      <c r="AZ156" s="416"/>
      <c r="BA156" s="417"/>
      <c r="BB156" s="418"/>
      <c r="BC156" s="418"/>
      <c r="BD156" s="418"/>
      <c r="BE156" s="418"/>
      <c r="BF156" s="419"/>
      <c r="BG156" s="420"/>
      <c r="BH156" s="421">
        <f>SUM(BH153:BH155)</f>
        <v>0</v>
      </c>
      <c r="BI156" s="422">
        <f>AA153</f>
        <v>0</v>
      </c>
    </row>
    <row r="157" spans="1:61" x14ac:dyDescent="0.2">
      <c r="A157" s="325" t="s">
        <v>375</v>
      </c>
      <c r="B157" s="325">
        <v>1</v>
      </c>
      <c r="E157" s="325" t="s">
        <v>13</v>
      </c>
      <c r="F157" s="938" t="s">
        <v>914</v>
      </c>
      <c r="G157" s="938"/>
      <c r="H157" s="938"/>
      <c r="I157" s="938"/>
      <c r="J157" s="939"/>
      <c r="K157" s="701">
        <v>0</v>
      </c>
      <c r="L157" s="706"/>
      <c r="M157" s="702"/>
      <c r="N157" s="1124">
        <f t="shared" ref="N157:N168" si="174">J157*(1+K157)+L157+M157</f>
        <v>0</v>
      </c>
      <c r="O157" s="1124"/>
      <c r="P157" s="1124"/>
      <c r="Q157" s="703"/>
      <c r="R157" s="703">
        <f t="shared" ref="R157:R168" si="175">N157*Q157</f>
        <v>0</v>
      </c>
      <c r="S157" s="665">
        <f t="shared" ref="S157:S168" si="176">(N157-R157)*0.062</f>
        <v>0</v>
      </c>
      <c r="T157" s="665">
        <f t="shared" ref="T157:T168" si="177">(N157-R157)*0.0145</f>
        <v>0</v>
      </c>
      <c r="U157" s="666">
        <f t="shared" si="143"/>
        <v>0</v>
      </c>
      <c r="V157" s="666">
        <f t="shared" ref="V157:V168" si="178">IF(N157&gt;=7000,7000*0.0144,IF(N157&lt;=7000,N157*0.0144))</f>
        <v>0</v>
      </c>
      <c r="W157" s="703">
        <f t="shared" ref="W157:W168" si="179">AT157</f>
        <v>0</v>
      </c>
      <c r="X157" s="665">
        <f t="shared" ref="X157:X168" si="180">+AN157*6</f>
        <v>0</v>
      </c>
      <c r="Y157" s="665">
        <f t="shared" ref="Y157:Y168" si="181">+AN157*6</f>
        <v>0</v>
      </c>
      <c r="Z157" s="704">
        <f t="shared" ref="Z157:Z168" si="182">SUM(N157:Y157)</f>
        <v>0</v>
      </c>
      <c r="AA157" s="459"/>
      <c r="AB157" s="362"/>
      <c r="AC157" s="1183">
        <f t="shared" ref="AC157:AC168" si="183">G157</f>
        <v>0</v>
      </c>
      <c r="AD157" s="668" t="s">
        <v>526</v>
      </c>
      <c r="AE157" s="669">
        <f>IF(ISNA(VLOOKUP(AD157,$A$226:$E$266,4,FALSE)),"0",VLOOKUP(AD157,$A$226:$E$266,4,FALSE))</f>
        <v>0</v>
      </c>
      <c r="AF157" s="670" t="s">
        <v>526</v>
      </c>
      <c r="AG157" s="669">
        <f>IF(ISNA(VLOOKUP(AF157,$A$253:$E$266,4,FALSE)),"0",VLOOKUP(AF157,$A$253:$E$266,4,FALSE))</f>
        <v>0</v>
      </c>
      <c r="AH157" s="670" t="s">
        <v>526</v>
      </c>
      <c r="AI157" s="364">
        <f>IF(ISNA(VLOOKUP(AH157,$A$226:$E$266,4,FALSE)),"0",VLOOKUP(AH157,$A$226:$E$266,4,FALSE))</f>
        <v>0</v>
      </c>
      <c r="AJ157" s="705">
        <f>IF(ISNA(VLOOKUP(AD157,$A$226:$E$266,5,FALSE)),"0",VLOOKUP(AD157,$A$226:$E$266,5,FALSE))</f>
        <v>0</v>
      </c>
      <c r="AK157" s="705">
        <f>IF(ISNA(VLOOKUP(AF157,$A$226:$E$266,5,FALSE)),"0",VLOOKUP(AF157,$A$226:$E$266,5,FALSE))</f>
        <v>0</v>
      </c>
      <c r="AL157" s="705">
        <f>IF(ISNA(VLOOKUP(AH157,$A$226:$E$259,5,FALSE)),"0",VLOOKUP(AH157,$A$226:$E$259,5,FALSE))</f>
        <v>0</v>
      </c>
      <c r="AM157" s="365">
        <f>AE157+AG157+AI157</f>
        <v>0</v>
      </c>
      <c r="AN157" s="366">
        <f>AJ157+AK157+AL157</f>
        <v>0</v>
      </c>
      <c r="AO157" s="367">
        <f>SUM(AM157:AN157)</f>
        <v>0</v>
      </c>
      <c r="AP157" s="368">
        <v>8.7999999999999998E-5</v>
      </c>
      <c r="AQ157" s="369">
        <v>2.0000000000000002E-5</v>
      </c>
      <c r="AR157" s="370">
        <v>2.22E-4</v>
      </c>
      <c r="AS157" s="371">
        <v>3.1E-4</v>
      </c>
      <c r="AT157" s="372">
        <f>SUM((J157*AP157)+(J157*AQ157)+(J157*AR157)+(J157*AS157))*12</f>
        <v>0</v>
      </c>
      <c r="AV157" s="373">
        <f>J157</f>
        <v>0</v>
      </c>
      <c r="AW157" s="374">
        <f>NETWORKDAYS(C157,D157)</f>
        <v>0</v>
      </c>
      <c r="AX157" s="375" t="str">
        <f>IF(ISERROR(AV157/AW157),"",(AV157/AW157))</f>
        <v/>
      </c>
      <c r="AY157" s="376">
        <v>41820</v>
      </c>
      <c r="AZ157" s="377">
        <f>NETWORKDAYS(AY157,D157)</f>
        <v>-29871</v>
      </c>
      <c r="BA157" s="378">
        <f>AW157-AZ157</f>
        <v>29871</v>
      </c>
      <c r="BB157" s="379" t="str">
        <f>IF(ISERROR(BA157*AX157),"",(BA157*AX157))</f>
        <v/>
      </c>
      <c r="BC157" s="379" t="str">
        <f>IF(ISERROR(AZ157*AX157),"",(AZ157*AX157))</f>
        <v/>
      </c>
      <c r="BD157" s="379">
        <f>IF(ISERROR(SUM(BB157:BC157)),"",((SUM(BB157:BC157))))</f>
        <v>0</v>
      </c>
      <c r="BE157" s="379" t="str">
        <f>IF(ISERROR(BC157*7.65%),"",((BC157*7.65%)))</f>
        <v/>
      </c>
      <c r="BF157" s="380" t="str">
        <f>IF(ISERROR(BC157*21.17%),"",((BC157*21.17%)))</f>
        <v/>
      </c>
      <c r="BG157" s="381" t="e">
        <f>SUM(BE157:BF157)+BC157</f>
        <v>#VALUE!</v>
      </c>
      <c r="BH157" s="447">
        <f>SUM(BC157:BC159)</f>
        <v>0</v>
      </c>
      <c r="BI157" s="279" t="s">
        <v>527</v>
      </c>
    </row>
    <row r="158" spans="1:61" x14ac:dyDescent="0.2">
      <c r="A158" s="385"/>
      <c r="B158" s="385">
        <v>2</v>
      </c>
      <c r="C158" s="384"/>
      <c r="D158" s="384"/>
      <c r="E158" s="384" t="s">
        <v>13</v>
      </c>
      <c r="F158" s="938"/>
      <c r="G158" s="675"/>
      <c r="H158" s="675"/>
      <c r="I158" s="675"/>
      <c r="J158" s="1184"/>
      <c r="K158" s="672">
        <v>0</v>
      </c>
      <c r="L158" s="685"/>
      <c r="M158" s="666"/>
      <c r="N158" s="1122">
        <f t="shared" si="174"/>
        <v>0</v>
      </c>
      <c r="O158" s="1122"/>
      <c r="P158" s="1122"/>
      <c r="Q158" s="683"/>
      <c r="R158" s="665">
        <f t="shared" si="175"/>
        <v>0</v>
      </c>
      <c r="S158" s="665">
        <f t="shared" si="176"/>
        <v>0</v>
      </c>
      <c r="T158" s="665">
        <f t="shared" si="177"/>
        <v>0</v>
      </c>
      <c r="U158" s="666">
        <f t="shared" si="143"/>
        <v>0</v>
      </c>
      <c r="V158" s="666">
        <f t="shared" si="178"/>
        <v>0</v>
      </c>
      <c r="W158" s="665">
        <f t="shared" si="179"/>
        <v>0</v>
      </c>
      <c r="X158" s="665">
        <f t="shared" si="180"/>
        <v>0</v>
      </c>
      <c r="Y158" s="665">
        <f t="shared" si="181"/>
        <v>0</v>
      </c>
      <c r="Z158" s="361">
        <f t="shared" si="182"/>
        <v>0</v>
      </c>
      <c r="AB158" s="362"/>
      <c r="AC158" s="1182">
        <f t="shared" si="183"/>
        <v>0</v>
      </c>
      <c r="AD158" s="668" t="s">
        <v>526</v>
      </c>
      <c r="AE158" s="669">
        <f>IF(ISNA(VLOOKUP(AD158,$A$226:$E$266,4,FALSE)),"0",VLOOKUP(AD158,$A$226:$E$266,4,FALSE))</f>
        <v>0</v>
      </c>
      <c r="AF158" s="670" t="s">
        <v>526</v>
      </c>
      <c r="AG158" s="669">
        <f>IF(ISNA(VLOOKUP(AF158,$A$253:$E$266,4,FALSE)),"0",VLOOKUP(AF158,$A$253:$E$266,4,FALSE))</f>
        <v>0</v>
      </c>
      <c r="AH158" s="670" t="s">
        <v>526</v>
      </c>
      <c r="AI158" s="364">
        <f>IF(ISNA(VLOOKUP(AH158,$A$226:$E$266,4,FALSE)),"0",VLOOKUP(AH158,$A$226:$E$266,4,FALSE))</f>
        <v>0</v>
      </c>
      <c r="AJ158" s="364">
        <f>IF(ISNA(VLOOKUP(AD158,$A$226:$E$266,5,FALSE)),"0",VLOOKUP(AD158,$A$226:$E$266,5,FALSE))</f>
        <v>0</v>
      </c>
      <c r="AK158" s="364">
        <f>IF(ISNA(VLOOKUP(AF158,$A$226:$E$266,5,FALSE)),"0",VLOOKUP(AF158,$A$226:$E$266,5,FALSE))</f>
        <v>0</v>
      </c>
      <c r="AL158" s="364">
        <f>IF(ISNA(VLOOKUP(AH158,$A$226:$E$259,5,FALSE)),"0",VLOOKUP(AH158,$A$226:$E$259,5,FALSE))</f>
        <v>0</v>
      </c>
      <c r="AM158" s="365">
        <f>AE158+AG158+AI158</f>
        <v>0</v>
      </c>
      <c r="AN158" s="366">
        <f>AJ158+AK158+AL158</f>
        <v>0</v>
      </c>
      <c r="AO158" s="367">
        <f>SUM(AM158:AN158)</f>
        <v>0</v>
      </c>
      <c r="AP158" s="368">
        <v>8.7999999999999998E-5</v>
      </c>
      <c r="AQ158" s="369">
        <v>2.0000000000000002E-5</v>
      </c>
      <c r="AR158" s="370">
        <v>2.22E-4</v>
      </c>
      <c r="AS158" s="371">
        <v>3.1E-4</v>
      </c>
      <c r="AT158" s="372">
        <f>SUM((J158*AP158)+(J158*AQ158)+(J158*AR158)+(J158*AS158))*12</f>
        <v>0</v>
      </c>
      <c r="AV158" s="373">
        <f>J158</f>
        <v>0</v>
      </c>
      <c r="AW158" s="374">
        <f>NETWORKDAYS(C158,D158)</f>
        <v>0</v>
      </c>
      <c r="AX158" s="375" t="str">
        <f>IF(ISERROR(AV158/AW158),"",(AV158/AW158))</f>
        <v/>
      </c>
      <c r="AY158" s="376">
        <v>41820</v>
      </c>
      <c r="AZ158" s="377">
        <f>NETWORKDAYS(AY158,D158)</f>
        <v>-29871</v>
      </c>
      <c r="BA158" s="378">
        <f>AW158-AZ158</f>
        <v>29871</v>
      </c>
      <c r="BB158" s="379" t="str">
        <f>IF(ISERROR(BA158*AX158),"",(BA158*AX158))</f>
        <v/>
      </c>
      <c r="BC158" s="379" t="str">
        <f>IF(ISERROR(AZ158*AX158),"",(AZ158*AX158))</f>
        <v/>
      </c>
      <c r="BD158" s="379">
        <f>IF(ISERROR(SUM(BB158:BC158)),"",((SUM(BB158:BC158))))</f>
        <v>0</v>
      </c>
      <c r="BE158" s="379" t="str">
        <f>IF(ISERROR(BC158*7.65%),"",((BC158*7.65%)))</f>
        <v/>
      </c>
      <c r="BF158" s="380" t="str">
        <f>IF(ISERROR(BC158*21.17%),"",((BC158*21.17%)))</f>
        <v/>
      </c>
      <c r="BG158" s="381" t="e">
        <f>SUM(BE158:BF158)+BC158</f>
        <v>#VALUE!</v>
      </c>
      <c r="BH158" s="447">
        <f>SUM(BE157:BE159)</f>
        <v>0</v>
      </c>
      <c r="BI158" s="279" t="s">
        <v>504</v>
      </c>
    </row>
    <row r="159" spans="1:61" x14ac:dyDescent="0.2">
      <c r="A159" s="385"/>
      <c r="B159" s="385">
        <v>3</v>
      </c>
      <c r="C159" s="384"/>
      <c r="D159" s="384"/>
      <c r="E159" s="384" t="s">
        <v>13</v>
      </c>
      <c r="F159" s="681"/>
      <c r="G159" s="681"/>
      <c r="H159" s="681"/>
      <c r="I159" s="681"/>
      <c r="J159" s="1184"/>
      <c r="K159" s="672">
        <v>0</v>
      </c>
      <c r="L159" s="685"/>
      <c r="M159" s="666"/>
      <c r="N159" s="1122">
        <f t="shared" si="174"/>
        <v>0</v>
      </c>
      <c r="O159" s="1122"/>
      <c r="P159" s="1122"/>
      <c r="Q159" s="683"/>
      <c r="R159" s="665">
        <f t="shared" si="175"/>
        <v>0</v>
      </c>
      <c r="S159" s="665">
        <f t="shared" si="176"/>
        <v>0</v>
      </c>
      <c r="T159" s="665">
        <f t="shared" si="177"/>
        <v>0</v>
      </c>
      <c r="U159" s="666">
        <f t="shared" si="143"/>
        <v>0</v>
      </c>
      <c r="V159" s="666">
        <f t="shared" si="178"/>
        <v>0</v>
      </c>
      <c r="W159" s="665">
        <f t="shared" si="179"/>
        <v>0</v>
      </c>
      <c r="X159" s="665">
        <f t="shared" si="180"/>
        <v>0</v>
      </c>
      <c r="Y159" s="665">
        <f t="shared" si="181"/>
        <v>0</v>
      </c>
      <c r="Z159" s="361">
        <f t="shared" si="182"/>
        <v>0</v>
      </c>
      <c r="AA159" s="461" t="s">
        <v>375</v>
      </c>
      <c r="AB159" s="362"/>
      <c r="AC159" s="1182">
        <f t="shared" si="183"/>
        <v>0</v>
      </c>
      <c r="AD159" s="668" t="s">
        <v>526</v>
      </c>
      <c r="AE159" s="669">
        <f>IF(ISNA(VLOOKUP(AD159,$A$226:$E$266,4,FALSE)),"0",VLOOKUP(AD159,$A$226:$E$266,4,FALSE))</f>
        <v>0</v>
      </c>
      <c r="AF159" s="670" t="s">
        <v>526</v>
      </c>
      <c r="AG159" s="669">
        <f>IF(ISNA(VLOOKUP(AF159,$A$253:$E$266,4,FALSE)),"0",VLOOKUP(AF159,$A$253:$E$266,4,FALSE))</f>
        <v>0</v>
      </c>
      <c r="AH159" s="670" t="s">
        <v>526</v>
      </c>
      <c r="AI159" s="364">
        <f>IF(ISNA(VLOOKUP(AH159,$A$226:$E$266,4,FALSE)),"0",VLOOKUP(AH159,$A$226:$E$266,4,FALSE))</f>
        <v>0</v>
      </c>
      <c r="AJ159" s="364">
        <f>IF(ISNA(VLOOKUP(AD159,$A$226:$E$266,5,FALSE)),"0",VLOOKUP(AD159,$A$226:$E$266,5,FALSE))</f>
        <v>0</v>
      </c>
      <c r="AK159" s="364">
        <f>IF(ISNA(VLOOKUP(AF159,$A$226:$E$266,5,FALSE)),"0",VLOOKUP(AF159,$A$226:$E$266,5,FALSE))</f>
        <v>0</v>
      </c>
      <c r="AL159" s="364">
        <f>IF(ISNA(VLOOKUP(AH159,$A$226:$E$259,5,FALSE)),"0",VLOOKUP(AH159,$A$226:$E$259,5,FALSE))</f>
        <v>0</v>
      </c>
      <c r="AM159" s="365">
        <f>AE159+AG159+AI159</f>
        <v>0</v>
      </c>
      <c r="AN159" s="366">
        <f>AJ159+AK159+AL159</f>
        <v>0</v>
      </c>
      <c r="AO159" s="367">
        <f>SUM(AM159:AN159)</f>
        <v>0</v>
      </c>
      <c r="AP159" s="428">
        <v>8.7999999999999998E-5</v>
      </c>
      <c r="AQ159" s="429">
        <v>2.0000000000000002E-5</v>
      </c>
      <c r="AR159" s="430">
        <v>2.22E-4</v>
      </c>
      <c r="AS159" s="431">
        <v>3.1E-4</v>
      </c>
      <c r="AT159" s="372">
        <f>SUM((J159*AP159)+(J159*AQ159)+(J159*AR159)+(J159*AS159))*12</f>
        <v>0</v>
      </c>
      <c r="AV159" s="433"/>
      <c r="AW159" s="446"/>
      <c r="AX159" s="435"/>
      <c r="AY159" s="376"/>
      <c r="AZ159" s="437"/>
      <c r="BA159" s="438"/>
      <c r="BB159" s="380"/>
      <c r="BC159" s="380"/>
      <c r="BD159" s="380"/>
      <c r="BE159" s="380"/>
      <c r="BF159" s="439"/>
      <c r="BG159" s="381"/>
      <c r="BH159" s="447">
        <f>SUM(BF157:BF159)</f>
        <v>0</v>
      </c>
      <c r="BI159" s="279" t="s">
        <v>505</v>
      </c>
    </row>
    <row r="160" spans="1:61" x14ac:dyDescent="0.2">
      <c r="A160" s="643"/>
      <c r="B160" s="643">
        <v>4</v>
      </c>
      <c r="C160" s="707"/>
      <c r="D160" s="707"/>
      <c r="E160" s="707" t="s">
        <v>13</v>
      </c>
      <c r="F160" s="695"/>
      <c r="G160" s="695"/>
      <c r="H160" s="695" t="s">
        <v>296</v>
      </c>
      <c r="I160" s="695" t="s">
        <v>296</v>
      </c>
      <c r="J160" s="939">
        <v>0</v>
      </c>
      <c r="K160" s="708">
        <v>0</v>
      </c>
      <c r="L160" s="709"/>
      <c r="M160" s="710"/>
      <c r="N160" s="1126">
        <f t="shared" si="174"/>
        <v>0</v>
      </c>
      <c r="O160" s="1126"/>
      <c r="P160" s="1126"/>
      <c r="Q160" s="683"/>
      <c r="R160" s="665">
        <f t="shared" si="175"/>
        <v>0</v>
      </c>
      <c r="S160" s="665">
        <f t="shared" si="176"/>
        <v>0</v>
      </c>
      <c r="T160" s="665">
        <f t="shared" si="177"/>
        <v>0</v>
      </c>
      <c r="U160" s="666">
        <f t="shared" si="143"/>
        <v>0</v>
      </c>
      <c r="V160" s="666">
        <f t="shared" si="178"/>
        <v>0</v>
      </c>
      <c r="W160" s="665">
        <f t="shared" si="179"/>
        <v>0</v>
      </c>
      <c r="X160" s="665">
        <f t="shared" si="180"/>
        <v>0</v>
      </c>
      <c r="Y160" s="665">
        <f t="shared" si="181"/>
        <v>0</v>
      </c>
      <c r="Z160" s="361">
        <f t="shared" si="182"/>
        <v>0</v>
      </c>
      <c r="AA160" s="331"/>
      <c r="AB160" s="362"/>
      <c r="AC160" s="1183">
        <f t="shared" si="183"/>
        <v>0</v>
      </c>
      <c r="AD160" s="711" t="s">
        <v>526</v>
      </c>
      <c r="AE160" s="705"/>
      <c r="AF160" s="712" t="s">
        <v>526</v>
      </c>
      <c r="AG160" s="705"/>
      <c r="AH160" s="712" t="s">
        <v>526</v>
      </c>
      <c r="AI160" s="705"/>
      <c r="AJ160" s="705"/>
      <c r="AK160" s="705"/>
      <c r="AL160" s="705"/>
      <c r="AM160" s="713"/>
      <c r="AN160" s="714"/>
      <c r="AO160" s="715"/>
      <c r="AP160" s="716"/>
      <c r="AQ160" s="717"/>
      <c r="AR160" s="718"/>
      <c r="AS160" s="719"/>
      <c r="AT160" s="720"/>
      <c r="AV160" s="721"/>
      <c r="AW160" s="722"/>
      <c r="AX160" s="723"/>
      <c r="AY160" s="724"/>
      <c r="AZ160" s="725"/>
      <c r="BA160" s="726"/>
      <c r="BB160" s="727"/>
      <c r="BC160" s="727"/>
      <c r="BD160" s="727"/>
      <c r="BE160" s="727"/>
      <c r="BF160" s="728"/>
      <c r="BG160" s="729"/>
      <c r="BH160" s="447"/>
    </row>
    <row r="161" spans="1:61" x14ac:dyDescent="0.2">
      <c r="A161" s="643"/>
      <c r="B161" s="643">
        <v>5</v>
      </c>
      <c r="C161" s="707"/>
      <c r="D161" s="707"/>
      <c r="E161" s="707" t="s">
        <v>13</v>
      </c>
      <c r="F161" s="695"/>
      <c r="G161" s="695"/>
      <c r="H161" s="695"/>
      <c r="I161" s="695"/>
      <c r="J161" s="1184"/>
      <c r="K161" s="672">
        <v>0</v>
      </c>
      <c r="L161" s="709"/>
      <c r="M161" s="710"/>
      <c r="N161" s="1126">
        <f t="shared" si="174"/>
        <v>0</v>
      </c>
      <c r="O161" s="1126"/>
      <c r="P161" s="1126"/>
      <c r="Q161" s="683"/>
      <c r="R161" s="665">
        <f t="shared" si="175"/>
        <v>0</v>
      </c>
      <c r="S161" s="665">
        <f t="shared" si="176"/>
        <v>0</v>
      </c>
      <c r="T161" s="665">
        <f t="shared" si="177"/>
        <v>0</v>
      </c>
      <c r="U161" s="666">
        <f t="shared" si="143"/>
        <v>0</v>
      </c>
      <c r="V161" s="666">
        <f t="shared" si="178"/>
        <v>0</v>
      </c>
      <c r="W161" s="665">
        <f t="shared" si="179"/>
        <v>0</v>
      </c>
      <c r="X161" s="665">
        <f t="shared" si="180"/>
        <v>0</v>
      </c>
      <c r="Y161" s="665">
        <f t="shared" si="181"/>
        <v>0</v>
      </c>
      <c r="Z161" s="361">
        <f t="shared" si="182"/>
        <v>0</v>
      </c>
      <c r="AA161" s="331"/>
      <c r="AB161" s="362"/>
      <c r="AC161" s="1183">
        <f t="shared" si="183"/>
        <v>0</v>
      </c>
      <c r="AD161" s="711" t="s">
        <v>526</v>
      </c>
      <c r="AE161" s="705"/>
      <c r="AF161" s="712" t="s">
        <v>526</v>
      </c>
      <c r="AG161" s="705"/>
      <c r="AH161" s="712" t="s">
        <v>526</v>
      </c>
      <c r="AI161" s="705"/>
      <c r="AJ161" s="705"/>
      <c r="AK161" s="705"/>
      <c r="AL161" s="705"/>
      <c r="AM161" s="713"/>
      <c r="AN161" s="714"/>
      <c r="AO161" s="715"/>
      <c r="AP161" s="716"/>
      <c r="AQ161" s="717"/>
      <c r="AR161" s="718"/>
      <c r="AS161" s="719"/>
      <c r="AT161" s="720"/>
      <c r="AV161" s="721"/>
      <c r="AW161" s="722"/>
      <c r="AX161" s="723"/>
      <c r="AY161" s="724"/>
      <c r="AZ161" s="725"/>
      <c r="BA161" s="726"/>
      <c r="BB161" s="727"/>
      <c r="BC161" s="727"/>
      <c r="BD161" s="727"/>
      <c r="BE161" s="727"/>
      <c r="BF161" s="728"/>
      <c r="BG161" s="729"/>
      <c r="BH161" s="447"/>
    </row>
    <row r="162" spans="1:61" ht="13.5" thickBot="1" x14ac:dyDescent="0.25">
      <c r="A162" s="462"/>
      <c r="B162" s="462">
        <v>6</v>
      </c>
      <c r="C162" s="462"/>
      <c r="D162" s="462"/>
      <c r="E162" s="462" t="s">
        <v>13</v>
      </c>
      <c r="F162" s="463"/>
      <c r="G162" s="463"/>
      <c r="H162" s="873"/>
      <c r="I162" s="873"/>
      <c r="J162" s="686"/>
      <c r="K162" s="708">
        <v>0</v>
      </c>
      <c r="L162" s="709"/>
      <c r="M162" s="710"/>
      <c r="N162" s="1126">
        <f t="shared" si="174"/>
        <v>0</v>
      </c>
      <c r="O162" s="1126"/>
      <c r="P162" s="1126"/>
      <c r="Q162" s="683"/>
      <c r="R162" s="665">
        <f t="shared" si="175"/>
        <v>0</v>
      </c>
      <c r="S162" s="665">
        <f t="shared" si="176"/>
        <v>0</v>
      </c>
      <c r="T162" s="665">
        <f t="shared" si="177"/>
        <v>0</v>
      </c>
      <c r="U162" s="666">
        <f t="shared" si="143"/>
        <v>0</v>
      </c>
      <c r="V162" s="666">
        <f t="shared" si="178"/>
        <v>0</v>
      </c>
      <c r="W162" s="665">
        <f t="shared" si="179"/>
        <v>0</v>
      </c>
      <c r="X162" s="665">
        <f t="shared" si="180"/>
        <v>0</v>
      </c>
      <c r="Y162" s="665">
        <f t="shared" si="181"/>
        <v>0</v>
      </c>
      <c r="Z162" s="361">
        <f t="shared" si="182"/>
        <v>0</v>
      </c>
      <c r="AA162" s="331"/>
      <c r="AB162" s="362"/>
      <c r="AC162" s="460">
        <f t="shared" si="183"/>
        <v>0</v>
      </c>
      <c r="AD162" s="711"/>
      <c r="AE162" s="705"/>
      <c r="AF162" s="712"/>
      <c r="AG162" s="705"/>
      <c r="AH162" s="712"/>
      <c r="AI162" s="705"/>
      <c r="AJ162" s="705"/>
      <c r="AK162" s="705"/>
      <c r="AL162" s="705"/>
      <c r="AM162" s="713"/>
      <c r="AN162" s="714"/>
      <c r="AO162" s="715"/>
      <c r="AP162" s="716"/>
      <c r="AQ162" s="717"/>
      <c r="AR162" s="718"/>
      <c r="AS162" s="719"/>
      <c r="AT162" s="720"/>
      <c r="AV162" s="721"/>
      <c r="AW162" s="722"/>
      <c r="AX162" s="723"/>
      <c r="AY162" s="724"/>
      <c r="AZ162" s="725"/>
      <c r="BA162" s="726"/>
      <c r="BB162" s="727"/>
      <c r="BC162" s="727"/>
      <c r="BD162" s="727"/>
      <c r="BE162" s="727"/>
      <c r="BF162" s="728"/>
      <c r="BG162" s="729"/>
      <c r="BH162" s="421">
        <f>SUM(BH157:BH159)</f>
        <v>0</v>
      </c>
      <c r="BI162" s="422">
        <f>AA157</f>
        <v>0</v>
      </c>
    </row>
    <row r="163" spans="1:61" x14ac:dyDescent="0.2">
      <c r="A163" s="472" t="s">
        <v>325</v>
      </c>
      <c r="B163" s="358">
        <v>1</v>
      </c>
      <c r="C163" s="359"/>
      <c r="D163" s="359"/>
      <c r="E163" s="360" t="s">
        <v>13</v>
      </c>
      <c r="F163" s="675"/>
      <c r="G163" s="675"/>
      <c r="H163" s="675" t="s">
        <v>296</v>
      </c>
      <c r="I163" s="675" t="s">
        <v>296</v>
      </c>
      <c r="J163" s="1039"/>
      <c r="K163" s="672">
        <v>0</v>
      </c>
      <c r="L163" s="685"/>
      <c r="M163" s="666"/>
      <c r="N163" s="1122">
        <f t="shared" si="174"/>
        <v>0</v>
      </c>
      <c r="O163" s="1122"/>
      <c r="P163" s="1122"/>
      <c r="Q163" s="667">
        <v>0</v>
      </c>
      <c r="R163" s="665">
        <f t="shared" si="175"/>
        <v>0</v>
      </c>
      <c r="S163" s="665">
        <f t="shared" si="176"/>
        <v>0</v>
      </c>
      <c r="T163" s="665">
        <f t="shared" si="177"/>
        <v>0</v>
      </c>
      <c r="U163" s="666">
        <f t="shared" si="143"/>
        <v>0</v>
      </c>
      <c r="V163" s="666">
        <f t="shared" si="178"/>
        <v>0</v>
      </c>
      <c r="W163" s="665">
        <f t="shared" si="179"/>
        <v>0</v>
      </c>
      <c r="X163" s="665">
        <f t="shared" si="180"/>
        <v>0</v>
      </c>
      <c r="Y163" s="665">
        <f t="shared" si="181"/>
        <v>0</v>
      </c>
      <c r="Z163" s="361">
        <f t="shared" si="182"/>
        <v>0</v>
      </c>
      <c r="AB163" s="362"/>
      <c r="AC163" s="1182">
        <f t="shared" si="183"/>
        <v>0</v>
      </c>
      <c r="AD163" s="668" t="s">
        <v>526</v>
      </c>
      <c r="AE163" s="669">
        <f t="shared" ref="AE163:AE168" si="184">IF(ISNA(VLOOKUP(AD163,$A$225:$E$265,4,FALSE)),"0",VLOOKUP(AD163,$A$225:$E$265,4,FALSE))</f>
        <v>0</v>
      </c>
      <c r="AF163" s="670" t="s">
        <v>526</v>
      </c>
      <c r="AG163" s="669">
        <f t="shared" ref="AG163:AG168" si="185">IF(ISNA(VLOOKUP(AF163,$A$225:$E$265,4,FALSE)),"0",VLOOKUP(AF163,$A$225:$E$265,4,FALSE))</f>
        <v>0</v>
      </c>
      <c r="AH163" s="670" t="s">
        <v>526</v>
      </c>
      <c r="AI163" s="669">
        <f t="shared" ref="AI163:AI168" si="186">IF(ISNA(VLOOKUP(AH163,$A$225:$E$265,4,FALSE)),"0",VLOOKUP(AH163,$A$225:$E$265,4,FALSE))</f>
        <v>0</v>
      </c>
      <c r="AJ163" s="364">
        <f t="shared" ref="AJ163:AJ168" si="187">IF(ISNA(VLOOKUP(AD163,$A$225:$E$265,5,FALSE)),"0",VLOOKUP(AD163,$A$225:$E$265,5,FALSE))</f>
        <v>0</v>
      </c>
      <c r="AK163" s="364">
        <f t="shared" ref="AK163:AK168" si="188">IF(ISNA(VLOOKUP(AF163,$A$225:$E$265,5,FALSE)),"0",VLOOKUP(AF163,$A$225:$E$265,5,FALSE))</f>
        <v>0</v>
      </c>
      <c r="AL163" s="364">
        <f t="shared" ref="AL163:AL168" si="189">IF(ISNA(VLOOKUP(AH163,$A$225:$E$258,5,FALSE)),"0",VLOOKUP(AH163,$A$225:$E$258,5,FALSE))</f>
        <v>0</v>
      </c>
      <c r="AM163" s="365">
        <f t="shared" ref="AM163:AM168" si="190">AE163+AG163+AI163</f>
        <v>0</v>
      </c>
      <c r="AN163" s="365">
        <f t="shared" ref="AN163:AN168" si="191">AJ163+AK163+AL163</f>
        <v>0</v>
      </c>
      <c r="AO163" s="367">
        <f t="shared" ref="AO163:AO168" si="192">SUM(AM163:AN163)</f>
        <v>0</v>
      </c>
      <c r="AP163" s="428">
        <v>8.7999999999999998E-5</v>
      </c>
      <c r="AQ163" s="429">
        <v>2.0000000000000002E-5</v>
      </c>
      <c r="AR163" s="430">
        <v>2.22E-4</v>
      </c>
      <c r="AS163" s="431">
        <v>3.1E-4</v>
      </c>
      <c r="AT163" s="372">
        <f t="shared" ref="AT163:AT168" si="193">SUM((J163*AP163)+(J163*AQ163)+(J163*AR163)+(J163*AS163))*12</f>
        <v>0</v>
      </c>
      <c r="AV163" s="433">
        <f t="shared" ref="AV163:AV168" si="194">J163</f>
        <v>0</v>
      </c>
      <c r="AW163" s="446">
        <f t="shared" ref="AW163:AW168" si="195">NETWORKDAYS(C163,D163)</f>
        <v>0</v>
      </c>
      <c r="AX163" s="435" t="str">
        <f t="shared" ref="AX163:AX168" si="196">IF(ISERROR(AV163/AW163),"",(AV163/AW163))</f>
        <v/>
      </c>
      <c r="AY163" s="436">
        <v>41820</v>
      </c>
      <c r="AZ163" s="437">
        <f t="shared" ref="AZ163:AZ168" si="197">NETWORKDAYS(AY163,D163)</f>
        <v>-29871</v>
      </c>
      <c r="BA163" s="438">
        <f t="shared" ref="BA163:BA168" si="198">AW163-AZ163</f>
        <v>29871</v>
      </c>
      <c r="BB163" s="380" t="str">
        <f t="shared" ref="BB163:BB168" si="199">IF(ISERROR(BA163*AX163),"",(BA163*AX163))</f>
        <v/>
      </c>
      <c r="BC163" s="380" t="str">
        <f t="shared" ref="BC163:BC168" si="200">IF(ISERROR(AZ163*AX163),"",(AZ163*AX163))</f>
        <v/>
      </c>
      <c r="BD163" s="380">
        <f t="shared" ref="BD163:BD168" si="201">IF(ISERROR(SUM(BB163:BC163)),"",((SUM(BB163:BC163))))</f>
        <v>0</v>
      </c>
      <c r="BE163" s="380" t="str">
        <f t="shared" ref="BE163:BE168" si="202">IF(ISERROR(BC163*7.65%),"",((BC163*7.65%)))</f>
        <v/>
      </c>
      <c r="BF163" s="380" t="str">
        <f>IF(ISERROR(BC163*21.17%),"",((BC163*21.17%)))</f>
        <v/>
      </c>
      <c r="BG163" s="381" t="e">
        <f>SUM(BE163:BF163)+BC163</f>
        <v>#VALUE!</v>
      </c>
      <c r="BH163" s="447">
        <f>SUM(BC163:BC168)</f>
        <v>0</v>
      </c>
      <c r="BI163" s="279" t="s">
        <v>527</v>
      </c>
    </row>
    <row r="164" spans="1:61" x14ac:dyDescent="0.2">
      <c r="A164" s="472"/>
      <c r="B164" s="358">
        <v>2</v>
      </c>
      <c r="C164" s="359"/>
      <c r="D164" s="359"/>
      <c r="E164" s="360" t="s">
        <v>13</v>
      </c>
      <c r="F164" s="675" t="s">
        <v>680</v>
      </c>
      <c r="G164" s="878" t="s">
        <v>849</v>
      </c>
      <c r="H164" s="878" t="s">
        <v>917</v>
      </c>
      <c r="I164" s="878" t="s">
        <v>918</v>
      </c>
      <c r="J164" s="885">
        <v>25270</v>
      </c>
      <c r="K164" s="672">
        <v>0.03</v>
      </c>
      <c r="L164" s="685">
        <v>1000</v>
      </c>
      <c r="M164" s="666"/>
      <c r="N164" s="1122">
        <f t="shared" si="174"/>
        <v>27028.100000000002</v>
      </c>
      <c r="O164" s="1122"/>
      <c r="P164" s="1122"/>
      <c r="Q164" s="667">
        <v>0.05</v>
      </c>
      <c r="R164" s="665">
        <f t="shared" si="175"/>
        <v>1351.4050000000002</v>
      </c>
      <c r="S164" s="665">
        <f t="shared" si="176"/>
        <v>1591.9550900000002</v>
      </c>
      <c r="T164" s="665">
        <f t="shared" si="177"/>
        <v>372.31207750000004</v>
      </c>
      <c r="U164" s="666">
        <f t="shared" si="143"/>
        <v>42</v>
      </c>
      <c r="V164" s="666">
        <f t="shared" si="178"/>
        <v>100.8</v>
      </c>
      <c r="W164" s="665">
        <f t="shared" si="179"/>
        <v>194.07360000000003</v>
      </c>
      <c r="X164" s="665">
        <f t="shared" si="180"/>
        <v>8115.9599999999991</v>
      </c>
      <c r="Y164" s="665">
        <f t="shared" si="181"/>
        <v>8115.9599999999991</v>
      </c>
      <c r="Z164" s="361">
        <f t="shared" si="182"/>
        <v>46912.615767499992</v>
      </c>
      <c r="AB164" s="362"/>
      <c r="AC164" s="1182" t="str">
        <f t="shared" si="183"/>
        <v>Dan Chauncy</v>
      </c>
      <c r="AD164" s="668" t="s">
        <v>533</v>
      </c>
      <c r="AE164" s="669">
        <f t="shared" si="184"/>
        <v>277.87</v>
      </c>
      <c r="AF164" s="670" t="s">
        <v>540</v>
      </c>
      <c r="AG164" s="669">
        <f t="shared" si="185"/>
        <v>33.340000000000003</v>
      </c>
      <c r="AH164" s="670" t="s">
        <v>518</v>
      </c>
      <c r="AI164" s="669">
        <f t="shared" si="186"/>
        <v>4.6399999999999997</v>
      </c>
      <c r="AJ164" s="364">
        <f t="shared" si="187"/>
        <v>1309.9499999999998</v>
      </c>
      <c r="AK164" s="364">
        <f t="shared" si="188"/>
        <v>37.039999999999992</v>
      </c>
      <c r="AL164" s="364">
        <f t="shared" si="189"/>
        <v>5.6700000000000008</v>
      </c>
      <c r="AM164" s="365">
        <f t="shared" si="190"/>
        <v>315.85000000000002</v>
      </c>
      <c r="AN164" s="365">
        <f t="shared" si="191"/>
        <v>1352.6599999999999</v>
      </c>
      <c r="AO164" s="367">
        <f t="shared" si="192"/>
        <v>1668.5099999999998</v>
      </c>
      <c r="AP164" s="428">
        <v>8.7999999999999998E-5</v>
      </c>
      <c r="AQ164" s="429">
        <v>2.0000000000000002E-5</v>
      </c>
      <c r="AR164" s="430">
        <v>2.22E-4</v>
      </c>
      <c r="AS164" s="431">
        <v>3.1E-4</v>
      </c>
      <c r="AT164" s="372">
        <f t="shared" si="193"/>
        <v>194.07360000000003</v>
      </c>
      <c r="AV164" s="433">
        <f t="shared" si="194"/>
        <v>25270</v>
      </c>
      <c r="AW164" s="446">
        <f t="shared" si="195"/>
        <v>0</v>
      </c>
      <c r="AX164" s="435" t="str">
        <f t="shared" si="196"/>
        <v/>
      </c>
      <c r="AY164" s="436">
        <v>41820</v>
      </c>
      <c r="AZ164" s="437">
        <f t="shared" si="197"/>
        <v>-29871</v>
      </c>
      <c r="BA164" s="438">
        <f t="shared" si="198"/>
        <v>29871</v>
      </c>
      <c r="BB164" s="380" t="str">
        <f t="shared" si="199"/>
        <v/>
      </c>
      <c r="BC164" s="380" t="str">
        <f t="shared" si="200"/>
        <v/>
      </c>
      <c r="BD164" s="380">
        <f t="shared" si="201"/>
        <v>0</v>
      </c>
      <c r="BE164" s="380" t="str">
        <f t="shared" si="202"/>
        <v/>
      </c>
      <c r="BF164" s="380" t="str">
        <f>IF(ISERROR(BC164*21.17%),"",((BC164*21.17%)))</f>
        <v/>
      </c>
      <c r="BG164" s="381" t="e">
        <f>SUM(BE164:BF164)+BC164</f>
        <v>#VALUE!</v>
      </c>
      <c r="BH164" s="447"/>
    </row>
    <row r="165" spans="1:61" x14ac:dyDescent="0.2">
      <c r="A165" s="472"/>
      <c r="B165" s="358">
        <v>3</v>
      </c>
      <c r="C165" s="359"/>
      <c r="D165" s="359"/>
      <c r="E165" s="384" t="s">
        <v>13</v>
      </c>
      <c r="F165" s="675" t="s">
        <v>680</v>
      </c>
      <c r="G165" s="878" t="s">
        <v>1415</v>
      </c>
      <c r="H165" s="878" t="s">
        <v>1416</v>
      </c>
      <c r="I165" s="878" t="s">
        <v>1417</v>
      </c>
      <c r="J165" s="885">
        <v>19000</v>
      </c>
      <c r="K165" s="672">
        <v>0.03</v>
      </c>
      <c r="L165" s="685"/>
      <c r="M165" s="666"/>
      <c r="N165" s="1122">
        <f t="shared" si="174"/>
        <v>19570</v>
      </c>
      <c r="O165" s="1122"/>
      <c r="P165" s="1122"/>
      <c r="Q165" s="667">
        <v>0</v>
      </c>
      <c r="R165" s="666">
        <f t="shared" si="175"/>
        <v>0</v>
      </c>
      <c r="S165" s="665">
        <f t="shared" si="176"/>
        <v>1213.3399999999999</v>
      </c>
      <c r="T165" s="665">
        <f t="shared" si="177"/>
        <v>283.76499999999999</v>
      </c>
      <c r="U165" s="666">
        <f t="shared" si="143"/>
        <v>42</v>
      </c>
      <c r="V165" s="666">
        <f t="shared" si="178"/>
        <v>100.8</v>
      </c>
      <c r="W165" s="665">
        <f t="shared" si="179"/>
        <v>145.92000000000002</v>
      </c>
      <c r="X165" s="665">
        <f t="shared" si="180"/>
        <v>3947.4600000000005</v>
      </c>
      <c r="Y165" s="665">
        <f t="shared" si="181"/>
        <v>3947.4600000000005</v>
      </c>
      <c r="Z165" s="361">
        <f t="shared" si="182"/>
        <v>29250.744999999995</v>
      </c>
      <c r="AB165" s="362"/>
      <c r="AC165" s="1181" t="str">
        <f t="shared" si="183"/>
        <v>Pam Herndon</v>
      </c>
      <c r="AD165" s="668" t="s">
        <v>510</v>
      </c>
      <c r="AE165" s="669">
        <f t="shared" si="184"/>
        <v>143.44</v>
      </c>
      <c r="AF165" s="670" t="s">
        <v>525</v>
      </c>
      <c r="AG165" s="669">
        <f t="shared" si="185"/>
        <v>10.25</v>
      </c>
      <c r="AH165" s="670" t="s">
        <v>512</v>
      </c>
      <c r="AI165" s="669">
        <f t="shared" si="186"/>
        <v>1.63</v>
      </c>
      <c r="AJ165" s="364">
        <f t="shared" si="187"/>
        <v>631.8900000000001</v>
      </c>
      <c r="AK165" s="364">
        <f t="shared" si="188"/>
        <v>22.22</v>
      </c>
      <c r="AL165" s="364">
        <f t="shared" si="189"/>
        <v>3.8</v>
      </c>
      <c r="AM165" s="365">
        <f t="shared" si="190"/>
        <v>155.32</v>
      </c>
      <c r="AN165" s="366">
        <f t="shared" si="191"/>
        <v>657.91000000000008</v>
      </c>
      <c r="AO165" s="367">
        <f t="shared" si="192"/>
        <v>813.23</v>
      </c>
      <c r="AP165" s="368">
        <v>8.7999999999999998E-5</v>
      </c>
      <c r="AQ165" s="369">
        <v>2.0000000000000002E-5</v>
      </c>
      <c r="AR165" s="370">
        <v>2.22E-4</v>
      </c>
      <c r="AS165" s="371">
        <v>3.1E-4</v>
      </c>
      <c r="AT165" s="372">
        <f t="shared" si="193"/>
        <v>145.92000000000002</v>
      </c>
      <c r="AV165" s="433">
        <f t="shared" si="194"/>
        <v>19000</v>
      </c>
      <c r="AW165" s="446">
        <f t="shared" si="195"/>
        <v>0</v>
      </c>
      <c r="AX165" s="435" t="str">
        <f t="shared" si="196"/>
        <v/>
      </c>
      <c r="AY165" s="376">
        <v>41820</v>
      </c>
      <c r="AZ165" s="437">
        <f t="shared" si="197"/>
        <v>-29871</v>
      </c>
      <c r="BA165" s="438">
        <f t="shared" si="198"/>
        <v>29871</v>
      </c>
      <c r="BB165" s="380" t="str">
        <f t="shared" si="199"/>
        <v/>
      </c>
      <c r="BC165" s="380" t="str">
        <f t="shared" si="200"/>
        <v/>
      </c>
      <c r="BD165" s="380">
        <f t="shared" si="201"/>
        <v>0</v>
      </c>
      <c r="BE165" s="380" t="str">
        <f t="shared" si="202"/>
        <v/>
      </c>
      <c r="BF165" s="380" t="str">
        <f>IF(ISERROR(BC165*21.17%),"",((BC165*21.17%)))</f>
        <v/>
      </c>
      <c r="BG165" s="381" t="e">
        <f>SUM(BE165:BF165)+BC165</f>
        <v>#VALUE!</v>
      </c>
      <c r="BH165" s="447">
        <f>SUM(BE163:BE168)</f>
        <v>0</v>
      </c>
      <c r="BI165" s="279" t="s">
        <v>504</v>
      </c>
    </row>
    <row r="166" spans="1:61" x14ac:dyDescent="0.2">
      <c r="A166" s="472"/>
      <c r="B166" s="358">
        <v>4</v>
      </c>
      <c r="C166" s="359"/>
      <c r="D166" s="359"/>
      <c r="E166" s="384" t="s">
        <v>13</v>
      </c>
      <c r="F166" s="675" t="s">
        <v>680</v>
      </c>
      <c r="G166" s="878" t="s">
        <v>936</v>
      </c>
      <c r="H166" s="878" t="s">
        <v>937</v>
      </c>
      <c r="I166" s="878" t="s">
        <v>919</v>
      </c>
      <c r="J166" s="1039">
        <v>25270</v>
      </c>
      <c r="K166" s="672">
        <v>0.03</v>
      </c>
      <c r="L166" s="685">
        <v>1000</v>
      </c>
      <c r="M166" s="666"/>
      <c r="N166" s="1122">
        <f t="shared" si="174"/>
        <v>27028.100000000002</v>
      </c>
      <c r="O166" s="1122"/>
      <c r="P166" s="1122"/>
      <c r="Q166" s="667">
        <v>0.05</v>
      </c>
      <c r="R166" s="666">
        <f t="shared" si="175"/>
        <v>1351.4050000000002</v>
      </c>
      <c r="S166" s="665">
        <f t="shared" si="176"/>
        <v>1591.9550900000002</v>
      </c>
      <c r="T166" s="665">
        <f t="shared" si="177"/>
        <v>372.31207750000004</v>
      </c>
      <c r="U166" s="666">
        <f t="shared" si="143"/>
        <v>42</v>
      </c>
      <c r="V166" s="666">
        <f t="shared" si="178"/>
        <v>100.8</v>
      </c>
      <c r="W166" s="665">
        <f t="shared" si="179"/>
        <v>194.07360000000003</v>
      </c>
      <c r="X166" s="665">
        <f t="shared" si="180"/>
        <v>3947.4600000000005</v>
      </c>
      <c r="Y166" s="665">
        <f t="shared" si="181"/>
        <v>3947.4600000000005</v>
      </c>
      <c r="Z166" s="361">
        <f t="shared" si="182"/>
        <v>38575.615767499999</v>
      </c>
      <c r="AA166" s="1202"/>
      <c r="AB166" s="362"/>
      <c r="AC166" s="1181" t="str">
        <f t="shared" si="183"/>
        <v>R. Jane Connell</v>
      </c>
      <c r="AD166" s="668" t="s">
        <v>510</v>
      </c>
      <c r="AE166" s="669">
        <f t="shared" si="184"/>
        <v>143.44</v>
      </c>
      <c r="AF166" s="670" t="s">
        <v>525</v>
      </c>
      <c r="AG166" s="669">
        <f t="shared" si="185"/>
        <v>10.25</v>
      </c>
      <c r="AH166" s="670" t="s">
        <v>512</v>
      </c>
      <c r="AI166" s="669">
        <f t="shared" si="186"/>
        <v>1.63</v>
      </c>
      <c r="AJ166" s="364">
        <f t="shared" si="187"/>
        <v>631.8900000000001</v>
      </c>
      <c r="AK166" s="364">
        <f t="shared" si="188"/>
        <v>22.22</v>
      </c>
      <c r="AL166" s="364">
        <f t="shared" si="189"/>
        <v>3.8</v>
      </c>
      <c r="AM166" s="365">
        <f t="shared" si="190"/>
        <v>155.32</v>
      </c>
      <c r="AN166" s="366">
        <f t="shared" si="191"/>
        <v>657.91000000000008</v>
      </c>
      <c r="AO166" s="367">
        <f t="shared" si="192"/>
        <v>813.23</v>
      </c>
      <c r="AP166" s="368">
        <v>8.7999999999999998E-5</v>
      </c>
      <c r="AQ166" s="369">
        <v>2.0000000000000002E-5</v>
      </c>
      <c r="AR166" s="370">
        <v>2.22E-4</v>
      </c>
      <c r="AS166" s="371">
        <v>3.1E-4</v>
      </c>
      <c r="AT166" s="372">
        <f t="shared" si="193"/>
        <v>194.07360000000003</v>
      </c>
      <c r="AV166" s="433">
        <f t="shared" si="194"/>
        <v>25270</v>
      </c>
      <c r="AW166" s="446">
        <f t="shared" si="195"/>
        <v>0</v>
      </c>
      <c r="AX166" s="435" t="str">
        <f t="shared" si="196"/>
        <v/>
      </c>
      <c r="AY166" s="376">
        <v>41820</v>
      </c>
      <c r="AZ166" s="437">
        <f t="shared" si="197"/>
        <v>-29871</v>
      </c>
      <c r="BA166" s="438">
        <f t="shared" si="198"/>
        <v>29871</v>
      </c>
      <c r="BB166" s="380" t="str">
        <f t="shared" si="199"/>
        <v/>
      </c>
      <c r="BC166" s="380" t="str">
        <f t="shared" si="200"/>
        <v/>
      </c>
      <c r="BD166" s="380">
        <f t="shared" si="201"/>
        <v>0</v>
      </c>
      <c r="BE166" s="380" t="str">
        <f t="shared" si="202"/>
        <v/>
      </c>
      <c r="BF166" s="439"/>
      <c r="BG166" s="381" t="str">
        <f>IF(ISERROR(BC166+SUM(BE166:BE166)),"",((BC166+SUM(BE166:BE166))))</f>
        <v/>
      </c>
      <c r="BH166" s="447">
        <f>SUM(BF162:BF166)</f>
        <v>0</v>
      </c>
      <c r="BI166" s="279" t="s">
        <v>505</v>
      </c>
    </row>
    <row r="167" spans="1:61" x14ac:dyDescent="0.2">
      <c r="A167" s="472"/>
      <c r="B167" s="358">
        <v>5</v>
      </c>
      <c r="C167" s="359"/>
      <c r="D167" s="359"/>
      <c r="E167" s="384" t="s">
        <v>13</v>
      </c>
      <c r="F167" s="681"/>
      <c r="G167" s="691"/>
      <c r="H167" s="691"/>
      <c r="I167" s="691"/>
      <c r="J167" s="885"/>
      <c r="K167" s="672">
        <v>0</v>
      </c>
      <c r="L167" s="685"/>
      <c r="M167" s="666"/>
      <c r="N167" s="1122">
        <f t="shared" si="174"/>
        <v>0</v>
      </c>
      <c r="O167" s="1122"/>
      <c r="P167" s="1122"/>
      <c r="Q167" s="667"/>
      <c r="R167" s="666">
        <f t="shared" si="175"/>
        <v>0</v>
      </c>
      <c r="S167" s="665">
        <f t="shared" si="176"/>
        <v>0</v>
      </c>
      <c r="T167" s="665">
        <f t="shared" si="177"/>
        <v>0</v>
      </c>
      <c r="U167" s="666">
        <f t="shared" si="143"/>
        <v>0</v>
      </c>
      <c r="V167" s="666">
        <f t="shared" si="178"/>
        <v>0</v>
      </c>
      <c r="W167" s="665">
        <f t="shared" si="179"/>
        <v>0</v>
      </c>
      <c r="X167" s="665">
        <f t="shared" si="180"/>
        <v>0</v>
      </c>
      <c r="Y167" s="665">
        <f t="shared" si="181"/>
        <v>0</v>
      </c>
      <c r="Z167" s="361">
        <f t="shared" si="182"/>
        <v>0</v>
      </c>
      <c r="AA167" s="1202" t="s">
        <v>325</v>
      </c>
      <c r="AB167" s="362"/>
      <c r="AC167" s="927">
        <f t="shared" si="183"/>
        <v>0</v>
      </c>
      <c r="AD167" s="668" t="s">
        <v>526</v>
      </c>
      <c r="AE167" s="669">
        <f t="shared" si="184"/>
        <v>0</v>
      </c>
      <c r="AF167" s="670" t="s">
        <v>526</v>
      </c>
      <c r="AG167" s="669">
        <f t="shared" si="185"/>
        <v>0</v>
      </c>
      <c r="AH167" s="670" t="s">
        <v>526</v>
      </c>
      <c r="AI167" s="669">
        <f t="shared" si="186"/>
        <v>0</v>
      </c>
      <c r="AJ167" s="364">
        <f t="shared" si="187"/>
        <v>0</v>
      </c>
      <c r="AK167" s="364">
        <f t="shared" si="188"/>
        <v>0</v>
      </c>
      <c r="AL167" s="364">
        <f t="shared" si="189"/>
        <v>0</v>
      </c>
      <c r="AM167" s="365">
        <f t="shared" si="190"/>
        <v>0</v>
      </c>
      <c r="AN167" s="366">
        <f t="shared" si="191"/>
        <v>0</v>
      </c>
      <c r="AO167" s="367">
        <f t="shared" si="192"/>
        <v>0</v>
      </c>
      <c r="AP167" s="368">
        <v>8.7999999999999998E-5</v>
      </c>
      <c r="AQ167" s="369">
        <v>2.0000000000000002E-5</v>
      </c>
      <c r="AR167" s="370">
        <v>2.22E-4</v>
      </c>
      <c r="AS167" s="371">
        <v>3.1E-4</v>
      </c>
      <c r="AT167" s="372">
        <f t="shared" si="193"/>
        <v>0</v>
      </c>
      <c r="AV167" s="433">
        <f t="shared" si="194"/>
        <v>0</v>
      </c>
      <c r="AW167" s="446">
        <f t="shared" si="195"/>
        <v>0</v>
      </c>
      <c r="AX167" s="435" t="str">
        <f t="shared" si="196"/>
        <v/>
      </c>
      <c r="AY167" s="376">
        <v>41820</v>
      </c>
      <c r="AZ167" s="437">
        <f t="shared" si="197"/>
        <v>-29871</v>
      </c>
      <c r="BA167" s="438">
        <f t="shared" si="198"/>
        <v>29871</v>
      </c>
      <c r="BB167" s="380" t="str">
        <f t="shared" si="199"/>
        <v/>
      </c>
      <c r="BC167" s="380" t="str">
        <f t="shared" si="200"/>
        <v/>
      </c>
      <c r="BD167" s="380">
        <f t="shared" si="201"/>
        <v>0</v>
      </c>
      <c r="BE167" s="380" t="str">
        <f t="shared" si="202"/>
        <v/>
      </c>
      <c r="BF167" s="439"/>
      <c r="BG167" s="381" t="str">
        <f>IF(ISERROR(BC167+SUM(BE167:BE167)),"",((BC167+SUM(BE167:BE167))))</f>
        <v/>
      </c>
      <c r="BH167" s="447">
        <f>SUM(BF162:BF167)</f>
        <v>0</v>
      </c>
      <c r="BI167" s="279" t="s">
        <v>505</v>
      </c>
    </row>
    <row r="168" spans="1:61" x14ac:dyDescent="0.2">
      <c r="A168" s="472"/>
      <c r="B168" s="358">
        <v>6</v>
      </c>
      <c r="C168" s="384"/>
      <c r="D168" s="384"/>
      <c r="E168" s="384"/>
      <c r="F168" s="681"/>
      <c r="G168" s="1080"/>
      <c r="H168" s="1080"/>
      <c r="I168" s="1080"/>
      <c r="J168" s="681"/>
      <c r="K168" s="672">
        <v>0</v>
      </c>
      <c r="L168" s="685"/>
      <c r="M168" s="666"/>
      <c r="N168" s="1122">
        <f t="shared" si="174"/>
        <v>0</v>
      </c>
      <c r="O168" s="1122"/>
      <c r="P168" s="1122"/>
      <c r="Q168" s="667"/>
      <c r="R168" s="666">
        <f t="shared" si="175"/>
        <v>0</v>
      </c>
      <c r="S168" s="665">
        <f t="shared" si="176"/>
        <v>0</v>
      </c>
      <c r="T168" s="665">
        <f t="shared" si="177"/>
        <v>0</v>
      </c>
      <c r="U168" s="666">
        <f t="shared" si="143"/>
        <v>0</v>
      </c>
      <c r="V168" s="666">
        <f t="shared" si="178"/>
        <v>0</v>
      </c>
      <c r="W168" s="665">
        <f t="shared" si="179"/>
        <v>0</v>
      </c>
      <c r="X168" s="665">
        <f t="shared" si="180"/>
        <v>0</v>
      </c>
      <c r="Y168" s="665">
        <f t="shared" si="181"/>
        <v>0</v>
      </c>
      <c r="Z168" s="361">
        <f t="shared" si="182"/>
        <v>0</v>
      </c>
      <c r="AA168" s="1202" t="s">
        <v>325</v>
      </c>
      <c r="AB168" s="362"/>
      <c r="AC168" s="363">
        <f t="shared" si="183"/>
        <v>0</v>
      </c>
      <c r="AD168" s="668" t="s">
        <v>526</v>
      </c>
      <c r="AE168" s="669">
        <f t="shared" si="184"/>
        <v>0</v>
      </c>
      <c r="AF168" s="670" t="s">
        <v>526</v>
      </c>
      <c r="AG168" s="669">
        <f t="shared" si="185"/>
        <v>0</v>
      </c>
      <c r="AH168" s="670" t="s">
        <v>526</v>
      </c>
      <c r="AI168" s="669">
        <f t="shared" si="186"/>
        <v>0</v>
      </c>
      <c r="AJ168" s="364">
        <f t="shared" si="187"/>
        <v>0</v>
      </c>
      <c r="AK168" s="364">
        <f t="shared" si="188"/>
        <v>0</v>
      </c>
      <c r="AL168" s="364">
        <f t="shared" si="189"/>
        <v>0</v>
      </c>
      <c r="AM168" s="365">
        <f t="shared" si="190"/>
        <v>0</v>
      </c>
      <c r="AN168" s="366">
        <f t="shared" si="191"/>
        <v>0</v>
      </c>
      <c r="AO168" s="367">
        <f t="shared" si="192"/>
        <v>0</v>
      </c>
      <c r="AP168" s="368">
        <v>8.7999999999999998E-5</v>
      </c>
      <c r="AQ168" s="369">
        <v>2.0000000000000002E-5</v>
      </c>
      <c r="AR168" s="370">
        <v>2.22E-4</v>
      </c>
      <c r="AS168" s="371">
        <v>3.1E-4</v>
      </c>
      <c r="AT168" s="372">
        <f t="shared" si="193"/>
        <v>0</v>
      </c>
      <c r="AV168" s="433">
        <f t="shared" si="194"/>
        <v>0</v>
      </c>
      <c r="AW168" s="446">
        <f t="shared" si="195"/>
        <v>0</v>
      </c>
      <c r="AX168" s="435" t="str">
        <f t="shared" si="196"/>
        <v/>
      </c>
      <c r="AY168" s="376">
        <v>41820</v>
      </c>
      <c r="AZ168" s="437">
        <f t="shared" si="197"/>
        <v>-29871</v>
      </c>
      <c r="BA168" s="438">
        <f t="shared" si="198"/>
        <v>29871</v>
      </c>
      <c r="BB168" s="380" t="str">
        <f t="shared" si="199"/>
        <v/>
      </c>
      <c r="BC168" s="380" t="str">
        <f t="shared" si="200"/>
        <v/>
      </c>
      <c r="BD168" s="380">
        <f t="shared" si="201"/>
        <v>0</v>
      </c>
      <c r="BE168" s="380" t="str">
        <f t="shared" si="202"/>
        <v/>
      </c>
      <c r="BF168" s="439"/>
      <c r="BG168" s="381" t="str">
        <f>IF(ISERROR(BC168+SUM(BE168:BE168)),"",((BC168+SUM(BE168:BE168))))</f>
        <v/>
      </c>
      <c r="BH168" s="447">
        <f>SUM(BF163:BF168)</f>
        <v>0</v>
      </c>
      <c r="BI168" s="279" t="s">
        <v>505</v>
      </c>
    </row>
    <row r="169" spans="1:61" ht="13.5" thickBot="1" x14ac:dyDescent="0.25">
      <c r="A169" s="473"/>
      <c r="B169" s="392"/>
      <c r="C169" s="392"/>
      <c r="D169" s="392"/>
      <c r="E169" s="392"/>
      <c r="F169" s="393"/>
      <c r="G169" s="393"/>
      <c r="H169" s="393"/>
      <c r="I169" s="393"/>
      <c r="J169" s="395"/>
      <c r="K169" s="394"/>
      <c r="L169" s="395"/>
      <c r="M169" s="396"/>
      <c r="N169" s="1123"/>
      <c r="O169" s="1123"/>
      <c r="P169" s="1123"/>
      <c r="Q169" s="396"/>
      <c r="R169" s="396"/>
      <c r="S169" s="396"/>
      <c r="T169" s="396"/>
      <c r="U169" s="666">
        <f t="shared" si="143"/>
        <v>0</v>
      </c>
      <c r="V169" s="396"/>
      <c r="W169" s="396"/>
      <c r="X169" s="396"/>
      <c r="Y169" s="396"/>
      <c r="Z169" s="397"/>
      <c r="AA169" s="398">
        <f>SUM(Z163:Z168)</f>
        <v>114738.97653499998</v>
      </c>
      <c r="AB169" s="399"/>
      <c r="AC169" s="400"/>
      <c r="AD169" s="401"/>
      <c r="AE169" s="402"/>
      <c r="AF169" s="401"/>
      <c r="AG169" s="402"/>
      <c r="AH169" s="401"/>
      <c r="AI169" s="402"/>
      <c r="AJ169" s="402"/>
      <c r="AK169" s="402"/>
      <c r="AL169" s="402"/>
      <c r="AM169" s="403"/>
      <c r="AN169" s="404"/>
      <c r="AO169" s="405"/>
      <c r="AP169" s="406"/>
      <c r="AQ169" s="407"/>
      <c r="AR169" s="408"/>
      <c r="AS169" s="409"/>
      <c r="AT169" s="410"/>
      <c r="AU169" s="411"/>
      <c r="AV169" s="412"/>
      <c r="AW169" s="413"/>
      <c r="AX169" s="414"/>
      <c r="AY169" s="415"/>
      <c r="AZ169" s="416"/>
      <c r="BA169" s="417"/>
      <c r="BB169" s="418"/>
      <c r="BC169" s="418"/>
      <c r="BD169" s="418"/>
      <c r="BE169" s="418"/>
      <c r="BF169" s="419"/>
      <c r="BG169" s="420"/>
      <c r="BH169" s="421">
        <f>SUM(BH163:BH168)</f>
        <v>0</v>
      </c>
      <c r="BI169" s="422" t="str">
        <f>AA168</f>
        <v>Transportation</v>
      </c>
    </row>
    <row r="170" spans="1:61" x14ac:dyDescent="0.2">
      <c r="A170" s="1277" t="s">
        <v>376</v>
      </c>
      <c r="B170" s="358">
        <v>1</v>
      </c>
      <c r="C170" s="359"/>
      <c r="D170" s="359"/>
      <c r="E170" s="474"/>
      <c r="F170" s="691" t="s">
        <v>681</v>
      </c>
      <c r="G170" s="691" t="s">
        <v>1585</v>
      </c>
      <c r="H170" s="691" t="s">
        <v>1586</v>
      </c>
      <c r="I170" s="691" t="s">
        <v>1587</v>
      </c>
      <c r="J170" s="692">
        <v>42000</v>
      </c>
      <c r="K170" s="672"/>
      <c r="L170" s="685"/>
      <c r="M170" s="666"/>
      <c r="N170" s="1122">
        <f>J170*(1+K170)+L170+M170</f>
        <v>42000</v>
      </c>
      <c r="O170" s="1122"/>
      <c r="P170" s="1122"/>
      <c r="Q170" s="667"/>
      <c r="R170" s="665">
        <f>N170*Q170</f>
        <v>0</v>
      </c>
      <c r="S170" s="665">
        <f>(N170-R170)*0.062</f>
        <v>2604</v>
      </c>
      <c r="T170" s="665">
        <f>(N170-R170)*0.0145</f>
        <v>609</v>
      </c>
      <c r="U170" s="666">
        <f t="shared" si="143"/>
        <v>42</v>
      </c>
      <c r="V170" s="666">
        <f>IF(N170&gt;=7000,7000*0.0144,IF(N170&lt;=7000,N170*0.0144))</f>
        <v>100.8</v>
      </c>
      <c r="W170" s="665">
        <f>AT170</f>
        <v>322.56</v>
      </c>
      <c r="X170" s="665">
        <f>+AN170*6</f>
        <v>0</v>
      </c>
      <c r="Y170" s="665">
        <f>+AN170*6</f>
        <v>0</v>
      </c>
      <c r="Z170" s="361">
        <f>SUM(N170:Y170)</f>
        <v>45678.36</v>
      </c>
      <c r="AA170" s="459"/>
      <c r="AB170" s="362"/>
      <c r="AC170" s="424" t="str">
        <f>G170</f>
        <v>Richard Arwood</v>
      </c>
      <c r="AD170" s="668" t="s">
        <v>526</v>
      </c>
      <c r="AE170" s="669">
        <f>IF(ISNA(VLOOKUP(AD170,$A$226:$E$266,4,FALSE)),"0",VLOOKUP(AD170,$A$226:$E$266,4,FALSE))</f>
        <v>0</v>
      </c>
      <c r="AF170" s="670" t="s">
        <v>526</v>
      </c>
      <c r="AG170" s="669">
        <f>IF(ISNA(VLOOKUP(AF170,$A$253:$E$266,4,FALSE)),"0",VLOOKUP(AF170,$A$253:$E$266,4,FALSE))</f>
        <v>0</v>
      </c>
      <c r="AH170" s="670" t="s">
        <v>526</v>
      </c>
      <c r="AI170" s="364">
        <f>IF(ISNA(VLOOKUP(AH170,$A$226:$E$266,4,FALSE)),"0",VLOOKUP(AH170,$A$226:$E$266,4,FALSE))</f>
        <v>0</v>
      </c>
      <c r="AJ170" s="364">
        <f>IF(ISNA(VLOOKUP(AD170,$A$226:$E$266,5,FALSE)),"0",VLOOKUP(AD170,$A$226:$E$266,5,FALSE))</f>
        <v>0</v>
      </c>
      <c r="AK170" s="364">
        <f>IF(ISNA(VLOOKUP(AF170,$A$226:$E$266,5,FALSE)),"0",VLOOKUP(AF170,$A$226:$E$266,5,FALSE))</f>
        <v>0</v>
      </c>
      <c r="AL170" s="364">
        <f>IF(ISNA(VLOOKUP(AH170,$A$226:$E$259,5,FALSE)),"0",VLOOKUP(AH170,$A$226:$E$259,5,FALSE))</f>
        <v>0</v>
      </c>
      <c r="AM170" s="365">
        <f>AE170+AG170+AI170</f>
        <v>0</v>
      </c>
      <c r="AN170" s="366">
        <f>AJ170+AK170+AL170</f>
        <v>0</v>
      </c>
      <c r="AO170" s="367">
        <f>SUM(AM170:AN170)</f>
        <v>0</v>
      </c>
      <c r="AP170" s="368">
        <v>8.7999999999999998E-5</v>
      </c>
      <c r="AQ170" s="369">
        <v>2.0000000000000002E-5</v>
      </c>
      <c r="AR170" s="370">
        <v>2.22E-4</v>
      </c>
      <c r="AS170" s="371">
        <v>3.1E-4</v>
      </c>
      <c r="AT170" s="372">
        <f>SUM((J170*AP170)+(J170*AQ170)+(J170*AR170)+(J170*AS170))*12</f>
        <v>322.56</v>
      </c>
      <c r="AV170" s="373">
        <f>J170</f>
        <v>42000</v>
      </c>
      <c r="AW170" s="374">
        <f>NETWORKDAYS(C170,D170)</f>
        <v>0</v>
      </c>
      <c r="AX170" s="375" t="str">
        <f>IF(ISERROR(AV170/AW170),"",(AV170/AW170))</f>
        <v/>
      </c>
      <c r="AY170" s="376">
        <v>41820</v>
      </c>
      <c r="AZ170" s="377">
        <f>NETWORKDAYS(AY170,D170)</f>
        <v>-29871</v>
      </c>
      <c r="BA170" s="378">
        <f>AW170-AZ170</f>
        <v>29871</v>
      </c>
      <c r="BB170" s="379" t="str">
        <f>IF(ISERROR(BA170*AX170),"",(BA170*AX170))</f>
        <v/>
      </c>
      <c r="BC170" s="379" t="str">
        <f>IF(ISERROR(AZ170*AX170),"",(AZ170*AX170))</f>
        <v/>
      </c>
      <c r="BD170" s="379">
        <f>IF(ISERROR(SUM(BB170:BC170)),"",((SUM(BB170:BC170))))</f>
        <v>0</v>
      </c>
      <c r="BE170" s="379" t="str">
        <f>IF(ISERROR(BC170*7.65%),"",((BC170*7.65%)))</f>
        <v/>
      </c>
      <c r="BF170" s="380" t="str">
        <f>IF(ISERROR(BC170*21.17%),"",((BC170*21.17%)))</f>
        <v/>
      </c>
      <c r="BG170" s="381" t="e">
        <f>SUM(BE170:BF170)+BC170</f>
        <v>#VALUE!</v>
      </c>
      <c r="BH170" s="447">
        <f>SUM(BC170:BC173)</f>
        <v>0</v>
      </c>
      <c r="BI170" s="279" t="s">
        <v>527</v>
      </c>
    </row>
    <row r="171" spans="1:61" x14ac:dyDescent="0.2">
      <c r="A171" s="1278"/>
      <c r="B171" s="358">
        <v>2</v>
      </c>
      <c r="C171" s="474"/>
      <c r="D171" s="475"/>
      <c r="E171" s="474"/>
      <c r="F171" s="681" t="s">
        <v>1418</v>
      </c>
      <c r="G171" s="681" t="s">
        <v>1419</v>
      </c>
      <c r="H171" s="681" t="s">
        <v>1420</v>
      </c>
      <c r="I171" s="681" t="s">
        <v>1421</v>
      </c>
      <c r="J171" s="685">
        <v>36000</v>
      </c>
      <c r="K171" s="672">
        <v>0</v>
      </c>
      <c r="L171" s="685"/>
      <c r="M171" s="666"/>
      <c r="N171" s="1122">
        <f>J171*(1+K171)+L171+M171</f>
        <v>36000</v>
      </c>
      <c r="O171" s="1122"/>
      <c r="P171" s="1122"/>
      <c r="Q171" s="683"/>
      <c r="R171" s="665">
        <f>N171*Q171</f>
        <v>0</v>
      </c>
      <c r="S171" s="665">
        <f>(N171-R171)*0.062</f>
        <v>2232</v>
      </c>
      <c r="T171" s="665">
        <f>(N171-R171)*0.0145</f>
        <v>522</v>
      </c>
      <c r="U171" s="666">
        <f t="shared" si="143"/>
        <v>42</v>
      </c>
      <c r="V171" s="666">
        <f>IF(N171&gt;=7000,7000*0.0144,IF(N171&lt;=7000,N171*0.0144))</f>
        <v>100.8</v>
      </c>
      <c r="W171" s="665">
        <f>AT171</f>
        <v>276.48</v>
      </c>
      <c r="X171" s="665">
        <f>+AN171*6</f>
        <v>10868.579999999998</v>
      </c>
      <c r="Y171" s="665">
        <f>+AN171*6</f>
        <v>10868.579999999998</v>
      </c>
      <c r="Z171" s="361">
        <f>SUM(N171:Y171)</f>
        <v>60910.44</v>
      </c>
      <c r="AA171" s="459"/>
      <c r="AB171" s="362"/>
      <c r="AC171" s="1185" t="str">
        <f>G171</f>
        <v>Frances Marrero</v>
      </c>
      <c r="AD171" s="668" t="s">
        <v>524</v>
      </c>
      <c r="AE171" s="669">
        <f>IF(ISNA(VLOOKUP(AD171,$A$226:$E$266,4,FALSE)),"0",VLOOKUP(AD171,$A$226:$E$266,4,FALSE))</f>
        <v>449.2</v>
      </c>
      <c r="AF171" s="670" t="s">
        <v>557</v>
      </c>
      <c r="AG171" s="669">
        <f>IF(ISNA(VLOOKUP(AF171,$A$253:$E$266,4,FALSE)),"0",VLOOKUP(AF171,$A$253:$E$266,4,FALSE))</f>
        <v>72.36</v>
      </c>
      <c r="AH171" s="670" t="s">
        <v>512</v>
      </c>
      <c r="AI171" s="364">
        <f>IF(ISNA(VLOOKUP(AH171,$A$226:$E$266,4,FALSE)),"0",VLOOKUP(AH171,$A$226:$E$266,4,FALSE))</f>
        <v>1.63</v>
      </c>
      <c r="AJ171" s="364">
        <f>IF(ISNA(VLOOKUP(AD171,$A$226:$E$266,5,FALSE)),"0",VLOOKUP(AD171,$A$226:$E$266,5,FALSE))</f>
        <v>1741.9999999999998</v>
      </c>
      <c r="AK171" s="364">
        <f>IF(ISNA(VLOOKUP(AF171,$A$226:$E$266,5,FALSE)),"0",VLOOKUP(AF171,$A$226:$E$266,5,FALSE))</f>
        <v>65.63000000000001</v>
      </c>
      <c r="AL171" s="364">
        <f>IF(ISNA(VLOOKUP(AH171,$A$226:$E$259,5,FALSE)),"0",VLOOKUP(AH171,$A$226:$E$259,5,FALSE))</f>
        <v>3.8</v>
      </c>
      <c r="AM171" s="365">
        <f>AE171+AG171+AI171</f>
        <v>523.18999999999994</v>
      </c>
      <c r="AN171" s="366">
        <f>AJ171+AK171+AL171</f>
        <v>1811.4299999999998</v>
      </c>
      <c r="AO171" s="367">
        <f>SUM(AM171:AN171)</f>
        <v>2334.62</v>
      </c>
      <c r="AP171" s="368">
        <v>8.7999999999999998E-5</v>
      </c>
      <c r="AQ171" s="369">
        <v>2.0000000000000002E-5</v>
      </c>
      <c r="AR171" s="370">
        <v>2.22E-4</v>
      </c>
      <c r="AS171" s="371">
        <v>3.1E-4</v>
      </c>
      <c r="AT171" s="372">
        <f>SUM((J171*AP171)+(J171*AQ171)+(J171*AR171)+(J171*AS171))*12</f>
        <v>276.48</v>
      </c>
      <c r="AV171" s="373">
        <f>J171</f>
        <v>36000</v>
      </c>
      <c r="AW171" s="374">
        <f>NETWORKDAYS(C171,D171)</f>
        <v>0</v>
      </c>
      <c r="AX171" s="375" t="str">
        <f>IF(ISERROR(AV171/AW171),"",(AV171/AW171))</f>
        <v/>
      </c>
      <c r="AY171" s="376">
        <v>41820</v>
      </c>
      <c r="AZ171" s="377">
        <f>NETWORKDAYS(AY171,D171)</f>
        <v>-29871</v>
      </c>
      <c r="BA171" s="378">
        <f>AW171-AZ171</f>
        <v>29871</v>
      </c>
      <c r="BB171" s="379" t="str">
        <f>IF(ISERROR(BA171*AX171),"",(BA171*AX171))</f>
        <v/>
      </c>
      <c r="BC171" s="379" t="str">
        <f>IF(ISERROR(AZ171*AX171),"",(AZ171*AX171))</f>
        <v/>
      </c>
      <c r="BD171" s="379">
        <f>IF(ISERROR(SUM(BB171:BC171)),"",((SUM(BB171:BC171))))</f>
        <v>0</v>
      </c>
      <c r="BE171" s="379" t="str">
        <f>IF(ISERROR(BC171*7.65%),"",((BC171*7.65%)))</f>
        <v/>
      </c>
      <c r="BF171" s="380" t="str">
        <f>IF(ISERROR(BC171*21.17%),"",((BC171*21.17%)))</f>
        <v/>
      </c>
      <c r="BG171" s="381" t="e">
        <f>SUM(BE171:BF171)+BC171</f>
        <v>#VALUE!</v>
      </c>
      <c r="BH171" s="447">
        <f>SUM(BE170:BE173)</f>
        <v>0</v>
      </c>
      <c r="BI171" s="279" t="s">
        <v>504</v>
      </c>
    </row>
    <row r="172" spans="1:61" x14ac:dyDescent="0.2">
      <c r="A172" s="1201"/>
      <c r="B172" s="358">
        <v>3</v>
      </c>
      <c r="C172" s="474"/>
      <c r="D172" s="475"/>
      <c r="E172" s="474"/>
      <c r="F172" s="681" t="s">
        <v>1588</v>
      </c>
      <c r="G172" s="681" t="s">
        <v>1570</v>
      </c>
      <c r="H172" s="681" t="s">
        <v>1421</v>
      </c>
      <c r="I172" s="681" t="s">
        <v>1571</v>
      </c>
      <c r="J172" s="685">
        <v>19950</v>
      </c>
      <c r="K172" s="672">
        <v>0.03</v>
      </c>
      <c r="L172" s="685"/>
      <c r="M172" s="666"/>
      <c r="N172" s="1122">
        <f>J172*(1+K172)+L172+M172</f>
        <v>20548.5</v>
      </c>
      <c r="O172" s="1122"/>
      <c r="P172" s="1122"/>
      <c r="Q172" s="683"/>
      <c r="R172" s="665">
        <f>N172*Q172</f>
        <v>0</v>
      </c>
      <c r="S172" s="665">
        <f>(N172-R172)*0.062</f>
        <v>1274.0070000000001</v>
      </c>
      <c r="T172" s="665">
        <f>(N172-R172)*0.0145</f>
        <v>297.95325000000003</v>
      </c>
      <c r="U172" s="666">
        <f t="shared" ref="U172" si="203">IF(N172&gt;=7000,7000*0.006,IF(N172&lt;=7000,N172*0.006))</f>
        <v>42</v>
      </c>
      <c r="V172" s="666">
        <f>IF(N172&gt;=7000,7000*0.0144,IF(N172&lt;=7000,N172*0.0144))</f>
        <v>100.8</v>
      </c>
      <c r="W172" s="665">
        <f>AT172</f>
        <v>153.21600000000001</v>
      </c>
      <c r="X172" s="665">
        <f>+AN172*6</f>
        <v>416.58000000000004</v>
      </c>
      <c r="Y172" s="665">
        <f>+AN172*6</f>
        <v>416.58000000000004</v>
      </c>
      <c r="Z172" s="361">
        <f>SUM(N172:Y172)</f>
        <v>23249.636250000003</v>
      </c>
      <c r="AA172" s="459"/>
      <c r="AB172" s="362"/>
      <c r="AC172" s="1185" t="s">
        <v>1589</v>
      </c>
      <c r="AD172" s="668"/>
      <c r="AE172" s="669" t="str">
        <f>IF(ISNA(VLOOKUP(AD172,$A$226:$E$266,4,FALSE)),"0",VLOOKUP(AD172,$A$226:$E$266,4,FALSE))</f>
        <v>0</v>
      </c>
      <c r="AF172" s="670" t="s">
        <v>557</v>
      </c>
      <c r="AG172" s="669">
        <f>IF(ISNA(VLOOKUP(AF172,$A$253:$E$266,4,FALSE)),"0",VLOOKUP(AF172,$A$253:$E$266,4,FALSE))</f>
        <v>72.36</v>
      </c>
      <c r="AH172" s="670" t="s">
        <v>512</v>
      </c>
      <c r="AI172" s="364">
        <f>IF(ISNA(VLOOKUP(AH172,$A$226:$E$266,4,FALSE)),"0",VLOOKUP(AH172,$A$226:$E$266,4,FALSE))</f>
        <v>1.63</v>
      </c>
      <c r="AJ172" s="364" t="str">
        <f>IF(ISNA(VLOOKUP(AD172,$A$226:$E$266,5,FALSE)),"0",VLOOKUP(AD172,$A$226:$E$266,5,FALSE))</f>
        <v>0</v>
      </c>
      <c r="AK172" s="364">
        <f>IF(ISNA(VLOOKUP(AF172,$A$226:$E$266,5,FALSE)),"0",VLOOKUP(AF172,$A$226:$E$266,5,FALSE))</f>
        <v>65.63000000000001</v>
      </c>
      <c r="AL172" s="364">
        <f>IF(ISNA(VLOOKUP(AH172,$A$226:$E$259,5,FALSE)),"0",VLOOKUP(AH172,$A$226:$E$259,5,FALSE))</f>
        <v>3.8</v>
      </c>
      <c r="AM172" s="365">
        <f>AE172+AG172+AI172</f>
        <v>73.989999999999995</v>
      </c>
      <c r="AN172" s="366">
        <f>AJ172+AK172+AL172</f>
        <v>69.430000000000007</v>
      </c>
      <c r="AO172" s="367">
        <f>SUM(AM172:AN172)</f>
        <v>143.42000000000002</v>
      </c>
      <c r="AP172" s="368">
        <v>8.7999999999999998E-5</v>
      </c>
      <c r="AQ172" s="369">
        <v>2.0000000000000002E-5</v>
      </c>
      <c r="AR172" s="370">
        <v>2.22E-4</v>
      </c>
      <c r="AS172" s="371">
        <v>3.1E-4</v>
      </c>
      <c r="AT172" s="372">
        <f>SUM((J172*AP172)+(J172*AQ172)+(J172*AR172)+(J172*AS172))*12</f>
        <v>153.21600000000001</v>
      </c>
      <c r="AV172" s="373">
        <f t="shared" ref="AV172:AV173" si="204">J172</f>
        <v>19950</v>
      </c>
      <c r="AW172" s="374">
        <f t="shared" ref="AW172:AW173" si="205">NETWORKDAYS(C172,D172)</f>
        <v>0</v>
      </c>
      <c r="AX172" s="375" t="str">
        <f t="shared" ref="AX172:AX173" si="206">IF(ISERROR(AV172/AW172),"",(AV172/AW172))</f>
        <v/>
      </c>
      <c r="AY172" s="376">
        <v>41820</v>
      </c>
      <c r="AZ172" s="377">
        <f t="shared" ref="AZ172:AZ173" si="207">NETWORKDAYS(AY172,D172)</f>
        <v>-29871</v>
      </c>
      <c r="BA172" s="378">
        <f t="shared" ref="BA172:BA173" si="208">AW172-AZ172</f>
        <v>29871</v>
      </c>
      <c r="BB172" s="379" t="str">
        <f t="shared" ref="BB172:BB173" si="209">IF(ISERROR(BA172*AX172),"",(BA172*AX172))</f>
        <v/>
      </c>
      <c r="BC172" s="379" t="str">
        <f t="shared" ref="BC172:BC173" si="210">IF(ISERROR(AZ172*AX172),"",(AZ172*AX172))</f>
        <v/>
      </c>
      <c r="BD172" s="379">
        <f t="shared" ref="BD172:BD173" si="211">IF(ISERROR(SUM(BB172:BC172)),"",((SUM(BB172:BC172))))</f>
        <v>0</v>
      </c>
      <c r="BE172" s="379" t="str">
        <f t="shared" ref="BE172:BE173" si="212">IF(ISERROR(BC172*7.65%),"",((BC172*7.65%)))</f>
        <v/>
      </c>
      <c r="BF172" s="380" t="str">
        <f t="shared" ref="BF172:BF173" si="213">IF(ISERROR(BC172*21.17%),"",((BC172*21.17%)))</f>
        <v/>
      </c>
      <c r="BG172" s="381" t="e">
        <f t="shared" ref="BG172:BG173" si="214">SUM(BE172:BF172)+BC172</f>
        <v>#VALUE!</v>
      </c>
      <c r="BH172" s="447"/>
    </row>
    <row r="173" spans="1:61" x14ac:dyDescent="0.2">
      <c r="A173" s="472"/>
      <c r="B173" s="358">
        <v>4</v>
      </c>
      <c r="C173" s="475"/>
      <c r="D173" s="475"/>
      <c r="E173" s="475"/>
      <c r="F173" s="681" t="s">
        <v>1588</v>
      </c>
      <c r="G173" s="681" t="s">
        <v>1370</v>
      </c>
      <c r="H173" s="681" t="s">
        <v>1372</v>
      </c>
      <c r="I173" s="681" t="s">
        <v>1371</v>
      </c>
      <c r="J173" s="685">
        <v>17100</v>
      </c>
      <c r="K173" s="672">
        <v>0.03</v>
      </c>
      <c r="L173" s="685"/>
      <c r="M173" s="666"/>
      <c r="N173" s="1122">
        <f>J173*(1+K173)+L173+M173</f>
        <v>17613</v>
      </c>
      <c r="O173" s="1122"/>
      <c r="P173" s="1122"/>
      <c r="Q173" s="683"/>
      <c r="R173" s="665">
        <f>N173*Q173</f>
        <v>0</v>
      </c>
      <c r="S173" s="665">
        <f>(N173-R173)*0.062</f>
        <v>1092.0060000000001</v>
      </c>
      <c r="T173" s="665">
        <f>(N173-R173)*0.0145</f>
        <v>255.38850000000002</v>
      </c>
      <c r="U173" s="666">
        <f t="shared" si="143"/>
        <v>42</v>
      </c>
      <c r="V173" s="666">
        <f>IF(N173&gt;=7000,7000*0.0144,IF(N173&lt;=7000,N173*0.0144))</f>
        <v>100.8</v>
      </c>
      <c r="W173" s="665">
        <f>AT173</f>
        <v>131.328</v>
      </c>
      <c r="X173" s="665">
        <f>+AN173*6</f>
        <v>0</v>
      </c>
      <c r="Y173" s="665">
        <f>+AN173*6</f>
        <v>0</v>
      </c>
      <c r="Z173" s="361">
        <f>SUM(N173:Y173)</f>
        <v>19234.522500000003</v>
      </c>
      <c r="AA173" s="331" t="str">
        <f>A170</f>
        <v>Plant Operations</v>
      </c>
      <c r="AB173" s="362"/>
      <c r="AC173" s="476" t="s">
        <v>1590</v>
      </c>
      <c r="AD173" s="668" t="s">
        <v>526</v>
      </c>
      <c r="AE173" s="669">
        <f>IF(ISNA(VLOOKUP(AD173,$A$226:$E$266,4,FALSE)),"0",VLOOKUP(AD173,$A$226:$E$266,4,FALSE))</f>
        <v>0</v>
      </c>
      <c r="AF173" s="670" t="s">
        <v>526</v>
      </c>
      <c r="AG173" s="669">
        <f>IF(ISNA(VLOOKUP(AF173,$A$253:$E$266,4,FALSE)),"0",VLOOKUP(AF173,$A$253:$E$266,4,FALSE))</f>
        <v>0</v>
      </c>
      <c r="AH173" s="670" t="s">
        <v>526</v>
      </c>
      <c r="AI173" s="364">
        <f>IF(ISNA(VLOOKUP(AH173,$A$226:$E$266,4,FALSE)),"0",VLOOKUP(AH173,$A$226:$E$266,4,FALSE))</f>
        <v>0</v>
      </c>
      <c r="AJ173" s="364">
        <f>IF(ISNA(VLOOKUP(AD173,$A$226:$E$266,5,FALSE)),"0",VLOOKUP(AD173,$A$226:$E$266,5,FALSE))</f>
        <v>0</v>
      </c>
      <c r="AK173" s="364">
        <f>IF(ISNA(VLOOKUP(AF173,$A$226:$E$266,5,FALSE)),"0",VLOOKUP(AF173,$A$226:$E$266,5,FALSE))</f>
        <v>0</v>
      </c>
      <c r="AL173" s="364">
        <f>IF(ISNA(VLOOKUP(AH173,$A$226:$E$259,5,FALSE)),"0",VLOOKUP(AH173,$A$226:$E$259,5,FALSE))</f>
        <v>0</v>
      </c>
      <c r="AM173" s="365">
        <f>AE173+AG173+AI173</f>
        <v>0</v>
      </c>
      <c r="AN173" s="366">
        <f>AJ173+AK173+AL173</f>
        <v>0</v>
      </c>
      <c r="AO173" s="367">
        <f>SUM(AM173:AN173)</f>
        <v>0</v>
      </c>
      <c r="AP173" s="428">
        <v>8.7999999999999998E-5</v>
      </c>
      <c r="AQ173" s="429">
        <v>2.0000000000000002E-5</v>
      </c>
      <c r="AR173" s="430">
        <v>2.22E-4</v>
      </c>
      <c r="AS173" s="431">
        <v>3.1E-4</v>
      </c>
      <c r="AT173" s="372">
        <f>SUM((J173*AP173)+(J173*AQ173)+(J173*AR173)+(J173*AS173))*12</f>
        <v>131.328</v>
      </c>
      <c r="AV173" s="373">
        <f t="shared" si="204"/>
        <v>17100</v>
      </c>
      <c r="AW173" s="374">
        <f t="shared" si="205"/>
        <v>0</v>
      </c>
      <c r="AX173" s="375" t="str">
        <f t="shared" si="206"/>
        <v/>
      </c>
      <c r="AY173" s="376">
        <v>41820</v>
      </c>
      <c r="AZ173" s="377">
        <f t="shared" si="207"/>
        <v>-29871</v>
      </c>
      <c r="BA173" s="378">
        <f t="shared" si="208"/>
        <v>29871</v>
      </c>
      <c r="BB173" s="379" t="str">
        <f t="shared" si="209"/>
        <v/>
      </c>
      <c r="BC173" s="379" t="str">
        <f t="shared" si="210"/>
        <v/>
      </c>
      <c r="BD173" s="379">
        <f t="shared" si="211"/>
        <v>0</v>
      </c>
      <c r="BE173" s="379" t="str">
        <f t="shared" si="212"/>
        <v/>
      </c>
      <c r="BF173" s="380" t="str">
        <f t="shared" si="213"/>
        <v/>
      </c>
      <c r="BG173" s="381" t="e">
        <f t="shared" si="214"/>
        <v>#VALUE!</v>
      </c>
      <c r="BH173" s="447">
        <f>SUM(BF170:BF173)</f>
        <v>0</v>
      </c>
      <c r="BI173" s="279" t="s">
        <v>505</v>
      </c>
    </row>
    <row r="174" spans="1:61" ht="13.5" thickBot="1" x14ac:dyDescent="0.25">
      <c r="A174" s="472"/>
      <c r="B174" s="473"/>
      <c r="C174" s="473"/>
      <c r="D174" s="473"/>
      <c r="E174" s="473"/>
      <c r="F174" s="477"/>
      <c r="G174" s="477"/>
      <c r="H174" s="477"/>
      <c r="I174" s="477"/>
      <c r="J174" s="466"/>
      <c r="K174" s="478"/>
      <c r="L174" s="464"/>
      <c r="M174" s="468"/>
      <c r="N174" s="1127"/>
      <c r="O174" s="1225"/>
      <c r="P174" s="1225"/>
      <c r="Q174" s="480"/>
      <c r="R174" s="479"/>
      <c r="S174" s="468"/>
      <c r="T174" s="468"/>
      <c r="U174" s="666">
        <f t="shared" si="143"/>
        <v>0</v>
      </c>
      <c r="V174" s="468"/>
      <c r="W174" s="479"/>
      <c r="X174" s="480"/>
      <c r="Y174" s="479"/>
      <c r="Z174" s="470"/>
      <c r="AA174" s="398">
        <f>SUM(Z170:Z173)</f>
        <v>149072.95874999999</v>
      </c>
      <c r="AB174" s="362"/>
      <c r="AC174" s="400"/>
      <c r="AD174" s="401"/>
      <c r="AE174" s="402"/>
      <c r="AF174" s="401"/>
      <c r="AG174" s="402"/>
      <c r="AH174" s="401"/>
      <c r="AI174" s="402"/>
      <c r="AJ174" s="402"/>
      <c r="AK174" s="402"/>
      <c r="AL174" s="402"/>
      <c r="AM174" s="403"/>
      <c r="AN174" s="404"/>
      <c r="AO174" s="405"/>
      <c r="AP174" s="406"/>
      <c r="AQ174" s="407"/>
      <c r="AR174" s="408"/>
      <c r="AS174" s="409"/>
      <c r="AT174" s="410"/>
      <c r="AU174" s="411"/>
      <c r="AV174" s="412"/>
      <c r="AW174" s="413"/>
      <c r="AX174" s="414"/>
      <c r="AY174" s="415"/>
      <c r="AZ174" s="416"/>
      <c r="BA174" s="417"/>
      <c r="BB174" s="418"/>
      <c r="BC174" s="418"/>
      <c r="BD174" s="418"/>
      <c r="BE174" s="418"/>
      <c r="BF174" s="419"/>
      <c r="BG174" s="420"/>
      <c r="BH174" s="421">
        <f>SUM(BH170:BH173)</f>
        <v>0</v>
      </c>
      <c r="BI174" s="422">
        <f>AA170</f>
        <v>0</v>
      </c>
    </row>
    <row r="175" spans="1:61" x14ac:dyDescent="0.2">
      <c r="A175" s="1277" t="s">
        <v>377</v>
      </c>
      <c r="B175" s="358">
        <v>1</v>
      </c>
      <c r="C175" s="359"/>
      <c r="D175" s="359"/>
      <c r="E175" s="360"/>
      <c r="F175" s="696"/>
      <c r="G175" s="696"/>
      <c r="H175" s="696"/>
      <c r="I175" s="696"/>
      <c r="J175" s="874"/>
      <c r="K175" s="672">
        <v>0</v>
      </c>
      <c r="L175" s="685"/>
      <c r="M175" s="665"/>
      <c r="N175" s="1122">
        <f>J175*(1+K175)+L175+M175</f>
        <v>0</v>
      </c>
      <c r="O175" s="1122"/>
      <c r="P175" s="1122"/>
      <c r="Q175" s="667">
        <v>0</v>
      </c>
      <c r="R175" s="665">
        <f>N175*Q175</f>
        <v>0</v>
      </c>
      <c r="S175" s="665">
        <f>(N175-R175)*0.062</f>
        <v>0</v>
      </c>
      <c r="T175" s="665">
        <f>(N175-R175)*0.0145</f>
        <v>0</v>
      </c>
      <c r="U175" s="666">
        <f t="shared" si="143"/>
        <v>0</v>
      </c>
      <c r="V175" s="666">
        <f>IF(N175&gt;=7000,7000*0.0144,IF(N175&lt;=7000,N175*0.0144))</f>
        <v>0</v>
      </c>
      <c r="W175" s="665">
        <f>AT175</f>
        <v>0</v>
      </c>
      <c r="X175" s="665">
        <f>+AN175*6</f>
        <v>0</v>
      </c>
      <c r="Y175" s="665">
        <f>+AN175*6</f>
        <v>0</v>
      </c>
      <c r="Z175" s="693">
        <f>SUM(N175:Y175)</f>
        <v>0</v>
      </c>
      <c r="AB175" s="362"/>
      <c r="AC175" s="424">
        <f>G175</f>
        <v>0</v>
      </c>
      <c r="AD175" s="668"/>
      <c r="AE175" s="669" t="str">
        <f>IF(ISNA(VLOOKUP(AD175,$A$226:$E$266,4,FALSE)),"0",VLOOKUP(AD175,$A$226:$E$266,4,FALSE))</f>
        <v>0</v>
      </c>
      <c r="AF175" s="670"/>
      <c r="AG175" s="669" t="str">
        <f>IF(ISNA(VLOOKUP(AF175,$A$253:$E$266,4,FALSE)),"0",VLOOKUP(AF175,$A$253:$E$266,4,FALSE))</f>
        <v>0</v>
      </c>
      <c r="AH175" s="670"/>
      <c r="AI175" s="364" t="str">
        <f>IF(ISNA(VLOOKUP(AH175,$A$226:$E$266,4,FALSE)),"0",VLOOKUP(AH175,$A$226:$E$266,4,FALSE))</f>
        <v>0</v>
      </c>
      <c r="AJ175" s="364" t="str">
        <f>IF(ISNA(VLOOKUP(AD175,$A$226:$E$266,5,FALSE)),"0",VLOOKUP(AD175,$A$226:$E$266,5,FALSE))</f>
        <v>0</v>
      </c>
      <c r="AK175" s="364" t="str">
        <f>IF(ISNA(VLOOKUP(AF175,$A$226:$E$266,5,FALSE)),"0",VLOOKUP(AF175,$A$226:$E$266,5,FALSE))</f>
        <v>0</v>
      </c>
      <c r="AL175" s="364" t="str">
        <f>IF(ISNA(VLOOKUP(AH175,$A$226:$E$259,5,FALSE)),"0",VLOOKUP(AH175,$A$226:$E$259,5,FALSE))</f>
        <v>0</v>
      </c>
      <c r="AM175" s="365">
        <f>AE175+AG175+AI175</f>
        <v>0</v>
      </c>
      <c r="AN175" s="366">
        <f>AJ175+AK175+AL175</f>
        <v>0</v>
      </c>
      <c r="AO175" s="367">
        <f>SUM(AM175:AN175)</f>
        <v>0</v>
      </c>
      <c r="AP175" s="368">
        <v>8.7999999999999998E-5</v>
      </c>
      <c r="AQ175" s="369">
        <v>2.0000000000000002E-5</v>
      </c>
      <c r="AR175" s="370">
        <v>2.22E-4</v>
      </c>
      <c r="AS175" s="371">
        <v>3.1E-4</v>
      </c>
      <c r="AT175" s="372">
        <f>SUM((J175*AP175)+(J175*AQ175)+(J175*AR175)+(J175*AS175))*12</f>
        <v>0</v>
      </c>
      <c r="AV175" s="373">
        <f>J175</f>
        <v>0</v>
      </c>
      <c r="AW175" s="374">
        <f>NETWORKDAYS(C175,D175)</f>
        <v>0</v>
      </c>
      <c r="AX175" s="375" t="str">
        <f>IF(ISERROR(AV175/AW175),"",(AV175/AW175))</f>
        <v/>
      </c>
      <c r="AY175" s="376">
        <v>41820</v>
      </c>
      <c r="AZ175" s="377">
        <f>NETWORKDAYS(AY175,D175)</f>
        <v>-29871</v>
      </c>
      <c r="BA175" s="378">
        <f>AW175-AZ175</f>
        <v>29871</v>
      </c>
      <c r="BB175" s="379" t="str">
        <f>IF(ISERROR(BA175*AX175),"",(BA175*AX175))</f>
        <v/>
      </c>
      <c r="BC175" s="379" t="str">
        <f>IF(ISERROR(AZ175*AX175),"",(AZ175*AX175))</f>
        <v/>
      </c>
      <c r="BD175" s="379">
        <f>IF(ISERROR(SUM(BB175:BC175)),"",((SUM(BB175:BC175))))</f>
        <v>0</v>
      </c>
      <c r="BE175" s="379" t="str">
        <f>IF(ISERROR(BC175*7.65%),"",((BC175*7.65%)))</f>
        <v/>
      </c>
      <c r="BF175" s="380" t="str">
        <f>IF(ISERROR(BC175*21.17%),"",((BC175*21.17%)))</f>
        <v/>
      </c>
      <c r="BG175" s="381" t="e">
        <f>SUM(BE175:BF175)+BC175</f>
        <v>#VALUE!</v>
      </c>
      <c r="BH175" s="447">
        <f>SUM(BC175:BC177)</f>
        <v>0</v>
      </c>
      <c r="BI175" s="279" t="s">
        <v>527</v>
      </c>
    </row>
    <row r="176" spans="1:61" x14ac:dyDescent="0.2">
      <c r="A176" s="1278"/>
      <c r="B176" s="358">
        <f>+B175+1</f>
        <v>2</v>
      </c>
      <c r="C176" s="359"/>
      <c r="D176" s="390"/>
      <c r="E176" s="360"/>
      <c r="F176" s="696"/>
      <c r="G176" s="696"/>
      <c r="H176" s="696"/>
      <c r="I176" s="696"/>
      <c r="J176" s="879"/>
      <c r="K176" s="672">
        <v>0</v>
      </c>
      <c r="L176" s="685"/>
      <c r="M176" s="666"/>
      <c r="N176" s="1122">
        <f>J176*(1+K176)+L176+M176</f>
        <v>0</v>
      </c>
      <c r="O176" s="1122"/>
      <c r="P176" s="1122"/>
      <c r="Q176" s="667">
        <v>0</v>
      </c>
      <c r="R176" s="665">
        <f>N176*Q176</f>
        <v>0</v>
      </c>
      <c r="S176" s="665">
        <f>(N176-R176)*0.062</f>
        <v>0</v>
      </c>
      <c r="T176" s="665">
        <f>(N176-R176)*0.0145</f>
        <v>0</v>
      </c>
      <c r="U176" s="666">
        <f t="shared" si="143"/>
        <v>0</v>
      </c>
      <c r="V176" s="666">
        <f>IF(N176&gt;=7000,7000*0.0144,IF(N176&lt;=7000,N176*0.0144))</f>
        <v>0</v>
      </c>
      <c r="W176" s="665">
        <f>AT176</f>
        <v>0</v>
      </c>
      <c r="X176" s="665">
        <f>+AN176*6</f>
        <v>0</v>
      </c>
      <c r="Y176" s="665">
        <f>+AN176*6</f>
        <v>0</v>
      </c>
      <c r="Z176" s="361">
        <f>SUM(N176:Y176)</f>
        <v>0</v>
      </c>
      <c r="AB176" s="362"/>
      <c r="AC176" s="363">
        <f>G176</f>
        <v>0</v>
      </c>
      <c r="AD176" s="668"/>
      <c r="AE176" s="669" t="str">
        <f>IF(ISNA(VLOOKUP(AD176,$A$226:$E$266,4,FALSE)),"0",VLOOKUP(AD176,$A$226:$E$266,4,FALSE))</f>
        <v>0</v>
      </c>
      <c r="AF176" s="670"/>
      <c r="AG176" s="669" t="str">
        <f>IF(ISNA(VLOOKUP(AF176,$A$253:$E$266,4,FALSE)),"0",VLOOKUP(AF176,$A$253:$E$266,4,FALSE))</f>
        <v>0</v>
      </c>
      <c r="AH176" s="670"/>
      <c r="AI176" s="364" t="str">
        <f>IF(ISNA(VLOOKUP(AH176,$A$226:$E$266,4,FALSE)),"0",VLOOKUP(AH176,$A$226:$E$266,4,FALSE))</f>
        <v>0</v>
      </c>
      <c r="AJ176" s="364" t="str">
        <f>IF(ISNA(VLOOKUP(AD176,$A$226:$E$266,5,FALSE)),"0",VLOOKUP(AD176,$A$226:$E$266,5,FALSE))</f>
        <v>0</v>
      </c>
      <c r="AK176" s="364" t="str">
        <f>IF(ISNA(VLOOKUP(AF176,$A$226:$E$266,5,FALSE)),"0",VLOOKUP(AF176,$A$226:$E$266,5,FALSE))</f>
        <v>0</v>
      </c>
      <c r="AL176" s="364" t="str">
        <f>IF(ISNA(VLOOKUP(AH176,$A$226:$E$259,5,FALSE)),"0",VLOOKUP(AH176,$A$226:$E$259,5,FALSE))</f>
        <v>0</v>
      </c>
      <c r="AM176" s="365">
        <f>AE176+AG176+AI176</f>
        <v>0</v>
      </c>
      <c r="AN176" s="366">
        <f>AJ176+AK176+AL176</f>
        <v>0</v>
      </c>
      <c r="AO176" s="367">
        <f>SUM(AM176:AN176)</f>
        <v>0</v>
      </c>
      <c r="AP176" s="368">
        <v>8.7999999999999998E-5</v>
      </c>
      <c r="AQ176" s="369">
        <v>2.0000000000000002E-5</v>
      </c>
      <c r="AR176" s="370">
        <v>2.22E-4</v>
      </c>
      <c r="AS176" s="371">
        <v>3.1E-4</v>
      </c>
      <c r="AT176" s="372">
        <f>SUM((J176*AP176)+(J176*AQ176)+(J176*AR176)+(J176*AS176))*12</f>
        <v>0</v>
      </c>
      <c r="AV176" s="373">
        <f>J176</f>
        <v>0</v>
      </c>
      <c r="AW176" s="374">
        <f>NETWORKDAYS(C176,D176)</f>
        <v>0</v>
      </c>
      <c r="AX176" s="375" t="str">
        <f>IF(ISERROR(AV176/AW176),"",(AV176/AW176))</f>
        <v/>
      </c>
      <c r="AY176" s="376">
        <v>41820</v>
      </c>
      <c r="AZ176" s="377">
        <f>NETWORKDAYS(AY176,D176)</f>
        <v>-29871</v>
      </c>
      <c r="BA176" s="378">
        <f>AW176-AZ176</f>
        <v>29871</v>
      </c>
      <c r="BB176" s="379" t="str">
        <f>IF(ISERROR(BA176*AX176),"",(BA176*AX176))</f>
        <v/>
      </c>
      <c r="BC176" s="379" t="str">
        <f>IF(ISERROR(AZ176*AX176),"",(AZ176*AX176))</f>
        <v/>
      </c>
      <c r="BD176" s="379">
        <f>IF(ISERROR(SUM(BB176:BC176)),"",((SUM(BB176:BC176))))</f>
        <v>0</v>
      </c>
      <c r="BE176" s="379" t="str">
        <f>IF(ISERROR(BC176*7.65%),"",((BC176*7.65%)))</f>
        <v/>
      </c>
      <c r="BF176" s="380" t="str">
        <f>IF(ISERROR(BC176*21.17%),"",((BC176*21.17%)))</f>
        <v/>
      </c>
      <c r="BG176" s="381" t="e">
        <f>SUM(BE176:BF176)+BC176</f>
        <v>#VALUE!</v>
      </c>
      <c r="BH176" s="447">
        <f>SUM(BE175:BE177)</f>
        <v>0</v>
      </c>
      <c r="BI176" s="279" t="s">
        <v>504</v>
      </c>
    </row>
    <row r="177" spans="1:62" x14ac:dyDescent="0.2">
      <c r="A177" s="1201"/>
      <c r="B177" s="358">
        <v>3</v>
      </c>
      <c r="C177" s="390"/>
      <c r="D177" s="390"/>
      <c r="E177" s="360"/>
      <c r="F177" s="691"/>
      <c r="G177" s="681"/>
      <c r="H177" s="681"/>
      <c r="I177" s="681"/>
      <c r="J177" s="880"/>
      <c r="K177" s="672">
        <v>0</v>
      </c>
      <c r="L177" s="685"/>
      <c r="M177" s="666"/>
      <c r="N177" s="1122">
        <f>J177*(1+K177)+L177+M177</f>
        <v>0</v>
      </c>
      <c r="O177" s="1122"/>
      <c r="P177" s="1122"/>
      <c r="Q177" s="683"/>
      <c r="R177" s="665">
        <f>N177*Q177</f>
        <v>0</v>
      </c>
      <c r="S177" s="665">
        <f>(N177-R177)*0.062</f>
        <v>0</v>
      </c>
      <c r="T177" s="665">
        <f>(N177-R177)*0.0145</f>
        <v>0</v>
      </c>
      <c r="U177" s="666">
        <f t="shared" si="143"/>
        <v>0</v>
      </c>
      <c r="V177" s="666">
        <f>IF(N177&gt;=7000,7000*0.0144,IF(N177&lt;=7000,N177*0.0144))</f>
        <v>0</v>
      </c>
      <c r="W177" s="665">
        <f>AT177</f>
        <v>0</v>
      </c>
      <c r="X177" s="665">
        <f>+AN177*6</f>
        <v>0</v>
      </c>
      <c r="Y177" s="665">
        <f>+AN177*6</f>
        <v>0</v>
      </c>
      <c r="Z177" s="361">
        <f>SUM(N177:Y177)</f>
        <v>0</v>
      </c>
      <c r="AA177" s="453" t="s">
        <v>377</v>
      </c>
      <c r="AB177" s="362"/>
      <c r="AC177" s="363">
        <f>G177</f>
        <v>0</v>
      </c>
      <c r="AD177" s="668"/>
      <c r="AE177" s="669" t="str">
        <f>IF(ISNA(VLOOKUP(AD177,$A$226:$E$266,4,FALSE)),"0",VLOOKUP(AD177,$A$226:$E$266,4,FALSE))</f>
        <v>0</v>
      </c>
      <c r="AF177" s="670"/>
      <c r="AG177" s="669" t="str">
        <f>IF(ISNA(VLOOKUP(AF177,$A$253:$E$266,4,FALSE)),"0",VLOOKUP(AF177,$A$253:$E$266,4,FALSE))</f>
        <v>0</v>
      </c>
      <c r="AH177" s="670"/>
      <c r="AI177" s="364" t="str">
        <f>IF(ISNA(VLOOKUP(AH177,$A$226:$E$266,4,FALSE)),"0",VLOOKUP(AH177,$A$226:$E$266,4,FALSE))</f>
        <v>0</v>
      </c>
      <c r="AJ177" s="364" t="str">
        <f>IF(ISNA(VLOOKUP(AD177,$A$226:$E$266,5,FALSE)),"0",VLOOKUP(AD177,$A$226:$E$266,5,FALSE))</f>
        <v>0</v>
      </c>
      <c r="AK177" s="364" t="str">
        <f>IF(ISNA(VLOOKUP(AF177,$A$226:$E$266,5,FALSE)),"0",VLOOKUP(AF177,$A$226:$E$266,5,FALSE))</f>
        <v>0</v>
      </c>
      <c r="AL177" s="364" t="str">
        <f>IF(ISNA(VLOOKUP(AH177,$A$226:$E$259,5,FALSE)),"0",VLOOKUP(AH177,$A$226:$E$259,5,FALSE))</f>
        <v>0</v>
      </c>
      <c r="AM177" s="365">
        <f>AE177+AG177+AI177</f>
        <v>0</v>
      </c>
      <c r="AN177" s="366">
        <f>AJ177+AK177+AL177</f>
        <v>0</v>
      </c>
      <c r="AO177" s="367">
        <f>SUM(AM177:AN177)</f>
        <v>0</v>
      </c>
      <c r="AP177" s="428">
        <v>8.7999999999999998E-5</v>
      </c>
      <c r="AQ177" s="429">
        <v>2.0000000000000002E-5</v>
      </c>
      <c r="AR177" s="430">
        <v>2.22E-4</v>
      </c>
      <c r="AS177" s="431">
        <v>3.1E-4</v>
      </c>
      <c r="AT177" s="372">
        <f>SUM((J177*AP177)+(J177*AQ177)+(J177*AR177)+(J177*AS177))*12</f>
        <v>0</v>
      </c>
      <c r="AV177" s="433"/>
      <c r="AW177" s="446"/>
      <c r="AX177" s="435"/>
      <c r="AY177" s="376"/>
      <c r="AZ177" s="437"/>
      <c r="BA177" s="438"/>
      <c r="BB177" s="380"/>
      <c r="BC177" s="380"/>
      <c r="BD177" s="380"/>
      <c r="BE177" s="380"/>
      <c r="BF177" s="439"/>
      <c r="BG177" s="381"/>
      <c r="BH177" s="447">
        <f>SUM(BF175:BF177)</f>
        <v>0</v>
      </c>
      <c r="BI177" s="279" t="s">
        <v>505</v>
      </c>
    </row>
    <row r="178" spans="1:62" ht="13.5" thickBot="1" x14ac:dyDescent="0.25">
      <c r="A178" s="392"/>
      <c r="B178" s="392"/>
      <c r="C178" s="392"/>
      <c r="D178" s="392"/>
      <c r="E178" s="392"/>
      <c r="F178" s="393"/>
      <c r="G178" s="393"/>
      <c r="H178" s="393"/>
      <c r="I178" s="393"/>
      <c r="J178" s="395"/>
      <c r="K178" s="394"/>
      <c r="L178" s="395"/>
      <c r="M178" s="396"/>
      <c r="N178" s="1123"/>
      <c r="O178" s="1123"/>
      <c r="P178" s="1123"/>
      <c r="Q178" s="396"/>
      <c r="R178" s="396"/>
      <c r="S178" s="396"/>
      <c r="T178" s="396"/>
      <c r="U178" s="666">
        <f t="shared" si="143"/>
        <v>0</v>
      </c>
      <c r="V178" s="396"/>
      <c r="W178" s="396"/>
      <c r="X178" s="396"/>
      <c r="Y178" s="396"/>
      <c r="Z178" s="397"/>
      <c r="AA178" s="398">
        <f>SUM(Z175:Z176)</f>
        <v>0</v>
      </c>
      <c r="AB178" s="399"/>
      <c r="AC178" s="400"/>
      <c r="AD178" s="401"/>
      <c r="AE178" s="402"/>
      <c r="AF178" s="401"/>
      <c r="AG178" s="402"/>
      <c r="AH178" s="401"/>
      <c r="AI178" s="402"/>
      <c r="AJ178" s="402"/>
      <c r="AK178" s="402"/>
      <c r="AL178" s="402"/>
      <c r="AM178" s="403"/>
      <c r="AN178" s="404"/>
      <c r="AO178" s="405"/>
      <c r="AP178" s="406"/>
      <c r="AQ178" s="407"/>
      <c r="AR178" s="408"/>
      <c r="AS178" s="409"/>
      <c r="AT178" s="410"/>
      <c r="AU178" s="411"/>
      <c r="AV178" s="412"/>
      <c r="AW178" s="413"/>
      <c r="AX178" s="414"/>
      <c r="AY178" s="415"/>
      <c r="AZ178" s="416"/>
      <c r="BA178" s="417"/>
      <c r="BB178" s="418"/>
      <c r="BC178" s="418"/>
      <c r="BD178" s="418"/>
      <c r="BE178" s="418"/>
      <c r="BF178" s="419"/>
      <c r="BG178" s="420"/>
      <c r="BH178" s="421">
        <f>SUM(BH175:BH177)</f>
        <v>0</v>
      </c>
      <c r="BI178" s="422">
        <f>AA175</f>
        <v>0</v>
      </c>
    </row>
    <row r="179" spans="1:62" x14ac:dyDescent="0.2">
      <c r="A179" s="461" t="s">
        <v>541</v>
      </c>
      <c r="B179" s="358">
        <v>1</v>
      </c>
      <c r="C179" s="360"/>
      <c r="D179" s="359"/>
      <c r="E179" s="359"/>
      <c r="F179" s="681"/>
      <c r="G179" s="681"/>
      <c r="H179" s="681"/>
      <c r="I179" s="681"/>
      <c r="J179" s="688"/>
      <c r="K179" s="672">
        <v>0</v>
      </c>
      <c r="L179" s="685"/>
      <c r="M179" s="666"/>
      <c r="N179" s="1122">
        <f t="shared" ref="N179:N186" si="215">J179*(1+K179)+L179+M179</f>
        <v>0</v>
      </c>
      <c r="O179" s="1122"/>
      <c r="P179" s="1122"/>
      <c r="Q179" s="690"/>
      <c r="R179" s="665">
        <f t="shared" ref="R179:R186" si="216">N179*Q179</f>
        <v>0</v>
      </c>
      <c r="S179" s="665">
        <f t="shared" ref="S179:S186" si="217">(N179-R179)*0.062</f>
        <v>0</v>
      </c>
      <c r="T179" s="665">
        <f t="shared" ref="T179:T186" si="218">(N179-R179)*0.0145</f>
        <v>0</v>
      </c>
      <c r="U179" s="666">
        <f t="shared" ref="U179:U186" si="219">IF(N179&gt;=7000,7000*0.008,IF(N179&lt;=7000,N179*0.008))</f>
        <v>0</v>
      </c>
      <c r="V179" s="666">
        <f t="shared" ref="V179:V186" si="220">IF(N179&gt;=7000,7000*0.0144,IF(N179&lt;=7000,N179*0.0144))</f>
        <v>0</v>
      </c>
      <c r="W179" s="665">
        <f t="shared" ref="W179:W186" si="221">AT179</f>
        <v>0</v>
      </c>
      <c r="X179" s="665">
        <f t="shared" ref="X179:X186" si="222">+AN179*6</f>
        <v>0</v>
      </c>
      <c r="Y179" s="665">
        <f t="shared" ref="Y179:Y186" si="223">+AN179*6</f>
        <v>0</v>
      </c>
      <c r="Z179" s="693">
        <f t="shared" ref="Z179:Z186" si="224">SUM(N179:Y179)</f>
        <v>0</v>
      </c>
      <c r="AB179" s="362"/>
      <c r="AC179" s="424">
        <f t="shared" ref="AC179:AC185" si="225">G179</f>
        <v>0</v>
      </c>
      <c r="AD179" s="668" t="s">
        <v>526</v>
      </c>
      <c r="AE179" s="669">
        <f t="shared" ref="AE179:AE186" si="226">IF(ISNA(VLOOKUP(AD179,$A$225:$E$265,4,FALSE)),"0",VLOOKUP(AD179,$A$225:$E$265,4,FALSE))</f>
        <v>0</v>
      </c>
      <c r="AF179" s="670" t="s">
        <v>526</v>
      </c>
      <c r="AG179" s="669">
        <f t="shared" ref="AG179:AG186" si="227">IF(ISNA(VLOOKUP(AF179,$A$252:$E$265,4,FALSE)),"0",VLOOKUP(AF179,$A$252:$E$265,4,FALSE))</f>
        <v>0</v>
      </c>
      <c r="AH179" s="670" t="s">
        <v>526</v>
      </c>
      <c r="AI179" s="364">
        <f t="shared" ref="AI179:AI186" si="228">IF(ISNA(VLOOKUP(AH179,$A$225:$E$265,4,FALSE)),"0",VLOOKUP(AH179,$A$225:$E$265,4,FALSE))</f>
        <v>0</v>
      </c>
      <c r="AJ179" s="364">
        <f t="shared" ref="AJ179:AJ186" si="229">IF(ISNA(VLOOKUP(AD179,$A$225:$E$265,5,FALSE)),"0",VLOOKUP(AD179,$A$225:$E$265,5,FALSE))</f>
        <v>0</v>
      </c>
      <c r="AK179" s="364">
        <f t="shared" ref="AK179:AK186" si="230">IF(ISNA(VLOOKUP(AF179,$A$225:$E$265,5,FALSE)),"0",VLOOKUP(AF179,$A$225:$E$265,5,FALSE))</f>
        <v>0</v>
      </c>
      <c r="AL179" s="364">
        <f t="shared" ref="AL179:AL186" si="231">IF(ISNA(VLOOKUP(AH179,$A$225:$E$258,5,FALSE)),"0",VLOOKUP(AH179,$A$225:$E$258,5,FALSE))</f>
        <v>0</v>
      </c>
      <c r="AM179" s="365">
        <f t="shared" ref="AM179:AM186" si="232">AE179+AG179+AI179</f>
        <v>0</v>
      </c>
      <c r="AN179" s="366">
        <f t="shared" ref="AN179:AN186" si="233">AJ179+AK179+AL179</f>
        <v>0</v>
      </c>
      <c r="AO179" s="367">
        <f t="shared" ref="AO179:AO186" si="234">SUM(AM179:AN179)</f>
        <v>0</v>
      </c>
      <c r="AP179" s="368">
        <v>8.7999999999999998E-5</v>
      </c>
      <c r="AQ179" s="369">
        <v>2.0000000000000002E-5</v>
      </c>
      <c r="AR179" s="370">
        <v>2.22E-4</v>
      </c>
      <c r="AS179" s="371">
        <v>3.1E-4</v>
      </c>
      <c r="AT179" s="372">
        <f t="shared" ref="AT179:AT186" si="235">SUM((J179*AP179)+(J179*AQ179)+(J179*AR179)+(J179*AS179))*12</f>
        <v>0</v>
      </c>
      <c r="AV179" s="373">
        <f t="shared" ref="AV179:AV186" si="236">J179</f>
        <v>0</v>
      </c>
      <c r="AW179" s="374">
        <f t="shared" ref="AW179:AW186" si="237">NETWORKDAYS(C179,D179)</f>
        <v>0</v>
      </c>
      <c r="AX179" s="375" t="str">
        <f t="shared" ref="AX179:AX186" si="238">IF(ISERROR(AV179/AW179),"",(AV179/AW179))</f>
        <v/>
      </c>
      <c r="AY179" s="376">
        <v>41820</v>
      </c>
      <c r="AZ179" s="377">
        <f t="shared" ref="AZ179:AZ186" si="239">NETWORKDAYS(AY179,D179)</f>
        <v>-29871</v>
      </c>
      <c r="BA179" s="378">
        <f t="shared" ref="BA179:BA186" si="240">AW179-AZ179</f>
        <v>29871</v>
      </c>
      <c r="BB179" s="379" t="str">
        <f t="shared" ref="BB179:BB186" si="241">IF(ISERROR(BA179*AX179),"",(BA179*AX179))</f>
        <v/>
      </c>
      <c r="BC179" s="379" t="str">
        <f t="shared" ref="BC179:BC186" si="242">IF(ISERROR(AZ179*AX179),"",(AZ179*AX179))</f>
        <v/>
      </c>
      <c r="BD179" s="379">
        <f t="shared" ref="BD179:BD186" si="243">IF(ISERROR(SUM(BB179:BC179)),"",((SUM(BB179:BC179))))</f>
        <v>0</v>
      </c>
      <c r="BE179" s="379" t="str">
        <f t="shared" ref="BE179:BE186" si="244">IF(ISERROR(BC179*7.65%),"",((BC179*7.65%)))</f>
        <v/>
      </c>
      <c r="BF179" s="380" t="str">
        <f t="shared" ref="BF179:BF186" si="245">IF(ISERROR(BC179*21.17%),"",((BC179*21.17%)))</f>
        <v/>
      </c>
      <c r="BG179" s="381" t="e">
        <f t="shared" ref="BG179:BG186" si="246">SUM(BE179:BF179)+BC179</f>
        <v>#VALUE!</v>
      </c>
      <c r="BH179" s="481"/>
      <c r="BI179" s="482"/>
      <c r="BJ179" s="482"/>
    </row>
    <row r="180" spans="1:62" x14ac:dyDescent="0.2">
      <c r="A180" s="461"/>
      <c r="B180" s="358">
        <v>2</v>
      </c>
      <c r="C180" s="359"/>
      <c r="D180" s="359"/>
      <c r="E180" s="359"/>
      <c r="F180" s="681"/>
      <c r="G180" s="681"/>
      <c r="H180" s="681" t="s">
        <v>296</v>
      </c>
      <c r="I180" s="681" t="s">
        <v>296</v>
      </c>
      <c r="J180" s="1086"/>
      <c r="K180" s="672">
        <v>0</v>
      </c>
      <c r="L180" s="685"/>
      <c r="M180" s="666"/>
      <c r="N180" s="1122">
        <f>J180*(1+K180)+L180+M180</f>
        <v>0</v>
      </c>
      <c r="O180" s="1122"/>
      <c r="P180" s="1122"/>
      <c r="Q180" s="1082"/>
      <c r="R180" s="665">
        <f t="shared" si="216"/>
        <v>0</v>
      </c>
      <c r="S180" s="665">
        <f t="shared" si="217"/>
        <v>0</v>
      </c>
      <c r="T180" s="665">
        <f t="shared" si="218"/>
        <v>0</v>
      </c>
      <c r="U180" s="666">
        <f t="shared" si="219"/>
        <v>0</v>
      </c>
      <c r="V180" s="666">
        <f t="shared" si="220"/>
        <v>0</v>
      </c>
      <c r="W180" s="665">
        <f>AT180</f>
        <v>0</v>
      </c>
      <c r="X180" s="665">
        <f t="shared" si="222"/>
        <v>0</v>
      </c>
      <c r="Y180" s="665">
        <f t="shared" si="223"/>
        <v>0</v>
      </c>
      <c r="Z180" s="693">
        <f t="shared" si="224"/>
        <v>0</v>
      </c>
      <c r="AB180" s="362"/>
      <c r="AC180" s="1182">
        <f t="shared" si="225"/>
        <v>0</v>
      </c>
      <c r="AD180" s="668"/>
      <c r="AE180" s="669" t="str">
        <f t="shared" si="226"/>
        <v>0</v>
      </c>
      <c r="AF180" s="670"/>
      <c r="AG180" s="669" t="str">
        <f t="shared" si="227"/>
        <v>0</v>
      </c>
      <c r="AH180" s="670"/>
      <c r="AI180" s="364" t="str">
        <f t="shared" si="228"/>
        <v>0</v>
      </c>
      <c r="AJ180" s="364" t="str">
        <f>IF(ISNA(VLOOKUP(AD180,$A$226:$E$266,5,FALSE)),"0",VLOOKUP(AD180,$A$226:$E$266,5,FALSE))</f>
        <v>0</v>
      </c>
      <c r="AK180" s="364" t="str">
        <f>IF(ISNA(VLOOKUP(AF180,$A$226:$E$266,5,FALSE)),"0",VLOOKUP(AF180,$A$226:$E$266,5,FALSE))</f>
        <v>0</v>
      </c>
      <c r="AL180" s="364" t="str">
        <f>IF(ISNA(VLOOKUP(AH180,$A$226:$E$259,5,FALSE)),"0",VLOOKUP(AH180,$A$226:$E$259,5,FALSE))</f>
        <v>0</v>
      </c>
      <c r="AM180" s="365">
        <f>AE180+AG180+AI180</f>
        <v>0</v>
      </c>
      <c r="AN180" s="366">
        <f>AJ180+AK180+AL180</f>
        <v>0</v>
      </c>
      <c r="AO180" s="367">
        <f>SUM(AM180:AN180)</f>
        <v>0</v>
      </c>
      <c r="AP180" s="368">
        <v>8.7999999999999998E-5</v>
      </c>
      <c r="AQ180" s="369">
        <v>2.0000000000000002E-5</v>
      </c>
      <c r="AR180" s="370">
        <v>2.22E-4</v>
      </c>
      <c r="AS180" s="371">
        <v>3.1E-4</v>
      </c>
      <c r="AT180" s="372">
        <f t="shared" si="235"/>
        <v>0</v>
      </c>
      <c r="AV180" s="373">
        <f t="shared" si="236"/>
        <v>0</v>
      </c>
      <c r="AW180" s="374">
        <f t="shared" si="237"/>
        <v>0</v>
      </c>
      <c r="AX180" s="375" t="str">
        <f>IF(ISERROR(AV180/AW180),"",(AV180/AW180))</f>
        <v/>
      </c>
      <c r="AY180" s="376">
        <v>41820</v>
      </c>
      <c r="AZ180" s="377">
        <f t="shared" si="239"/>
        <v>-29871</v>
      </c>
      <c r="BA180" s="378">
        <f>AW180-AZ180</f>
        <v>29871</v>
      </c>
      <c r="BB180" s="379" t="str">
        <f>IF(ISERROR(BA180*AX180),"",(BA180*AX180))</f>
        <v/>
      </c>
      <c r="BC180" s="379" t="str">
        <f>IF(ISERROR(AZ180*AX180),"",(AZ180*AX180))</f>
        <v/>
      </c>
      <c r="BD180" s="379">
        <f>IF(ISERROR(SUM(BB180:BC180)),"",((SUM(BB180:BC180))))</f>
        <v>0</v>
      </c>
      <c r="BE180" s="379" t="str">
        <f>IF(ISERROR(BC180*7.65%),"",((BC180*7.65%)))</f>
        <v/>
      </c>
      <c r="BF180" s="380" t="str">
        <f>IF(ISERROR(BC180*21.17%),"",((BC180*21.17%)))</f>
        <v/>
      </c>
      <c r="BG180" s="381" t="e">
        <f>SUM(BE180:BF180)+BC180</f>
        <v>#VALUE!</v>
      </c>
      <c r="BH180" s="481"/>
      <c r="BI180" s="482"/>
      <c r="BJ180" s="482"/>
    </row>
    <row r="181" spans="1:62" x14ac:dyDescent="0.2">
      <c r="A181" s="461"/>
      <c r="B181" s="358">
        <v>3</v>
      </c>
      <c r="C181" s="360"/>
      <c r="D181" s="359"/>
      <c r="E181" s="359"/>
      <c r="F181" s="681" t="s">
        <v>1425</v>
      </c>
      <c r="G181" s="681" t="s">
        <v>1424</v>
      </c>
      <c r="H181" s="681" t="s">
        <v>1428</v>
      </c>
      <c r="I181" s="681" t="s">
        <v>1427</v>
      </c>
      <c r="J181" s="1086">
        <f>30*10*38</f>
        <v>11400</v>
      </c>
      <c r="K181" s="672">
        <v>0</v>
      </c>
      <c r="L181" s="685"/>
      <c r="M181" s="666"/>
      <c r="N181" s="1122">
        <f>J181*(1+K181)+L181+M181</f>
        <v>11400</v>
      </c>
      <c r="O181" s="1122"/>
      <c r="P181" s="1122"/>
      <c r="Q181" s="690"/>
      <c r="R181" s="665">
        <f t="shared" si="216"/>
        <v>0</v>
      </c>
      <c r="S181" s="665">
        <f t="shared" si="217"/>
        <v>706.8</v>
      </c>
      <c r="T181" s="665">
        <f t="shared" si="218"/>
        <v>165.3</v>
      </c>
      <c r="U181" s="666">
        <f t="shared" si="219"/>
        <v>56</v>
      </c>
      <c r="V181" s="666">
        <f t="shared" si="220"/>
        <v>100.8</v>
      </c>
      <c r="W181" s="665">
        <f>AT181</f>
        <v>87.551999999999992</v>
      </c>
      <c r="X181" s="665">
        <f t="shared" si="222"/>
        <v>0</v>
      </c>
      <c r="Y181" s="665">
        <f t="shared" si="223"/>
        <v>0</v>
      </c>
      <c r="Z181" s="693">
        <f t="shared" si="224"/>
        <v>12516.451999999997</v>
      </c>
      <c r="AB181" s="362"/>
      <c r="AC181" s="1182" t="str">
        <f t="shared" si="225"/>
        <v>Chambers, Damian</v>
      </c>
      <c r="AD181" s="668" t="s">
        <v>526</v>
      </c>
      <c r="AE181" s="669">
        <f t="shared" si="226"/>
        <v>0</v>
      </c>
      <c r="AF181" s="670" t="s">
        <v>526</v>
      </c>
      <c r="AG181" s="669">
        <f t="shared" si="227"/>
        <v>0</v>
      </c>
      <c r="AH181" s="670" t="s">
        <v>526</v>
      </c>
      <c r="AI181" s="364">
        <f t="shared" si="228"/>
        <v>0</v>
      </c>
      <c r="AJ181" s="364">
        <f>IF(ISNA(VLOOKUP(AD181,$A$226:$E$266,5,FALSE)),"0",VLOOKUP(AD181,$A$226:$E$266,5,FALSE))</f>
        <v>0</v>
      </c>
      <c r="AK181" s="364">
        <f>IF(ISNA(VLOOKUP(AF181,$A$226:$E$266,5,FALSE)),"0",VLOOKUP(AF181,$A$226:$E$266,5,FALSE))</f>
        <v>0</v>
      </c>
      <c r="AL181" s="364">
        <f>IF(ISNA(VLOOKUP(AH181,$A$226:$E$259,5,FALSE)),"0",VLOOKUP(AH181,$A$226:$E$259,5,FALSE))</f>
        <v>0</v>
      </c>
      <c r="AM181" s="365">
        <f>AE181+AG181+AI181</f>
        <v>0</v>
      </c>
      <c r="AN181" s="366">
        <f>AJ181+AK181+AL181</f>
        <v>0</v>
      </c>
      <c r="AO181" s="367">
        <f>SUM(AM181:AN181)</f>
        <v>0</v>
      </c>
      <c r="AP181" s="368">
        <v>8.7999999999999998E-5</v>
      </c>
      <c r="AQ181" s="369">
        <v>2.0000000000000002E-5</v>
      </c>
      <c r="AR181" s="370">
        <v>2.22E-4</v>
      </c>
      <c r="AS181" s="371">
        <v>3.1E-4</v>
      </c>
      <c r="AT181" s="372">
        <f t="shared" si="235"/>
        <v>87.551999999999992</v>
      </c>
      <c r="AV181" s="373">
        <f t="shared" si="236"/>
        <v>11400</v>
      </c>
      <c r="AW181" s="374">
        <f t="shared" si="237"/>
        <v>0</v>
      </c>
      <c r="AX181" s="375" t="str">
        <f>IF(ISERROR(AV181/AW181),"",(AV181/AW181))</f>
        <v/>
      </c>
      <c r="AY181" s="376">
        <v>41820</v>
      </c>
      <c r="AZ181" s="377">
        <f t="shared" si="239"/>
        <v>-29871</v>
      </c>
      <c r="BA181" s="378">
        <f>AW181-AZ181</f>
        <v>29871</v>
      </c>
      <c r="BB181" s="379" t="str">
        <f>IF(ISERROR(BA181*AX181),"",(BA181*AX181))</f>
        <v/>
      </c>
      <c r="BC181" s="379" t="str">
        <f>IF(ISERROR(AZ181*AX181),"",(AZ181*AX181))</f>
        <v/>
      </c>
      <c r="BD181" s="379">
        <f>IF(ISERROR(SUM(BB181:BC181)),"",((SUM(BB181:BC181))))</f>
        <v>0</v>
      </c>
      <c r="BE181" s="379" t="str">
        <f>IF(ISERROR(BC181*7.65%),"",((BC181*7.65%)))</f>
        <v/>
      </c>
      <c r="BF181" s="380" t="str">
        <f>IF(ISERROR(BC181*21.17%),"",((BC181*21.17%)))</f>
        <v/>
      </c>
      <c r="BG181" s="381" t="e">
        <f>SUM(BE181:BF181)+BC181</f>
        <v>#VALUE!</v>
      </c>
      <c r="BH181" s="481"/>
      <c r="BI181" s="482"/>
      <c r="BJ181" s="482"/>
    </row>
    <row r="182" spans="1:62" x14ac:dyDescent="0.2">
      <c r="A182" s="385"/>
      <c r="B182" s="358">
        <v>4</v>
      </c>
      <c r="C182" s="384"/>
      <c r="D182" s="390"/>
      <c r="E182" s="390"/>
      <c r="F182" s="681" t="s">
        <v>1423</v>
      </c>
      <c r="G182" s="681" t="s">
        <v>1426</v>
      </c>
      <c r="H182" s="681" t="s">
        <v>1429</v>
      </c>
      <c r="I182" s="681" t="s">
        <v>1430</v>
      </c>
      <c r="J182" s="1086">
        <f>10*25*36</f>
        <v>9000</v>
      </c>
      <c r="K182" s="672">
        <v>0</v>
      </c>
      <c r="L182" s="685"/>
      <c r="M182" s="666"/>
      <c r="N182" s="1122">
        <f>J182*(1+K182)+L182+M182</f>
        <v>9000</v>
      </c>
      <c r="O182" s="1122"/>
      <c r="P182" s="1122"/>
      <c r="Q182" s="690"/>
      <c r="R182" s="665">
        <f t="shared" si="216"/>
        <v>0</v>
      </c>
      <c r="S182" s="665">
        <f t="shared" si="217"/>
        <v>558</v>
      </c>
      <c r="T182" s="665">
        <f t="shared" si="218"/>
        <v>130.5</v>
      </c>
      <c r="U182" s="666">
        <f t="shared" si="219"/>
        <v>56</v>
      </c>
      <c r="V182" s="666">
        <f t="shared" si="220"/>
        <v>100.8</v>
      </c>
      <c r="W182" s="665">
        <f t="shared" si="221"/>
        <v>69.12</v>
      </c>
      <c r="X182" s="665">
        <f t="shared" si="222"/>
        <v>0</v>
      </c>
      <c r="Y182" s="665">
        <f t="shared" si="223"/>
        <v>0</v>
      </c>
      <c r="Z182" s="361">
        <f t="shared" si="224"/>
        <v>9914.42</v>
      </c>
      <c r="AB182" s="362"/>
      <c r="AC182" s="1182" t="str">
        <f t="shared" si="225"/>
        <v xml:space="preserve">Easterlings </v>
      </c>
      <c r="AD182" s="668" t="s">
        <v>526</v>
      </c>
      <c r="AE182" s="669">
        <f t="shared" si="226"/>
        <v>0</v>
      </c>
      <c r="AF182" s="670" t="s">
        <v>526</v>
      </c>
      <c r="AG182" s="669">
        <f t="shared" si="227"/>
        <v>0</v>
      </c>
      <c r="AH182" s="670" t="s">
        <v>526</v>
      </c>
      <c r="AI182" s="364">
        <f t="shared" si="228"/>
        <v>0</v>
      </c>
      <c r="AJ182" s="364">
        <f t="shared" si="229"/>
        <v>0</v>
      </c>
      <c r="AK182" s="364">
        <f t="shared" si="230"/>
        <v>0</v>
      </c>
      <c r="AL182" s="364">
        <f t="shared" si="231"/>
        <v>0</v>
      </c>
      <c r="AM182" s="365">
        <f t="shared" si="232"/>
        <v>0</v>
      </c>
      <c r="AN182" s="366">
        <f t="shared" si="233"/>
        <v>0</v>
      </c>
      <c r="AO182" s="367">
        <f t="shared" si="234"/>
        <v>0</v>
      </c>
      <c r="AP182" s="368">
        <v>8.7999999999999998E-5</v>
      </c>
      <c r="AQ182" s="369">
        <v>2.0000000000000002E-5</v>
      </c>
      <c r="AR182" s="370">
        <v>2.22E-4</v>
      </c>
      <c r="AS182" s="371">
        <v>3.1E-4</v>
      </c>
      <c r="AT182" s="372">
        <f t="shared" si="235"/>
        <v>69.12</v>
      </c>
      <c r="AV182" s="373">
        <f t="shared" si="236"/>
        <v>9000</v>
      </c>
      <c r="AW182" s="374">
        <f t="shared" si="237"/>
        <v>0</v>
      </c>
      <c r="AX182" s="375" t="str">
        <f t="shared" si="238"/>
        <v/>
      </c>
      <c r="AY182" s="376">
        <v>41820</v>
      </c>
      <c r="AZ182" s="377">
        <f t="shared" si="239"/>
        <v>-29871</v>
      </c>
      <c r="BA182" s="378">
        <f t="shared" si="240"/>
        <v>29871</v>
      </c>
      <c r="BB182" s="379" t="str">
        <f t="shared" si="241"/>
        <v/>
      </c>
      <c r="BC182" s="379" t="str">
        <f t="shared" si="242"/>
        <v/>
      </c>
      <c r="BD182" s="379">
        <f t="shared" si="243"/>
        <v>0</v>
      </c>
      <c r="BE182" s="379" t="str">
        <f t="shared" si="244"/>
        <v/>
      </c>
      <c r="BF182" s="380" t="str">
        <f t="shared" si="245"/>
        <v/>
      </c>
      <c r="BG182" s="381" t="e">
        <f t="shared" si="246"/>
        <v>#VALUE!</v>
      </c>
      <c r="BH182" s="481"/>
      <c r="BI182" s="482"/>
      <c r="BJ182" s="482"/>
    </row>
    <row r="183" spans="1:62" x14ac:dyDescent="0.2">
      <c r="A183" s="385"/>
      <c r="B183" s="358">
        <v>5</v>
      </c>
      <c r="C183" s="360"/>
      <c r="D183" s="359"/>
      <c r="E183" s="359"/>
      <c r="F183" s="681" t="s">
        <v>1422</v>
      </c>
      <c r="G183" s="681" t="s">
        <v>1363</v>
      </c>
      <c r="H183" s="681" t="s">
        <v>1438</v>
      </c>
      <c r="I183" s="681" t="s">
        <v>1439</v>
      </c>
      <c r="J183" s="1086">
        <v>7200</v>
      </c>
      <c r="K183" s="672">
        <v>0</v>
      </c>
      <c r="L183" s="685"/>
      <c r="M183" s="666"/>
      <c r="N183" s="1122">
        <f>J183*(1+K183)+L183+M183</f>
        <v>7200</v>
      </c>
      <c r="O183" s="1122"/>
      <c r="P183" s="1122"/>
      <c r="Q183" s="667">
        <v>0.03</v>
      </c>
      <c r="R183" s="665">
        <f t="shared" si="216"/>
        <v>216</v>
      </c>
      <c r="S183" s="665">
        <f t="shared" si="217"/>
        <v>433.00799999999998</v>
      </c>
      <c r="T183" s="665">
        <f t="shared" si="218"/>
        <v>101.268</v>
      </c>
      <c r="U183" s="666">
        <f t="shared" si="219"/>
        <v>56</v>
      </c>
      <c r="V183" s="666">
        <f t="shared" si="220"/>
        <v>100.8</v>
      </c>
      <c r="W183" s="665">
        <f t="shared" si="221"/>
        <v>55.296000000000006</v>
      </c>
      <c r="X183" s="665">
        <f t="shared" si="222"/>
        <v>0</v>
      </c>
      <c r="Y183" s="665">
        <f t="shared" si="223"/>
        <v>0</v>
      </c>
      <c r="Z183" s="361">
        <f t="shared" si="224"/>
        <v>8162.402</v>
      </c>
      <c r="AB183" s="362"/>
      <c r="AC183" s="1182" t="str">
        <f t="shared" si="225"/>
        <v>Rovi-Garcia, Robyne</v>
      </c>
      <c r="AD183" s="668" t="s">
        <v>526</v>
      </c>
      <c r="AE183" s="669">
        <f t="shared" si="226"/>
        <v>0</v>
      </c>
      <c r="AF183" s="670" t="s">
        <v>526</v>
      </c>
      <c r="AG183" s="669">
        <f t="shared" si="227"/>
        <v>0</v>
      </c>
      <c r="AH183" s="670" t="s">
        <v>526</v>
      </c>
      <c r="AI183" s="364">
        <f t="shared" si="228"/>
        <v>0</v>
      </c>
      <c r="AJ183" s="364">
        <f t="shared" si="229"/>
        <v>0</v>
      </c>
      <c r="AK183" s="364">
        <f t="shared" si="230"/>
        <v>0</v>
      </c>
      <c r="AL183" s="364">
        <f t="shared" si="231"/>
        <v>0</v>
      </c>
      <c r="AM183" s="365">
        <f t="shared" si="232"/>
        <v>0</v>
      </c>
      <c r="AN183" s="366">
        <f t="shared" si="233"/>
        <v>0</v>
      </c>
      <c r="AO183" s="367">
        <f t="shared" si="234"/>
        <v>0</v>
      </c>
      <c r="AP183" s="368">
        <v>8.7999999999999998E-5</v>
      </c>
      <c r="AQ183" s="369">
        <v>2.0000000000000002E-5</v>
      </c>
      <c r="AR183" s="370">
        <v>2.22E-4</v>
      </c>
      <c r="AS183" s="371">
        <v>3.1E-4</v>
      </c>
      <c r="AT183" s="372">
        <f t="shared" si="235"/>
        <v>55.296000000000006</v>
      </c>
      <c r="AV183" s="373">
        <f t="shared" si="236"/>
        <v>7200</v>
      </c>
      <c r="AW183" s="374">
        <f t="shared" si="237"/>
        <v>0</v>
      </c>
      <c r="AX183" s="375" t="str">
        <f t="shared" si="238"/>
        <v/>
      </c>
      <c r="AY183" s="376">
        <v>41820</v>
      </c>
      <c r="AZ183" s="377">
        <f t="shared" si="239"/>
        <v>-29871</v>
      </c>
      <c r="BA183" s="378">
        <f t="shared" si="240"/>
        <v>29871</v>
      </c>
      <c r="BB183" s="379" t="str">
        <f t="shared" si="241"/>
        <v/>
      </c>
      <c r="BC183" s="379" t="str">
        <f t="shared" si="242"/>
        <v/>
      </c>
      <c r="BD183" s="379">
        <f t="shared" si="243"/>
        <v>0</v>
      </c>
      <c r="BE183" s="379" t="str">
        <f t="shared" si="244"/>
        <v/>
      </c>
      <c r="BF183" s="380" t="str">
        <f t="shared" si="245"/>
        <v/>
      </c>
      <c r="BG183" s="381" t="e">
        <f t="shared" si="246"/>
        <v>#VALUE!</v>
      </c>
      <c r="BH183" s="481"/>
      <c r="BI183" s="482"/>
      <c r="BJ183" s="482"/>
    </row>
    <row r="184" spans="1:62" x14ac:dyDescent="0.2">
      <c r="A184" s="385"/>
      <c r="B184" s="358">
        <v>6</v>
      </c>
      <c r="C184" s="360"/>
      <c r="D184" s="359"/>
      <c r="E184" s="359"/>
      <c r="F184" s="681" t="s">
        <v>1431</v>
      </c>
      <c r="G184" s="681" t="s">
        <v>1432</v>
      </c>
      <c r="H184" s="681" t="s">
        <v>1433</v>
      </c>
      <c r="I184" s="681" t="s">
        <v>1434</v>
      </c>
      <c r="J184" s="1086">
        <f>24*6*34</f>
        <v>4896</v>
      </c>
      <c r="K184" s="672">
        <v>0</v>
      </c>
      <c r="L184" s="685"/>
      <c r="M184" s="666"/>
      <c r="N184" s="1122">
        <f t="shared" si="215"/>
        <v>4896</v>
      </c>
      <c r="O184" s="1122"/>
      <c r="P184" s="1122"/>
      <c r="Q184" s="683"/>
      <c r="R184" s="665">
        <f t="shared" si="216"/>
        <v>0</v>
      </c>
      <c r="S184" s="665">
        <f t="shared" si="217"/>
        <v>303.55200000000002</v>
      </c>
      <c r="T184" s="665">
        <f t="shared" si="218"/>
        <v>70.992000000000004</v>
      </c>
      <c r="U184" s="666">
        <f t="shared" si="219"/>
        <v>39.167999999999999</v>
      </c>
      <c r="V184" s="666">
        <f t="shared" si="220"/>
        <v>70.502399999999994</v>
      </c>
      <c r="W184" s="665">
        <f t="shared" si="221"/>
        <v>37.601280000000003</v>
      </c>
      <c r="X184" s="665">
        <f t="shared" si="222"/>
        <v>0</v>
      </c>
      <c r="Y184" s="665">
        <f t="shared" si="223"/>
        <v>0</v>
      </c>
      <c r="Z184" s="361">
        <f t="shared" si="224"/>
        <v>5417.8156799999997</v>
      </c>
      <c r="AB184" s="362"/>
      <c r="AC184" s="1182" t="str">
        <f t="shared" si="225"/>
        <v>Gibbings/Keyser</v>
      </c>
      <c r="AD184" s="668" t="s">
        <v>526</v>
      </c>
      <c r="AE184" s="669">
        <f t="shared" si="226"/>
        <v>0</v>
      </c>
      <c r="AF184" s="670" t="s">
        <v>526</v>
      </c>
      <c r="AG184" s="669">
        <f t="shared" si="227"/>
        <v>0</v>
      </c>
      <c r="AH184" s="670" t="s">
        <v>526</v>
      </c>
      <c r="AI184" s="364">
        <f t="shared" si="228"/>
        <v>0</v>
      </c>
      <c r="AJ184" s="364">
        <f t="shared" si="229"/>
        <v>0</v>
      </c>
      <c r="AK184" s="364">
        <f t="shared" si="230"/>
        <v>0</v>
      </c>
      <c r="AL184" s="364">
        <f t="shared" si="231"/>
        <v>0</v>
      </c>
      <c r="AM184" s="365">
        <f t="shared" si="232"/>
        <v>0</v>
      </c>
      <c r="AN184" s="366">
        <f t="shared" si="233"/>
        <v>0</v>
      </c>
      <c r="AO184" s="367">
        <f t="shared" si="234"/>
        <v>0</v>
      </c>
      <c r="AP184" s="368">
        <v>8.7999999999999998E-5</v>
      </c>
      <c r="AQ184" s="369">
        <v>2.0000000000000002E-5</v>
      </c>
      <c r="AR184" s="370">
        <v>2.22E-4</v>
      </c>
      <c r="AS184" s="371">
        <v>3.1E-4</v>
      </c>
      <c r="AT184" s="372">
        <f t="shared" si="235"/>
        <v>37.601280000000003</v>
      </c>
      <c r="AV184" s="373">
        <f t="shared" si="236"/>
        <v>4896</v>
      </c>
      <c r="AW184" s="374">
        <f t="shared" si="237"/>
        <v>0</v>
      </c>
      <c r="AX184" s="375" t="str">
        <f t="shared" si="238"/>
        <v/>
      </c>
      <c r="AY184" s="376">
        <v>41820</v>
      </c>
      <c r="AZ184" s="377">
        <f t="shared" si="239"/>
        <v>-29871</v>
      </c>
      <c r="BA184" s="378">
        <f t="shared" si="240"/>
        <v>29871</v>
      </c>
      <c r="BB184" s="379" t="str">
        <f t="shared" si="241"/>
        <v/>
      </c>
      <c r="BC184" s="379" t="str">
        <f t="shared" si="242"/>
        <v/>
      </c>
      <c r="BD184" s="379">
        <f t="shared" si="243"/>
        <v>0</v>
      </c>
      <c r="BE184" s="379" t="str">
        <f t="shared" si="244"/>
        <v/>
      </c>
      <c r="BF184" s="380" t="str">
        <f t="shared" si="245"/>
        <v/>
      </c>
      <c r="BG184" s="381" t="e">
        <f t="shared" si="246"/>
        <v>#VALUE!</v>
      </c>
      <c r="BH184" s="481"/>
      <c r="BI184" s="482"/>
      <c r="BJ184" s="482"/>
    </row>
    <row r="185" spans="1:62" x14ac:dyDescent="0.2">
      <c r="A185" s="385"/>
      <c r="B185" s="358">
        <v>7</v>
      </c>
      <c r="C185" s="360"/>
      <c r="D185" s="359"/>
      <c r="E185" s="359"/>
      <c r="F185" s="681" t="s">
        <v>1431</v>
      </c>
      <c r="G185" s="938" t="s">
        <v>1435</v>
      </c>
      <c r="H185" s="681" t="s">
        <v>1436</v>
      </c>
      <c r="I185" s="681" t="s">
        <v>1437</v>
      </c>
      <c r="J185" s="880">
        <f>13*5*34</f>
        <v>2210</v>
      </c>
      <c r="K185" s="672">
        <v>0</v>
      </c>
      <c r="L185" s="685"/>
      <c r="M185" s="666"/>
      <c r="N185" s="1122">
        <f t="shared" si="215"/>
        <v>2210</v>
      </c>
      <c r="O185" s="1122"/>
      <c r="P185" s="1122"/>
      <c r="Q185" s="683"/>
      <c r="R185" s="665">
        <f t="shared" si="216"/>
        <v>0</v>
      </c>
      <c r="S185" s="665">
        <f t="shared" si="217"/>
        <v>137.02000000000001</v>
      </c>
      <c r="T185" s="665">
        <f t="shared" si="218"/>
        <v>32.045000000000002</v>
      </c>
      <c r="U185" s="666">
        <f t="shared" si="219"/>
        <v>17.68</v>
      </c>
      <c r="V185" s="666">
        <f t="shared" si="220"/>
        <v>31.823999999999998</v>
      </c>
      <c r="W185" s="665">
        <f t="shared" si="221"/>
        <v>16.972799999999999</v>
      </c>
      <c r="X185" s="665">
        <f t="shared" si="222"/>
        <v>0</v>
      </c>
      <c r="Y185" s="665">
        <f t="shared" si="223"/>
        <v>0</v>
      </c>
      <c r="Z185" s="361">
        <f t="shared" si="224"/>
        <v>2445.5418</v>
      </c>
      <c r="AB185" s="362"/>
      <c r="AC185" s="1182" t="str">
        <f t="shared" si="225"/>
        <v>Keyser/Bradstreet</v>
      </c>
      <c r="AD185" s="668" t="s">
        <v>526</v>
      </c>
      <c r="AE185" s="669">
        <f t="shared" si="226"/>
        <v>0</v>
      </c>
      <c r="AF185" s="670" t="s">
        <v>526</v>
      </c>
      <c r="AG185" s="669">
        <f t="shared" si="227"/>
        <v>0</v>
      </c>
      <c r="AH185" s="670" t="s">
        <v>526</v>
      </c>
      <c r="AI185" s="364">
        <f t="shared" si="228"/>
        <v>0</v>
      </c>
      <c r="AJ185" s="364">
        <f t="shared" si="229"/>
        <v>0</v>
      </c>
      <c r="AK185" s="364">
        <f t="shared" si="230"/>
        <v>0</v>
      </c>
      <c r="AL185" s="364">
        <f t="shared" si="231"/>
        <v>0</v>
      </c>
      <c r="AM185" s="365">
        <f t="shared" si="232"/>
        <v>0</v>
      </c>
      <c r="AN185" s="366">
        <f t="shared" si="233"/>
        <v>0</v>
      </c>
      <c r="AO185" s="367">
        <f t="shared" si="234"/>
        <v>0</v>
      </c>
      <c r="AP185" s="368">
        <v>8.7999999999999998E-5</v>
      </c>
      <c r="AQ185" s="369">
        <v>2.0000000000000002E-5</v>
      </c>
      <c r="AR185" s="370">
        <v>2.22E-4</v>
      </c>
      <c r="AS185" s="371">
        <v>3.1E-4</v>
      </c>
      <c r="AT185" s="372">
        <f t="shared" si="235"/>
        <v>16.972799999999999</v>
      </c>
      <c r="AV185" s="373">
        <f t="shared" si="236"/>
        <v>2210</v>
      </c>
      <c r="AW185" s="374">
        <f t="shared" si="237"/>
        <v>0</v>
      </c>
      <c r="AX185" s="375" t="str">
        <f t="shared" si="238"/>
        <v/>
      </c>
      <c r="AY185" s="376">
        <v>41820</v>
      </c>
      <c r="AZ185" s="377">
        <f t="shared" si="239"/>
        <v>-29871</v>
      </c>
      <c r="BA185" s="378">
        <f t="shared" si="240"/>
        <v>29871</v>
      </c>
      <c r="BB185" s="379" t="str">
        <f t="shared" si="241"/>
        <v/>
      </c>
      <c r="BC185" s="379" t="str">
        <f t="shared" si="242"/>
        <v/>
      </c>
      <c r="BD185" s="379">
        <f t="shared" si="243"/>
        <v>0</v>
      </c>
      <c r="BE185" s="379" t="str">
        <f t="shared" si="244"/>
        <v/>
      </c>
      <c r="BF185" s="380" t="str">
        <f t="shared" si="245"/>
        <v/>
      </c>
      <c r="BG185" s="381" t="e">
        <f t="shared" si="246"/>
        <v>#VALUE!</v>
      </c>
      <c r="BH185" s="481"/>
      <c r="BI185" s="482"/>
      <c r="BJ185" s="482"/>
    </row>
    <row r="186" spans="1:62" x14ac:dyDescent="0.2">
      <c r="A186" s="385"/>
      <c r="B186" s="358">
        <v>8</v>
      </c>
      <c r="C186" s="384"/>
      <c r="D186" s="390"/>
      <c r="E186" s="390"/>
      <c r="F186" s="681"/>
      <c r="G186" s="681"/>
      <c r="H186" s="681" t="s">
        <v>1583</v>
      </c>
      <c r="I186" s="681"/>
      <c r="J186" s="685">
        <v>8000</v>
      </c>
      <c r="K186" s="672">
        <v>0</v>
      </c>
      <c r="L186" s="685"/>
      <c r="M186" s="666"/>
      <c r="N186" s="1122">
        <f t="shared" si="215"/>
        <v>8000</v>
      </c>
      <c r="O186" s="1122"/>
      <c r="P186" s="1122"/>
      <c r="Q186" s="683"/>
      <c r="R186" s="665">
        <f t="shared" si="216"/>
        <v>0</v>
      </c>
      <c r="S186" s="665">
        <f t="shared" si="217"/>
        <v>496</v>
      </c>
      <c r="T186" s="665">
        <f t="shared" si="218"/>
        <v>116</v>
      </c>
      <c r="U186" s="666">
        <f t="shared" si="219"/>
        <v>56</v>
      </c>
      <c r="V186" s="666">
        <f t="shared" si="220"/>
        <v>100.8</v>
      </c>
      <c r="W186" s="665">
        <f t="shared" si="221"/>
        <v>61.44</v>
      </c>
      <c r="X186" s="665">
        <f t="shared" si="222"/>
        <v>0</v>
      </c>
      <c r="Y186" s="665">
        <f t="shared" si="223"/>
        <v>0</v>
      </c>
      <c r="Z186" s="361">
        <f t="shared" si="224"/>
        <v>8830.24</v>
      </c>
      <c r="AA186" s="461" t="str">
        <f>A179</f>
        <v xml:space="preserve">Before/After Care </v>
      </c>
      <c r="AB186" s="362"/>
      <c r="AC186" s="363"/>
      <c r="AD186" s="668" t="s">
        <v>526</v>
      </c>
      <c r="AE186" s="669">
        <f t="shared" si="226"/>
        <v>0</v>
      </c>
      <c r="AF186" s="670" t="s">
        <v>526</v>
      </c>
      <c r="AG186" s="669">
        <f t="shared" si="227"/>
        <v>0</v>
      </c>
      <c r="AH186" s="670" t="s">
        <v>526</v>
      </c>
      <c r="AI186" s="364">
        <f t="shared" si="228"/>
        <v>0</v>
      </c>
      <c r="AJ186" s="364">
        <f t="shared" si="229"/>
        <v>0</v>
      </c>
      <c r="AK186" s="364">
        <f t="shared" si="230"/>
        <v>0</v>
      </c>
      <c r="AL186" s="364">
        <f t="shared" si="231"/>
        <v>0</v>
      </c>
      <c r="AM186" s="365">
        <f t="shared" si="232"/>
        <v>0</v>
      </c>
      <c r="AN186" s="366">
        <f t="shared" si="233"/>
        <v>0</v>
      </c>
      <c r="AO186" s="367">
        <f t="shared" si="234"/>
        <v>0</v>
      </c>
      <c r="AP186" s="368">
        <v>8.7999999999999998E-5</v>
      </c>
      <c r="AQ186" s="369">
        <v>2.0000000000000002E-5</v>
      </c>
      <c r="AR186" s="370">
        <v>2.22E-4</v>
      </c>
      <c r="AS186" s="371">
        <v>3.1E-4</v>
      </c>
      <c r="AT186" s="372">
        <f t="shared" si="235"/>
        <v>61.44</v>
      </c>
      <c r="AV186" s="373">
        <f t="shared" si="236"/>
        <v>8000</v>
      </c>
      <c r="AW186" s="374">
        <f t="shared" si="237"/>
        <v>0</v>
      </c>
      <c r="AX186" s="375" t="str">
        <f t="shared" si="238"/>
        <v/>
      </c>
      <c r="AY186" s="376">
        <v>41820</v>
      </c>
      <c r="AZ186" s="377">
        <f t="shared" si="239"/>
        <v>-29871</v>
      </c>
      <c r="BA186" s="378">
        <f t="shared" si="240"/>
        <v>29871</v>
      </c>
      <c r="BB186" s="379" t="str">
        <f t="shared" si="241"/>
        <v/>
      </c>
      <c r="BC186" s="379" t="str">
        <f t="shared" si="242"/>
        <v/>
      </c>
      <c r="BD186" s="379">
        <f t="shared" si="243"/>
        <v>0</v>
      </c>
      <c r="BE186" s="379" t="str">
        <f t="shared" si="244"/>
        <v/>
      </c>
      <c r="BF186" s="380" t="str">
        <f t="shared" si="245"/>
        <v/>
      </c>
      <c r="BG186" s="381" t="e">
        <f t="shared" si="246"/>
        <v>#VALUE!</v>
      </c>
      <c r="BH186" s="481"/>
      <c r="BI186" s="482"/>
      <c r="BJ186" s="482"/>
    </row>
    <row r="187" spans="1:62" ht="13.5" thickBot="1" x14ac:dyDescent="0.25">
      <c r="A187" s="392"/>
      <c r="B187" s="392"/>
      <c r="C187" s="392"/>
      <c r="D187" s="483"/>
      <c r="E187" s="392"/>
      <c r="F187" s="393"/>
      <c r="G187" s="393"/>
      <c r="H187" s="393"/>
      <c r="I187" s="393"/>
      <c r="J187" s="395"/>
      <c r="K187" s="394"/>
      <c r="L187" s="395"/>
      <c r="M187" s="396"/>
      <c r="N187" s="1123"/>
      <c r="O187" s="1123"/>
      <c r="P187" s="1123"/>
      <c r="Q187" s="396"/>
      <c r="R187" s="396"/>
      <c r="S187" s="396"/>
      <c r="T187" s="396"/>
      <c r="U187" s="396"/>
      <c r="V187" s="396"/>
      <c r="W187" s="396"/>
      <c r="X187" s="396"/>
      <c r="Y187" s="396"/>
      <c r="Z187" s="397"/>
      <c r="AA187" s="484">
        <f>SUM(Z179:Z186)</f>
        <v>47286.871479999994</v>
      </c>
      <c r="AB187" s="399"/>
      <c r="AC187" s="400"/>
      <c r="AD187" s="444"/>
      <c r="AE187" s="445"/>
      <c r="AF187" s="444"/>
      <c r="AG187" s="445"/>
      <c r="AH187" s="444"/>
      <c r="AI187" s="445"/>
      <c r="AJ187" s="445"/>
      <c r="AK187" s="445"/>
      <c r="AL187" s="445"/>
      <c r="AM187" s="403"/>
      <c r="AN187" s="404"/>
      <c r="AO187" s="405"/>
      <c r="AP187" s="406"/>
      <c r="AQ187" s="407"/>
      <c r="AR187" s="408"/>
      <c r="AS187" s="409"/>
      <c r="AT187" s="410"/>
      <c r="AU187" s="485"/>
      <c r="AV187" s="412"/>
      <c r="AW187" s="413"/>
      <c r="AX187" s="414"/>
      <c r="AY187" s="415"/>
      <c r="AZ187" s="416"/>
      <c r="BA187" s="417"/>
      <c r="BB187" s="418"/>
      <c r="BC187" s="418"/>
      <c r="BD187" s="418"/>
      <c r="BE187" s="418"/>
      <c r="BF187" s="419"/>
      <c r="BG187" s="448"/>
      <c r="BH187" s="456"/>
      <c r="BI187" s="486"/>
      <c r="BJ187" s="482"/>
    </row>
    <row r="188" spans="1:62" ht="13.5" thickBot="1" x14ac:dyDescent="0.25">
      <c r="A188" s="487" t="s">
        <v>542</v>
      </c>
      <c r="E188" s="488">
        <f>SUM(E5:E159)+SUM(E175:E178)</f>
        <v>0</v>
      </c>
      <c r="F188" s="488"/>
      <c r="G188" s="488"/>
      <c r="H188" s="488"/>
      <c r="I188" s="488"/>
      <c r="J188" s="489">
        <f>SUM(J5:J187)</f>
        <v>3398586</v>
      </c>
      <c r="K188" s="490"/>
      <c r="L188" s="489">
        <f>SUM(L4:L187)</f>
        <v>36000</v>
      </c>
      <c r="M188" s="490">
        <f>SUM(M4:M187)</f>
        <v>61100</v>
      </c>
      <c r="N188" s="1128">
        <f t="shared" ref="N188:W188" si="247">SUM(N5:N186)</f>
        <v>3575472.56</v>
      </c>
      <c r="O188" s="1128"/>
      <c r="P188" s="1128"/>
      <c r="Q188" s="490"/>
      <c r="R188" s="490">
        <f>SUM(R5:R186)</f>
        <v>124113.75150000001</v>
      </c>
      <c r="S188" s="490">
        <f t="shared" si="247"/>
        <v>213984.24612699999</v>
      </c>
      <c r="T188" s="490">
        <f t="shared" si="247"/>
        <v>50044.702723249997</v>
      </c>
      <c r="U188" s="490">
        <f t="shared" si="247"/>
        <v>3472.848</v>
      </c>
      <c r="V188" s="490">
        <f t="shared" si="247"/>
        <v>8166.3264000000099</v>
      </c>
      <c r="W188" s="490">
        <f t="shared" si="247"/>
        <v>25989.765119999975</v>
      </c>
      <c r="X188" s="490">
        <f>SUM(X5:X186)</f>
        <v>403186.38</v>
      </c>
      <c r="Y188" s="490">
        <f>SUM(Y5:Y186)</f>
        <v>403186.38</v>
      </c>
      <c r="Z188" s="490">
        <f>SUM(Z5:Z187)</f>
        <v>5142496.2868702505</v>
      </c>
      <c r="AA188" s="387"/>
      <c r="AB188" s="362"/>
      <c r="AM188" s="491">
        <f>SUM(AM5:AM178)</f>
        <v>21096.650000000005</v>
      </c>
      <c r="AN188" s="491">
        <f>SUM(AN5:AN178)</f>
        <v>67197.730000000025</v>
      </c>
      <c r="AO188" s="491">
        <f>SUM(AO5:AO178)</f>
        <v>88294.380000000019</v>
      </c>
      <c r="AP188" s="491"/>
      <c r="AQ188" s="491"/>
      <c r="AR188" s="491"/>
      <c r="AS188" s="491"/>
      <c r="AT188" s="491">
        <f>SUM(AT5:AT187)</f>
        <v>26043.712559999974</v>
      </c>
      <c r="AV188" s="492"/>
      <c r="AW188" s="493"/>
      <c r="AX188" s="494"/>
      <c r="AY188" s="495"/>
      <c r="AZ188" s="496"/>
      <c r="BA188" s="497"/>
      <c r="BB188" s="498"/>
      <c r="BC188" s="498"/>
      <c r="BD188" s="498"/>
      <c r="BE188" s="498"/>
      <c r="BF188" s="498"/>
    </row>
    <row r="189" spans="1:62" x14ac:dyDescent="0.2">
      <c r="Y189" s="322">
        <f>+Y188-X188</f>
        <v>0</v>
      </c>
      <c r="Z189" s="499">
        <v>4239776.6110840971</v>
      </c>
      <c r="AA189" s="1186">
        <f>+Z188-Z189</f>
        <v>902719.67578615341</v>
      </c>
      <c r="AM189" s="491">
        <f>AM188*12</f>
        <v>253159.80000000005</v>
      </c>
      <c r="AN189" s="491">
        <f>AN188*12</f>
        <v>806372.76000000024</v>
      </c>
      <c r="AO189" s="491">
        <f>AO188*12</f>
        <v>1059532.5600000003</v>
      </c>
      <c r="AP189" s="491"/>
      <c r="AQ189" s="491"/>
      <c r="AR189" s="491"/>
      <c r="AS189" s="491"/>
      <c r="AT189" s="491"/>
      <c r="AV189" s="492"/>
      <c r="AW189" s="493"/>
      <c r="AX189" s="494"/>
      <c r="AY189" s="495"/>
      <c r="AZ189" s="496"/>
      <c r="BA189" s="497"/>
      <c r="BB189" s="498"/>
      <c r="BC189" s="498"/>
      <c r="BD189" s="498"/>
      <c r="BE189" s="498"/>
      <c r="BF189" s="498"/>
      <c r="BG189" s="388"/>
      <c r="BH189" s="388"/>
    </row>
    <row r="190" spans="1:62" ht="13.5" thickBot="1" x14ac:dyDescent="0.25">
      <c r="Q190" s="500"/>
      <c r="R190" s="500">
        <f t="shared" ref="R190:X190" si="248">R188/$N188</f>
        <v>3.4712544822326927E-2</v>
      </c>
      <c r="S190" s="500">
        <f t="shared" si="248"/>
        <v>5.9847822221015728E-2</v>
      </c>
      <c r="T190" s="500">
        <f t="shared" si="248"/>
        <v>1.3996668100076258E-2</v>
      </c>
      <c r="U190" s="500">
        <f t="shared" si="248"/>
        <v>9.7129762338324301E-4</v>
      </c>
      <c r="V190" s="500">
        <f t="shared" si="248"/>
        <v>2.2839851971902729E-3</v>
      </c>
      <c r="W190" s="500">
        <f t="shared" si="248"/>
        <v>7.2689035320131152E-3</v>
      </c>
      <c r="X190" s="500">
        <f t="shared" si="248"/>
        <v>0.1127645012607788</v>
      </c>
      <c r="Y190" s="500">
        <f>(Y188+Y192)/$N188</f>
        <v>0.1127645012607788</v>
      </c>
      <c r="Z190" s="500">
        <f>SUM(S190:W190)+(X190+Y190)/2</f>
        <v>0.19713317793445742</v>
      </c>
      <c r="AA190" s="279" t="s">
        <v>543</v>
      </c>
      <c r="AT190" s="501"/>
      <c r="AV190" s="492"/>
      <c r="AW190" s="493"/>
      <c r="AX190" s="494"/>
      <c r="AY190" s="495"/>
      <c r="AZ190" s="496"/>
      <c r="BA190" s="497"/>
      <c r="BB190" s="502">
        <f>SUM(BB5:BB188)</f>
        <v>0</v>
      </c>
      <c r="BC190" s="502">
        <f>SUM(BC5:BC188)</f>
        <v>0</v>
      </c>
      <c r="BD190" s="503">
        <f>SUM(BD5:BD188)</f>
        <v>0</v>
      </c>
      <c r="BE190" s="503">
        <f>SUM(BE5:BE188)</f>
        <v>0</v>
      </c>
      <c r="BF190" s="503">
        <f>SUM(BF5:BF188)</f>
        <v>0</v>
      </c>
      <c r="BG190" s="504" t="e">
        <f>SUM(BG5:BG189)</f>
        <v>#VALUE!</v>
      </c>
      <c r="BH190" s="504" t="e">
        <f>BH178+BH162+BH152+BH136+BH132+BH129+BH125+BH99+BH93+BH65+BH89+BH75+BH140+#REF!+#REF!+BH174</f>
        <v>#REF!</v>
      </c>
    </row>
    <row r="191" spans="1:62" x14ac:dyDescent="0.2">
      <c r="B191" s="279"/>
      <c r="C191" s="279"/>
      <c r="D191" s="279"/>
      <c r="E191" s="279"/>
      <c r="Y191" s="518">
        <v>0</v>
      </c>
      <c r="AV191" s="492"/>
      <c r="AW191" s="493"/>
      <c r="AX191" s="494"/>
      <c r="AY191" s="495"/>
      <c r="AZ191" s="496"/>
      <c r="BA191" s="497"/>
      <c r="BB191" s="505"/>
      <c r="BC191" s="506"/>
      <c r="BD191" s="505"/>
      <c r="BE191" s="507" t="e">
        <f>BE190/BC190</f>
        <v>#DIV/0!</v>
      </c>
      <c r="BF191" s="507" t="e">
        <f>BF190/BC190</f>
        <v>#DIV/0!</v>
      </c>
      <c r="BG191" s="508"/>
      <c r="BH191" s="509" t="e">
        <f>BG190-BH190</f>
        <v>#VALUE!</v>
      </c>
    </row>
    <row r="192" spans="1:62" x14ac:dyDescent="0.2">
      <c r="B192" s="279"/>
      <c r="C192" s="279"/>
      <c r="D192" s="279"/>
      <c r="E192" s="279"/>
      <c r="N192" s="1129">
        <f>SUM(N5:N186)</f>
        <v>3575472.56</v>
      </c>
      <c r="O192" s="1129"/>
      <c r="P192" s="1129"/>
      <c r="W192" s="644" t="s">
        <v>932</v>
      </c>
      <c r="Y192" s="644">
        <f>+Y188*Y191</f>
        <v>0</v>
      </c>
      <c r="Z192" s="510">
        <f>S188+T188+U188+V188+R188+X188+Y188+W188+Y192+Y192</f>
        <v>1232144.3998702499</v>
      </c>
      <c r="AA192" s="279" t="s">
        <v>544</v>
      </c>
      <c r="AC192" s="1254">
        <f>Z188*0.1978</f>
        <v>1017185.7655429356</v>
      </c>
      <c r="AV192" s="492"/>
      <c r="AW192" s="493"/>
      <c r="AX192" s="494"/>
      <c r="AY192" s="495"/>
      <c r="AZ192" s="496"/>
      <c r="BA192" s="497"/>
      <c r="BC192" s="328"/>
      <c r="BD192" s="325"/>
      <c r="BE192" s="511"/>
      <c r="BF192" s="512">
        <f>SUM(U190:Y190)</f>
        <v>0.23605318887414423</v>
      </c>
      <c r="BG192" s="509"/>
      <c r="BH192" s="509"/>
    </row>
    <row r="193" spans="2:60" x14ac:dyDescent="0.2">
      <c r="B193" s="279"/>
      <c r="C193" s="279"/>
      <c r="D193" s="279"/>
      <c r="E193" s="279"/>
      <c r="N193" s="1130">
        <f>+N188-N192</f>
        <v>0</v>
      </c>
      <c r="O193" s="1130"/>
      <c r="P193" s="1130"/>
      <c r="Q193" s="323">
        <v>3</v>
      </c>
      <c r="Z193" s="513">
        <f>N188</f>
        <v>3575472.56</v>
      </c>
      <c r="AA193" s="279" t="s">
        <v>545</v>
      </c>
      <c r="AC193" s="1254">
        <f>AC192+Z188</f>
        <v>6159682.0524131861</v>
      </c>
      <c r="AM193" s="279"/>
      <c r="AN193" s="279"/>
      <c r="AO193" s="279"/>
      <c r="AP193" s="279"/>
      <c r="BG193" s="329" t="s">
        <v>546</v>
      </c>
      <c r="BH193" s="329">
        <v>267643.49426748027</v>
      </c>
    </row>
    <row r="194" spans="2:60" ht="13.5" thickBot="1" x14ac:dyDescent="0.25">
      <c r="B194" s="279"/>
      <c r="C194" s="279"/>
      <c r="D194" s="279"/>
      <c r="E194" s="279"/>
      <c r="Z194" s="514">
        <f>N188+Z192</f>
        <v>4807616.95987025</v>
      </c>
      <c r="AA194" s="279" t="s">
        <v>547</v>
      </c>
      <c r="AM194" s="279"/>
      <c r="AN194" s="279"/>
      <c r="AO194" s="279"/>
      <c r="AP194" s="279"/>
    </row>
    <row r="195" spans="2:60" ht="13.5" thickTop="1" x14ac:dyDescent="0.2">
      <c r="B195" s="279"/>
      <c r="C195" s="279"/>
      <c r="D195" s="279"/>
      <c r="E195" s="279"/>
      <c r="Z195" s="279"/>
      <c r="AV195" s="492"/>
      <c r="AW195" s="493"/>
      <c r="AX195" s="494"/>
      <c r="AY195" s="495"/>
      <c r="AZ195" s="496"/>
      <c r="BA195" s="497"/>
      <c r="BB195" s="498"/>
      <c r="BC195" s="498"/>
      <c r="BD195" s="498"/>
      <c r="BE195" s="498"/>
      <c r="BF195" s="498"/>
    </row>
    <row r="196" spans="2:60" x14ac:dyDescent="0.2">
      <c r="B196" s="279"/>
      <c r="C196" s="279"/>
      <c r="D196" s="279"/>
      <c r="E196" s="279"/>
      <c r="Z196" s="324">
        <f>SUM('Monthly Budget'!Q40:Q59)</f>
        <v>3586413.4059230774</v>
      </c>
      <c r="AA196" s="279" t="s">
        <v>548</v>
      </c>
      <c r="AV196" s="492"/>
      <c r="AW196" s="493"/>
      <c r="AX196" s="494"/>
      <c r="AY196" s="495"/>
      <c r="AZ196" s="496"/>
      <c r="BA196" s="497"/>
      <c r="BB196" s="498"/>
      <c r="BC196" s="498"/>
      <c r="BD196" s="498"/>
      <c r="BE196" s="498"/>
      <c r="BF196" s="498"/>
    </row>
    <row r="197" spans="2:60" x14ac:dyDescent="0.2">
      <c r="B197" s="279"/>
      <c r="C197" s="279"/>
      <c r="D197" s="279"/>
      <c r="E197" s="279"/>
      <c r="Z197" s="506">
        <f>+'Monthly Budget'!Q61</f>
        <v>1232144.3998702504</v>
      </c>
      <c r="AA197" s="279" t="s">
        <v>549</v>
      </c>
      <c r="AV197" s="492"/>
      <c r="AW197" s="493"/>
      <c r="AX197" s="494"/>
      <c r="AY197" s="495"/>
      <c r="AZ197" s="496"/>
      <c r="BA197" s="497"/>
      <c r="BB197" s="498"/>
      <c r="BC197" s="498"/>
      <c r="BD197" s="498"/>
      <c r="BE197" s="498"/>
      <c r="BF197" s="498"/>
    </row>
    <row r="198" spans="2:60" x14ac:dyDescent="0.2">
      <c r="B198" s="279"/>
      <c r="C198" s="279"/>
      <c r="D198" s="279"/>
      <c r="E198" s="279"/>
      <c r="Z198" s="279"/>
      <c r="AV198" s="492"/>
      <c r="AW198" s="493"/>
      <c r="AX198" s="494"/>
      <c r="AY198" s="495"/>
      <c r="AZ198" s="496"/>
      <c r="BA198" s="497"/>
      <c r="BB198" s="498"/>
      <c r="BC198" s="498"/>
      <c r="BD198" s="498"/>
      <c r="BE198" s="498"/>
      <c r="BF198" s="498"/>
    </row>
    <row r="199" spans="2:60" x14ac:dyDescent="0.2">
      <c r="B199" s="279"/>
      <c r="C199" s="279"/>
      <c r="D199" s="279"/>
      <c r="E199" s="279"/>
      <c r="Z199" s="515">
        <f>Z196-N188</f>
        <v>10940.845923077315</v>
      </c>
      <c r="AA199" s="279" t="s">
        <v>550</v>
      </c>
      <c r="AV199" s="492"/>
      <c r="AW199" s="493"/>
      <c r="AX199" s="494"/>
      <c r="AY199" s="495"/>
      <c r="AZ199" s="496"/>
      <c r="BA199" s="497"/>
      <c r="BB199" s="498"/>
      <c r="BC199" s="498"/>
      <c r="BD199" s="498"/>
      <c r="BE199" s="498"/>
      <c r="BF199" s="498"/>
    </row>
    <row r="200" spans="2:60" x14ac:dyDescent="0.2">
      <c r="B200" s="279"/>
      <c r="C200" s="279"/>
      <c r="D200" s="279"/>
      <c r="E200" s="279"/>
      <c r="Z200" s="516">
        <f>Z197-Z192</f>
        <v>0</v>
      </c>
      <c r="AA200" s="279" t="s">
        <v>551</v>
      </c>
      <c r="AV200" s="492"/>
      <c r="AW200" s="493"/>
      <c r="AX200" s="494"/>
      <c r="AY200" s="495"/>
      <c r="AZ200" s="496"/>
      <c r="BA200" s="497"/>
      <c r="BB200" s="498"/>
      <c r="BC200" s="498"/>
      <c r="BD200" s="498"/>
      <c r="BE200" s="498"/>
      <c r="BF200" s="498"/>
    </row>
    <row r="201" spans="2:60" ht="13.5" thickBot="1" x14ac:dyDescent="0.25">
      <c r="B201" s="279"/>
      <c r="C201" s="279"/>
      <c r="D201" s="279"/>
      <c r="E201" s="279"/>
      <c r="Z201" s="517">
        <f>SUM(Z199:Z200)</f>
        <v>10940.845923077315</v>
      </c>
      <c r="AA201" s="279" t="s">
        <v>552</v>
      </c>
      <c r="AV201" s="492"/>
      <c r="AW201" s="493"/>
      <c r="AX201" s="494"/>
      <c r="AY201" s="495"/>
      <c r="AZ201" s="496"/>
      <c r="BA201" s="497"/>
      <c r="BB201" s="498"/>
      <c r="BC201" s="498"/>
      <c r="BD201" s="498"/>
      <c r="BE201" s="498"/>
      <c r="BF201" s="498"/>
    </row>
    <row r="202" spans="2:60" ht="13.5" thickTop="1" x14ac:dyDescent="0.2">
      <c r="B202" s="279"/>
      <c r="C202" s="279"/>
      <c r="D202" s="279"/>
      <c r="E202" s="279"/>
      <c r="AV202" s="492"/>
      <c r="AW202" s="493"/>
      <c r="AX202" s="494"/>
      <c r="AY202" s="495"/>
      <c r="AZ202" s="496"/>
      <c r="BA202" s="497"/>
      <c r="BB202" s="498"/>
      <c r="BC202" s="498"/>
      <c r="BD202" s="498"/>
      <c r="BE202" s="498"/>
      <c r="BF202" s="498"/>
    </row>
    <row r="203" spans="2:60" x14ac:dyDescent="0.2">
      <c r="B203" s="279"/>
      <c r="C203" s="279"/>
      <c r="D203" s="279"/>
      <c r="E203" s="279"/>
      <c r="AV203" s="492"/>
      <c r="AW203" s="493"/>
      <c r="AX203" s="494"/>
      <c r="AY203" s="495"/>
      <c r="AZ203" s="496"/>
      <c r="BA203" s="497"/>
      <c r="BB203" s="498"/>
      <c r="BC203" s="498"/>
      <c r="BD203" s="498"/>
      <c r="BE203" s="498"/>
      <c r="BF203" s="498"/>
    </row>
    <row r="204" spans="2:60" x14ac:dyDescent="0.2">
      <c r="B204" s="279"/>
      <c r="C204" s="279"/>
      <c r="D204" s="279"/>
      <c r="E204" s="279"/>
      <c r="AV204" s="492"/>
      <c r="AW204" s="493"/>
      <c r="AX204" s="494"/>
      <c r="AY204" s="495"/>
      <c r="AZ204" s="496"/>
      <c r="BA204" s="497"/>
      <c r="BB204" s="498"/>
      <c r="BC204" s="498"/>
      <c r="BD204" s="498"/>
      <c r="BE204" s="498"/>
      <c r="BF204" s="498"/>
    </row>
    <row r="205" spans="2:60" x14ac:dyDescent="0.2">
      <c r="B205" s="279"/>
      <c r="C205" s="279"/>
      <c r="D205" s="279"/>
      <c r="E205" s="279"/>
      <c r="W205" s="518"/>
      <c r="AV205" s="492"/>
      <c r="AW205" s="493"/>
      <c r="AX205" s="494"/>
      <c r="AY205" s="495"/>
      <c r="AZ205" s="496"/>
      <c r="BA205" s="497"/>
      <c r="BB205" s="498"/>
      <c r="BC205" s="498"/>
      <c r="BD205" s="498"/>
      <c r="BE205" s="498"/>
      <c r="BF205" s="498"/>
    </row>
    <row r="206" spans="2:60" x14ac:dyDescent="0.2">
      <c r="B206" s="279"/>
      <c r="C206" s="279"/>
      <c r="D206" s="279"/>
      <c r="E206" s="279"/>
      <c r="N206" s="1131"/>
      <c r="O206" s="1131"/>
      <c r="P206" s="1131"/>
      <c r="R206" s="518"/>
      <c r="AV206" s="492"/>
      <c r="AW206" s="493"/>
      <c r="AX206" s="494"/>
      <c r="AY206" s="495"/>
      <c r="AZ206" s="496"/>
      <c r="BA206" s="497"/>
      <c r="BB206" s="498"/>
      <c r="BC206" s="498"/>
      <c r="BD206" s="498"/>
      <c r="BE206" s="498"/>
      <c r="BF206" s="498"/>
    </row>
    <row r="207" spans="2:60" x14ac:dyDescent="0.2">
      <c r="B207" s="279"/>
      <c r="C207" s="279"/>
      <c r="D207" s="279"/>
      <c r="E207" s="279"/>
      <c r="R207" s="520"/>
      <c r="W207" s="519"/>
      <c r="X207" s="482"/>
      <c r="Y207" s="482"/>
      <c r="AV207" s="492"/>
      <c r="AW207" s="493"/>
      <c r="AX207" s="494"/>
      <c r="AY207" s="495"/>
      <c r="AZ207" s="496"/>
      <c r="BA207" s="497"/>
      <c r="BB207" s="498"/>
      <c r="BC207" s="498"/>
      <c r="BD207" s="498"/>
      <c r="BE207" s="498"/>
      <c r="BF207" s="498"/>
    </row>
    <row r="208" spans="2:60" x14ac:dyDescent="0.2">
      <c r="R208" s="520"/>
      <c r="X208" s="482"/>
      <c r="Y208" s="482"/>
      <c r="AV208" s="492"/>
      <c r="AW208" s="493"/>
      <c r="AX208" s="494"/>
      <c r="AY208" s="495"/>
      <c r="AZ208" s="496"/>
      <c r="BA208" s="497"/>
      <c r="BB208" s="498"/>
      <c r="BC208" s="498"/>
      <c r="BD208" s="498"/>
      <c r="BE208" s="498"/>
      <c r="BF208" s="498"/>
    </row>
    <row r="209" spans="1:58" x14ac:dyDescent="0.2">
      <c r="A209" s="521" t="s">
        <v>553</v>
      </c>
      <c r="R209" s="520"/>
      <c r="X209" s="482"/>
      <c r="Y209" s="482"/>
      <c r="AX209" s="325"/>
      <c r="BB209" s="328"/>
      <c r="BC209" s="328"/>
      <c r="BD209" s="328"/>
      <c r="BE209" s="328"/>
      <c r="BF209" s="328"/>
    </row>
    <row r="210" spans="1:58" x14ac:dyDescent="0.2">
      <c r="A210" s="522" t="s">
        <v>526</v>
      </c>
      <c r="B210" s="522" t="s">
        <v>526</v>
      </c>
      <c r="C210" s="522" t="s">
        <v>526</v>
      </c>
      <c r="D210" s="522" t="s">
        <v>526</v>
      </c>
      <c r="R210" s="520"/>
      <c r="X210" s="482"/>
      <c r="Y210" s="482"/>
    </row>
    <row r="211" spans="1:58" x14ac:dyDescent="0.2">
      <c r="A211" s="522" t="s">
        <v>510</v>
      </c>
      <c r="B211" s="441" t="s">
        <v>510</v>
      </c>
      <c r="C211" s="522" t="s">
        <v>511</v>
      </c>
      <c r="D211" s="522" t="s">
        <v>512</v>
      </c>
      <c r="R211" s="520"/>
      <c r="X211" s="482"/>
      <c r="Y211" s="482"/>
    </row>
    <row r="212" spans="1:58" x14ac:dyDescent="0.2">
      <c r="A212" s="522" t="s">
        <v>508</v>
      </c>
      <c r="B212" s="441" t="s">
        <v>508</v>
      </c>
      <c r="C212" s="522" t="s">
        <v>509</v>
      </c>
      <c r="D212" s="522" t="s">
        <v>518</v>
      </c>
      <c r="R212" s="520"/>
      <c r="X212" s="482"/>
      <c r="Y212" s="482"/>
    </row>
    <row r="213" spans="1:58" x14ac:dyDescent="0.2">
      <c r="A213" s="522" t="s">
        <v>513</v>
      </c>
      <c r="B213" s="441" t="s">
        <v>513</v>
      </c>
      <c r="C213" s="522" t="s">
        <v>520</v>
      </c>
      <c r="D213" s="522" t="s">
        <v>521</v>
      </c>
      <c r="R213" s="520"/>
    </row>
    <row r="214" spans="1:58" x14ac:dyDescent="0.2">
      <c r="A214" s="522" t="s">
        <v>516</v>
      </c>
      <c r="B214" s="441" t="s">
        <v>516</v>
      </c>
      <c r="C214" s="522" t="s">
        <v>517</v>
      </c>
      <c r="D214" s="522" t="s">
        <v>519</v>
      </c>
      <c r="R214" s="520"/>
    </row>
    <row r="215" spans="1:58" x14ac:dyDescent="0.2">
      <c r="A215" s="523" t="s">
        <v>530</v>
      </c>
      <c r="B215" s="441" t="s">
        <v>554</v>
      </c>
      <c r="C215" s="522" t="s">
        <v>525</v>
      </c>
      <c r="D215" s="331"/>
      <c r="R215" s="520"/>
    </row>
    <row r="216" spans="1:58" x14ac:dyDescent="0.2">
      <c r="A216" s="523" t="s">
        <v>533</v>
      </c>
      <c r="B216" s="441" t="s">
        <v>533</v>
      </c>
      <c r="C216" s="522" t="s">
        <v>540</v>
      </c>
      <c r="D216" s="331"/>
      <c r="R216" s="520"/>
    </row>
    <row r="217" spans="1:58" x14ac:dyDescent="0.2">
      <c r="A217" s="523" t="s">
        <v>534</v>
      </c>
      <c r="B217" s="441" t="s">
        <v>534</v>
      </c>
      <c r="C217" s="522" t="s">
        <v>555</v>
      </c>
      <c r="D217" s="331"/>
      <c r="R217" s="520"/>
    </row>
    <row r="218" spans="1:58" x14ac:dyDescent="0.2">
      <c r="A218" s="523" t="s">
        <v>524</v>
      </c>
      <c r="B218" s="441" t="s">
        <v>556</v>
      </c>
      <c r="C218" s="522" t="s">
        <v>557</v>
      </c>
      <c r="D218" s="331"/>
      <c r="R218" s="520"/>
    </row>
    <row r="219" spans="1:58" x14ac:dyDescent="0.2">
      <c r="A219" s="523" t="s">
        <v>522</v>
      </c>
      <c r="B219" s="522" t="s">
        <v>522</v>
      </c>
      <c r="C219" s="331"/>
      <c r="D219" s="331"/>
      <c r="R219" s="520"/>
    </row>
    <row r="220" spans="1:58" x14ac:dyDescent="0.2">
      <c r="A220" s="522" t="s">
        <v>515</v>
      </c>
      <c r="B220" s="522" t="s">
        <v>515</v>
      </c>
      <c r="C220" s="331"/>
      <c r="D220" s="331"/>
    </row>
    <row r="221" spans="1:58" x14ac:dyDescent="0.2">
      <c r="A221" s="522" t="s">
        <v>514</v>
      </c>
      <c r="B221" s="522" t="s">
        <v>514</v>
      </c>
      <c r="C221" s="331"/>
      <c r="D221" s="331"/>
    </row>
    <row r="222" spans="1:58" x14ac:dyDescent="0.2">
      <c r="A222" s="522" t="s">
        <v>523</v>
      </c>
      <c r="B222" s="522" t="s">
        <v>523</v>
      </c>
      <c r="C222" s="331"/>
      <c r="D222" s="331"/>
    </row>
    <row r="223" spans="1:58" ht="13.5" thickBot="1" x14ac:dyDescent="0.25"/>
    <row r="224" spans="1:58" x14ac:dyDescent="0.2">
      <c r="A224" s="524" t="s">
        <v>558</v>
      </c>
      <c r="B224" s="525"/>
      <c r="C224" s="525"/>
      <c r="D224" s="525"/>
      <c r="E224" s="526"/>
    </row>
    <row r="225" spans="1:5" ht="13.5" thickBot="1" x14ac:dyDescent="0.25">
      <c r="A225" s="521" t="s">
        <v>553</v>
      </c>
      <c r="B225" s="521" t="s">
        <v>559</v>
      </c>
      <c r="C225" s="521" t="s">
        <v>560</v>
      </c>
      <c r="D225" s="521" t="s">
        <v>561</v>
      </c>
      <c r="E225" s="527" t="s">
        <v>562</v>
      </c>
    </row>
    <row r="226" spans="1:5" x14ac:dyDescent="0.2">
      <c r="A226" s="528" t="s">
        <v>530</v>
      </c>
      <c r="B226" s="528" t="s">
        <v>554</v>
      </c>
      <c r="C226" s="529">
        <v>679.18</v>
      </c>
      <c r="D226" s="530">
        <v>125.65</v>
      </c>
      <c r="E226" s="531">
        <f>C226-D226</f>
        <v>553.53</v>
      </c>
    </row>
    <row r="227" spans="1:5" x14ac:dyDescent="0.2">
      <c r="A227" s="532" t="s">
        <v>533</v>
      </c>
      <c r="B227" s="532" t="s">
        <v>533</v>
      </c>
      <c r="C227" s="533">
        <v>1587.82</v>
      </c>
      <c r="D227" s="534">
        <v>277.87</v>
      </c>
      <c r="E227" s="535">
        <f>C227-D227</f>
        <v>1309.9499999999998</v>
      </c>
    </row>
    <row r="228" spans="1:5" x14ac:dyDescent="0.2">
      <c r="A228" s="536" t="s">
        <v>534</v>
      </c>
      <c r="B228" s="536" t="s">
        <v>534</v>
      </c>
      <c r="C228" s="537">
        <v>1524.33</v>
      </c>
      <c r="D228" s="538">
        <v>266.76</v>
      </c>
      <c r="E228" s="535">
        <f>C228-D228</f>
        <v>1257.57</v>
      </c>
    </row>
    <row r="229" spans="1:5" ht="13.5" thickBot="1" x14ac:dyDescent="0.25">
      <c r="A229" s="539" t="s">
        <v>524</v>
      </c>
      <c r="B229" s="539" t="s">
        <v>556</v>
      </c>
      <c r="C229" s="540">
        <v>2191.1999999999998</v>
      </c>
      <c r="D229" s="541">
        <v>449.2</v>
      </c>
      <c r="E229" s="542">
        <f>C229-D229</f>
        <v>1741.9999999999998</v>
      </c>
    </row>
    <row r="230" spans="1:5" ht="13.5" thickBot="1" x14ac:dyDescent="0.25">
      <c r="A230" s="331"/>
      <c r="B230" s="543"/>
      <c r="C230" s="544"/>
      <c r="D230" s="544"/>
      <c r="E230" s="545"/>
    </row>
    <row r="231" spans="1:5" x14ac:dyDescent="0.2">
      <c r="A231" s="524" t="s">
        <v>563</v>
      </c>
      <c r="B231" s="525"/>
      <c r="C231" s="525"/>
      <c r="D231" s="525"/>
      <c r="E231" s="526"/>
    </row>
    <row r="232" spans="1:5" ht="13.5" thickBot="1" x14ac:dyDescent="0.25">
      <c r="A232" s="521" t="s">
        <v>553</v>
      </c>
      <c r="B232" s="521" t="s">
        <v>559</v>
      </c>
      <c r="C232" s="521" t="s">
        <v>560</v>
      </c>
      <c r="D232" s="521" t="s">
        <v>561</v>
      </c>
      <c r="E232" s="527" t="s">
        <v>562</v>
      </c>
    </row>
    <row r="233" spans="1:5" x14ac:dyDescent="0.2">
      <c r="A233" s="528" t="s">
        <v>510</v>
      </c>
      <c r="B233" s="528" t="s">
        <v>564</v>
      </c>
      <c r="C233" s="529">
        <v>775.33</v>
      </c>
      <c r="D233" s="530">
        <v>143.44</v>
      </c>
      <c r="E233" s="531">
        <f>C233-D233</f>
        <v>631.8900000000001</v>
      </c>
    </row>
    <row r="234" spans="1:5" x14ac:dyDescent="0.2">
      <c r="A234" s="532" t="s">
        <v>508</v>
      </c>
      <c r="B234" s="532" t="s">
        <v>508</v>
      </c>
      <c r="C234" s="533">
        <v>1812.62</v>
      </c>
      <c r="D234" s="534">
        <v>353.46</v>
      </c>
      <c r="E234" s="535">
        <f>C234-D234</f>
        <v>1459.1599999999999</v>
      </c>
    </row>
    <row r="235" spans="1:5" x14ac:dyDescent="0.2">
      <c r="A235" s="536" t="s">
        <v>513</v>
      </c>
      <c r="B235" s="536" t="s">
        <v>513</v>
      </c>
      <c r="C235" s="537">
        <v>1740.1</v>
      </c>
      <c r="D235" s="538">
        <v>339.32</v>
      </c>
      <c r="E235" s="535">
        <f>C235-D235</f>
        <v>1400.78</v>
      </c>
    </row>
    <row r="236" spans="1:5" ht="13.5" thickBot="1" x14ac:dyDescent="0.25">
      <c r="A236" s="539" t="s">
        <v>516</v>
      </c>
      <c r="B236" s="539" t="s">
        <v>565</v>
      </c>
      <c r="C236" s="540">
        <v>2501.4</v>
      </c>
      <c r="D236" s="541">
        <v>637.86</v>
      </c>
      <c r="E236" s="542">
        <f>C236-D236</f>
        <v>1863.54</v>
      </c>
    </row>
    <row r="237" spans="1:5" x14ac:dyDescent="0.2">
      <c r="A237" s="331"/>
      <c r="B237" s="543"/>
      <c r="C237" s="544"/>
      <c r="D237" s="544"/>
      <c r="E237" s="545"/>
    </row>
    <row r="238" spans="1:5" x14ac:dyDescent="0.2">
      <c r="A238" s="546" t="s">
        <v>566</v>
      </c>
      <c r="B238" s="547"/>
      <c r="C238" s="547"/>
      <c r="D238" s="547"/>
      <c r="E238" s="548"/>
    </row>
    <row r="239" spans="1:5" ht="13.5" thickBot="1" x14ac:dyDescent="0.25">
      <c r="A239" s="521" t="s">
        <v>553</v>
      </c>
      <c r="B239" s="521" t="s">
        <v>559</v>
      </c>
      <c r="C239" s="549" t="s">
        <v>560</v>
      </c>
      <c r="D239" s="521" t="s">
        <v>561</v>
      </c>
      <c r="E239" s="527" t="s">
        <v>562</v>
      </c>
    </row>
    <row r="240" spans="1:5" x14ac:dyDescent="0.2">
      <c r="A240" s="550" t="s">
        <v>522</v>
      </c>
      <c r="B240" s="550" t="s">
        <v>567</v>
      </c>
      <c r="C240" s="530">
        <v>849.52</v>
      </c>
      <c r="D240" s="530">
        <v>242.11</v>
      </c>
      <c r="E240" s="531">
        <f>+C240-D240</f>
        <v>607.41</v>
      </c>
    </row>
    <row r="241" spans="1:42" x14ac:dyDescent="0.2">
      <c r="A241" s="551" t="s">
        <v>514</v>
      </c>
      <c r="B241" s="551" t="s">
        <v>514</v>
      </c>
      <c r="C241" s="534">
        <v>1953.65</v>
      </c>
      <c r="D241" s="534">
        <v>537.25</v>
      </c>
      <c r="E241" s="535">
        <f>+C241-D241</f>
        <v>1416.4</v>
      </c>
    </row>
    <row r="242" spans="1:42" x14ac:dyDescent="0.2">
      <c r="A242" s="552" t="s">
        <v>515</v>
      </c>
      <c r="B242" s="552" t="s">
        <v>515</v>
      </c>
      <c r="C242" s="538">
        <v>1875.5</v>
      </c>
      <c r="D242" s="538">
        <v>515.76</v>
      </c>
      <c r="E242" s="535">
        <f>+C242-D242</f>
        <v>1359.74</v>
      </c>
    </row>
    <row r="243" spans="1:42" ht="13.5" thickBot="1" x14ac:dyDescent="0.25">
      <c r="A243" s="553" t="s">
        <v>523</v>
      </c>
      <c r="B243" s="553" t="s">
        <v>523</v>
      </c>
      <c r="C243" s="541">
        <v>2696.03</v>
      </c>
      <c r="D243" s="541">
        <v>984.05</v>
      </c>
      <c r="E243" s="542">
        <f>+C243-D243</f>
        <v>1711.9800000000002</v>
      </c>
    </row>
    <row r="244" spans="1:42" x14ac:dyDescent="0.2">
      <c r="A244" s="331"/>
      <c r="B244" s="543"/>
      <c r="C244" s="544"/>
      <c r="D244" s="544"/>
      <c r="E244" s="545"/>
    </row>
    <row r="245" spans="1:42" x14ac:dyDescent="0.2">
      <c r="A245" s="331" t="s">
        <v>526</v>
      </c>
      <c r="B245" s="543"/>
      <c r="C245" s="544">
        <v>0</v>
      </c>
      <c r="D245" s="544">
        <v>0</v>
      </c>
      <c r="E245" s="545">
        <v>0</v>
      </c>
    </row>
    <row r="246" spans="1:42" x14ac:dyDescent="0.2">
      <c r="A246" s="554" t="s">
        <v>488</v>
      </c>
      <c r="B246" s="555"/>
      <c r="C246" s="555"/>
      <c r="D246" s="555"/>
      <c r="E246" s="556"/>
    </row>
    <row r="247" spans="1:42" ht="13.5" thickBot="1" x14ac:dyDescent="0.25">
      <c r="A247" s="521" t="s">
        <v>553</v>
      </c>
      <c r="B247" s="521" t="s">
        <v>559</v>
      </c>
      <c r="C247" s="521" t="s">
        <v>560</v>
      </c>
      <c r="D247" s="521" t="s">
        <v>561</v>
      </c>
      <c r="E247" s="527" t="s">
        <v>562</v>
      </c>
    </row>
    <row r="248" spans="1:42" x14ac:dyDescent="0.2">
      <c r="A248" s="557" t="s">
        <v>512</v>
      </c>
      <c r="B248" s="557" t="s">
        <v>568</v>
      </c>
      <c r="C248" s="529">
        <v>5.43</v>
      </c>
      <c r="D248" s="530">
        <v>1.63</v>
      </c>
      <c r="E248" s="531">
        <f>C248-D248</f>
        <v>3.8</v>
      </c>
    </row>
    <row r="249" spans="1:42" x14ac:dyDescent="0.2">
      <c r="A249" s="558" t="s">
        <v>518</v>
      </c>
      <c r="B249" s="558" t="s">
        <v>569</v>
      </c>
      <c r="C249" s="533">
        <v>10.31</v>
      </c>
      <c r="D249" s="534">
        <v>4.6399999999999997</v>
      </c>
      <c r="E249" s="535">
        <f>C249-D249</f>
        <v>5.6700000000000008</v>
      </c>
    </row>
    <row r="250" spans="1:42" x14ac:dyDescent="0.2">
      <c r="A250" s="559" t="s">
        <v>521</v>
      </c>
      <c r="B250" s="559" t="s">
        <v>570</v>
      </c>
      <c r="C250" s="537">
        <v>10.85</v>
      </c>
      <c r="D250" s="538">
        <v>4.88</v>
      </c>
      <c r="E250" s="535">
        <f>C250-D250</f>
        <v>5.97</v>
      </c>
    </row>
    <row r="251" spans="1:42" ht="13.5" thickBot="1" x14ac:dyDescent="0.25">
      <c r="A251" s="560" t="s">
        <v>519</v>
      </c>
      <c r="B251" s="560" t="s">
        <v>571</v>
      </c>
      <c r="C251" s="540">
        <v>15.95</v>
      </c>
      <c r="D251" s="541">
        <v>7.96</v>
      </c>
      <c r="E251" s="542">
        <f>C251-D251</f>
        <v>7.9899999999999993</v>
      </c>
    </row>
    <row r="252" spans="1:42" x14ac:dyDescent="0.2">
      <c r="A252" s="331"/>
      <c r="B252" s="543"/>
      <c r="C252" s="544"/>
      <c r="D252" s="544"/>
      <c r="E252" s="545"/>
    </row>
    <row r="253" spans="1:42" x14ac:dyDescent="0.2">
      <c r="A253" s="331" t="s">
        <v>526</v>
      </c>
      <c r="B253" s="543"/>
      <c r="C253" s="544">
        <v>0</v>
      </c>
      <c r="D253" s="544">
        <v>0</v>
      </c>
      <c r="E253" s="545">
        <v>0</v>
      </c>
    </row>
    <row r="254" spans="1:42" x14ac:dyDescent="0.2">
      <c r="A254" s="561" t="s">
        <v>572</v>
      </c>
      <c r="B254" s="562"/>
      <c r="C254" s="562"/>
      <c r="D254" s="562"/>
      <c r="E254" s="563"/>
    </row>
    <row r="255" spans="1:42" ht="13.5" thickBot="1" x14ac:dyDescent="0.25">
      <c r="A255" s="521" t="s">
        <v>553</v>
      </c>
      <c r="B255" s="521" t="s">
        <v>559</v>
      </c>
      <c r="C255" s="521" t="s">
        <v>560</v>
      </c>
      <c r="D255" s="521" t="s">
        <v>561</v>
      </c>
      <c r="E255" s="527" t="s">
        <v>562</v>
      </c>
      <c r="W255" s="279"/>
      <c r="Z255" s="279"/>
      <c r="AC255" s="279"/>
      <c r="AM255" s="279"/>
      <c r="AN255" s="279"/>
      <c r="AO255" s="279"/>
      <c r="AP255" s="279"/>
    </row>
    <row r="256" spans="1:42" ht="13.5" thickBot="1" x14ac:dyDescent="0.25">
      <c r="A256" s="564" t="s">
        <v>511</v>
      </c>
      <c r="B256" s="564" t="s">
        <v>573</v>
      </c>
      <c r="C256" s="529">
        <v>26.29</v>
      </c>
      <c r="D256" s="530">
        <v>6.92</v>
      </c>
      <c r="E256" s="531">
        <f>C256-D256</f>
        <v>19.369999999999997</v>
      </c>
      <c r="W256" s="279"/>
      <c r="Z256" s="279"/>
      <c r="AC256" s="279"/>
      <c r="AM256" s="279"/>
      <c r="AN256" s="279"/>
      <c r="AO256" s="279"/>
      <c r="AP256" s="279"/>
    </row>
    <row r="257" spans="1:42" x14ac:dyDescent="0.2">
      <c r="A257" s="565" t="s">
        <v>509</v>
      </c>
      <c r="B257" s="565" t="s">
        <v>574</v>
      </c>
      <c r="C257" s="566">
        <v>59.96</v>
      </c>
      <c r="D257" s="567">
        <v>23.98</v>
      </c>
      <c r="E257" s="531">
        <f>C257-D257</f>
        <v>35.980000000000004</v>
      </c>
      <c r="W257" s="279"/>
      <c r="Z257" s="279"/>
      <c r="AC257" s="279"/>
      <c r="AM257" s="279"/>
      <c r="AN257" s="279"/>
      <c r="AO257" s="279"/>
      <c r="AP257" s="279"/>
    </row>
    <row r="258" spans="1:42" x14ac:dyDescent="0.2">
      <c r="A258" s="568" t="s">
        <v>520</v>
      </c>
      <c r="B258" s="568" t="s">
        <v>575</v>
      </c>
      <c r="C258" s="533">
        <v>66.56</v>
      </c>
      <c r="D258" s="534">
        <v>28.02</v>
      </c>
      <c r="E258" s="535">
        <f>C258-D258</f>
        <v>38.540000000000006</v>
      </c>
      <c r="W258" s="279"/>
      <c r="Z258" s="279"/>
      <c r="AC258" s="279"/>
      <c r="AM258" s="279"/>
      <c r="AN258" s="279"/>
      <c r="AO258" s="279"/>
      <c r="AP258" s="279"/>
    </row>
    <row r="259" spans="1:42" ht="13.5" thickBot="1" x14ac:dyDescent="0.25">
      <c r="A259" s="569" t="s">
        <v>517</v>
      </c>
      <c r="B259" s="569" t="s">
        <v>576</v>
      </c>
      <c r="C259" s="540">
        <v>111.69</v>
      </c>
      <c r="D259" s="570">
        <v>52.91</v>
      </c>
      <c r="E259" s="542">
        <f>C259-D259</f>
        <v>58.78</v>
      </c>
      <c r="W259" s="279"/>
      <c r="Z259" s="279"/>
      <c r="AC259" s="279"/>
      <c r="AM259" s="279"/>
      <c r="AN259" s="279"/>
      <c r="AO259" s="279"/>
      <c r="AP259" s="279"/>
    </row>
    <row r="260" spans="1:42" x14ac:dyDescent="0.2">
      <c r="W260" s="279"/>
      <c r="Z260" s="279"/>
      <c r="AC260" s="279"/>
      <c r="AM260" s="279"/>
      <c r="AN260" s="279"/>
      <c r="AO260" s="279"/>
      <c r="AP260" s="279"/>
    </row>
    <row r="261" spans="1:42" x14ac:dyDescent="0.2">
      <c r="A261" s="561" t="s">
        <v>577</v>
      </c>
      <c r="B261" s="562"/>
      <c r="C261" s="562"/>
      <c r="D261" s="562"/>
      <c r="E261" s="563"/>
      <c r="W261" s="279"/>
      <c r="Z261" s="279"/>
      <c r="AC261" s="279"/>
      <c r="AM261" s="279"/>
      <c r="AN261" s="279"/>
      <c r="AO261" s="279"/>
      <c r="AP261" s="279"/>
    </row>
    <row r="262" spans="1:42" ht="13.5" thickBot="1" x14ac:dyDescent="0.25">
      <c r="A262" s="521" t="s">
        <v>553</v>
      </c>
      <c r="B262" s="521" t="s">
        <v>559</v>
      </c>
      <c r="C262" s="521" t="s">
        <v>560</v>
      </c>
      <c r="D262" s="521" t="s">
        <v>561</v>
      </c>
      <c r="E262" s="527" t="s">
        <v>562</v>
      </c>
      <c r="W262" s="279"/>
      <c r="Z262" s="279"/>
      <c r="AC262" s="279"/>
      <c r="AM262" s="279"/>
      <c r="AN262" s="279"/>
      <c r="AO262" s="279"/>
      <c r="AP262" s="279"/>
    </row>
    <row r="263" spans="1:42" ht="13.5" thickBot="1" x14ac:dyDescent="0.25">
      <c r="A263" s="564" t="s">
        <v>525</v>
      </c>
      <c r="B263" s="564" t="s">
        <v>573</v>
      </c>
      <c r="C263" s="529">
        <v>32.47</v>
      </c>
      <c r="D263" s="530">
        <v>10.25</v>
      </c>
      <c r="E263" s="531">
        <f>C263-D263</f>
        <v>22.22</v>
      </c>
      <c r="W263" s="279"/>
      <c r="Z263" s="279"/>
      <c r="AC263" s="279"/>
      <c r="AM263" s="279"/>
      <c r="AN263" s="279"/>
      <c r="AO263" s="279"/>
      <c r="AP263" s="279"/>
    </row>
    <row r="264" spans="1:42" x14ac:dyDescent="0.2">
      <c r="A264" s="565" t="s">
        <v>540</v>
      </c>
      <c r="B264" s="565" t="s">
        <v>574</v>
      </c>
      <c r="C264" s="566">
        <v>70.38</v>
      </c>
      <c r="D264" s="567">
        <v>33.340000000000003</v>
      </c>
      <c r="E264" s="531">
        <f>C264-D264</f>
        <v>37.039999999999992</v>
      </c>
      <c r="W264" s="279"/>
      <c r="Z264" s="279"/>
      <c r="AC264" s="279"/>
      <c r="AM264" s="279"/>
      <c r="AN264" s="279"/>
      <c r="AO264" s="279"/>
      <c r="AP264" s="279"/>
    </row>
    <row r="265" spans="1:42" x14ac:dyDescent="0.2">
      <c r="A265" s="568" t="s">
        <v>555</v>
      </c>
      <c r="B265" s="568" t="s">
        <v>575</v>
      </c>
      <c r="C265" s="533">
        <v>82.18</v>
      </c>
      <c r="D265" s="534">
        <v>38.93</v>
      </c>
      <c r="E265" s="535">
        <f>C265-D265</f>
        <v>43.250000000000007</v>
      </c>
      <c r="W265" s="279"/>
      <c r="Z265" s="279"/>
      <c r="AC265" s="279"/>
      <c r="AM265" s="279"/>
      <c r="AN265" s="279"/>
      <c r="AO265" s="279"/>
      <c r="AP265" s="279"/>
    </row>
    <row r="266" spans="1:42" ht="13.5" thickBot="1" x14ac:dyDescent="0.25">
      <c r="A266" s="569" t="s">
        <v>557</v>
      </c>
      <c r="B266" s="569" t="s">
        <v>576</v>
      </c>
      <c r="C266" s="540">
        <v>137.99</v>
      </c>
      <c r="D266" s="570">
        <v>72.36</v>
      </c>
      <c r="E266" s="542">
        <f>C266-D266</f>
        <v>65.63000000000001</v>
      </c>
      <c r="W266" s="279"/>
      <c r="Z266" s="279"/>
      <c r="AC266" s="279"/>
      <c r="AM266" s="279"/>
      <c r="AN266" s="279"/>
      <c r="AO266" s="279"/>
      <c r="AP266" s="279"/>
    </row>
    <row r="267" spans="1:42" ht="13.5" thickBot="1" x14ac:dyDescent="0.25">
      <c r="A267" s="331"/>
      <c r="B267" s="331"/>
      <c r="C267" s="544"/>
      <c r="E267" s="571"/>
      <c r="W267" s="279"/>
      <c r="Z267" s="279"/>
      <c r="AC267" s="279"/>
      <c r="AM267" s="279"/>
      <c r="AN267" s="279"/>
      <c r="AO267" s="279"/>
      <c r="AP267" s="279"/>
    </row>
    <row r="268" spans="1:42" ht="13.5" thickBot="1" x14ac:dyDescent="0.25">
      <c r="B268" s="1279" t="s">
        <v>492</v>
      </c>
      <c r="C268" s="1280"/>
      <c r="D268" s="1280"/>
      <c r="E268" s="1281" t="s">
        <v>493</v>
      </c>
      <c r="F268" s="1282"/>
      <c r="G268" s="1282"/>
      <c r="H268" s="1282"/>
      <c r="I268" s="1282"/>
      <c r="J268" s="1282"/>
      <c r="K268" s="1283"/>
      <c r="L268" s="572"/>
      <c r="M268" s="573"/>
      <c r="N268" s="1132"/>
      <c r="O268" s="1226"/>
      <c r="P268" s="1226"/>
      <c r="S268" s="573"/>
      <c r="T268" s="574"/>
      <c r="U268" s="574"/>
      <c r="V268" s="574"/>
      <c r="W268" s="575"/>
      <c r="X268" s="576"/>
      <c r="Y268" s="576"/>
      <c r="Z268" s="279"/>
      <c r="AC268" s="279"/>
      <c r="AM268" s="279"/>
      <c r="AN268" s="279"/>
      <c r="AO268" s="279"/>
      <c r="AP268" s="279"/>
    </row>
    <row r="269" spans="1:42" ht="13.5" thickBot="1" x14ac:dyDescent="0.25">
      <c r="A269" s="325" t="s">
        <v>578</v>
      </c>
      <c r="B269" s="1204"/>
      <c r="C269" s="1205" t="s">
        <v>579</v>
      </c>
      <c r="D269" s="1206" t="s">
        <v>580</v>
      </c>
      <c r="E269" s="577" t="s">
        <v>581</v>
      </c>
      <c r="F269" s="578" t="s">
        <v>582</v>
      </c>
      <c r="G269" s="579" t="s">
        <v>579</v>
      </c>
      <c r="H269" s="579"/>
      <c r="I269" s="579"/>
      <c r="J269" s="730"/>
      <c r="K269" s="580" t="s">
        <v>580</v>
      </c>
      <c r="L269" s="581"/>
      <c r="M269" s="579"/>
      <c r="N269" s="1133" t="s">
        <v>579</v>
      </c>
      <c r="O269" s="1227"/>
      <c r="P269" s="1227"/>
      <c r="S269" s="582"/>
      <c r="T269" s="583"/>
      <c r="U269" s="583"/>
      <c r="V269" s="583"/>
      <c r="W269" s="584" t="s">
        <v>580</v>
      </c>
      <c r="Z269" s="279"/>
      <c r="AC269" s="279"/>
      <c r="AM269" s="279"/>
      <c r="AN269" s="279"/>
      <c r="AO269" s="279"/>
      <c r="AP269" s="279"/>
    </row>
    <row r="270" spans="1:42" x14ac:dyDescent="0.2">
      <c r="A270" s="325">
        <v>20000</v>
      </c>
      <c r="B270" s="585">
        <v>2.0000000000000002E-5</v>
      </c>
      <c r="C270" s="567">
        <f t="shared" ref="C270:C310" si="249">A270*B270</f>
        <v>0.4</v>
      </c>
      <c r="D270" s="567">
        <f>C270*12</f>
        <v>4.8000000000000007</v>
      </c>
      <c r="E270" s="586"/>
      <c r="F270" s="587">
        <f t="shared" ref="F270:F310" si="250">E270/A270</f>
        <v>0</v>
      </c>
      <c r="G270" s="588"/>
      <c r="H270" s="588"/>
      <c r="I270" s="588"/>
      <c r="J270" s="731">
        <f t="shared" ref="J270:J310" si="251">G270/A270</f>
        <v>0</v>
      </c>
      <c r="K270" s="589">
        <f t="shared" ref="K270:K310" si="252">G270*12</f>
        <v>0</v>
      </c>
      <c r="L270" s="590"/>
      <c r="M270" s="434"/>
      <c r="N270" s="1134"/>
      <c r="O270" s="1228"/>
      <c r="P270" s="1228"/>
      <c r="S270" s="434"/>
      <c r="T270" s="434"/>
      <c r="U270" s="434"/>
      <c r="V270" s="434"/>
      <c r="W270" s="591"/>
      <c r="X270" s="576"/>
      <c r="Y270" s="576"/>
      <c r="Z270" s="279"/>
      <c r="AC270" s="279"/>
      <c r="AM270" s="279"/>
      <c r="AN270" s="279"/>
      <c r="AO270" s="279"/>
      <c r="AP270" s="279"/>
    </row>
    <row r="271" spans="1:42" x14ac:dyDescent="0.2">
      <c r="A271" s="325">
        <v>21000</v>
      </c>
      <c r="B271" s="592">
        <v>2.0000000000000002E-5</v>
      </c>
      <c r="C271" s="534">
        <f t="shared" si="249"/>
        <v>0.42000000000000004</v>
      </c>
      <c r="D271" s="534">
        <f t="shared" ref="D271:D310" si="253">C271*12</f>
        <v>5.0400000000000009</v>
      </c>
      <c r="E271" s="593"/>
      <c r="F271" s="594">
        <f t="shared" si="250"/>
        <v>0</v>
      </c>
      <c r="G271" s="595"/>
      <c r="H271" s="595"/>
      <c r="I271" s="595"/>
      <c r="J271" s="732">
        <f t="shared" si="251"/>
        <v>0</v>
      </c>
      <c r="K271" s="596">
        <f t="shared" si="252"/>
        <v>0</v>
      </c>
      <c r="L271" s="597"/>
      <c r="M271" s="441"/>
      <c r="N271" s="1135"/>
      <c r="O271" s="1228"/>
      <c r="P271" s="1228"/>
      <c r="S271" s="598"/>
      <c r="T271" s="598"/>
      <c r="U271" s="598"/>
      <c r="V271" s="598"/>
      <c r="W271" s="599"/>
      <c r="X271" s="576"/>
      <c r="Y271" s="576"/>
      <c r="Z271" s="279"/>
      <c r="AC271" s="279"/>
      <c r="AM271" s="279"/>
      <c r="AN271" s="279"/>
      <c r="AO271" s="279"/>
      <c r="AP271" s="279"/>
    </row>
    <row r="272" spans="1:42" x14ac:dyDescent="0.2">
      <c r="A272" s="325">
        <v>22000</v>
      </c>
      <c r="B272" s="592">
        <v>2.0000000000000002E-5</v>
      </c>
      <c r="C272" s="534">
        <f t="shared" si="249"/>
        <v>0.44000000000000006</v>
      </c>
      <c r="D272" s="534">
        <f t="shared" si="253"/>
        <v>5.2800000000000011</v>
      </c>
      <c r="E272" s="593"/>
      <c r="F272" s="594">
        <f t="shared" si="250"/>
        <v>0</v>
      </c>
      <c r="G272" s="595"/>
      <c r="H272" s="595"/>
      <c r="I272" s="595"/>
      <c r="J272" s="732">
        <f t="shared" si="251"/>
        <v>0</v>
      </c>
      <c r="K272" s="596">
        <f t="shared" si="252"/>
        <v>0</v>
      </c>
      <c r="L272" s="600"/>
      <c r="M272" s="601"/>
      <c r="N272" s="1136"/>
      <c r="O272" s="1229"/>
      <c r="P272" s="1229"/>
      <c r="S272" s="598"/>
      <c r="T272" s="598"/>
      <c r="U272" s="598"/>
      <c r="V272" s="598"/>
      <c r="W272" s="599"/>
      <c r="X272" s="576"/>
      <c r="Y272" s="576"/>
      <c r="Z272" s="279"/>
      <c r="AC272" s="279"/>
      <c r="AM272" s="279"/>
      <c r="AN272" s="279"/>
      <c r="AO272" s="279"/>
      <c r="AP272" s="279"/>
    </row>
    <row r="273" spans="1:42" x14ac:dyDescent="0.2">
      <c r="A273" s="325">
        <v>23000</v>
      </c>
      <c r="B273" s="592">
        <v>2.0000000000000002E-5</v>
      </c>
      <c r="C273" s="534">
        <f t="shared" si="249"/>
        <v>0.46</v>
      </c>
      <c r="D273" s="534">
        <f t="shared" si="253"/>
        <v>5.5200000000000005</v>
      </c>
      <c r="E273" s="593"/>
      <c r="F273" s="594">
        <f t="shared" si="250"/>
        <v>0</v>
      </c>
      <c r="G273" s="595"/>
      <c r="H273" s="595"/>
      <c r="I273" s="595"/>
      <c r="J273" s="732">
        <f t="shared" si="251"/>
        <v>0</v>
      </c>
      <c r="K273" s="596">
        <f t="shared" si="252"/>
        <v>0</v>
      </c>
      <c r="L273" s="600"/>
      <c r="M273" s="596"/>
      <c r="N273" s="1137">
        <v>7.13</v>
      </c>
      <c r="O273" s="1230"/>
      <c r="P273" s="1230"/>
      <c r="S273" s="602">
        <f t="shared" ref="S273:S310" si="254">N273/A273</f>
        <v>3.1E-4</v>
      </c>
      <c r="T273" s="602"/>
      <c r="U273" s="602"/>
      <c r="V273" s="602"/>
      <c r="W273" s="603">
        <f t="shared" ref="W273:W310" si="255">N273*12</f>
        <v>85.56</v>
      </c>
      <c r="X273" s="576"/>
      <c r="Y273" s="576"/>
      <c r="Z273" s="279"/>
      <c r="AC273" s="279"/>
      <c r="AM273" s="279"/>
      <c r="AN273" s="279"/>
      <c r="AO273" s="279"/>
      <c r="AP273" s="279"/>
    </row>
    <row r="274" spans="1:42" x14ac:dyDescent="0.2">
      <c r="A274" s="325">
        <v>24000</v>
      </c>
      <c r="B274" s="592">
        <v>2.0000000000000002E-5</v>
      </c>
      <c r="C274" s="534">
        <f t="shared" si="249"/>
        <v>0.48000000000000004</v>
      </c>
      <c r="D274" s="534">
        <f t="shared" si="253"/>
        <v>5.7600000000000007</v>
      </c>
      <c r="E274" s="593"/>
      <c r="F274" s="594">
        <f t="shared" si="250"/>
        <v>0</v>
      </c>
      <c r="G274" s="595"/>
      <c r="H274" s="595"/>
      <c r="I274" s="595"/>
      <c r="J274" s="732">
        <f t="shared" si="251"/>
        <v>0</v>
      </c>
      <c r="K274" s="596">
        <f t="shared" si="252"/>
        <v>0</v>
      </c>
      <c r="L274" s="600"/>
      <c r="M274" s="601"/>
      <c r="N274" s="1136"/>
      <c r="O274" s="1229"/>
      <c r="P274" s="1229"/>
      <c r="S274" s="602">
        <f t="shared" si="254"/>
        <v>0</v>
      </c>
      <c r="T274" s="602"/>
      <c r="U274" s="602"/>
      <c r="V274" s="602"/>
      <c r="W274" s="603">
        <f t="shared" si="255"/>
        <v>0</v>
      </c>
      <c r="X274" s="576"/>
      <c r="Y274" s="576"/>
      <c r="Z274" s="279"/>
      <c r="AC274" s="279"/>
      <c r="AM274" s="279"/>
      <c r="AN274" s="279"/>
      <c r="AO274" s="279"/>
      <c r="AP274" s="279"/>
    </row>
    <row r="275" spans="1:42" x14ac:dyDescent="0.2">
      <c r="A275" s="325">
        <v>25000</v>
      </c>
      <c r="B275" s="592">
        <v>2.0000000000000002E-5</v>
      </c>
      <c r="C275" s="534">
        <f t="shared" si="249"/>
        <v>0.5</v>
      </c>
      <c r="D275" s="534">
        <f t="shared" si="253"/>
        <v>6</v>
      </c>
      <c r="E275" s="593"/>
      <c r="F275" s="594">
        <f t="shared" si="250"/>
        <v>0</v>
      </c>
      <c r="G275" s="595"/>
      <c r="H275" s="595"/>
      <c r="I275" s="595"/>
      <c r="J275" s="732">
        <f t="shared" si="251"/>
        <v>0</v>
      </c>
      <c r="K275" s="596">
        <f t="shared" si="252"/>
        <v>0</v>
      </c>
      <c r="L275" s="600"/>
      <c r="M275" s="601"/>
      <c r="N275" s="1136"/>
      <c r="O275" s="1229"/>
      <c r="P275" s="1229"/>
      <c r="S275" s="602">
        <f t="shared" si="254"/>
        <v>0</v>
      </c>
      <c r="T275" s="602"/>
      <c r="U275" s="602"/>
      <c r="V275" s="602"/>
      <c r="W275" s="603">
        <f t="shared" si="255"/>
        <v>0</v>
      </c>
      <c r="X275" s="576"/>
      <c r="Y275" s="576"/>
      <c r="Z275" s="279"/>
      <c r="AC275" s="279"/>
      <c r="AM275" s="279"/>
      <c r="AN275" s="279"/>
      <c r="AO275" s="279"/>
      <c r="AP275" s="279"/>
    </row>
    <row r="276" spans="1:42" x14ac:dyDescent="0.2">
      <c r="A276" s="325">
        <v>26000</v>
      </c>
      <c r="B276" s="592">
        <v>2.0000000000000002E-5</v>
      </c>
      <c r="C276" s="534">
        <f t="shared" si="249"/>
        <v>0.52</v>
      </c>
      <c r="D276" s="534">
        <f t="shared" si="253"/>
        <v>6.24</v>
      </c>
      <c r="E276" s="593"/>
      <c r="F276" s="594">
        <f t="shared" si="250"/>
        <v>0</v>
      </c>
      <c r="G276" s="595"/>
      <c r="H276" s="595"/>
      <c r="I276" s="595"/>
      <c r="J276" s="732">
        <f t="shared" si="251"/>
        <v>0</v>
      </c>
      <c r="K276" s="596">
        <f t="shared" si="252"/>
        <v>0</v>
      </c>
      <c r="L276" s="600"/>
      <c r="M276" s="601"/>
      <c r="N276" s="1136"/>
      <c r="O276" s="1229"/>
      <c r="P276" s="1229"/>
      <c r="S276" s="602">
        <f t="shared" si="254"/>
        <v>0</v>
      </c>
      <c r="T276" s="602"/>
      <c r="U276" s="602"/>
      <c r="V276" s="602"/>
      <c r="W276" s="603">
        <f t="shared" si="255"/>
        <v>0</v>
      </c>
      <c r="X276" s="576"/>
      <c r="Y276" s="576"/>
      <c r="Z276" s="279"/>
      <c r="AC276" s="279"/>
      <c r="AM276" s="279"/>
      <c r="AN276" s="279"/>
      <c r="AO276" s="279"/>
      <c r="AP276" s="279"/>
    </row>
    <row r="277" spans="1:42" x14ac:dyDescent="0.2">
      <c r="A277" s="325">
        <v>27000</v>
      </c>
      <c r="B277" s="592">
        <v>2.0000000000000002E-5</v>
      </c>
      <c r="C277" s="534">
        <f t="shared" si="249"/>
        <v>0.54</v>
      </c>
      <c r="D277" s="534">
        <f t="shared" si="253"/>
        <v>6.48</v>
      </c>
      <c r="E277" s="593"/>
      <c r="F277" s="594">
        <f t="shared" si="250"/>
        <v>0</v>
      </c>
      <c r="G277" s="595"/>
      <c r="H277" s="595"/>
      <c r="I277" s="595"/>
      <c r="J277" s="732">
        <f t="shared" si="251"/>
        <v>0</v>
      </c>
      <c r="K277" s="596">
        <f t="shared" si="252"/>
        <v>0</v>
      </c>
      <c r="L277" s="600"/>
      <c r="M277" s="601"/>
      <c r="N277" s="1136"/>
      <c r="O277" s="1229"/>
      <c r="P277" s="1229"/>
      <c r="S277" s="602">
        <f t="shared" si="254"/>
        <v>0</v>
      </c>
      <c r="T277" s="602"/>
      <c r="U277" s="602"/>
      <c r="V277" s="602"/>
      <c r="W277" s="603">
        <f t="shared" si="255"/>
        <v>0</v>
      </c>
      <c r="X277" s="576"/>
      <c r="Y277" s="576"/>
      <c r="Z277" s="279"/>
      <c r="AC277" s="279"/>
      <c r="AM277" s="279"/>
      <c r="AN277" s="279"/>
      <c r="AO277" s="279"/>
      <c r="AP277" s="279"/>
    </row>
    <row r="278" spans="1:42" x14ac:dyDescent="0.2">
      <c r="A278" s="325">
        <v>28000</v>
      </c>
      <c r="B278" s="592">
        <v>2.0000000000000002E-5</v>
      </c>
      <c r="C278" s="534">
        <f t="shared" si="249"/>
        <v>0.56000000000000005</v>
      </c>
      <c r="D278" s="534">
        <f t="shared" si="253"/>
        <v>6.7200000000000006</v>
      </c>
      <c r="E278" s="593"/>
      <c r="F278" s="594">
        <f t="shared" si="250"/>
        <v>0</v>
      </c>
      <c r="G278" s="595"/>
      <c r="H278" s="595"/>
      <c r="I278" s="595"/>
      <c r="J278" s="732">
        <f t="shared" si="251"/>
        <v>0</v>
      </c>
      <c r="K278" s="596">
        <f t="shared" si="252"/>
        <v>0</v>
      </c>
      <c r="L278" s="600"/>
      <c r="M278" s="601"/>
      <c r="N278" s="1136"/>
      <c r="O278" s="1229"/>
      <c r="P278" s="1229"/>
      <c r="S278" s="602">
        <f t="shared" si="254"/>
        <v>0</v>
      </c>
      <c r="T278" s="602"/>
      <c r="U278" s="602"/>
      <c r="V278" s="602"/>
      <c r="W278" s="603">
        <f t="shared" si="255"/>
        <v>0</v>
      </c>
      <c r="X278" s="576"/>
      <c r="Y278" s="576"/>
      <c r="Z278" s="279"/>
      <c r="AC278" s="279"/>
      <c r="AM278" s="279"/>
      <c r="AN278" s="279"/>
      <c r="AO278" s="279"/>
      <c r="AP278" s="279"/>
    </row>
    <row r="279" spans="1:42" x14ac:dyDescent="0.2">
      <c r="A279" s="325">
        <v>29000</v>
      </c>
      <c r="B279" s="592">
        <v>2.0000000000000002E-5</v>
      </c>
      <c r="C279" s="534">
        <f t="shared" si="249"/>
        <v>0.58000000000000007</v>
      </c>
      <c r="D279" s="534">
        <f t="shared" si="253"/>
        <v>6.9600000000000009</v>
      </c>
      <c r="E279" s="593"/>
      <c r="F279" s="594">
        <f t="shared" si="250"/>
        <v>0</v>
      </c>
      <c r="G279" s="595"/>
      <c r="H279" s="595"/>
      <c r="I279" s="595"/>
      <c r="J279" s="732">
        <f t="shared" si="251"/>
        <v>0</v>
      </c>
      <c r="K279" s="596">
        <f t="shared" si="252"/>
        <v>0</v>
      </c>
      <c r="L279" s="600"/>
      <c r="M279" s="601"/>
      <c r="N279" s="1136"/>
      <c r="O279" s="1229"/>
      <c r="P279" s="1229"/>
      <c r="S279" s="602">
        <f t="shared" si="254"/>
        <v>0</v>
      </c>
      <c r="T279" s="602"/>
      <c r="U279" s="602"/>
      <c r="V279" s="602"/>
      <c r="W279" s="603">
        <f t="shared" si="255"/>
        <v>0</v>
      </c>
      <c r="X279" s="576"/>
      <c r="Y279" s="576"/>
      <c r="Z279" s="279"/>
      <c r="AC279" s="279"/>
      <c r="AM279" s="279"/>
      <c r="AN279" s="279"/>
      <c r="AO279" s="279"/>
      <c r="AP279" s="279"/>
    </row>
    <row r="280" spans="1:42" x14ac:dyDescent="0.2">
      <c r="A280" s="325">
        <v>30000</v>
      </c>
      <c r="B280" s="592">
        <v>2.0000000000000002E-5</v>
      </c>
      <c r="C280" s="534">
        <f t="shared" si="249"/>
        <v>0.60000000000000009</v>
      </c>
      <c r="D280" s="534">
        <f t="shared" si="253"/>
        <v>7.2000000000000011</v>
      </c>
      <c r="E280" s="593"/>
      <c r="F280" s="594">
        <f t="shared" si="250"/>
        <v>0</v>
      </c>
      <c r="G280" s="595"/>
      <c r="H280" s="595"/>
      <c r="I280" s="595"/>
      <c r="J280" s="732">
        <f t="shared" si="251"/>
        <v>0</v>
      </c>
      <c r="K280" s="596">
        <f t="shared" si="252"/>
        <v>0</v>
      </c>
      <c r="L280" s="600"/>
      <c r="M280" s="601"/>
      <c r="N280" s="1136"/>
      <c r="O280" s="1229"/>
      <c r="P280" s="1229"/>
      <c r="S280" s="602">
        <f t="shared" si="254"/>
        <v>0</v>
      </c>
      <c r="T280" s="602"/>
      <c r="U280" s="602"/>
      <c r="V280" s="602"/>
      <c r="W280" s="603">
        <f t="shared" si="255"/>
        <v>0</v>
      </c>
      <c r="X280" s="576"/>
      <c r="Y280" s="576"/>
      <c r="Z280" s="279"/>
      <c r="AC280" s="279"/>
      <c r="AM280" s="279"/>
      <c r="AN280" s="279"/>
      <c r="AO280" s="279"/>
      <c r="AP280" s="279"/>
    </row>
    <row r="281" spans="1:42" x14ac:dyDescent="0.2">
      <c r="A281" s="325">
        <v>31000</v>
      </c>
      <c r="B281" s="592">
        <v>2.0000000000000002E-5</v>
      </c>
      <c r="C281" s="534">
        <f t="shared" si="249"/>
        <v>0.62</v>
      </c>
      <c r="D281" s="534">
        <f t="shared" si="253"/>
        <v>7.4399999999999995</v>
      </c>
      <c r="E281" s="593"/>
      <c r="F281" s="594">
        <f t="shared" si="250"/>
        <v>0</v>
      </c>
      <c r="G281" s="595"/>
      <c r="H281" s="595"/>
      <c r="I281" s="595"/>
      <c r="J281" s="732">
        <f t="shared" si="251"/>
        <v>0</v>
      </c>
      <c r="K281" s="596">
        <f t="shared" si="252"/>
        <v>0</v>
      </c>
      <c r="L281" s="600"/>
      <c r="M281" s="601"/>
      <c r="N281" s="1136"/>
      <c r="O281" s="1229"/>
      <c r="P281" s="1229"/>
      <c r="S281" s="602">
        <f t="shared" si="254"/>
        <v>0</v>
      </c>
      <c r="T281" s="602"/>
      <c r="U281" s="602"/>
      <c r="V281" s="602"/>
      <c r="W281" s="603">
        <f t="shared" si="255"/>
        <v>0</v>
      </c>
      <c r="X281" s="576"/>
      <c r="Y281" s="576"/>
      <c r="Z281" s="279"/>
      <c r="AC281" s="279"/>
      <c r="AM281" s="279"/>
      <c r="AN281" s="279"/>
      <c r="AO281" s="279"/>
      <c r="AP281" s="279"/>
    </row>
    <row r="282" spans="1:42" x14ac:dyDescent="0.2">
      <c r="A282" s="325">
        <v>32000</v>
      </c>
      <c r="B282" s="592">
        <v>2.0000000000000002E-5</v>
      </c>
      <c r="C282" s="534">
        <f t="shared" si="249"/>
        <v>0.64</v>
      </c>
      <c r="D282" s="534">
        <f t="shared" si="253"/>
        <v>7.68</v>
      </c>
      <c r="E282" s="593"/>
      <c r="F282" s="594">
        <f t="shared" si="250"/>
        <v>0</v>
      </c>
      <c r="G282" s="595"/>
      <c r="H282" s="595"/>
      <c r="I282" s="595"/>
      <c r="J282" s="732">
        <f t="shared" si="251"/>
        <v>0</v>
      </c>
      <c r="K282" s="596">
        <f t="shared" si="252"/>
        <v>0</v>
      </c>
      <c r="L282" s="600"/>
      <c r="M282" s="601"/>
      <c r="N282" s="1136"/>
      <c r="O282" s="1229"/>
      <c r="P282" s="1229"/>
      <c r="S282" s="602">
        <f t="shared" si="254"/>
        <v>0</v>
      </c>
      <c r="T282" s="602"/>
      <c r="U282" s="602"/>
      <c r="V282" s="602"/>
      <c r="W282" s="603">
        <f t="shared" si="255"/>
        <v>0</v>
      </c>
      <c r="X282" s="576"/>
      <c r="Y282" s="576"/>
      <c r="Z282" s="279"/>
      <c r="AC282" s="279"/>
      <c r="AM282" s="279"/>
      <c r="AN282" s="279"/>
      <c r="AO282" s="279"/>
      <c r="AP282" s="279"/>
    </row>
    <row r="283" spans="1:42" x14ac:dyDescent="0.2">
      <c r="A283" s="325">
        <v>33000</v>
      </c>
      <c r="B283" s="592">
        <v>2.0000000000000002E-5</v>
      </c>
      <c r="C283" s="534">
        <f t="shared" si="249"/>
        <v>0.66</v>
      </c>
      <c r="D283" s="534">
        <f t="shared" si="253"/>
        <v>7.92</v>
      </c>
      <c r="E283" s="593"/>
      <c r="F283" s="594">
        <f t="shared" si="250"/>
        <v>0</v>
      </c>
      <c r="G283" s="595"/>
      <c r="H283" s="595"/>
      <c r="I283" s="595"/>
      <c r="J283" s="732">
        <f t="shared" si="251"/>
        <v>0</v>
      </c>
      <c r="K283" s="596">
        <f t="shared" si="252"/>
        <v>0</v>
      </c>
      <c r="L283" s="600"/>
      <c r="M283" s="601"/>
      <c r="N283" s="1136"/>
      <c r="O283" s="1229"/>
      <c r="P283" s="1229"/>
      <c r="S283" s="602">
        <f t="shared" si="254"/>
        <v>0</v>
      </c>
      <c r="T283" s="602"/>
      <c r="U283" s="602"/>
      <c r="V283" s="602"/>
      <c r="W283" s="603">
        <f t="shared" si="255"/>
        <v>0</v>
      </c>
      <c r="X283" s="576"/>
      <c r="Y283" s="576"/>
      <c r="Z283" s="279"/>
      <c r="AC283" s="279"/>
      <c r="AM283" s="279"/>
      <c r="AN283" s="279"/>
      <c r="AO283" s="279"/>
      <c r="AP283" s="279"/>
    </row>
    <row r="284" spans="1:42" x14ac:dyDescent="0.2">
      <c r="A284" s="325">
        <v>34000</v>
      </c>
      <c r="B284" s="592">
        <v>2.0000000000000002E-5</v>
      </c>
      <c r="C284" s="534">
        <f t="shared" si="249"/>
        <v>0.68</v>
      </c>
      <c r="D284" s="534">
        <f t="shared" si="253"/>
        <v>8.16</v>
      </c>
      <c r="E284" s="593">
        <v>2833.33</v>
      </c>
      <c r="F284" s="594">
        <f t="shared" si="250"/>
        <v>8.3333235294117639E-2</v>
      </c>
      <c r="G284" s="595">
        <v>7.65</v>
      </c>
      <c r="H284" s="595"/>
      <c r="I284" s="595"/>
      <c r="J284" s="732">
        <f t="shared" si="251"/>
        <v>2.2500000000000002E-4</v>
      </c>
      <c r="K284" s="596">
        <f t="shared" si="252"/>
        <v>91.800000000000011</v>
      </c>
      <c r="L284" s="600"/>
      <c r="M284" s="596"/>
      <c r="N284" s="1137">
        <v>10.59</v>
      </c>
      <c r="O284" s="1230"/>
      <c r="P284" s="1230"/>
      <c r="S284" s="602">
        <f t="shared" si="254"/>
        <v>3.1147058823529413E-4</v>
      </c>
      <c r="T284" s="602"/>
      <c r="U284" s="602"/>
      <c r="V284" s="602"/>
      <c r="W284" s="603">
        <f t="shared" si="255"/>
        <v>127.08</v>
      </c>
      <c r="X284" s="576"/>
      <c r="Y284" s="576"/>
      <c r="Z284" s="279"/>
      <c r="AC284" s="279"/>
      <c r="AM284" s="279"/>
      <c r="AN284" s="279"/>
      <c r="AO284" s="279"/>
      <c r="AP284" s="279"/>
    </row>
    <row r="285" spans="1:42" x14ac:dyDescent="0.2">
      <c r="A285" s="325">
        <v>35000</v>
      </c>
      <c r="B285" s="592">
        <v>2.0000000000000002E-5</v>
      </c>
      <c r="C285" s="534">
        <f t="shared" si="249"/>
        <v>0.70000000000000007</v>
      </c>
      <c r="D285" s="534">
        <f t="shared" si="253"/>
        <v>8.4</v>
      </c>
      <c r="E285" s="593">
        <v>2875</v>
      </c>
      <c r="F285" s="594">
        <f t="shared" si="250"/>
        <v>8.2142857142857142E-2</v>
      </c>
      <c r="G285" s="595">
        <v>7.76</v>
      </c>
      <c r="H285" s="595"/>
      <c r="I285" s="595"/>
      <c r="J285" s="732">
        <f t="shared" si="251"/>
        <v>2.217142857142857E-4</v>
      </c>
      <c r="K285" s="596">
        <f t="shared" si="252"/>
        <v>93.12</v>
      </c>
      <c r="L285" s="600"/>
      <c r="M285" s="596"/>
      <c r="N285" s="1137">
        <v>10.75</v>
      </c>
      <c r="O285" s="1230"/>
      <c r="P285" s="1230"/>
      <c r="S285" s="602">
        <f t="shared" si="254"/>
        <v>3.0714285714285712E-4</v>
      </c>
      <c r="T285" s="602"/>
      <c r="U285" s="602"/>
      <c r="V285" s="602"/>
      <c r="W285" s="603">
        <f t="shared" si="255"/>
        <v>129</v>
      </c>
      <c r="X285" s="576"/>
      <c r="Y285" s="576"/>
      <c r="Z285" s="279"/>
      <c r="AC285" s="279"/>
      <c r="AM285" s="279"/>
      <c r="AN285" s="279"/>
      <c r="AO285" s="279"/>
      <c r="AP285" s="279"/>
    </row>
    <row r="286" spans="1:42" x14ac:dyDescent="0.2">
      <c r="A286" s="325">
        <v>36000</v>
      </c>
      <c r="B286" s="592">
        <v>2.0000000000000002E-5</v>
      </c>
      <c r="C286" s="534">
        <f t="shared" si="249"/>
        <v>0.72000000000000008</v>
      </c>
      <c r="D286" s="534">
        <f t="shared" si="253"/>
        <v>8.64</v>
      </c>
      <c r="E286" s="593">
        <v>3000</v>
      </c>
      <c r="F286" s="594">
        <f t="shared" si="250"/>
        <v>8.3333333333333329E-2</v>
      </c>
      <c r="G286" s="595">
        <v>8.1</v>
      </c>
      <c r="H286" s="595"/>
      <c r="I286" s="595"/>
      <c r="J286" s="732">
        <f t="shared" si="251"/>
        <v>2.2499999999999999E-4</v>
      </c>
      <c r="K286" s="596">
        <f t="shared" si="252"/>
        <v>97.199999999999989</v>
      </c>
      <c r="L286" s="600"/>
      <c r="M286" s="601"/>
      <c r="N286" s="1136"/>
      <c r="O286" s="1229"/>
      <c r="P286" s="1229"/>
      <c r="S286" s="602">
        <f t="shared" si="254"/>
        <v>0</v>
      </c>
      <c r="T286" s="602"/>
      <c r="U286" s="602"/>
      <c r="V286" s="602"/>
      <c r="W286" s="603">
        <f t="shared" si="255"/>
        <v>0</v>
      </c>
      <c r="X286" s="576"/>
      <c r="Y286" s="576"/>
      <c r="Z286" s="279"/>
      <c r="AC286" s="279"/>
      <c r="AM286" s="279"/>
      <c r="AN286" s="279"/>
      <c r="AO286" s="279"/>
      <c r="AP286" s="279"/>
    </row>
    <row r="287" spans="1:42" x14ac:dyDescent="0.2">
      <c r="A287" s="325">
        <v>37000</v>
      </c>
      <c r="B287" s="592">
        <v>2.0000000000000002E-5</v>
      </c>
      <c r="C287" s="534">
        <f t="shared" si="249"/>
        <v>0.7400000000000001</v>
      </c>
      <c r="D287" s="534">
        <f t="shared" si="253"/>
        <v>8.8800000000000008</v>
      </c>
      <c r="E287" s="593">
        <v>3041.67</v>
      </c>
      <c r="F287" s="594">
        <f t="shared" si="250"/>
        <v>8.2207297297297297E-2</v>
      </c>
      <c r="G287" s="595">
        <v>8.2100000000000009</v>
      </c>
      <c r="H287" s="595"/>
      <c r="I287" s="595"/>
      <c r="J287" s="732">
        <f t="shared" si="251"/>
        <v>2.218918918918919E-4</v>
      </c>
      <c r="K287" s="596">
        <f t="shared" si="252"/>
        <v>98.52000000000001</v>
      </c>
      <c r="L287" s="600"/>
      <c r="M287" s="596"/>
      <c r="N287" s="1137">
        <v>11.32</v>
      </c>
      <c r="O287" s="1230"/>
      <c r="P287" s="1230"/>
      <c r="S287" s="602">
        <f t="shared" si="254"/>
        <v>3.0594594594594594E-4</v>
      </c>
      <c r="T287" s="602"/>
      <c r="U287" s="602"/>
      <c r="V287" s="602"/>
      <c r="W287" s="603">
        <f t="shared" si="255"/>
        <v>135.84</v>
      </c>
      <c r="X287" s="576"/>
      <c r="Y287" s="576"/>
      <c r="Z287" s="279"/>
      <c r="AC287" s="279"/>
      <c r="AM287" s="279"/>
      <c r="AN287" s="279"/>
      <c r="AO287" s="279"/>
      <c r="AP287" s="279"/>
    </row>
    <row r="288" spans="1:42" x14ac:dyDescent="0.2">
      <c r="A288" s="325">
        <v>38000</v>
      </c>
      <c r="B288" s="592">
        <v>2.0000000000000002E-5</v>
      </c>
      <c r="C288" s="534">
        <f t="shared" si="249"/>
        <v>0.76</v>
      </c>
      <c r="D288" s="534">
        <f t="shared" si="253"/>
        <v>9.120000000000001</v>
      </c>
      <c r="E288" s="593">
        <v>3114.58</v>
      </c>
      <c r="F288" s="594">
        <f t="shared" si="250"/>
        <v>8.196263157894737E-2</v>
      </c>
      <c r="G288" s="595">
        <v>8.41</v>
      </c>
      <c r="H288" s="595"/>
      <c r="I288" s="595"/>
      <c r="J288" s="732">
        <f t="shared" si="251"/>
        <v>2.2131578947368421E-4</v>
      </c>
      <c r="K288" s="596">
        <f t="shared" si="252"/>
        <v>100.92</v>
      </c>
      <c r="L288" s="600"/>
      <c r="M288" s="596"/>
      <c r="N288" s="1137">
        <v>11.64</v>
      </c>
      <c r="O288" s="1230"/>
      <c r="P288" s="1230"/>
      <c r="S288" s="602">
        <f t="shared" si="254"/>
        <v>3.0631578947368422E-4</v>
      </c>
      <c r="T288" s="602"/>
      <c r="U288" s="602"/>
      <c r="V288" s="602"/>
      <c r="W288" s="603">
        <f t="shared" si="255"/>
        <v>139.68</v>
      </c>
      <c r="X288" s="576"/>
      <c r="Y288" s="576"/>
      <c r="Z288" s="279"/>
      <c r="AC288" s="279"/>
      <c r="AM288" s="279"/>
      <c r="AN288" s="279"/>
      <c r="AO288" s="279"/>
      <c r="AP288" s="279"/>
    </row>
    <row r="289" spans="1:42" x14ac:dyDescent="0.2">
      <c r="A289" s="325">
        <v>39000</v>
      </c>
      <c r="B289" s="592">
        <v>2.0000000000000002E-5</v>
      </c>
      <c r="C289" s="534">
        <f t="shared" si="249"/>
        <v>0.78</v>
      </c>
      <c r="D289" s="534">
        <f t="shared" si="253"/>
        <v>9.36</v>
      </c>
      <c r="E289" s="593">
        <v>3175</v>
      </c>
      <c r="F289" s="594">
        <f t="shared" si="250"/>
        <v>8.1410256410256412E-2</v>
      </c>
      <c r="G289" s="595">
        <v>8.57</v>
      </c>
      <c r="H289" s="595"/>
      <c r="I289" s="595"/>
      <c r="J289" s="732">
        <f t="shared" si="251"/>
        <v>2.1974358974358974E-4</v>
      </c>
      <c r="K289" s="596">
        <f t="shared" si="252"/>
        <v>102.84</v>
      </c>
      <c r="L289" s="600"/>
      <c r="M289" s="601"/>
      <c r="N289" s="1136"/>
      <c r="O289" s="1229"/>
      <c r="P289" s="1229"/>
      <c r="S289" s="602">
        <f t="shared" si="254"/>
        <v>0</v>
      </c>
      <c r="T289" s="602"/>
      <c r="U289" s="602"/>
      <c r="V289" s="602"/>
      <c r="W289" s="603">
        <f t="shared" si="255"/>
        <v>0</v>
      </c>
      <c r="X289" s="576"/>
      <c r="Y289" s="576"/>
      <c r="Z289" s="279"/>
      <c r="AC289" s="279"/>
      <c r="AM289" s="279"/>
      <c r="AN289" s="279"/>
      <c r="AO289" s="279"/>
      <c r="AP289" s="279"/>
    </row>
    <row r="290" spans="1:42" x14ac:dyDescent="0.2">
      <c r="A290" s="325">
        <v>40000</v>
      </c>
      <c r="B290" s="592">
        <v>2.0000000000000002E-5</v>
      </c>
      <c r="C290" s="534">
        <f t="shared" si="249"/>
        <v>0.8</v>
      </c>
      <c r="D290" s="534">
        <f t="shared" si="253"/>
        <v>9.6000000000000014</v>
      </c>
      <c r="E290" s="593"/>
      <c r="F290" s="594">
        <f t="shared" si="250"/>
        <v>0</v>
      </c>
      <c r="G290" s="595"/>
      <c r="H290" s="595"/>
      <c r="I290" s="595"/>
      <c r="J290" s="732">
        <f t="shared" si="251"/>
        <v>0</v>
      </c>
      <c r="K290" s="596">
        <f t="shared" si="252"/>
        <v>0</v>
      </c>
      <c r="L290" s="600"/>
      <c r="M290" s="601"/>
      <c r="N290" s="1136"/>
      <c r="O290" s="1229"/>
      <c r="P290" s="1229"/>
      <c r="S290" s="602">
        <f t="shared" si="254"/>
        <v>0</v>
      </c>
      <c r="T290" s="602"/>
      <c r="U290" s="602"/>
      <c r="V290" s="602"/>
      <c r="W290" s="603">
        <f t="shared" si="255"/>
        <v>0</v>
      </c>
      <c r="X290" s="576"/>
      <c r="Y290" s="576"/>
      <c r="Z290" s="279"/>
      <c r="AC290" s="279"/>
      <c r="AM290" s="279"/>
      <c r="AN290" s="279"/>
      <c r="AO290" s="279"/>
      <c r="AP290" s="279"/>
    </row>
    <row r="291" spans="1:42" x14ac:dyDescent="0.2">
      <c r="A291" s="325">
        <v>41000</v>
      </c>
      <c r="B291" s="592">
        <v>2.0000000000000002E-5</v>
      </c>
      <c r="C291" s="534">
        <f t="shared" si="249"/>
        <v>0.82000000000000006</v>
      </c>
      <c r="D291" s="534">
        <f t="shared" si="253"/>
        <v>9.84</v>
      </c>
      <c r="E291" s="593"/>
      <c r="F291" s="594">
        <f t="shared" si="250"/>
        <v>0</v>
      </c>
      <c r="G291" s="595"/>
      <c r="H291" s="595"/>
      <c r="I291" s="595"/>
      <c r="J291" s="732">
        <f t="shared" si="251"/>
        <v>0</v>
      </c>
      <c r="K291" s="596">
        <f t="shared" si="252"/>
        <v>0</v>
      </c>
      <c r="L291" s="600"/>
      <c r="M291" s="601"/>
      <c r="N291" s="1136"/>
      <c r="O291" s="1229"/>
      <c r="P291" s="1229"/>
      <c r="S291" s="602">
        <f t="shared" si="254"/>
        <v>0</v>
      </c>
      <c r="T291" s="602"/>
      <c r="U291" s="602"/>
      <c r="V291" s="602"/>
      <c r="W291" s="603">
        <f t="shared" si="255"/>
        <v>0</v>
      </c>
      <c r="X291" s="576"/>
      <c r="Y291" s="576"/>
      <c r="Z291" s="279"/>
      <c r="AC291" s="279"/>
      <c r="AM291" s="279"/>
      <c r="AN291" s="279"/>
      <c r="AO291" s="279"/>
      <c r="AP291" s="279"/>
    </row>
    <row r="292" spans="1:42" x14ac:dyDescent="0.2">
      <c r="A292" s="325">
        <v>42000</v>
      </c>
      <c r="B292" s="592">
        <v>2.0000000000000002E-5</v>
      </c>
      <c r="C292" s="534">
        <f t="shared" si="249"/>
        <v>0.84000000000000008</v>
      </c>
      <c r="D292" s="534">
        <f t="shared" si="253"/>
        <v>10.080000000000002</v>
      </c>
      <c r="E292" s="593"/>
      <c r="F292" s="594">
        <f t="shared" si="250"/>
        <v>0</v>
      </c>
      <c r="G292" s="595"/>
      <c r="H292" s="595"/>
      <c r="I292" s="595"/>
      <c r="J292" s="732">
        <f t="shared" si="251"/>
        <v>0</v>
      </c>
      <c r="K292" s="596">
        <f t="shared" si="252"/>
        <v>0</v>
      </c>
      <c r="L292" s="600"/>
      <c r="M292" s="601"/>
      <c r="N292" s="1136"/>
      <c r="O292" s="1229"/>
      <c r="P292" s="1229"/>
      <c r="S292" s="602">
        <f t="shared" si="254"/>
        <v>0</v>
      </c>
      <c r="T292" s="602"/>
      <c r="U292" s="602"/>
      <c r="V292" s="602"/>
      <c r="W292" s="603">
        <f t="shared" si="255"/>
        <v>0</v>
      </c>
      <c r="X292" s="576"/>
      <c r="Y292" s="576"/>
      <c r="Z292" s="279"/>
      <c r="AC292" s="279"/>
      <c r="AM292" s="279"/>
      <c r="AN292" s="279"/>
      <c r="AO292" s="279"/>
      <c r="AP292" s="279"/>
    </row>
    <row r="293" spans="1:42" x14ac:dyDescent="0.2">
      <c r="A293" s="325">
        <v>43000</v>
      </c>
      <c r="B293" s="592">
        <v>2.0000000000000002E-5</v>
      </c>
      <c r="C293" s="534">
        <f t="shared" si="249"/>
        <v>0.8600000000000001</v>
      </c>
      <c r="D293" s="534">
        <f t="shared" si="253"/>
        <v>10.32</v>
      </c>
      <c r="E293" s="593">
        <v>3582.76</v>
      </c>
      <c r="F293" s="594">
        <f t="shared" si="250"/>
        <v>8.3320000000000005E-2</v>
      </c>
      <c r="G293" s="595">
        <v>9.67</v>
      </c>
      <c r="H293" s="595"/>
      <c r="I293" s="595"/>
      <c r="J293" s="732">
        <f t="shared" si="251"/>
        <v>2.2488372093023255E-4</v>
      </c>
      <c r="K293" s="596">
        <f t="shared" si="252"/>
        <v>116.03999999999999</v>
      </c>
      <c r="L293" s="600"/>
      <c r="M293" s="601"/>
      <c r="N293" s="1136">
        <v>13.39</v>
      </c>
      <c r="O293" s="1229"/>
      <c r="P293" s="1229"/>
      <c r="S293" s="602">
        <f t="shared" si="254"/>
        <v>3.1139534883720929E-4</v>
      </c>
      <c r="T293" s="602"/>
      <c r="U293" s="602"/>
      <c r="V293" s="602"/>
      <c r="W293" s="603">
        <f t="shared" si="255"/>
        <v>160.68</v>
      </c>
      <c r="X293" s="576"/>
      <c r="Y293" s="576"/>
      <c r="Z293" s="279"/>
      <c r="AC293" s="279"/>
      <c r="AM293" s="279"/>
      <c r="AN293" s="279"/>
      <c r="AO293" s="279"/>
      <c r="AP293" s="279"/>
    </row>
    <row r="294" spans="1:42" x14ac:dyDescent="0.2">
      <c r="A294" s="325">
        <v>44000</v>
      </c>
      <c r="B294" s="592">
        <v>2.0000000000000002E-5</v>
      </c>
      <c r="C294" s="534">
        <f t="shared" si="249"/>
        <v>0.88000000000000012</v>
      </c>
      <c r="D294" s="534">
        <f t="shared" si="253"/>
        <v>10.560000000000002</v>
      </c>
      <c r="E294" s="593"/>
      <c r="F294" s="594">
        <f t="shared" si="250"/>
        <v>0</v>
      </c>
      <c r="G294" s="595"/>
      <c r="H294" s="595"/>
      <c r="I294" s="595"/>
      <c r="J294" s="732">
        <f t="shared" si="251"/>
        <v>0</v>
      </c>
      <c r="K294" s="596">
        <f t="shared" si="252"/>
        <v>0</v>
      </c>
      <c r="L294" s="600"/>
      <c r="M294" s="601"/>
      <c r="N294" s="1136"/>
      <c r="O294" s="1229"/>
      <c r="P294" s="1229"/>
      <c r="S294" s="602">
        <f t="shared" si="254"/>
        <v>0</v>
      </c>
      <c r="T294" s="602"/>
      <c r="U294" s="602"/>
      <c r="V294" s="602"/>
      <c r="W294" s="603">
        <f t="shared" si="255"/>
        <v>0</v>
      </c>
      <c r="X294" s="576"/>
      <c r="Y294" s="576"/>
      <c r="Z294" s="279"/>
      <c r="AC294" s="279"/>
      <c r="AM294" s="279"/>
      <c r="AN294" s="279"/>
      <c r="AO294" s="279"/>
      <c r="AP294" s="279"/>
    </row>
    <row r="295" spans="1:42" x14ac:dyDescent="0.2">
      <c r="A295" s="325">
        <v>45000</v>
      </c>
      <c r="B295" s="592">
        <v>2.0000000000000002E-5</v>
      </c>
      <c r="C295" s="534">
        <f t="shared" si="249"/>
        <v>0.9</v>
      </c>
      <c r="D295" s="534">
        <f t="shared" si="253"/>
        <v>10.8</v>
      </c>
      <c r="E295" s="593">
        <v>3750</v>
      </c>
      <c r="F295" s="594">
        <f t="shared" si="250"/>
        <v>8.3333333333333329E-2</v>
      </c>
      <c r="G295" s="595">
        <v>10.130000000000001</v>
      </c>
      <c r="H295" s="595"/>
      <c r="I295" s="595"/>
      <c r="J295" s="732">
        <f t="shared" si="251"/>
        <v>2.2511111111111112E-4</v>
      </c>
      <c r="K295" s="596">
        <f t="shared" si="252"/>
        <v>121.56</v>
      </c>
      <c r="L295" s="600"/>
      <c r="M295" s="601"/>
      <c r="N295" s="1136">
        <v>14.02</v>
      </c>
      <c r="O295" s="1229"/>
      <c r="P295" s="1229"/>
      <c r="S295" s="602">
        <f t="shared" si="254"/>
        <v>3.1155555555555553E-4</v>
      </c>
      <c r="T295" s="602"/>
      <c r="U295" s="602"/>
      <c r="V295" s="602"/>
      <c r="W295" s="603">
        <f t="shared" si="255"/>
        <v>168.24</v>
      </c>
      <c r="X295" s="576"/>
      <c r="Y295" s="576"/>
      <c r="Z295" s="279"/>
      <c r="AC295" s="279"/>
      <c r="AM295" s="279"/>
      <c r="AN295" s="279"/>
      <c r="AO295" s="279"/>
      <c r="AP295" s="279"/>
    </row>
    <row r="296" spans="1:42" x14ac:dyDescent="0.2">
      <c r="A296" s="325">
        <v>46000</v>
      </c>
      <c r="B296" s="592">
        <v>2.0000000000000002E-5</v>
      </c>
      <c r="C296" s="534">
        <f t="shared" si="249"/>
        <v>0.92</v>
      </c>
      <c r="D296" s="534">
        <f t="shared" si="253"/>
        <v>11.040000000000001</v>
      </c>
      <c r="E296" s="593"/>
      <c r="F296" s="594">
        <f t="shared" si="250"/>
        <v>0</v>
      </c>
      <c r="G296" s="595"/>
      <c r="H296" s="595"/>
      <c r="I296" s="595"/>
      <c r="J296" s="732">
        <f t="shared" si="251"/>
        <v>0</v>
      </c>
      <c r="K296" s="596">
        <f t="shared" si="252"/>
        <v>0</v>
      </c>
      <c r="L296" s="600"/>
      <c r="M296" s="601"/>
      <c r="N296" s="1136"/>
      <c r="O296" s="1229"/>
      <c r="P296" s="1229"/>
      <c r="S296" s="602">
        <f t="shared" si="254"/>
        <v>0</v>
      </c>
      <c r="T296" s="602"/>
      <c r="U296" s="602"/>
      <c r="V296" s="602"/>
      <c r="W296" s="603">
        <f t="shared" si="255"/>
        <v>0</v>
      </c>
      <c r="X296" s="576"/>
      <c r="Y296" s="576"/>
      <c r="Z296" s="279"/>
      <c r="AC296" s="279"/>
      <c r="AM296" s="279"/>
      <c r="AN296" s="279"/>
      <c r="AO296" s="279"/>
      <c r="AP296" s="279"/>
    </row>
    <row r="297" spans="1:42" x14ac:dyDescent="0.2">
      <c r="A297" s="325">
        <v>47000</v>
      </c>
      <c r="B297" s="592">
        <v>2.0000000000000002E-5</v>
      </c>
      <c r="C297" s="534">
        <f t="shared" si="249"/>
        <v>0.94000000000000006</v>
      </c>
      <c r="D297" s="534">
        <f t="shared" si="253"/>
        <v>11.280000000000001</v>
      </c>
      <c r="E297" s="593"/>
      <c r="F297" s="594">
        <f t="shared" si="250"/>
        <v>0</v>
      </c>
      <c r="G297" s="595"/>
      <c r="H297" s="595"/>
      <c r="I297" s="595"/>
      <c r="J297" s="732">
        <f t="shared" si="251"/>
        <v>0</v>
      </c>
      <c r="K297" s="596">
        <f t="shared" si="252"/>
        <v>0</v>
      </c>
      <c r="L297" s="600"/>
      <c r="M297" s="601"/>
      <c r="N297" s="1136"/>
      <c r="O297" s="1229"/>
      <c r="P297" s="1229"/>
      <c r="S297" s="602">
        <f t="shared" si="254"/>
        <v>0</v>
      </c>
      <c r="T297" s="602"/>
      <c r="U297" s="602"/>
      <c r="V297" s="602"/>
      <c r="W297" s="603">
        <f t="shared" si="255"/>
        <v>0</v>
      </c>
      <c r="X297" s="576"/>
      <c r="Y297" s="576"/>
      <c r="Z297" s="279"/>
      <c r="AC297" s="279"/>
      <c r="AM297" s="279"/>
      <c r="AN297" s="279"/>
      <c r="AO297" s="279"/>
      <c r="AP297" s="279"/>
    </row>
    <row r="298" spans="1:42" x14ac:dyDescent="0.2">
      <c r="A298" s="325">
        <v>48000</v>
      </c>
      <c r="B298" s="592">
        <v>2.0000000000000002E-5</v>
      </c>
      <c r="C298" s="534">
        <f t="shared" si="249"/>
        <v>0.96000000000000008</v>
      </c>
      <c r="D298" s="534">
        <f t="shared" si="253"/>
        <v>11.520000000000001</v>
      </c>
      <c r="E298" s="593"/>
      <c r="F298" s="594">
        <f t="shared" si="250"/>
        <v>0</v>
      </c>
      <c r="G298" s="595"/>
      <c r="H298" s="595"/>
      <c r="I298" s="595"/>
      <c r="J298" s="732">
        <f t="shared" si="251"/>
        <v>0</v>
      </c>
      <c r="K298" s="596">
        <f t="shared" si="252"/>
        <v>0</v>
      </c>
      <c r="L298" s="600"/>
      <c r="M298" s="601"/>
      <c r="N298" s="1136"/>
      <c r="O298" s="1229"/>
      <c r="P298" s="1229"/>
      <c r="S298" s="602">
        <f t="shared" si="254"/>
        <v>0</v>
      </c>
      <c r="T298" s="602"/>
      <c r="U298" s="602"/>
      <c r="V298" s="602"/>
      <c r="W298" s="603">
        <f t="shared" si="255"/>
        <v>0</v>
      </c>
      <c r="X298" s="576"/>
      <c r="Y298" s="576"/>
      <c r="Z298" s="279"/>
      <c r="AC298" s="279"/>
      <c r="AM298" s="279"/>
      <c r="AN298" s="279"/>
      <c r="AO298" s="279"/>
      <c r="AP298" s="279"/>
    </row>
    <row r="299" spans="1:42" x14ac:dyDescent="0.2">
      <c r="A299" s="325">
        <v>49000</v>
      </c>
      <c r="B299" s="592">
        <v>2.0000000000000002E-5</v>
      </c>
      <c r="C299" s="534">
        <f t="shared" si="249"/>
        <v>0.98000000000000009</v>
      </c>
      <c r="D299" s="534">
        <f t="shared" si="253"/>
        <v>11.760000000000002</v>
      </c>
      <c r="E299" s="593"/>
      <c r="F299" s="594">
        <f t="shared" si="250"/>
        <v>0</v>
      </c>
      <c r="G299" s="595"/>
      <c r="H299" s="595"/>
      <c r="I299" s="595"/>
      <c r="J299" s="732">
        <f t="shared" si="251"/>
        <v>0</v>
      </c>
      <c r="K299" s="596">
        <f t="shared" si="252"/>
        <v>0</v>
      </c>
      <c r="L299" s="600"/>
      <c r="M299" s="601"/>
      <c r="N299" s="1136"/>
      <c r="O299" s="1229"/>
      <c r="P299" s="1229"/>
      <c r="S299" s="602">
        <f t="shared" si="254"/>
        <v>0</v>
      </c>
      <c r="T299" s="602"/>
      <c r="U299" s="602"/>
      <c r="V299" s="602"/>
      <c r="W299" s="603">
        <f t="shared" si="255"/>
        <v>0</v>
      </c>
      <c r="X299" s="576"/>
      <c r="Y299" s="576"/>
      <c r="Z299" s="279"/>
      <c r="AC299" s="279"/>
      <c r="AM299" s="279"/>
      <c r="AN299" s="279"/>
      <c r="AO299" s="279"/>
      <c r="AP299" s="279"/>
    </row>
    <row r="300" spans="1:42" x14ac:dyDescent="0.2">
      <c r="A300" s="325">
        <v>50000</v>
      </c>
      <c r="B300" s="592">
        <v>2.0000000000000002E-5</v>
      </c>
      <c r="C300" s="534">
        <f t="shared" si="249"/>
        <v>1</v>
      </c>
      <c r="D300" s="534">
        <f t="shared" si="253"/>
        <v>12</v>
      </c>
      <c r="E300" s="593"/>
      <c r="F300" s="594">
        <f t="shared" si="250"/>
        <v>0</v>
      </c>
      <c r="G300" s="595"/>
      <c r="H300" s="595"/>
      <c r="I300" s="595"/>
      <c r="J300" s="732">
        <f t="shared" si="251"/>
        <v>0</v>
      </c>
      <c r="K300" s="596">
        <f t="shared" si="252"/>
        <v>0</v>
      </c>
      <c r="L300" s="600"/>
      <c r="M300" s="601"/>
      <c r="N300" s="1136"/>
      <c r="O300" s="1229"/>
      <c r="P300" s="1229"/>
      <c r="S300" s="602">
        <f t="shared" si="254"/>
        <v>0</v>
      </c>
      <c r="T300" s="602"/>
      <c r="U300" s="602"/>
      <c r="V300" s="602"/>
      <c r="W300" s="603">
        <f t="shared" si="255"/>
        <v>0</v>
      </c>
      <c r="X300" s="576"/>
      <c r="Y300" s="576"/>
      <c r="Z300" s="279"/>
      <c r="AC300" s="279"/>
      <c r="AM300" s="279"/>
      <c r="AN300" s="279"/>
      <c r="AO300" s="279"/>
      <c r="AP300" s="279"/>
    </row>
    <row r="301" spans="1:42" x14ac:dyDescent="0.2">
      <c r="A301" s="325">
        <v>51000</v>
      </c>
      <c r="B301" s="592">
        <v>2.0000000000000002E-5</v>
      </c>
      <c r="C301" s="534">
        <f t="shared" si="249"/>
        <v>1.02</v>
      </c>
      <c r="D301" s="534">
        <f t="shared" si="253"/>
        <v>12.24</v>
      </c>
      <c r="E301" s="593"/>
      <c r="F301" s="594">
        <f t="shared" si="250"/>
        <v>0</v>
      </c>
      <c r="G301" s="595"/>
      <c r="H301" s="595"/>
      <c r="I301" s="595"/>
      <c r="J301" s="732">
        <f t="shared" si="251"/>
        <v>0</v>
      </c>
      <c r="K301" s="596">
        <f t="shared" si="252"/>
        <v>0</v>
      </c>
      <c r="L301" s="600"/>
      <c r="M301" s="601"/>
      <c r="N301" s="1136"/>
      <c r="O301" s="1229"/>
      <c r="P301" s="1229"/>
      <c r="S301" s="602">
        <f t="shared" si="254"/>
        <v>0</v>
      </c>
      <c r="T301" s="602"/>
      <c r="U301" s="602"/>
      <c r="V301" s="602"/>
      <c r="W301" s="603">
        <f t="shared" si="255"/>
        <v>0</v>
      </c>
      <c r="X301" s="576"/>
      <c r="Y301" s="576"/>
      <c r="Z301" s="279"/>
      <c r="AC301" s="279"/>
      <c r="AM301" s="279"/>
      <c r="AN301" s="279"/>
      <c r="AO301" s="279"/>
      <c r="AP301" s="279"/>
    </row>
    <row r="302" spans="1:42" x14ac:dyDescent="0.2">
      <c r="A302" s="325">
        <v>52000</v>
      </c>
      <c r="B302" s="592">
        <v>2.0000000000000002E-5</v>
      </c>
      <c r="C302" s="534">
        <f t="shared" si="249"/>
        <v>1.04</v>
      </c>
      <c r="D302" s="534">
        <f t="shared" si="253"/>
        <v>12.48</v>
      </c>
      <c r="E302" s="593"/>
      <c r="F302" s="594">
        <f t="shared" si="250"/>
        <v>0</v>
      </c>
      <c r="G302" s="595"/>
      <c r="H302" s="595"/>
      <c r="I302" s="595"/>
      <c r="J302" s="732">
        <f t="shared" si="251"/>
        <v>0</v>
      </c>
      <c r="K302" s="596">
        <f t="shared" si="252"/>
        <v>0</v>
      </c>
      <c r="L302" s="600"/>
      <c r="M302" s="601"/>
      <c r="N302" s="1136"/>
      <c r="O302" s="1229"/>
      <c r="P302" s="1229"/>
      <c r="S302" s="602">
        <f t="shared" si="254"/>
        <v>0</v>
      </c>
      <c r="T302" s="602"/>
      <c r="U302" s="602"/>
      <c r="V302" s="602"/>
      <c r="W302" s="603">
        <f t="shared" si="255"/>
        <v>0</v>
      </c>
      <c r="X302" s="576"/>
      <c r="Y302" s="576"/>
      <c r="Z302" s="279"/>
      <c r="AC302" s="279"/>
      <c r="AM302" s="279"/>
      <c r="AN302" s="279"/>
      <c r="AO302" s="279"/>
      <c r="AP302" s="279"/>
    </row>
    <row r="303" spans="1:42" x14ac:dyDescent="0.2">
      <c r="A303" s="325">
        <v>53000</v>
      </c>
      <c r="B303" s="592">
        <v>2.0000000000000002E-5</v>
      </c>
      <c r="C303" s="534">
        <f t="shared" si="249"/>
        <v>1.06</v>
      </c>
      <c r="D303" s="534">
        <f t="shared" si="253"/>
        <v>12.72</v>
      </c>
      <c r="E303" s="593"/>
      <c r="F303" s="594">
        <f t="shared" si="250"/>
        <v>0</v>
      </c>
      <c r="G303" s="595"/>
      <c r="H303" s="595"/>
      <c r="I303" s="595"/>
      <c r="J303" s="732">
        <f t="shared" si="251"/>
        <v>0</v>
      </c>
      <c r="K303" s="596">
        <f t="shared" si="252"/>
        <v>0</v>
      </c>
      <c r="L303" s="600"/>
      <c r="M303" s="601"/>
      <c r="N303" s="1136"/>
      <c r="O303" s="1229"/>
      <c r="P303" s="1229"/>
      <c r="S303" s="602">
        <f t="shared" si="254"/>
        <v>0</v>
      </c>
      <c r="T303" s="602"/>
      <c r="U303" s="602"/>
      <c r="V303" s="602"/>
      <c r="W303" s="603">
        <f t="shared" si="255"/>
        <v>0</v>
      </c>
      <c r="X303" s="576"/>
      <c r="Y303" s="576"/>
      <c r="Z303" s="279"/>
      <c r="AC303" s="279"/>
      <c r="AM303" s="279"/>
      <c r="AN303" s="279"/>
      <c r="AO303" s="279"/>
      <c r="AP303" s="279"/>
    </row>
    <row r="304" spans="1:42" x14ac:dyDescent="0.2">
      <c r="A304" s="325">
        <v>54000</v>
      </c>
      <c r="B304" s="592">
        <v>2.0000000000000002E-5</v>
      </c>
      <c r="C304" s="534">
        <f t="shared" si="249"/>
        <v>1.08</v>
      </c>
      <c r="D304" s="534">
        <f t="shared" si="253"/>
        <v>12.96</v>
      </c>
      <c r="E304" s="593"/>
      <c r="F304" s="594">
        <f t="shared" si="250"/>
        <v>0</v>
      </c>
      <c r="G304" s="595"/>
      <c r="H304" s="595"/>
      <c r="I304" s="595"/>
      <c r="J304" s="732">
        <f t="shared" si="251"/>
        <v>0</v>
      </c>
      <c r="K304" s="596">
        <f t="shared" si="252"/>
        <v>0</v>
      </c>
      <c r="L304" s="600"/>
      <c r="M304" s="601"/>
      <c r="N304" s="1136"/>
      <c r="O304" s="1229"/>
      <c r="P304" s="1229"/>
      <c r="S304" s="602">
        <f t="shared" si="254"/>
        <v>0</v>
      </c>
      <c r="T304" s="602"/>
      <c r="U304" s="602"/>
      <c r="V304" s="602"/>
      <c r="W304" s="603">
        <f t="shared" si="255"/>
        <v>0</v>
      </c>
      <c r="X304" s="576"/>
      <c r="Y304" s="576"/>
      <c r="Z304" s="279"/>
      <c r="AC304" s="279"/>
      <c r="AM304" s="279"/>
      <c r="AN304" s="279"/>
      <c r="AO304" s="279"/>
      <c r="AP304" s="279"/>
    </row>
    <row r="305" spans="1:42" x14ac:dyDescent="0.2">
      <c r="A305" s="325">
        <v>55000</v>
      </c>
      <c r="B305" s="592">
        <v>2.0000000000000002E-5</v>
      </c>
      <c r="C305" s="534">
        <f t="shared" si="249"/>
        <v>1.1000000000000001</v>
      </c>
      <c r="D305" s="534">
        <f t="shared" si="253"/>
        <v>13.200000000000001</v>
      </c>
      <c r="E305" s="593"/>
      <c r="F305" s="594">
        <f t="shared" si="250"/>
        <v>0</v>
      </c>
      <c r="G305" s="595"/>
      <c r="H305" s="595"/>
      <c r="I305" s="595"/>
      <c r="J305" s="732">
        <f t="shared" si="251"/>
        <v>0</v>
      </c>
      <c r="K305" s="596">
        <f t="shared" si="252"/>
        <v>0</v>
      </c>
      <c r="L305" s="600"/>
      <c r="M305" s="601"/>
      <c r="N305" s="1136"/>
      <c r="O305" s="1229"/>
      <c r="P305" s="1229"/>
      <c r="S305" s="602">
        <f t="shared" si="254"/>
        <v>0</v>
      </c>
      <c r="T305" s="602"/>
      <c r="U305" s="602"/>
      <c r="V305" s="602"/>
      <c r="W305" s="603">
        <f t="shared" si="255"/>
        <v>0</v>
      </c>
      <c r="X305" s="576"/>
      <c r="Y305" s="576"/>
      <c r="Z305" s="279"/>
      <c r="AC305" s="279"/>
      <c r="AM305" s="279"/>
      <c r="AN305" s="279"/>
      <c r="AO305" s="279"/>
      <c r="AP305" s="279"/>
    </row>
    <row r="306" spans="1:42" x14ac:dyDescent="0.2">
      <c r="A306" s="325">
        <v>56000</v>
      </c>
      <c r="B306" s="592">
        <v>2.0000000000000002E-5</v>
      </c>
      <c r="C306" s="534">
        <f t="shared" si="249"/>
        <v>1.1200000000000001</v>
      </c>
      <c r="D306" s="534">
        <f t="shared" si="253"/>
        <v>13.440000000000001</v>
      </c>
      <c r="E306" s="593"/>
      <c r="F306" s="594">
        <f t="shared" si="250"/>
        <v>0</v>
      </c>
      <c r="G306" s="595"/>
      <c r="H306" s="595"/>
      <c r="I306" s="595"/>
      <c r="J306" s="732">
        <f t="shared" si="251"/>
        <v>0</v>
      </c>
      <c r="K306" s="596">
        <f t="shared" si="252"/>
        <v>0</v>
      </c>
      <c r="L306" s="600"/>
      <c r="M306" s="601"/>
      <c r="N306" s="1136"/>
      <c r="O306" s="1229"/>
      <c r="P306" s="1229"/>
      <c r="S306" s="602">
        <f t="shared" si="254"/>
        <v>0</v>
      </c>
      <c r="T306" s="602"/>
      <c r="U306" s="602"/>
      <c r="V306" s="602"/>
      <c r="W306" s="603">
        <f t="shared" si="255"/>
        <v>0</v>
      </c>
      <c r="X306" s="576"/>
      <c r="Y306" s="576"/>
      <c r="Z306" s="279"/>
      <c r="AC306" s="279"/>
      <c r="AM306" s="279"/>
      <c r="AN306" s="279"/>
      <c r="AO306" s="279"/>
      <c r="AP306" s="279"/>
    </row>
    <row r="307" spans="1:42" x14ac:dyDescent="0.2">
      <c r="A307" s="325">
        <v>57000</v>
      </c>
      <c r="B307" s="592">
        <v>2.0000000000000002E-5</v>
      </c>
      <c r="C307" s="534">
        <f t="shared" si="249"/>
        <v>1.1400000000000001</v>
      </c>
      <c r="D307" s="534">
        <f t="shared" si="253"/>
        <v>13.680000000000001</v>
      </c>
      <c r="E307" s="593"/>
      <c r="F307" s="594">
        <f t="shared" si="250"/>
        <v>0</v>
      </c>
      <c r="G307" s="595"/>
      <c r="H307" s="595"/>
      <c r="I307" s="595"/>
      <c r="J307" s="732">
        <f t="shared" si="251"/>
        <v>0</v>
      </c>
      <c r="K307" s="596">
        <f t="shared" si="252"/>
        <v>0</v>
      </c>
      <c r="L307" s="600"/>
      <c r="M307" s="601"/>
      <c r="N307" s="1136"/>
      <c r="O307" s="1229"/>
      <c r="P307" s="1229"/>
      <c r="S307" s="602">
        <f t="shared" si="254"/>
        <v>0</v>
      </c>
      <c r="T307" s="602"/>
      <c r="U307" s="602"/>
      <c r="V307" s="602"/>
      <c r="W307" s="603">
        <f t="shared" si="255"/>
        <v>0</v>
      </c>
      <c r="X307" s="576"/>
      <c r="Y307" s="576"/>
      <c r="Z307" s="279"/>
      <c r="AC307" s="279"/>
      <c r="AM307" s="279"/>
      <c r="AN307" s="279"/>
      <c r="AO307" s="279"/>
      <c r="AP307" s="279"/>
    </row>
    <row r="308" spans="1:42" x14ac:dyDescent="0.2">
      <c r="A308" s="325">
        <v>58000</v>
      </c>
      <c r="B308" s="592">
        <v>2.0000000000000002E-5</v>
      </c>
      <c r="C308" s="534">
        <f t="shared" si="249"/>
        <v>1.1600000000000001</v>
      </c>
      <c r="D308" s="534">
        <f t="shared" si="253"/>
        <v>13.920000000000002</v>
      </c>
      <c r="E308" s="593"/>
      <c r="F308" s="594">
        <f t="shared" si="250"/>
        <v>0</v>
      </c>
      <c r="G308" s="595"/>
      <c r="H308" s="595"/>
      <c r="I308" s="595"/>
      <c r="J308" s="732">
        <f t="shared" si="251"/>
        <v>0</v>
      </c>
      <c r="K308" s="596">
        <f t="shared" si="252"/>
        <v>0</v>
      </c>
      <c r="L308" s="600"/>
      <c r="M308" s="601"/>
      <c r="N308" s="1136"/>
      <c r="O308" s="1229"/>
      <c r="P308" s="1229"/>
      <c r="S308" s="602">
        <f t="shared" si="254"/>
        <v>0</v>
      </c>
      <c r="T308" s="602"/>
      <c r="U308" s="602"/>
      <c r="V308" s="602"/>
      <c r="W308" s="603">
        <f t="shared" si="255"/>
        <v>0</v>
      </c>
      <c r="X308" s="576"/>
      <c r="Y308" s="576"/>
      <c r="Z308" s="279"/>
      <c r="AC308" s="279"/>
      <c r="AM308" s="279"/>
      <c r="AN308" s="279"/>
      <c r="AO308" s="279"/>
      <c r="AP308" s="279"/>
    </row>
    <row r="309" spans="1:42" x14ac:dyDescent="0.2">
      <c r="A309" s="325">
        <v>59000</v>
      </c>
      <c r="B309" s="592">
        <v>2.0000000000000002E-5</v>
      </c>
      <c r="C309" s="534">
        <f t="shared" si="249"/>
        <v>1.1800000000000002</v>
      </c>
      <c r="D309" s="534">
        <f t="shared" si="253"/>
        <v>14.160000000000002</v>
      </c>
      <c r="E309" s="593"/>
      <c r="F309" s="594">
        <f t="shared" si="250"/>
        <v>0</v>
      </c>
      <c r="G309" s="595"/>
      <c r="H309" s="595"/>
      <c r="I309" s="595"/>
      <c r="J309" s="732">
        <f t="shared" si="251"/>
        <v>0</v>
      </c>
      <c r="K309" s="596">
        <f t="shared" si="252"/>
        <v>0</v>
      </c>
      <c r="L309" s="600"/>
      <c r="M309" s="601"/>
      <c r="N309" s="1136"/>
      <c r="O309" s="1229"/>
      <c r="P309" s="1229"/>
      <c r="S309" s="602">
        <f t="shared" si="254"/>
        <v>0</v>
      </c>
      <c r="T309" s="602"/>
      <c r="U309" s="602"/>
      <c r="V309" s="602"/>
      <c r="W309" s="603">
        <f t="shared" si="255"/>
        <v>0</v>
      </c>
      <c r="X309" s="576"/>
      <c r="Y309" s="576"/>
      <c r="Z309" s="279"/>
      <c r="AC309" s="279"/>
      <c r="AM309" s="279"/>
      <c r="AN309" s="279"/>
      <c r="AO309" s="279"/>
      <c r="AP309" s="279"/>
    </row>
    <row r="310" spans="1:42" x14ac:dyDescent="0.2">
      <c r="A310" s="325">
        <v>60000</v>
      </c>
      <c r="B310" s="592">
        <v>2.0000000000000002E-5</v>
      </c>
      <c r="C310" s="534">
        <f t="shared" si="249"/>
        <v>1.2000000000000002</v>
      </c>
      <c r="D310" s="534">
        <f t="shared" si="253"/>
        <v>14.400000000000002</v>
      </c>
      <c r="E310" s="593"/>
      <c r="F310" s="594">
        <f t="shared" si="250"/>
        <v>0</v>
      </c>
      <c r="G310" s="595"/>
      <c r="H310" s="595"/>
      <c r="I310" s="595"/>
      <c r="J310" s="732">
        <f t="shared" si="251"/>
        <v>0</v>
      </c>
      <c r="K310" s="596">
        <f t="shared" si="252"/>
        <v>0</v>
      </c>
      <c r="L310" s="600"/>
      <c r="M310" s="601"/>
      <c r="N310" s="1136">
        <v>17.14</v>
      </c>
      <c r="O310" s="1229"/>
      <c r="P310" s="1229"/>
      <c r="S310" s="602">
        <f t="shared" si="254"/>
        <v>2.8566666666666665E-4</v>
      </c>
      <c r="T310" s="602"/>
      <c r="U310" s="602"/>
      <c r="V310" s="602"/>
      <c r="W310" s="603">
        <f t="shared" si="255"/>
        <v>205.68</v>
      </c>
      <c r="X310" s="576"/>
      <c r="Y310" s="576"/>
      <c r="Z310" s="279"/>
      <c r="AC310" s="279"/>
      <c r="AM310" s="279"/>
      <c r="AN310" s="279"/>
      <c r="AO310" s="279"/>
      <c r="AP310" s="279"/>
    </row>
    <row r="311" spans="1:42" x14ac:dyDescent="0.2">
      <c r="A311" s="325" t="s">
        <v>16</v>
      </c>
      <c r="B311" s="604"/>
      <c r="C311" s="604">
        <f>SUM(C270:C310)</f>
        <v>32.800000000000004</v>
      </c>
      <c r="D311" s="604">
        <f>SUM(D270:D310)</f>
        <v>393.60000000000008</v>
      </c>
      <c r="E311" s="604"/>
      <c r="F311" s="605"/>
      <c r="G311" s="605">
        <f>SUM(G270:G310)</f>
        <v>68.5</v>
      </c>
      <c r="H311" s="605"/>
      <c r="I311" s="605"/>
      <c r="J311" s="606"/>
      <c r="K311" s="605">
        <f>SUM(K270:K310)</f>
        <v>822</v>
      </c>
      <c r="L311" s="606"/>
      <c r="M311" s="605"/>
      <c r="N311" s="1138">
        <f>SUM(N270:N310)</f>
        <v>95.97999999999999</v>
      </c>
      <c r="O311" s="1138"/>
      <c r="P311" s="1138"/>
      <c r="R311" s="279"/>
      <c r="S311" s="605"/>
      <c r="T311" s="605"/>
      <c r="U311" s="605"/>
      <c r="V311" s="605"/>
      <c r="W311" s="605">
        <f>SUM(W270:W310)</f>
        <v>1151.7600000000002</v>
      </c>
      <c r="X311" s="279"/>
      <c r="Y311" s="279"/>
      <c r="Z311" s="279"/>
      <c r="AC311" s="279"/>
      <c r="AM311" s="279"/>
      <c r="AN311" s="279"/>
      <c r="AO311" s="279"/>
      <c r="AP311" s="279"/>
    </row>
  </sheetData>
  <sortState ref="A5:XFA45">
    <sortCondition ref="F5:F45"/>
  </sortState>
  <mergeCells count="20">
    <mergeCell ref="A175:A176"/>
    <mergeCell ref="B268:D268"/>
    <mergeCell ref="E268:K268"/>
    <mergeCell ref="AP3:AT3"/>
    <mergeCell ref="AA150:AA151"/>
    <mergeCell ref="A122:A123"/>
    <mergeCell ref="A126:A127"/>
    <mergeCell ref="A133:A134"/>
    <mergeCell ref="A137:A139"/>
    <mergeCell ref="A141:A142"/>
    <mergeCell ref="A90:A91"/>
    <mergeCell ref="A94:A96"/>
    <mergeCell ref="A100:A101"/>
    <mergeCell ref="A104:A105"/>
    <mergeCell ref="A170:A171"/>
    <mergeCell ref="A1:F1"/>
    <mergeCell ref="A2:F2"/>
    <mergeCell ref="AD3:AI3"/>
    <mergeCell ref="AJ3:AL3"/>
    <mergeCell ref="AV3:BG3"/>
  </mergeCells>
  <dataValidations count="3">
    <dataValidation type="list" showInputMessage="1" showErrorMessage="1" sqref="AH187">
      <formula1>$D$210:$D$214</formula1>
    </dataValidation>
    <dataValidation type="list" showInputMessage="1" showErrorMessage="1" sqref="AF187">
      <formula1>$C$210:$C$214</formula1>
    </dataValidation>
    <dataValidation type="list" showInputMessage="1" showErrorMessage="1" sqref="AF63:AF64 KB63:KB64 TX63:TX64 ADT63:ADT64 ANP63:ANP64 AXL63:AXL64 BHH63:BHH64 BRD63:BRD64 CAZ63:CAZ64 CKV63:CKV64 CUR63:CUR64 DEN63:DEN64 DOJ63:DOJ64 DYF63:DYF64 EIB63:EIB64 ERX63:ERX64 FBT63:FBT64 FLP63:FLP64 FVL63:FVL64 GFH63:GFH64 GPD63:GPD64 GYZ63:GYZ64 HIV63:HIV64 HSR63:HSR64 ICN63:ICN64 IMJ63:IMJ64 IWF63:IWF64 JGB63:JGB64 JPX63:JPX64 JZT63:JZT64 KJP63:KJP64 KTL63:KTL64 LDH63:LDH64 LND63:LND64 LWZ63:LWZ64 MGV63:MGV64 MQR63:MQR64 NAN63:NAN64 NKJ63:NKJ64 NUF63:NUF64 OEB63:OEB64 ONX63:ONX64 OXT63:OXT64 PHP63:PHP64 PRL63:PRL64 QBH63:QBH64 QLD63:QLD64 QUZ63:QUZ64 REV63:REV64 ROR63:ROR64 RYN63:RYN64 SIJ63:SIJ64 SSF63:SSF64 TCB63:TCB64 TLX63:TLX64 TVT63:TVT64 UFP63:UFP64 UPL63:UPL64 UZH63:UZH64 VJD63:VJD64 VSZ63:VSZ64 WCV63:WCV64 WMR63:WMR64 WWN63:WWN64 AF65601:AF65602 KB65601:KB65602 TX65601:TX65602 ADT65601:ADT65602 ANP65601:ANP65602 AXL65601:AXL65602 BHH65601:BHH65602 BRD65601:BRD65602 CAZ65601:CAZ65602 CKV65601:CKV65602 CUR65601:CUR65602 DEN65601:DEN65602 DOJ65601:DOJ65602 DYF65601:DYF65602 EIB65601:EIB65602 ERX65601:ERX65602 FBT65601:FBT65602 FLP65601:FLP65602 FVL65601:FVL65602 GFH65601:GFH65602 GPD65601:GPD65602 GYZ65601:GYZ65602 HIV65601:HIV65602 HSR65601:HSR65602 ICN65601:ICN65602 IMJ65601:IMJ65602 IWF65601:IWF65602 JGB65601:JGB65602 JPX65601:JPX65602 JZT65601:JZT65602 KJP65601:KJP65602 KTL65601:KTL65602 LDH65601:LDH65602 LND65601:LND65602 LWZ65601:LWZ65602 MGV65601:MGV65602 MQR65601:MQR65602 NAN65601:NAN65602 NKJ65601:NKJ65602 NUF65601:NUF65602 OEB65601:OEB65602 ONX65601:ONX65602 OXT65601:OXT65602 PHP65601:PHP65602 PRL65601:PRL65602 QBH65601:QBH65602 QLD65601:QLD65602 QUZ65601:QUZ65602 REV65601:REV65602 ROR65601:ROR65602 RYN65601:RYN65602 SIJ65601:SIJ65602 SSF65601:SSF65602 TCB65601:TCB65602 TLX65601:TLX65602 TVT65601:TVT65602 UFP65601:UFP65602 UPL65601:UPL65602 UZH65601:UZH65602 VJD65601:VJD65602 VSZ65601:VSZ65602 WCV65601:WCV65602 WMR65601:WMR65602 WWN65601:WWN65602 AF131137:AF131138 KB131137:KB131138 TX131137:TX131138 ADT131137:ADT131138 ANP131137:ANP131138 AXL131137:AXL131138 BHH131137:BHH131138 BRD131137:BRD131138 CAZ131137:CAZ131138 CKV131137:CKV131138 CUR131137:CUR131138 DEN131137:DEN131138 DOJ131137:DOJ131138 DYF131137:DYF131138 EIB131137:EIB131138 ERX131137:ERX131138 FBT131137:FBT131138 FLP131137:FLP131138 FVL131137:FVL131138 GFH131137:GFH131138 GPD131137:GPD131138 GYZ131137:GYZ131138 HIV131137:HIV131138 HSR131137:HSR131138 ICN131137:ICN131138 IMJ131137:IMJ131138 IWF131137:IWF131138 JGB131137:JGB131138 JPX131137:JPX131138 JZT131137:JZT131138 KJP131137:KJP131138 KTL131137:KTL131138 LDH131137:LDH131138 LND131137:LND131138 LWZ131137:LWZ131138 MGV131137:MGV131138 MQR131137:MQR131138 NAN131137:NAN131138 NKJ131137:NKJ131138 NUF131137:NUF131138 OEB131137:OEB131138 ONX131137:ONX131138 OXT131137:OXT131138 PHP131137:PHP131138 PRL131137:PRL131138 QBH131137:QBH131138 QLD131137:QLD131138 QUZ131137:QUZ131138 REV131137:REV131138 ROR131137:ROR131138 RYN131137:RYN131138 SIJ131137:SIJ131138 SSF131137:SSF131138 TCB131137:TCB131138 TLX131137:TLX131138 TVT131137:TVT131138 UFP131137:UFP131138 UPL131137:UPL131138 UZH131137:UZH131138 VJD131137:VJD131138 VSZ131137:VSZ131138 WCV131137:WCV131138 WMR131137:WMR131138 WWN131137:WWN131138 AF196673:AF196674 KB196673:KB196674 TX196673:TX196674 ADT196673:ADT196674 ANP196673:ANP196674 AXL196673:AXL196674 BHH196673:BHH196674 BRD196673:BRD196674 CAZ196673:CAZ196674 CKV196673:CKV196674 CUR196673:CUR196674 DEN196673:DEN196674 DOJ196673:DOJ196674 DYF196673:DYF196674 EIB196673:EIB196674 ERX196673:ERX196674 FBT196673:FBT196674 FLP196673:FLP196674 FVL196673:FVL196674 GFH196673:GFH196674 GPD196673:GPD196674 GYZ196673:GYZ196674 HIV196673:HIV196674 HSR196673:HSR196674 ICN196673:ICN196674 IMJ196673:IMJ196674 IWF196673:IWF196674 JGB196673:JGB196674 JPX196673:JPX196674 JZT196673:JZT196674 KJP196673:KJP196674 KTL196673:KTL196674 LDH196673:LDH196674 LND196673:LND196674 LWZ196673:LWZ196674 MGV196673:MGV196674 MQR196673:MQR196674 NAN196673:NAN196674 NKJ196673:NKJ196674 NUF196673:NUF196674 OEB196673:OEB196674 ONX196673:ONX196674 OXT196673:OXT196674 PHP196673:PHP196674 PRL196673:PRL196674 QBH196673:QBH196674 QLD196673:QLD196674 QUZ196673:QUZ196674 REV196673:REV196674 ROR196673:ROR196674 RYN196673:RYN196674 SIJ196673:SIJ196674 SSF196673:SSF196674 TCB196673:TCB196674 TLX196673:TLX196674 TVT196673:TVT196674 UFP196673:UFP196674 UPL196673:UPL196674 UZH196673:UZH196674 VJD196673:VJD196674 VSZ196673:VSZ196674 WCV196673:WCV196674 WMR196673:WMR196674 WWN196673:WWN196674 AF262209:AF262210 KB262209:KB262210 TX262209:TX262210 ADT262209:ADT262210 ANP262209:ANP262210 AXL262209:AXL262210 BHH262209:BHH262210 BRD262209:BRD262210 CAZ262209:CAZ262210 CKV262209:CKV262210 CUR262209:CUR262210 DEN262209:DEN262210 DOJ262209:DOJ262210 DYF262209:DYF262210 EIB262209:EIB262210 ERX262209:ERX262210 FBT262209:FBT262210 FLP262209:FLP262210 FVL262209:FVL262210 GFH262209:GFH262210 GPD262209:GPD262210 GYZ262209:GYZ262210 HIV262209:HIV262210 HSR262209:HSR262210 ICN262209:ICN262210 IMJ262209:IMJ262210 IWF262209:IWF262210 JGB262209:JGB262210 JPX262209:JPX262210 JZT262209:JZT262210 KJP262209:KJP262210 KTL262209:KTL262210 LDH262209:LDH262210 LND262209:LND262210 LWZ262209:LWZ262210 MGV262209:MGV262210 MQR262209:MQR262210 NAN262209:NAN262210 NKJ262209:NKJ262210 NUF262209:NUF262210 OEB262209:OEB262210 ONX262209:ONX262210 OXT262209:OXT262210 PHP262209:PHP262210 PRL262209:PRL262210 QBH262209:QBH262210 QLD262209:QLD262210 QUZ262209:QUZ262210 REV262209:REV262210 ROR262209:ROR262210 RYN262209:RYN262210 SIJ262209:SIJ262210 SSF262209:SSF262210 TCB262209:TCB262210 TLX262209:TLX262210 TVT262209:TVT262210 UFP262209:UFP262210 UPL262209:UPL262210 UZH262209:UZH262210 VJD262209:VJD262210 VSZ262209:VSZ262210 WCV262209:WCV262210 WMR262209:WMR262210 WWN262209:WWN262210 AF327745:AF327746 KB327745:KB327746 TX327745:TX327746 ADT327745:ADT327746 ANP327745:ANP327746 AXL327745:AXL327746 BHH327745:BHH327746 BRD327745:BRD327746 CAZ327745:CAZ327746 CKV327745:CKV327746 CUR327745:CUR327746 DEN327745:DEN327746 DOJ327745:DOJ327746 DYF327745:DYF327746 EIB327745:EIB327746 ERX327745:ERX327746 FBT327745:FBT327746 FLP327745:FLP327746 FVL327745:FVL327746 GFH327745:GFH327746 GPD327745:GPD327746 GYZ327745:GYZ327746 HIV327745:HIV327746 HSR327745:HSR327746 ICN327745:ICN327746 IMJ327745:IMJ327746 IWF327745:IWF327746 JGB327745:JGB327746 JPX327745:JPX327746 JZT327745:JZT327746 KJP327745:KJP327746 KTL327745:KTL327746 LDH327745:LDH327746 LND327745:LND327746 LWZ327745:LWZ327746 MGV327745:MGV327746 MQR327745:MQR327746 NAN327745:NAN327746 NKJ327745:NKJ327746 NUF327745:NUF327746 OEB327745:OEB327746 ONX327745:ONX327746 OXT327745:OXT327746 PHP327745:PHP327746 PRL327745:PRL327746 QBH327745:QBH327746 QLD327745:QLD327746 QUZ327745:QUZ327746 REV327745:REV327746 ROR327745:ROR327746 RYN327745:RYN327746 SIJ327745:SIJ327746 SSF327745:SSF327746 TCB327745:TCB327746 TLX327745:TLX327746 TVT327745:TVT327746 UFP327745:UFP327746 UPL327745:UPL327746 UZH327745:UZH327746 VJD327745:VJD327746 VSZ327745:VSZ327746 WCV327745:WCV327746 WMR327745:WMR327746 WWN327745:WWN327746 AF393281:AF393282 KB393281:KB393282 TX393281:TX393282 ADT393281:ADT393282 ANP393281:ANP393282 AXL393281:AXL393282 BHH393281:BHH393282 BRD393281:BRD393282 CAZ393281:CAZ393282 CKV393281:CKV393282 CUR393281:CUR393282 DEN393281:DEN393282 DOJ393281:DOJ393282 DYF393281:DYF393282 EIB393281:EIB393282 ERX393281:ERX393282 FBT393281:FBT393282 FLP393281:FLP393282 FVL393281:FVL393282 GFH393281:GFH393282 GPD393281:GPD393282 GYZ393281:GYZ393282 HIV393281:HIV393282 HSR393281:HSR393282 ICN393281:ICN393282 IMJ393281:IMJ393282 IWF393281:IWF393282 JGB393281:JGB393282 JPX393281:JPX393282 JZT393281:JZT393282 KJP393281:KJP393282 KTL393281:KTL393282 LDH393281:LDH393282 LND393281:LND393282 LWZ393281:LWZ393282 MGV393281:MGV393282 MQR393281:MQR393282 NAN393281:NAN393282 NKJ393281:NKJ393282 NUF393281:NUF393282 OEB393281:OEB393282 ONX393281:ONX393282 OXT393281:OXT393282 PHP393281:PHP393282 PRL393281:PRL393282 QBH393281:QBH393282 QLD393281:QLD393282 QUZ393281:QUZ393282 REV393281:REV393282 ROR393281:ROR393282 RYN393281:RYN393282 SIJ393281:SIJ393282 SSF393281:SSF393282 TCB393281:TCB393282 TLX393281:TLX393282 TVT393281:TVT393282 UFP393281:UFP393282 UPL393281:UPL393282 UZH393281:UZH393282 VJD393281:VJD393282 VSZ393281:VSZ393282 WCV393281:WCV393282 WMR393281:WMR393282 WWN393281:WWN393282 AF458817:AF458818 KB458817:KB458818 TX458817:TX458818 ADT458817:ADT458818 ANP458817:ANP458818 AXL458817:AXL458818 BHH458817:BHH458818 BRD458817:BRD458818 CAZ458817:CAZ458818 CKV458817:CKV458818 CUR458817:CUR458818 DEN458817:DEN458818 DOJ458817:DOJ458818 DYF458817:DYF458818 EIB458817:EIB458818 ERX458817:ERX458818 FBT458817:FBT458818 FLP458817:FLP458818 FVL458817:FVL458818 GFH458817:GFH458818 GPD458817:GPD458818 GYZ458817:GYZ458818 HIV458817:HIV458818 HSR458817:HSR458818 ICN458817:ICN458818 IMJ458817:IMJ458818 IWF458817:IWF458818 JGB458817:JGB458818 JPX458817:JPX458818 JZT458817:JZT458818 KJP458817:KJP458818 KTL458817:KTL458818 LDH458817:LDH458818 LND458817:LND458818 LWZ458817:LWZ458818 MGV458817:MGV458818 MQR458817:MQR458818 NAN458817:NAN458818 NKJ458817:NKJ458818 NUF458817:NUF458818 OEB458817:OEB458818 ONX458817:ONX458818 OXT458817:OXT458818 PHP458817:PHP458818 PRL458817:PRL458818 QBH458817:QBH458818 QLD458817:QLD458818 QUZ458817:QUZ458818 REV458817:REV458818 ROR458817:ROR458818 RYN458817:RYN458818 SIJ458817:SIJ458818 SSF458817:SSF458818 TCB458817:TCB458818 TLX458817:TLX458818 TVT458817:TVT458818 UFP458817:UFP458818 UPL458817:UPL458818 UZH458817:UZH458818 VJD458817:VJD458818 VSZ458817:VSZ458818 WCV458817:WCV458818 WMR458817:WMR458818 WWN458817:WWN458818 AF524353:AF524354 KB524353:KB524354 TX524353:TX524354 ADT524353:ADT524354 ANP524353:ANP524354 AXL524353:AXL524354 BHH524353:BHH524354 BRD524353:BRD524354 CAZ524353:CAZ524354 CKV524353:CKV524354 CUR524353:CUR524354 DEN524353:DEN524354 DOJ524353:DOJ524354 DYF524353:DYF524354 EIB524353:EIB524354 ERX524353:ERX524354 FBT524353:FBT524354 FLP524353:FLP524354 FVL524353:FVL524354 GFH524353:GFH524354 GPD524353:GPD524354 GYZ524353:GYZ524354 HIV524353:HIV524354 HSR524353:HSR524354 ICN524353:ICN524354 IMJ524353:IMJ524354 IWF524353:IWF524354 JGB524353:JGB524354 JPX524353:JPX524354 JZT524353:JZT524354 KJP524353:KJP524354 KTL524353:KTL524354 LDH524353:LDH524354 LND524353:LND524354 LWZ524353:LWZ524354 MGV524353:MGV524354 MQR524353:MQR524354 NAN524353:NAN524354 NKJ524353:NKJ524354 NUF524353:NUF524354 OEB524353:OEB524354 ONX524353:ONX524354 OXT524353:OXT524354 PHP524353:PHP524354 PRL524353:PRL524354 QBH524353:QBH524354 QLD524353:QLD524354 QUZ524353:QUZ524354 REV524353:REV524354 ROR524353:ROR524354 RYN524353:RYN524354 SIJ524353:SIJ524354 SSF524353:SSF524354 TCB524353:TCB524354 TLX524353:TLX524354 TVT524353:TVT524354 UFP524353:UFP524354 UPL524353:UPL524354 UZH524353:UZH524354 VJD524353:VJD524354 VSZ524353:VSZ524354 WCV524353:WCV524354 WMR524353:WMR524354 WWN524353:WWN524354 AF589889:AF589890 KB589889:KB589890 TX589889:TX589890 ADT589889:ADT589890 ANP589889:ANP589890 AXL589889:AXL589890 BHH589889:BHH589890 BRD589889:BRD589890 CAZ589889:CAZ589890 CKV589889:CKV589890 CUR589889:CUR589890 DEN589889:DEN589890 DOJ589889:DOJ589890 DYF589889:DYF589890 EIB589889:EIB589890 ERX589889:ERX589890 FBT589889:FBT589890 FLP589889:FLP589890 FVL589889:FVL589890 GFH589889:GFH589890 GPD589889:GPD589890 GYZ589889:GYZ589890 HIV589889:HIV589890 HSR589889:HSR589890 ICN589889:ICN589890 IMJ589889:IMJ589890 IWF589889:IWF589890 JGB589889:JGB589890 JPX589889:JPX589890 JZT589889:JZT589890 KJP589889:KJP589890 KTL589889:KTL589890 LDH589889:LDH589890 LND589889:LND589890 LWZ589889:LWZ589890 MGV589889:MGV589890 MQR589889:MQR589890 NAN589889:NAN589890 NKJ589889:NKJ589890 NUF589889:NUF589890 OEB589889:OEB589890 ONX589889:ONX589890 OXT589889:OXT589890 PHP589889:PHP589890 PRL589889:PRL589890 QBH589889:QBH589890 QLD589889:QLD589890 QUZ589889:QUZ589890 REV589889:REV589890 ROR589889:ROR589890 RYN589889:RYN589890 SIJ589889:SIJ589890 SSF589889:SSF589890 TCB589889:TCB589890 TLX589889:TLX589890 TVT589889:TVT589890 UFP589889:UFP589890 UPL589889:UPL589890 UZH589889:UZH589890 VJD589889:VJD589890 VSZ589889:VSZ589890 WCV589889:WCV589890 WMR589889:WMR589890 WWN589889:WWN589890 AF655425:AF655426 KB655425:KB655426 TX655425:TX655426 ADT655425:ADT655426 ANP655425:ANP655426 AXL655425:AXL655426 BHH655425:BHH655426 BRD655425:BRD655426 CAZ655425:CAZ655426 CKV655425:CKV655426 CUR655425:CUR655426 DEN655425:DEN655426 DOJ655425:DOJ655426 DYF655425:DYF655426 EIB655425:EIB655426 ERX655425:ERX655426 FBT655425:FBT655426 FLP655425:FLP655426 FVL655425:FVL655426 GFH655425:GFH655426 GPD655425:GPD655426 GYZ655425:GYZ655426 HIV655425:HIV655426 HSR655425:HSR655426 ICN655425:ICN655426 IMJ655425:IMJ655426 IWF655425:IWF655426 JGB655425:JGB655426 JPX655425:JPX655426 JZT655425:JZT655426 KJP655425:KJP655426 KTL655425:KTL655426 LDH655425:LDH655426 LND655425:LND655426 LWZ655425:LWZ655426 MGV655425:MGV655426 MQR655425:MQR655426 NAN655425:NAN655426 NKJ655425:NKJ655426 NUF655425:NUF655426 OEB655425:OEB655426 ONX655425:ONX655426 OXT655425:OXT655426 PHP655425:PHP655426 PRL655425:PRL655426 QBH655425:QBH655426 QLD655425:QLD655426 QUZ655425:QUZ655426 REV655425:REV655426 ROR655425:ROR655426 RYN655425:RYN655426 SIJ655425:SIJ655426 SSF655425:SSF655426 TCB655425:TCB655426 TLX655425:TLX655426 TVT655425:TVT655426 UFP655425:UFP655426 UPL655425:UPL655426 UZH655425:UZH655426 VJD655425:VJD655426 VSZ655425:VSZ655426 WCV655425:WCV655426 WMR655425:WMR655426 WWN655425:WWN655426 AF720961:AF720962 KB720961:KB720962 TX720961:TX720962 ADT720961:ADT720962 ANP720961:ANP720962 AXL720961:AXL720962 BHH720961:BHH720962 BRD720961:BRD720962 CAZ720961:CAZ720962 CKV720961:CKV720962 CUR720961:CUR720962 DEN720961:DEN720962 DOJ720961:DOJ720962 DYF720961:DYF720962 EIB720961:EIB720962 ERX720961:ERX720962 FBT720961:FBT720962 FLP720961:FLP720962 FVL720961:FVL720962 GFH720961:GFH720962 GPD720961:GPD720962 GYZ720961:GYZ720962 HIV720961:HIV720962 HSR720961:HSR720962 ICN720961:ICN720962 IMJ720961:IMJ720962 IWF720961:IWF720962 JGB720961:JGB720962 JPX720961:JPX720962 JZT720961:JZT720962 KJP720961:KJP720962 KTL720961:KTL720962 LDH720961:LDH720962 LND720961:LND720962 LWZ720961:LWZ720962 MGV720961:MGV720962 MQR720961:MQR720962 NAN720961:NAN720962 NKJ720961:NKJ720962 NUF720961:NUF720962 OEB720961:OEB720962 ONX720961:ONX720962 OXT720961:OXT720962 PHP720961:PHP720962 PRL720961:PRL720962 QBH720961:QBH720962 QLD720961:QLD720962 QUZ720961:QUZ720962 REV720961:REV720962 ROR720961:ROR720962 RYN720961:RYN720962 SIJ720961:SIJ720962 SSF720961:SSF720962 TCB720961:TCB720962 TLX720961:TLX720962 TVT720961:TVT720962 UFP720961:UFP720962 UPL720961:UPL720962 UZH720961:UZH720962 VJD720961:VJD720962 VSZ720961:VSZ720962 WCV720961:WCV720962 WMR720961:WMR720962 WWN720961:WWN720962 AF786497:AF786498 KB786497:KB786498 TX786497:TX786498 ADT786497:ADT786498 ANP786497:ANP786498 AXL786497:AXL786498 BHH786497:BHH786498 BRD786497:BRD786498 CAZ786497:CAZ786498 CKV786497:CKV786498 CUR786497:CUR786498 DEN786497:DEN786498 DOJ786497:DOJ786498 DYF786497:DYF786498 EIB786497:EIB786498 ERX786497:ERX786498 FBT786497:FBT786498 FLP786497:FLP786498 FVL786497:FVL786498 GFH786497:GFH786498 GPD786497:GPD786498 GYZ786497:GYZ786498 HIV786497:HIV786498 HSR786497:HSR786498 ICN786497:ICN786498 IMJ786497:IMJ786498 IWF786497:IWF786498 JGB786497:JGB786498 JPX786497:JPX786498 JZT786497:JZT786498 KJP786497:KJP786498 KTL786497:KTL786498 LDH786497:LDH786498 LND786497:LND786498 LWZ786497:LWZ786498 MGV786497:MGV786498 MQR786497:MQR786498 NAN786497:NAN786498 NKJ786497:NKJ786498 NUF786497:NUF786498 OEB786497:OEB786498 ONX786497:ONX786498 OXT786497:OXT786498 PHP786497:PHP786498 PRL786497:PRL786498 QBH786497:QBH786498 QLD786497:QLD786498 QUZ786497:QUZ786498 REV786497:REV786498 ROR786497:ROR786498 RYN786497:RYN786498 SIJ786497:SIJ786498 SSF786497:SSF786498 TCB786497:TCB786498 TLX786497:TLX786498 TVT786497:TVT786498 UFP786497:UFP786498 UPL786497:UPL786498 UZH786497:UZH786498 VJD786497:VJD786498 VSZ786497:VSZ786498 WCV786497:WCV786498 WMR786497:WMR786498 WWN786497:WWN786498 AF852033:AF852034 KB852033:KB852034 TX852033:TX852034 ADT852033:ADT852034 ANP852033:ANP852034 AXL852033:AXL852034 BHH852033:BHH852034 BRD852033:BRD852034 CAZ852033:CAZ852034 CKV852033:CKV852034 CUR852033:CUR852034 DEN852033:DEN852034 DOJ852033:DOJ852034 DYF852033:DYF852034 EIB852033:EIB852034 ERX852033:ERX852034 FBT852033:FBT852034 FLP852033:FLP852034 FVL852033:FVL852034 GFH852033:GFH852034 GPD852033:GPD852034 GYZ852033:GYZ852034 HIV852033:HIV852034 HSR852033:HSR852034 ICN852033:ICN852034 IMJ852033:IMJ852034 IWF852033:IWF852034 JGB852033:JGB852034 JPX852033:JPX852034 JZT852033:JZT852034 KJP852033:KJP852034 KTL852033:KTL852034 LDH852033:LDH852034 LND852033:LND852034 LWZ852033:LWZ852034 MGV852033:MGV852034 MQR852033:MQR852034 NAN852033:NAN852034 NKJ852033:NKJ852034 NUF852033:NUF852034 OEB852033:OEB852034 ONX852033:ONX852034 OXT852033:OXT852034 PHP852033:PHP852034 PRL852033:PRL852034 QBH852033:QBH852034 QLD852033:QLD852034 QUZ852033:QUZ852034 REV852033:REV852034 ROR852033:ROR852034 RYN852033:RYN852034 SIJ852033:SIJ852034 SSF852033:SSF852034 TCB852033:TCB852034 TLX852033:TLX852034 TVT852033:TVT852034 UFP852033:UFP852034 UPL852033:UPL852034 UZH852033:UZH852034 VJD852033:VJD852034 VSZ852033:VSZ852034 WCV852033:WCV852034 WMR852033:WMR852034 WWN852033:WWN852034 AF917569:AF917570 KB917569:KB917570 TX917569:TX917570 ADT917569:ADT917570 ANP917569:ANP917570 AXL917569:AXL917570 BHH917569:BHH917570 BRD917569:BRD917570 CAZ917569:CAZ917570 CKV917569:CKV917570 CUR917569:CUR917570 DEN917569:DEN917570 DOJ917569:DOJ917570 DYF917569:DYF917570 EIB917569:EIB917570 ERX917569:ERX917570 FBT917569:FBT917570 FLP917569:FLP917570 FVL917569:FVL917570 GFH917569:GFH917570 GPD917569:GPD917570 GYZ917569:GYZ917570 HIV917569:HIV917570 HSR917569:HSR917570 ICN917569:ICN917570 IMJ917569:IMJ917570 IWF917569:IWF917570 JGB917569:JGB917570 JPX917569:JPX917570 JZT917569:JZT917570 KJP917569:KJP917570 KTL917569:KTL917570 LDH917569:LDH917570 LND917569:LND917570 LWZ917569:LWZ917570 MGV917569:MGV917570 MQR917569:MQR917570 NAN917569:NAN917570 NKJ917569:NKJ917570 NUF917569:NUF917570 OEB917569:OEB917570 ONX917569:ONX917570 OXT917569:OXT917570 PHP917569:PHP917570 PRL917569:PRL917570 QBH917569:QBH917570 QLD917569:QLD917570 QUZ917569:QUZ917570 REV917569:REV917570 ROR917569:ROR917570 RYN917569:RYN917570 SIJ917569:SIJ917570 SSF917569:SSF917570 TCB917569:TCB917570 TLX917569:TLX917570 TVT917569:TVT917570 UFP917569:UFP917570 UPL917569:UPL917570 UZH917569:UZH917570 VJD917569:VJD917570 VSZ917569:VSZ917570 WCV917569:WCV917570 WMR917569:WMR917570 WWN917569:WWN917570 AF983105:AF983106 KB983105:KB983106 TX983105:TX983106 ADT983105:ADT983106 ANP983105:ANP983106 AXL983105:AXL983106 BHH983105:BHH983106 BRD983105:BRD983106 CAZ983105:CAZ983106 CKV983105:CKV983106 CUR983105:CUR983106 DEN983105:DEN983106 DOJ983105:DOJ983106 DYF983105:DYF983106 EIB983105:EIB983106 ERX983105:ERX983106 FBT983105:FBT983106 FLP983105:FLP983106 FVL983105:FVL983106 GFH983105:GFH983106 GPD983105:GPD983106 GYZ983105:GYZ983106 HIV983105:HIV983106 HSR983105:HSR983106 ICN983105:ICN983106 IMJ983105:IMJ983106 IWF983105:IWF983106 JGB983105:JGB983106 JPX983105:JPX983106 JZT983105:JZT983106 KJP983105:KJP983106 KTL983105:KTL983106 LDH983105:LDH983106 LND983105:LND983106 LWZ983105:LWZ983106 MGV983105:MGV983106 MQR983105:MQR983106 NAN983105:NAN983106 NKJ983105:NKJ983106 NUF983105:NUF983106 OEB983105:OEB983106 ONX983105:ONX983106 OXT983105:OXT983106 PHP983105:PHP983106 PRL983105:PRL983106 QBH983105:QBH983106 QLD983105:QLD983106 QUZ983105:QUZ983106 REV983105:REV983106 ROR983105:ROR983106 RYN983105:RYN983106 SIJ983105:SIJ983106 SSF983105:SSF983106 TCB983105:TCB983106 TLX983105:TLX983106 TVT983105:TVT983106 UFP983105:UFP983106 UPL983105:UPL983106 UZH983105:UZH983106 VJD983105:VJD983106 VSZ983105:VSZ983106 WCV983105:WCV983106 WMR983105:WMR983106 WWN983105:WWN983106">
      <formula1>$C$210:$C$218</formula1>
    </dataValidation>
  </dataValidations>
  <printOptions horizontalCentered="1"/>
  <pageMargins left="0.17" right="0.17" top="0.67" bottom="0.56000000000000005" header="0.4" footer="0.18"/>
  <pageSetup scale="41" fitToHeight="5" orientation="landscape" r:id="rId1"/>
  <headerFooter alignWithMargins="0">
    <oddFooter>&amp;LPage &amp;P&amp;C&amp;F, &amp;A&amp;R&amp;D</oddFooter>
  </headerFooter>
  <legacyDrawing r:id="rId2"/>
  <extLst>
    <ext xmlns:x14="http://schemas.microsoft.com/office/spreadsheetml/2009/9/main" uri="{CCE6A557-97BC-4b89-ADB6-D9C93CAAB3DF}">
      <x14:dataValidations xmlns:xm="http://schemas.microsoft.com/office/excel/2006/main" count="4">
        <x14:dataValidation type="list" showInputMessage="1" showErrorMessage="1">
          <x14:formula1>
            <xm:f>$A$210:$A$222</xm:f>
          </x14:formula1>
          <xm:sqref>AD187 JZ187 TV187 ADR187 ANN187 AXJ187 BHF187 BRB187 CAX187 CKT187 CUP187 DEL187 DOH187 DYD187 EHZ187 ERV187 FBR187 FLN187 FVJ187 GFF187 GPB187 GYX187 HIT187 HSP187 ICL187 IMH187 IWD187 JFZ187 JPV187 JZR187 KJN187 KTJ187 LDF187 LNB187 LWX187 MGT187 MQP187 NAL187 NKH187 NUD187 ODZ187 ONV187 OXR187 PHN187 PRJ187 QBF187 QLB187 QUX187 RET187 ROP187 RYL187 SIH187 SSD187 TBZ187 TLV187 TVR187 UFN187 UPJ187 UZF187 VJB187 VSX187 WCT187 WMP187 WWL187 AD65723 JZ65723 TV65723 ADR65723 ANN65723 AXJ65723 BHF65723 BRB65723 CAX65723 CKT65723 CUP65723 DEL65723 DOH65723 DYD65723 EHZ65723 ERV65723 FBR65723 FLN65723 FVJ65723 GFF65723 GPB65723 GYX65723 HIT65723 HSP65723 ICL65723 IMH65723 IWD65723 JFZ65723 JPV65723 JZR65723 KJN65723 KTJ65723 LDF65723 LNB65723 LWX65723 MGT65723 MQP65723 NAL65723 NKH65723 NUD65723 ODZ65723 ONV65723 OXR65723 PHN65723 PRJ65723 QBF65723 QLB65723 QUX65723 RET65723 ROP65723 RYL65723 SIH65723 SSD65723 TBZ65723 TLV65723 TVR65723 UFN65723 UPJ65723 UZF65723 VJB65723 VSX65723 WCT65723 WMP65723 WWL65723 AD131259 JZ131259 TV131259 ADR131259 ANN131259 AXJ131259 BHF131259 BRB131259 CAX131259 CKT131259 CUP131259 DEL131259 DOH131259 DYD131259 EHZ131259 ERV131259 FBR131259 FLN131259 FVJ131259 GFF131259 GPB131259 GYX131259 HIT131259 HSP131259 ICL131259 IMH131259 IWD131259 JFZ131259 JPV131259 JZR131259 KJN131259 KTJ131259 LDF131259 LNB131259 LWX131259 MGT131259 MQP131259 NAL131259 NKH131259 NUD131259 ODZ131259 ONV131259 OXR131259 PHN131259 PRJ131259 QBF131259 QLB131259 QUX131259 RET131259 ROP131259 RYL131259 SIH131259 SSD131259 TBZ131259 TLV131259 TVR131259 UFN131259 UPJ131259 UZF131259 VJB131259 VSX131259 WCT131259 WMP131259 WWL131259 AD196795 JZ196795 TV196795 ADR196795 ANN196795 AXJ196795 BHF196795 BRB196795 CAX196795 CKT196795 CUP196795 DEL196795 DOH196795 DYD196795 EHZ196795 ERV196795 FBR196795 FLN196795 FVJ196795 GFF196795 GPB196795 GYX196795 HIT196795 HSP196795 ICL196795 IMH196795 IWD196795 JFZ196795 JPV196795 JZR196795 KJN196795 KTJ196795 LDF196795 LNB196795 LWX196795 MGT196795 MQP196795 NAL196795 NKH196795 NUD196795 ODZ196795 ONV196795 OXR196795 PHN196795 PRJ196795 QBF196795 QLB196795 QUX196795 RET196795 ROP196795 RYL196795 SIH196795 SSD196795 TBZ196795 TLV196795 TVR196795 UFN196795 UPJ196795 UZF196795 VJB196795 VSX196795 WCT196795 WMP196795 WWL196795 AD262331 JZ262331 TV262331 ADR262331 ANN262331 AXJ262331 BHF262331 BRB262331 CAX262331 CKT262331 CUP262331 DEL262331 DOH262331 DYD262331 EHZ262331 ERV262331 FBR262331 FLN262331 FVJ262331 GFF262331 GPB262331 GYX262331 HIT262331 HSP262331 ICL262331 IMH262331 IWD262331 JFZ262331 JPV262331 JZR262331 KJN262331 KTJ262331 LDF262331 LNB262331 LWX262331 MGT262331 MQP262331 NAL262331 NKH262331 NUD262331 ODZ262331 ONV262331 OXR262331 PHN262331 PRJ262331 QBF262331 QLB262331 QUX262331 RET262331 ROP262331 RYL262331 SIH262331 SSD262331 TBZ262331 TLV262331 TVR262331 UFN262331 UPJ262331 UZF262331 VJB262331 VSX262331 WCT262331 WMP262331 WWL262331 AD327867 JZ327867 TV327867 ADR327867 ANN327867 AXJ327867 BHF327867 BRB327867 CAX327867 CKT327867 CUP327867 DEL327867 DOH327867 DYD327867 EHZ327867 ERV327867 FBR327867 FLN327867 FVJ327867 GFF327867 GPB327867 GYX327867 HIT327867 HSP327867 ICL327867 IMH327867 IWD327867 JFZ327867 JPV327867 JZR327867 KJN327867 KTJ327867 LDF327867 LNB327867 LWX327867 MGT327867 MQP327867 NAL327867 NKH327867 NUD327867 ODZ327867 ONV327867 OXR327867 PHN327867 PRJ327867 QBF327867 QLB327867 QUX327867 RET327867 ROP327867 RYL327867 SIH327867 SSD327867 TBZ327867 TLV327867 TVR327867 UFN327867 UPJ327867 UZF327867 VJB327867 VSX327867 WCT327867 WMP327867 WWL327867 AD393403 JZ393403 TV393403 ADR393403 ANN393403 AXJ393403 BHF393403 BRB393403 CAX393403 CKT393403 CUP393403 DEL393403 DOH393403 DYD393403 EHZ393403 ERV393403 FBR393403 FLN393403 FVJ393403 GFF393403 GPB393403 GYX393403 HIT393403 HSP393403 ICL393403 IMH393403 IWD393403 JFZ393403 JPV393403 JZR393403 KJN393403 KTJ393403 LDF393403 LNB393403 LWX393403 MGT393403 MQP393403 NAL393403 NKH393403 NUD393403 ODZ393403 ONV393403 OXR393403 PHN393403 PRJ393403 QBF393403 QLB393403 QUX393403 RET393403 ROP393403 RYL393403 SIH393403 SSD393403 TBZ393403 TLV393403 TVR393403 UFN393403 UPJ393403 UZF393403 VJB393403 VSX393403 WCT393403 WMP393403 WWL393403 AD458939 JZ458939 TV458939 ADR458939 ANN458939 AXJ458939 BHF458939 BRB458939 CAX458939 CKT458939 CUP458939 DEL458939 DOH458939 DYD458939 EHZ458939 ERV458939 FBR458939 FLN458939 FVJ458939 GFF458939 GPB458939 GYX458939 HIT458939 HSP458939 ICL458939 IMH458939 IWD458939 JFZ458939 JPV458939 JZR458939 KJN458939 KTJ458939 LDF458939 LNB458939 LWX458939 MGT458939 MQP458939 NAL458939 NKH458939 NUD458939 ODZ458939 ONV458939 OXR458939 PHN458939 PRJ458939 QBF458939 QLB458939 QUX458939 RET458939 ROP458939 RYL458939 SIH458939 SSD458939 TBZ458939 TLV458939 TVR458939 UFN458939 UPJ458939 UZF458939 VJB458939 VSX458939 WCT458939 WMP458939 WWL458939 AD524475 JZ524475 TV524475 ADR524475 ANN524475 AXJ524475 BHF524475 BRB524475 CAX524475 CKT524475 CUP524475 DEL524475 DOH524475 DYD524475 EHZ524475 ERV524475 FBR524475 FLN524475 FVJ524475 GFF524475 GPB524475 GYX524475 HIT524475 HSP524475 ICL524475 IMH524475 IWD524475 JFZ524475 JPV524475 JZR524475 KJN524475 KTJ524475 LDF524475 LNB524475 LWX524475 MGT524475 MQP524475 NAL524475 NKH524475 NUD524475 ODZ524475 ONV524475 OXR524475 PHN524475 PRJ524475 QBF524475 QLB524475 QUX524475 RET524475 ROP524475 RYL524475 SIH524475 SSD524475 TBZ524475 TLV524475 TVR524475 UFN524475 UPJ524475 UZF524475 VJB524475 VSX524475 WCT524475 WMP524475 WWL524475 AD590011 JZ590011 TV590011 ADR590011 ANN590011 AXJ590011 BHF590011 BRB590011 CAX590011 CKT590011 CUP590011 DEL590011 DOH590011 DYD590011 EHZ590011 ERV590011 FBR590011 FLN590011 FVJ590011 GFF590011 GPB590011 GYX590011 HIT590011 HSP590011 ICL590011 IMH590011 IWD590011 JFZ590011 JPV590011 JZR590011 KJN590011 KTJ590011 LDF590011 LNB590011 LWX590011 MGT590011 MQP590011 NAL590011 NKH590011 NUD590011 ODZ590011 ONV590011 OXR590011 PHN590011 PRJ590011 QBF590011 QLB590011 QUX590011 RET590011 ROP590011 RYL590011 SIH590011 SSD590011 TBZ590011 TLV590011 TVR590011 UFN590011 UPJ590011 UZF590011 VJB590011 VSX590011 WCT590011 WMP590011 WWL590011 AD655547 JZ655547 TV655547 ADR655547 ANN655547 AXJ655547 BHF655547 BRB655547 CAX655547 CKT655547 CUP655547 DEL655547 DOH655547 DYD655547 EHZ655547 ERV655547 FBR655547 FLN655547 FVJ655547 GFF655547 GPB655547 GYX655547 HIT655547 HSP655547 ICL655547 IMH655547 IWD655547 JFZ655547 JPV655547 JZR655547 KJN655547 KTJ655547 LDF655547 LNB655547 LWX655547 MGT655547 MQP655547 NAL655547 NKH655547 NUD655547 ODZ655547 ONV655547 OXR655547 PHN655547 PRJ655547 QBF655547 QLB655547 QUX655547 RET655547 ROP655547 RYL655547 SIH655547 SSD655547 TBZ655547 TLV655547 TVR655547 UFN655547 UPJ655547 UZF655547 VJB655547 VSX655547 WCT655547 WMP655547 WWL655547 AD721083 JZ721083 TV721083 ADR721083 ANN721083 AXJ721083 BHF721083 BRB721083 CAX721083 CKT721083 CUP721083 DEL721083 DOH721083 DYD721083 EHZ721083 ERV721083 FBR721083 FLN721083 FVJ721083 GFF721083 GPB721083 GYX721083 HIT721083 HSP721083 ICL721083 IMH721083 IWD721083 JFZ721083 JPV721083 JZR721083 KJN721083 KTJ721083 LDF721083 LNB721083 LWX721083 MGT721083 MQP721083 NAL721083 NKH721083 NUD721083 ODZ721083 ONV721083 OXR721083 PHN721083 PRJ721083 QBF721083 QLB721083 QUX721083 RET721083 ROP721083 RYL721083 SIH721083 SSD721083 TBZ721083 TLV721083 TVR721083 UFN721083 UPJ721083 UZF721083 VJB721083 VSX721083 WCT721083 WMP721083 WWL721083 AD786619 JZ786619 TV786619 ADR786619 ANN786619 AXJ786619 BHF786619 BRB786619 CAX786619 CKT786619 CUP786619 DEL786619 DOH786619 DYD786619 EHZ786619 ERV786619 FBR786619 FLN786619 FVJ786619 GFF786619 GPB786619 GYX786619 HIT786619 HSP786619 ICL786619 IMH786619 IWD786619 JFZ786619 JPV786619 JZR786619 KJN786619 KTJ786619 LDF786619 LNB786619 LWX786619 MGT786619 MQP786619 NAL786619 NKH786619 NUD786619 ODZ786619 ONV786619 OXR786619 PHN786619 PRJ786619 QBF786619 QLB786619 QUX786619 RET786619 ROP786619 RYL786619 SIH786619 SSD786619 TBZ786619 TLV786619 TVR786619 UFN786619 UPJ786619 UZF786619 VJB786619 VSX786619 WCT786619 WMP786619 WWL786619 AD852155 JZ852155 TV852155 ADR852155 ANN852155 AXJ852155 BHF852155 BRB852155 CAX852155 CKT852155 CUP852155 DEL852155 DOH852155 DYD852155 EHZ852155 ERV852155 FBR852155 FLN852155 FVJ852155 GFF852155 GPB852155 GYX852155 HIT852155 HSP852155 ICL852155 IMH852155 IWD852155 JFZ852155 JPV852155 JZR852155 KJN852155 KTJ852155 LDF852155 LNB852155 LWX852155 MGT852155 MQP852155 NAL852155 NKH852155 NUD852155 ODZ852155 ONV852155 OXR852155 PHN852155 PRJ852155 QBF852155 QLB852155 QUX852155 RET852155 ROP852155 RYL852155 SIH852155 SSD852155 TBZ852155 TLV852155 TVR852155 UFN852155 UPJ852155 UZF852155 VJB852155 VSX852155 WCT852155 WMP852155 WWL852155 AD917691 JZ917691 TV917691 ADR917691 ANN917691 AXJ917691 BHF917691 BRB917691 CAX917691 CKT917691 CUP917691 DEL917691 DOH917691 DYD917691 EHZ917691 ERV917691 FBR917691 FLN917691 FVJ917691 GFF917691 GPB917691 GYX917691 HIT917691 HSP917691 ICL917691 IMH917691 IWD917691 JFZ917691 JPV917691 JZR917691 KJN917691 KTJ917691 LDF917691 LNB917691 LWX917691 MGT917691 MQP917691 NAL917691 NKH917691 NUD917691 ODZ917691 ONV917691 OXR917691 PHN917691 PRJ917691 QBF917691 QLB917691 QUX917691 RET917691 ROP917691 RYL917691 SIH917691 SSD917691 TBZ917691 TLV917691 TVR917691 UFN917691 UPJ917691 UZF917691 VJB917691 VSX917691 WCT917691 WMP917691 WWL917691 AD983227 JZ983227 TV983227 ADR983227 ANN983227 AXJ983227 BHF983227 BRB983227 CAX983227 CKT983227 CUP983227 DEL983227 DOH983227 DYD983227 EHZ983227 ERV983227 FBR983227 FLN983227 FVJ983227 GFF983227 GPB983227 GYX983227 HIT983227 HSP983227 ICL983227 IMH983227 IWD983227 JFZ983227 JPV983227 JZR983227 KJN983227 KTJ983227 LDF983227 LNB983227 LWX983227 MGT983227 MQP983227 NAL983227 NKH983227 NUD983227 ODZ983227 ONV983227 OXR983227 PHN983227 PRJ983227 QBF983227 QLB983227 QUX983227 RET983227 ROP983227 RYL983227 SIH983227 SSD983227 TBZ983227 TLV983227 TVR983227 UFN983227 UPJ983227 UZF983227 VJB983227 VSX983227 WCT983227 WMP983227 WWL983227 AD75 JZ75 TV75 ADR75 ANN75 AXJ75 BHF75 BRB75 CAX75 CKT75 CUP75 DEL75 DOH75 DYD75 EHZ75 ERV75 FBR75 FLN75 FVJ75 GFF75 GPB75 GYX75 HIT75 HSP75 ICL75 IMH75 IWD75 JFZ75 JPV75 JZR75 KJN75 KTJ75 LDF75 LNB75 LWX75 MGT75 MQP75 NAL75 NKH75 NUD75 ODZ75 ONV75 OXR75 PHN75 PRJ75 QBF75 QLB75 QUX75 RET75 ROP75 RYL75 SIH75 SSD75 TBZ75 TLV75 TVR75 UFN75 UPJ75 UZF75 VJB75 VSX75 WCT75 WMP75 WWL75 AD65613 JZ65613 TV65613 ADR65613 ANN65613 AXJ65613 BHF65613 BRB65613 CAX65613 CKT65613 CUP65613 DEL65613 DOH65613 DYD65613 EHZ65613 ERV65613 FBR65613 FLN65613 FVJ65613 GFF65613 GPB65613 GYX65613 HIT65613 HSP65613 ICL65613 IMH65613 IWD65613 JFZ65613 JPV65613 JZR65613 KJN65613 KTJ65613 LDF65613 LNB65613 LWX65613 MGT65613 MQP65613 NAL65613 NKH65613 NUD65613 ODZ65613 ONV65613 OXR65613 PHN65613 PRJ65613 QBF65613 QLB65613 QUX65613 RET65613 ROP65613 RYL65613 SIH65613 SSD65613 TBZ65613 TLV65613 TVR65613 UFN65613 UPJ65613 UZF65613 VJB65613 VSX65613 WCT65613 WMP65613 WWL65613 AD131149 JZ131149 TV131149 ADR131149 ANN131149 AXJ131149 BHF131149 BRB131149 CAX131149 CKT131149 CUP131149 DEL131149 DOH131149 DYD131149 EHZ131149 ERV131149 FBR131149 FLN131149 FVJ131149 GFF131149 GPB131149 GYX131149 HIT131149 HSP131149 ICL131149 IMH131149 IWD131149 JFZ131149 JPV131149 JZR131149 KJN131149 KTJ131149 LDF131149 LNB131149 LWX131149 MGT131149 MQP131149 NAL131149 NKH131149 NUD131149 ODZ131149 ONV131149 OXR131149 PHN131149 PRJ131149 QBF131149 QLB131149 QUX131149 RET131149 ROP131149 RYL131149 SIH131149 SSD131149 TBZ131149 TLV131149 TVR131149 UFN131149 UPJ131149 UZF131149 VJB131149 VSX131149 WCT131149 WMP131149 WWL131149 AD196685 JZ196685 TV196685 ADR196685 ANN196685 AXJ196685 BHF196685 BRB196685 CAX196685 CKT196685 CUP196685 DEL196685 DOH196685 DYD196685 EHZ196685 ERV196685 FBR196685 FLN196685 FVJ196685 GFF196685 GPB196685 GYX196685 HIT196685 HSP196685 ICL196685 IMH196685 IWD196685 JFZ196685 JPV196685 JZR196685 KJN196685 KTJ196685 LDF196685 LNB196685 LWX196685 MGT196685 MQP196685 NAL196685 NKH196685 NUD196685 ODZ196685 ONV196685 OXR196685 PHN196685 PRJ196685 QBF196685 QLB196685 QUX196685 RET196685 ROP196685 RYL196685 SIH196685 SSD196685 TBZ196685 TLV196685 TVR196685 UFN196685 UPJ196685 UZF196685 VJB196685 VSX196685 WCT196685 WMP196685 WWL196685 AD262221 JZ262221 TV262221 ADR262221 ANN262221 AXJ262221 BHF262221 BRB262221 CAX262221 CKT262221 CUP262221 DEL262221 DOH262221 DYD262221 EHZ262221 ERV262221 FBR262221 FLN262221 FVJ262221 GFF262221 GPB262221 GYX262221 HIT262221 HSP262221 ICL262221 IMH262221 IWD262221 JFZ262221 JPV262221 JZR262221 KJN262221 KTJ262221 LDF262221 LNB262221 LWX262221 MGT262221 MQP262221 NAL262221 NKH262221 NUD262221 ODZ262221 ONV262221 OXR262221 PHN262221 PRJ262221 QBF262221 QLB262221 QUX262221 RET262221 ROP262221 RYL262221 SIH262221 SSD262221 TBZ262221 TLV262221 TVR262221 UFN262221 UPJ262221 UZF262221 VJB262221 VSX262221 WCT262221 WMP262221 WWL262221 AD327757 JZ327757 TV327757 ADR327757 ANN327757 AXJ327757 BHF327757 BRB327757 CAX327757 CKT327757 CUP327757 DEL327757 DOH327757 DYD327757 EHZ327757 ERV327757 FBR327757 FLN327757 FVJ327757 GFF327757 GPB327757 GYX327757 HIT327757 HSP327757 ICL327757 IMH327757 IWD327757 JFZ327757 JPV327757 JZR327757 KJN327757 KTJ327757 LDF327757 LNB327757 LWX327757 MGT327757 MQP327757 NAL327757 NKH327757 NUD327757 ODZ327757 ONV327757 OXR327757 PHN327757 PRJ327757 QBF327757 QLB327757 QUX327757 RET327757 ROP327757 RYL327757 SIH327757 SSD327757 TBZ327757 TLV327757 TVR327757 UFN327757 UPJ327757 UZF327757 VJB327757 VSX327757 WCT327757 WMP327757 WWL327757 AD393293 JZ393293 TV393293 ADR393293 ANN393293 AXJ393293 BHF393293 BRB393293 CAX393293 CKT393293 CUP393293 DEL393293 DOH393293 DYD393293 EHZ393293 ERV393293 FBR393293 FLN393293 FVJ393293 GFF393293 GPB393293 GYX393293 HIT393293 HSP393293 ICL393293 IMH393293 IWD393293 JFZ393293 JPV393293 JZR393293 KJN393293 KTJ393293 LDF393293 LNB393293 LWX393293 MGT393293 MQP393293 NAL393293 NKH393293 NUD393293 ODZ393293 ONV393293 OXR393293 PHN393293 PRJ393293 QBF393293 QLB393293 QUX393293 RET393293 ROP393293 RYL393293 SIH393293 SSD393293 TBZ393293 TLV393293 TVR393293 UFN393293 UPJ393293 UZF393293 VJB393293 VSX393293 WCT393293 WMP393293 WWL393293 AD458829 JZ458829 TV458829 ADR458829 ANN458829 AXJ458829 BHF458829 BRB458829 CAX458829 CKT458829 CUP458829 DEL458829 DOH458829 DYD458829 EHZ458829 ERV458829 FBR458829 FLN458829 FVJ458829 GFF458829 GPB458829 GYX458829 HIT458829 HSP458829 ICL458829 IMH458829 IWD458829 JFZ458829 JPV458829 JZR458829 KJN458829 KTJ458829 LDF458829 LNB458829 LWX458829 MGT458829 MQP458829 NAL458829 NKH458829 NUD458829 ODZ458829 ONV458829 OXR458829 PHN458829 PRJ458829 QBF458829 QLB458829 QUX458829 RET458829 ROP458829 RYL458829 SIH458829 SSD458829 TBZ458829 TLV458829 TVR458829 UFN458829 UPJ458829 UZF458829 VJB458829 VSX458829 WCT458829 WMP458829 WWL458829 AD524365 JZ524365 TV524365 ADR524365 ANN524365 AXJ524365 BHF524365 BRB524365 CAX524365 CKT524365 CUP524365 DEL524365 DOH524365 DYD524365 EHZ524365 ERV524365 FBR524365 FLN524365 FVJ524365 GFF524365 GPB524365 GYX524365 HIT524365 HSP524365 ICL524365 IMH524365 IWD524365 JFZ524365 JPV524365 JZR524365 KJN524365 KTJ524365 LDF524365 LNB524365 LWX524365 MGT524365 MQP524365 NAL524365 NKH524365 NUD524365 ODZ524365 ONV524365 OXR524365 PHN524365 PRJ524365 QBF524365 QLB524365 QUX524365 RET524365 ROP524365 RYL524365 SIH524365 SSD524365 TBZ524365 TLV524365 TVR524365 UFN524365 UPJ524365 UZF524365 VJB524365 VSX524365 WCT524365 WMP524365 WWL524365 AD589901 JZ589901 TV589901 ADR589901 ANN589901 AXJ589901 BHF589901 BRB589901 CAX589901 CKT589901 CUP589901 DEL589901 DOH589901 DYD589901 EHZ589901 ERV589901 FBR589901 FLN589901 FVJ589901 GFF589901 GPB589901 GYX589901 HIT589901 HSP589901 ICL589901 IMH589901 IWD589901 JFZ589901 JPV589901 JZR589901 KJN589901 KTJ589901 LDF589901 LNB589901 LWX589901 MGT589901 MQP589901 NAL589901 NKH589901 NUD589901 ODZ589901 ONV589901 OXR589901 PHN589901 PRJ589901 QBF589901 QLB589901 QUX589901 RET589901 ROP589901 RYL589901 SIH589901 SSD589901 TBZ589901 TLV589901 TVR589901 UFN589901 UPJ589901 UZF589901 VJB589901 VSX589901 WCT589901 WMP589901 WWL589901 AD655437 JZ655437 TV655437 ADR655437 ANN655437 AXJ655437 BHF655437 BRB655437 CAX655437 CKT655437 CUP655437 DEL655437 DOH655437 DYD655437 EHZ655437 ERV655437 FBR655437 FLN655437 FVJ655437 GFF655437 GPB655437 GYX655437 HIT655437 HSP655437 ICL655437 IMH655437 IWD655437 JFZ655437 JPV655437 JZR655437 KJN655437 KTJ655437 LDF655437 LNB655437 LWX655437 MGT655437 MQP655437 NAL655437 NKH655437 NUD655437 ODZ655437 ONV655437 OXR655437 PHN655437 PRJ655437 QBF655437 QLB655437 QUX655437 RET655437 ROP655437 RYL655437 SIH655437 SSD655437 TBZ655437 TLV655437 TVR655437 UFN655437 UPJ655437 UZF655437 VJB655437 VSX655437 WCT655437 WMP655437 WWL655437 AD720973 JZ720973 TV720973 ADR720973 ANN720973 AXJ720973 BHF720973 BRB720973 CAX720973 CKT720973 CUP720973 DEL720973 DOH720973 DYD720973 EHZ720973 ERV720973 FBR720973 FLN720973 FVJ720973 GFF720973 GPB720973 GYX720973 HIT720973 HSP720973 ICL720973 IMH720973 IWD720973 JFZ720973 JPV720973 JZR720973 KJN720973 KTJ720973 LDF720973 LNB720973 LWX720973 MGT720973 MQP720973 NAL720973 NKH720973 NUD720973 ODZ720973 ONV720973 OXR720973 PHN720973 PRJ720973 QBF720973 QLB720973 QUX720973 RET720973 ROP720973 RYL720973 SIH720973 SSD720973 TBZ720973 TLV720973 TVR720973 UFN720973 UPJ720973 UZF720973 VJB720973 VSX720973 WCT720973 WMP720973 WWL720973 AD786509 JZ786509 TV786509 ADR786509 ANN786509 AXJ786509 BHF786509 BRB786509 CAX786509 CKT786509 CUP786509 DEL786509 DOH786509 DYD786509 EHZ786509 ERV786509 FBR786509 FLN786509 FVJ786509 GFF786509 GPB786509 GYX786509 HIT786509 HSP786509 ICL786509 IMH786509 IWD786509 JFZ786509 JPV786509 JZR786509 KJN786509 KTJ786509 LDF786509 LNB786509 LWX786509 MGT786509 MQP786509 NAL786509 NKH786509 NUD786509 ODZ786509 ONV786509 OXR786509 PHN786509 PRJ786509 QBF786509 QLB786509 QUX786509 RET786509 ROP786509 RYL786509 SIH786509 SSD786509 TBZ786509 TLV786509 TVR786509 UFN786509 UPJ786509 UZF786509 VJB786509 VSX786509 WCT786509 WMP786509 WWL786509 AD852045 JZ852045 TV852045 ADR852045 ANN852045 AXJ852045 BHF852045 BRB852045 CAX852045 CKT852045 CUP852045 DEL852045 DOH852045 DYD852045 EHZ852045 ERV852045 FBR852045 FLN852045 FVJ852045 GFF852045 GPB852045 GYX852045 HIT852045 HSP852045 ICL852045 IMH852045 IWD852045 JFZ852045 JPV852045 JZR852045 KJN852045 KTJ852045 LDF852045 LNB852045 LWX852045 MGT852045 MQP852045 NAL852045 NKH852045 NUD852045 ODZ852045 ONV852045 OXR852045 PHN852045 PRJ852045 QBF852045 QLB852045 QUX852045 RET852045 ROP852045 RYL852045 SIH852045 SSD852045 TBZ852045 TLV852045 TVR852045 UFN852045 UPJ852045 UZF852045 VJB852045 VSX852045 WCT852045 WMP852045 WWL852045 AD917581 JZ917581 TV917581 ADR917581 ANN917581 AXJ917581 BHF917581 BRB917581 CAX917581 CKT917581 CUP917581 DEL917581 DOH917581 DYD917581 EHZ917581 ERV917581 FBR917581 FLN917581 FVJ917581 GFF917581 GPB917581 GYX917581 HIT917581 HSP917581 ICL917581 IMH917581 IWD917581 JFZ917581 JPV917581 JZR917581 KJN917581 KTJ917581 LDF917581 LNB917581 LWX917581 MGT917581 MQP917581 NAL917581 NKH917581 NUD917581 ODZ917581 ONV917581 OXR917581 PHN917581 PRJ917581 QBF917581 QLB917581 QUX917581 RET917581 ROP917581 RYL917581 SIH917581 SSD917581 TBZ917581 TLV917581 TVR917581 UFN917581 UPJ917581 UZF917581 VJB917581 VSX917581 WCT917581 WMP917581 WWL917581 AD983117 JZ983117 TV983117 ADR983117 ANN983117 AXJ983117 BHF983117 BRB983117 CAX983117 CKT983117 CUP983117 DEL983117 DOH983117 DYD983117 EHZ983117 ERV983117 FBR983117 FLN983117 FVJ983117 GFF983117 GPB983117 GYX983117 HIT983117 HSP983117 ICL983117 IMH983117 IWD983117 JFZ983117 JPV983117 JZR983117 KJN983117 KTJ983117 LDF983117 LNB983117 LWX983117 MGT983117 MQP983117 NAL983117 NKH983117 NUD983117 ODZ983117 ONV983117 OXR983117 PHN983117 PRJ983117 QBF983117 QLB983117 QUX983117 RET983117 ROP983117 RYL983117 SIH983117 SSD983117 TBZ983117 TLV983117 TVR983117 UFN983117 UPJ983117 UZF983117 VJB983117 VSX983117 WCT983117 WMP983117 WWL983117 AD103 JZ103 TV103 ADR103 ANN103 AXJ103 BHF103 BRB103 CAX103 CKT103 CUP103 DEL103 DOH103 DYD103 EHZ103 ERV103 FBR103 FLN103 FVJ103 GFF103 GPB103 GYX103 HIT103 HSP103 ICL103 IMH103 IWD103 JFZ103 JPV103 JZR103 KJN103 KTJ103 LDF103 LNB103 LWX103 MGT103 MQP103 NAL103 NKH103 NUD103 ODZ103 ONV103 OXR103 PHN103 PRJ103 QBF103 QLB103 QUX103 RET103 ROP103 RYL103 SIH103 SSD103 TBZ103 TLV103 TVR103 UFN103 UPJ103 UZF103 VJB103 VSX103 WCT103 WMP103 WWL103 AD65640 JZ65640 TV65640 ADR65640 ANN65640 AXJ65640 BHF65640 BRB65640 CAX65640 CKT65640 CUP65640 DEL65640 DOH65640 DYD65640 EHZ65640 ERV65640 FBR65640 FLN65640 FVJ65640 GFF65640 GPB65640 GYX65640 HIT65640 HSP65640 ICL65640 IMH65640 IWD65640 JFZ65640 JPV65640 JZR65640 KJN65640 KTJ65640 LDF65640 LNB65640 LWX65640 MGT65640 MQP65640 NAL65640 NKH65640 NUD65640 ODZ65640 ONV65640 OXR65640 PHN65640 PRJ65640 QBF65640 QLB65640 QUX65640 RET65640 ROP65640 RYL65640 SIH65640 SSD65640 TBZ65640 TLV65640 TVR65640 UFN65640 UPJ65640 UZF65640 VJB65640 VSX65640 WCT65640 WMP65640 WWL65640 AD131176 JZ131176 TV131176 ADR131176 ANN131176 AXJ131176 BHF131176 BRB131176 CAX131176 CKT131176 CUP131176 DEL131176 DOH131176 DYD131176 EHZ131176 ERV131176 FBR131176 FLN131176 FVJ131176 GFF131176 GPB131176 GYX131176 HIT131176 HSP131176 ICL131176 IMH131176 IWD131176 JFZ131176 JPV131176 JZR131176 KJN131176 KTJ131176 LDF131176 LNB131176 LWX131176 MGT131176 MQP131176 NAL131176 NKH131176 NUD131176 ODZ131176 ONV131176 OXR131176 PHN131176 PRJ131176 QBF131176 QLB131176 QUX131176 RET131176 ROP131176 RYL131176 SIH131176 SSD131176 TBZ131176 TLV131176 TVR131176 UFN131176 UPJ131176 UZF131176 VJB131176 VSX131176 WCT131176 WMP131176 WWL131176 AD196712 JZ196712 TV196712 ADR196712 ANN196712 AXJ196712 BHF196712 BRB196712 CAX196712 CKT196712 CUP196712 DEL196712 DOH196712 DYD196712 EHZ196712 ERV196712 FBR196712 FLN196712 FVJ196712 GFF196712 GPB196712 GYX196712 HIT196712 HSP196712 ICL196712 IMH196712 IWD196712 JFZ196712 JPV196712 JZR196712 KJN196712 KTJ196712 LDF196712 LNB196712 LWX196712 MGT196712 MQP196712 NAL196712 NKH196712 NUD196712 ODZ196712 ONV196712 OXR196712 PHN196712 PRJ196712 QBF196712 QLB196712 QUX196712 RET196712 ROP196712 RYL196712 SIH196712 SSD196712 TBZ196712 TLV196712 TVR196712 UFN196712 UPJ196712 UZF196712 VJB196712 VSX196712 WCT196712 WMP196712 WWL196712 AD262248 JZ262248 TV262248 ADR262248 ANN262248 AXJ262248 BHF262248 BRB262248 CAX262248 CKT262248 CUP262248 DEL262248 DOH262248 DYD262248 EHZ262248 ERV262248 FBR262248 FLN262248 FVJ262248 GFF262248 GPB262248 GYX262248 HIT262248 HSP262248 ICL262248 IMH262248 IWD262248 JFZ262248 JPV262248 JZR262248 KJN262248 KTJ262248 LDF262248 LNB262248 LWX262248 MGT262248 MQP262248 NAL262248 NKH262248 NUD262248 ODZ262248 ONV262248 OXR262248 PHN262248 PRJ262248 QBF262248 QLB262248 QUX262248 RET262248 ROP262248 RYL262248 SIH262248 SSD262248 TBZ262248 TLV262248 TVR262248 UFN262248 UPJ262248 UZF262248 VJB262248 VSX262248 WCT262248 WMP262248 WWL262248 AD327784 JZ327784 TV327784 ADR327784 ANN327784 AXJ327784 BHF327784 BRB327784 CAX327784 CKT327784 CUP327784 DEL327784 DOH327784 DYD327784 EHZ327784 ERV327784 FBR327784 FLN327784 FVJ327784 GFF327784 GPB327784 GYX327784 HIT327784 HSP327784 ICL327784 IMH327784 IWD327784 JFZ327784 JPV327784 JZR327784 KJN327784 KTJ327784 LDF327784 LNB327784 LWX327784 MGT327784 MQP327784 NAL327784 NKH327784 NUD327784 ODZ327784 ONV327784 OXR327784 PHN327784 PRJ327784 QBF327784 QLB327784 QUX327784 RET327784 ROP327784 RYL327784 SIH327784 SSD327784 TBZ327784 TLV327784 TVR327784 UFN327784 UPJ327784 UZF327784 VJB327784 VSX327784 WCT327784 WMP327784 WWL327784 AD393320 JZ393320 TV393320 ADR393320 ANN393320 AXJ393320 BHF393320 BRB393320 CAX393320 CKT393320 CUP393320 DEL393320 DOH393320 DYD393320 EHZ393320 ERV393320 FBR393320 FLN393320 FVJ393320 GFF393320 GPB393320 GYX393320 HIT393320 HSP393320 ICL393320 IMH393320 IWD393320 JFZ393320 JPV393320 JZR393320 KJN393320 KTJ393320 LDF393320 LNB393320 LWX393320 MGT393320 MQP393320 NAL393320 NKH393320 NUD393320 ODZ393320 ONV393320 OXR393320 PHN393320 PRJ393320 QBF393320 QLB393320 QUX393320 RET393320 ROP393320 RYL393320 SIH393320 SSD393320 TBZ393320 TLV393320 TVR393320 UFN393320 UPJ393320 UZF393320 VJB393320 VSX393320 WCT393320 WMP393320 WWL393320 AD458856 JZ458856 TV458856 ADR458856 ANN458856 AXJ458856 BHF458856 BRB458856 CAX458856 CKT458856 CUP458856 DEL458856 DOH458856 DYD458856 EHZ458856 ERV458856 FBR458856 FLN458856 FVJ458856 GFF458856 GPB458856 GYX458856 HIT458856 HSP458856 ICL458856 IMH458856 IWD458856 JFZ458856 JPV458856 JZR458856 KJN458856 KTJ458856 LDF458856 LNB458856 LWX458856 MGT458856 MQP458856 NAL458856 NKH458856 NUD458856 ODZ458856 ONV458856 OXR458856 PHN458856 PRJ458856 QBF458856 QLB458856 QUX458856 RET458856 ROP458856 RYL458856 SIH458856 SSD458856 TBZ458856 TLV458856 TVR458856 UFN458856 UPJ458856 UZF458856 VJB458856 VSX458856 WCT458856 WMP458856 WWL458856 AD524392 JZ524392 TV524392 ADR524392 ANN524392 AXJ524392 BHF524392 BRB524392 CAX524392 CKT524392 CUP524392 DEL524392 DOH524392 DYD524392 EHZ524392 ERV524392 FBR524392 FLN524392 FVJ524392 GFF524392 GPB524392 GYX524392 HIT524392 HSP524392 ICL524392 IMH524392 IWD524392 JFZ524392 JPV524392 JZR524392 KJN524392 KTJ524392 LDF524392 LNB524392 LWX524392 MGT524392 MQP524392 NAL524392 NKH524392 NUD524392 ODZ524392 ONV524392 OXR524392 PHN524392 PRJ524392 QBF524392 QLB524392 QUX524392 RET524392 ROP524392 RYL524392 SIH524392 SSD524392 TBZ524392 TLV524392 TVR524392 UFN524392 UPJ524392 UZF524392 VJB524392 VSX524392 WCT524392 WMP524392 WWL524392 AD589928 JZ589928 TV589928 ADR589928 ANN589928 AXJ589928 BHF589928 BRB589928 CAX589928 CKT589928 CUP589928 DEL589928 DOH589928 DYD589928 EHZ589928 ERV589928 FBR589928 FLN589928 FVJ589928 GFF589928 GPB589928 GYX589928 HIT589928 HSP589928 ICL589928 IMH589928 IWD589928 JFZ589928 JPV589928 JZR589928 KJN589928 KTJ589928 LDF589928 LNB589928 LWX589928 MGT589928 MQP589928 NAL589928 NKH589928 NUD589928 ODZ589928 ONV589928 OXR589928 PHN589928 PRJ589928 QBF589928 QLB589928 QUX589928 RET589928 ROP589928 RYL589928 SIH589928 SSD589928 TBZ589928 TLV589928 TVR589928 UFN589928 UPJ589928 UZF589928 VJB589928 VSX589928 WCT589928 WMP589928 WWL589928 AD655464 JZ655464 TV655464 ADR655464 ANN655464 AXJ655464 BHF655464 BRB655464 CAX655464 CKT655464 CUP655464 DEL655464 DOH655464 DYD655464 EHZ655464 ERV655464 FBR655464 FLN655464 FVJ655464 GFF655464 GPB655464 GYX655464 HIT655464 HSP655464 ICL655464 IMH655464 IWD655464 JFZ655464 JPV655464 JZR655464 KJN655464 KTJ655464 LDF655464 LNB655464 LWX655464 MGT655464 MQP655464 NAL655464 NKH655464 NUD655464 ODZ655464 ONV655464 OXR655464 PHN655464 PRJ655464 QBF655464 QLB655464 QUX655464 RET655464 ROP655464 RYL655464 SIH655464 SSD655464 TBZ655464 TLV655464 TVR655464 UFN655464 UPJ655464 UZF655464 VJB655464 VSX655464 WCT655464 WMP655464 WWL655464 AD721000 JZ721000 TV721000 ADR721000 ANN721000 AXJ721000 BHF721000 BRB721000 CAX721000 CKT721000 CUP721000 DEL721000 DOH721000 DYD721000 EHZ721000 ERV721000 FBR721000 FLN721000 FVJ721000 GFF721000 GPB721000 GYX721000 HIT721000 HSP721000 ICL721000 IMH721000 IWD721000 JFZ721000 JPV721000 JZR721000 KJN721000 KTJ721000 LDF721000 LNB721000 LWX721000 MGT721000 MQP721000 NAL721000 NKH721000 NUD721000 ODZ721000 ONV721000 OXR721000 PHN721000 PRJ721000 QBF721000 QLB721000 QUX721000 RET721000 ROP721000 RYL721000 SIH721000 SSD721000 TBZ721000 TLV721000 TVR721000 UFN721000 UPJ721000 UZF721000 VJB721000 VSX721000 WCT721000 WMP721000 WWL721000 AD786536 JZ786536 TV786536 ADR786536 ANN786536 AXJ786536 BHF786536 BRB786536 CAX786536 CKT786536 CUP786536 DEL786536 DOH786536 DYD786536 EHZ786536 ERV786536 FBR786536 FLN786536 FVJ786536 GFF786536 GPB786536 GYX786536 HIT786536 HSP786536 ICL786536 IMH786536 IWD786536 JFZ786536 JPV786536 JZR786536 KJN786536 KTJ786536 LDF786536 LNB786536 LWX786536 MGT786536 MQP786536 NAL786536 NKH786536 NUD786536 ODZ786536 ONV786536 OXR786536 PHN786536 PRJ786536 QBF786536 QLB786536 QUX786536 RET786536 ROP786536 RYL786536 SIH786536 SSD786536 TBZ786536 TLV786536 TVR786536 UFN786536 UPJ786536 UZF786536 VJB786536 VSX786536 WCT786536 WMP786536 WWL786536 AD852072 JZ852072 TV852072 ADR852072 ANN852072 AXJ852072 BHF852072 BRB852072 CAX852072 CKT852072 CUP852072 DEL852072 DOH852072 DYD852072 EHZ852072 ERV852072 FBR852072 FLN852072 FVJ852072 GFF852072 GPB852072 GYX852072 HIT852072 HSP852072 ICL852072 IMH852072 IWD852072 JFZ852072 JPV852072 JZR852072 KJN852072 KTJ852072 LDF852072 LNB852072 LWX852072 MGT852072 MQP852072 NAL852072 NKH852072 NUD852072 ODZ852072 ONV852072 OXR852072 PHN852072 PRJ852072 QBF852072 QLB852072 QUX852072 RET852072 ROP852072 RYL852072 SIH852072 SSD852072 TBZ852072 TLV852072 TVR852072 UFN852072 UPJ852072 UZF852072 VJB852072 VSX852072 WCT852072 WMP852072 WWL852072 AD917608 JZ917608 TV917608 ADR917608 ANN917608 AXJ917608 BHF917608 BRB917608 CAX917608 CKT917608 CUP917608 DEL917608 DOH917608 DYD917608 EHZ917608 ERV917608 FBR917608 FLN917608 FVJ917608 GFF917608 GPB917608 GYX917608 HIT917608 HSP917608 ICL917608 IMH917608 IWD917608 JFZ917608 JPV917608 JZR917608 KJN917608 KTJ917608 LDF917608 LNB917608 LWX917608 MGT917608 MQP917608 NAL917608 NKH917608 NUD917608 ODZ917608 ONV917608 OXR917608 PHN917608 PRJ917608 QBF917608 QLB917608 QUX917608 RET917608 ROP917608 RYL917608 SIH917608 SSD917608 TBZ917608 TLV917608 TVR917608 UFN917608 UPJ917608 UZF917608 VJB917608 VSX917608 WCT917608 WMP917608 WWL917608 AD983144 JZ983144 TV983144 ADR983144 ANN983144 AXJ983144 BHF983144 BRB983144 CAX983144 CKT983144 CUP983144 DEL983144 DOH983144 DYD983144 EHZ983144 ERV983144 FBR983144 FLN983144 FVJ983144 GFF983144 GPB983144 GYX983144 HIT983144 HSP983144 ICL983144 IMH983144 IWD983144 JFZ983144 JPV983144 JZR983144 KJN983144 KTJ983144 LDF983144 LNB983144 LWX983144 MGT983144 MQP983144 NAL983144 NKH983144 NUD983144 ODZ983144 ONV983144 OXR983144 PHN983144 PRJ983144 QBF983144 QLB983144 QUX983144 RET983144 ROP983144 RYL983144 SIH983144 SSD983144 TBZ983144 TLV983144 TVR983144 UFN983144 UPJ983144 UZF983144 VJB983144 VSX983144 WCT983144 WMP983144 WWL983144 AD99 JZ99 TV99 ADR99 ANN99 AXJ99 BHF99 BRB99 CAX99 CKT99 CUP99 DEL99 DOH99 DYD99 EHZ99 ERV99 FBR99 FLN99 FVJ99 GFF99 GPB99 GYX99 HIT99 HSP99 ICL99 IMH99 IWD99 JFZ99 JPV99 JZR99 KJN99 KTJ99 LDF99 LNB99 LWX99 MGT99 MQP99 NAL99 NKH99 NUD99 ODZ99 ONV99 OXR99 PHN99 PRJ99 QBF99 QLB99 QUX99 RET99 ROP99 RYL99 SIH99 SSD99 TBZ99 TLV99 TVR99 UFN99 UPJ99 UZF99 VJB99 VSX99 WCT99 WMP99 WWL99 AD65636 JZ65636 TV65636 ADR65636 ANN65636 AXJ65636 BHF65636 BRB65636 CAX65636 CKT65636 CUP65636 DEL65636 DOH65636 DYD65636 EHZ65636 ERV65636 FBR65636 FLN65636 FVJ65636 GFF65636 GPB65636 GYX65636 HIT65636 HSP65636 ICL65636 IMH65636 IWD65636 JFZ65636 JPV65636 JZR65636 KJN65636 KTJ65636 LDF65636 LNB65636 LWX65636 MGT65636 MQP65636 NAL65636 NKH65636 NUD65636 ODZ65636 ONV65636 OXR65636 PHN65636 PRJ65636 QBF65636 QLB65636 QUX65636 RET65636 ROP65636 RYL65636 SIH65636 SSD65636 TBZ65636 TLV65636 TVR65636 UFN65636 UPJ65636 UZF65636 VJB65636 VSX65636 WCT65636 WMP65636 WWL65636 AD131172 JZ131172 TV131172 ADR131172 ANN131172 AXJ131172 BHF131172 BRB131172 CAX131172 CKT131172 CUP131172 DEL131172 DOH131172 DYD131172 EHZ131172 ERV131172 FBR131172 FLN131172 FVJ131172 GFF131172 GPB131172 GYX131172 HIT131172 HSP131172 ICL131172 IMH131172 IWD131172 JFZ131172 JPV131172 JZR131172 KJN131172 KTJ131172 LDF131172 LNB131172 LWX131172 MGT131172 MQP131172 NAL131172 NKH131172 NUD131172 ODZ131172 ONV131172 OXR131172 PHN131172 PRJ131172 QBF131172 QLB131172 QUX131172 RET131172 ROP131172 RYL131172 SIH131172 SSD131172 TBZ131172 TLV131172 TVR131172 UFN131172 UPJ131172 UZF131172 VJB131172 VSX131172 WCT131172 WMP131172 WWL131172 AD196708 JZ196708 TV196708 ADR196708 ANN196708 AXJ196708 BHF196708 BRB196708 CAX196708 CKT196708 CUP196708 DEL196708 DOH196708 DYD196708 EHZ196708 ERV196708 FBR196708 FLN196708 FVJ196708 GFF196708 GPB196708 GYX196708 HIT196708 HSP196708 ICL196708 IMH196708 IWD196708 JFZ196708 JPV196708 JZR196708 KJN196708 KTJ196708 LDF196708 LNB196708 LWX196708 MGT196708 MQP196708 NAL196708 NKH196708 NUD196708 ODZ196708 ONV196708 OXR196708 PHN196708 PRJ196708 QBF196708 QLB196708 QUX196708 RET196708 ROP196708 RYL196708 SIH196708 SSD196708 TBZ196708 TLV196708 TVR196708 UFN196708 UPJ196708 UZF196708 VJB196708 VSX196708 WCT196708 WMP196708 WWL196708 AD262244 JZ262244 TV262244 ADR262244 ANN262244 AXJ262244 BHF262244 BRB262244 CAX262244 CKT262244 CUP262244 DEL262244 DOH262244 DYD262244 EHZ262244 ERV262244 FBR262244 FLN262244 FVJ262244 GFF262244 GPB262244 GYX262244 HIT262244 HSP262244 ICL262244 IMH262244 IWD262244 JFZ262244 JPV262244 JZR262244 KJN262244 KTJ262244 LDF262244 LNB262244 LWX262244 MGT262244 MQP262244 NAL262244 NKH262244 NUD262244 ODZ262244 ONV262244 OXR262244 PHN262244 PRJ262244 QBF262244 QLB262244 QUX262244 RET262244 ROP262244 RYL262244 SIH262244 SSD262244 TBZ262244 TLV262244 TVR262244 UFN262244 UPJ262244 UZF262244 VJB262244 VSX262244 WCT262244 WMP262244 WWL262244 AD327780 JZ327780 TV327780 ADR327780 ANN327780 AXJ327780 BHF327780 BRB327780 CAX327780 CKT327780 CUP327780 DEL327780 DOH327780 DYD327780 EHZ327780 ERV327780 FBR327780 FLN327780 FVJ327780 GFF327780 GPB327780 GYX327780 HIT327780 HSP327780 ICL327780 IMH327780 IWD327780 JFZ327780 JPV327780 JZR327780 KJN327780 KTJ327780 LDF327780 LNB327780 LWX327780 MGT327780 MQP327780 NAL327780 NKH327780 NUD327780 ODZ327780 ONV327780 OXR327780 PHN327780 PRJ327780 QBF327780 QLB327780 QUX327780 RET327780 ROP327780 RYL327780 SIH327780 SSD327780 TBZ327780 TLV327780 TVR327780 UFN327780 UPJ327780 UZF327780 VJB327780 VSX327780 WCT327780 WMP327780 WWL327780 AD393316 JZ393316 TV393316 ADR393316 ANN393316 AXJ393316 BHF393316 BRB393316 CAX393316 CKT393316 CUP393316 DEL393316 DOH393316 DYD393316 EHZ393316 ERV393316 FBR393316 FLN393316 FVJ393316 GFF393316 GPB393316 GYX393316 HIT393316 HSP393316 ICL393316 IMH393316 IWD393316 JFZ393316 JPV393316 JZR393316 KJN393316 KTJ393316 LDF393316 LNB393316 LWX393316 MGT393316 MQP393316 NAL393316 NKH393316 NUD393316 ODZ393316 ONV393316 OXR393316 PHN393316 PRJ393316 QBF393316 QLB393316 QUX393316 RET393316 ROP393316 RYL393316 SIH393316 SSD393316 TBZ393316 TLV393316 TVR393316 UFN393316 UPJ393316 UZF393316 VJB393316 VSX393316 WCT393316 WMP393316 WWL393316 AD458852 JZ458852 TV458852 ADR458852 ANN458852 AXJ458852 BHF458852 BRB458852 CAX458852 CKT458852 CUP458852 DEL458852 DOH458852 DYD458852 EHZ458852 ERV458852 FBR458852 FLN458852 FVJ458852 GFF458852 GPB458852 GYX458852 HIT458852 HSP458852 ICL458852 IMH458852 IWD458852 JFZ458852 JPV458852 JZR458852 KJN458852 KTJ458852 LDF458852 LNB458852 LWX458852 MGT458852 MQP458852 NAL458852 NKH458852 NUD458852 ODZ458852 ONV458852 OXR458852 PHN458852 PRJ458852 QBF458852 QLB458852 QUX458852 RET458852 ROP458852 RYL458852 SIH458852 SSD458852 TBZ458852 TLV458852 TVR458852 UFN458852 UPJ458852 UZF458852 VJB458852 VSX458852 WCT458852 WMP458852 WWL458852 AD524388 JZ524388 TV524388 ADR524388 ANN524388 AXJ524388 BHF524388 BRB524388 CAX524388 CKT524388 CUP524388 DEL524388 DOH524388 DYD524388 EHZ524388 ERV524388 FBR524388 FLN524388 FVJ524388 GFF524388 GPB524388 GYX524388 HIT524388 HSP524388 ICL524388 IMH524388 IWD524388 JFZ524388 JPV524388 JZR524388 KJN524388 KTJ524388 LDF524388 LNB524388 LWX524388 MGT524388 MQP524388 NAL524388 NKH524388 NUD524388 ODZ524388 ONV524388 OXR524388 PHN524388 PRJ524388 QBF524388 QLB524388 QUX524388 RET524388 ROP524388 RYL524388 SIH524388 SSD524388 TBZ524388 TLV524388 TVR524388 UFN524388 UPJ524388 UZF524388 VJB524388 VSX524388 WCT524388 WMP524388 WWL524388 AD589924 JZ589924 TV589924 ADR589924 ANN589924 AXJ589924 BHF589924 BRB589924 CAX589924 CKT589924 CUP589924 DEL589924 DOH589924 DYD589924 EHZ589924 ERV589924 FBR589924 FLN589924 FVJ589924 GFF589924 GPB589924 GYX589924 HIT589924 HSP589924 ICL589924 IMH589924 IWD589924 JFZ589924 JPV589924 JZR589924 KJN589924 KTJ589924 LDF589924 LNB589924 LWX589924 MGT589924 MQP589924 NAL589924 NKH589924 NUD589924 ODZ589924 ONV589924 OXR589924 PHN589924 PRJ589924 QBF589924 QLB589924 QUX589924 RET589924 ROP589924 RYL589924 SIH589924 SSD589924 TBZ589924 TLV589924 TVR589924 UFN589924 UPJ589924 UZF589924 VJB589924 VSX589924 WCT589924 WMP589924 WWL589924 AD655460 JZ655460 TV655460 ADR655460 ANN655460 AXJ655460 BHF655460 BRB655460 CAX655460 CKT655460 CUP655460 DEL655460 DOH655460 DYD655460 EHZ655460 ERV655460 FBR655460 FLN655460 FVJ655460 GFF655460 GPB655460 GYX655460 HIT655460 HSP655460 ICL655460 IMH655460 IWD655460 JFZ655460 JPV655460 JZR655460 KJN655460 KTJ655460 LDF655460 LNB655460 LWX655460 MGT655460 MQP655460 NAL655460 NKH655460 NUD655460 ODZ655460 ONV655460 OXR655460 PHN655460 PRJ655460 QBF655460 QLB655460 QUX655460 RET655460 ROP655460 RYL655460 SIH655460 SSD655460 TBZ655460 TLV655460 TVR655460 UFN655460 UPJ655460 UZF655460 VJB655460 VSX655460 WCT655460 WMP655460 WWL655460 AD720996 JZ720996 TV720996 ADR720996 ANN720996 AXJ720996 BHF720996 BRB720996 CAX720996 CKT720996 CUP720996 DEL720996 DOH720996 DYD720996 EHZ720996 ERV720996 FBR720996 FLN720996 FVJ720996 GFF720996 GPB720996 GYX720996 HIT720996 HSP720996 ICL720996 IMH720996 IWD720996 JFZ720996 JPV720996 JZR720996 KJN720996 KTJ720996 LDF720996 LNB720996 LWX720996 MGT720996 MQP720996 NAL720996 NKH720996 NUD720996 ODZ720996 ONV720996 OXR720996 PHN720996 PRJ720996 QBF720996 QLB720996 QUX720996 RET720996 ROP720996 RYL720996 SIH720996 SSD720996 TBZ720996 TLV720996 TVR720996 UFN720996 UPJ720996 UZF720996 VJB720996 VSX720996 WCT720996 WMP720996 WWL720996 AD786532 JZ786532 TV786532 ADR786532 ANN786532 AXJ786532 BHF786532 BRB786532 CAX786532 CKT786532 CUP786532 DEL786532 DOH786532 DYD786532 EHZ786532 ERV786532 FBR786532 FLN786532 FVJ786532 GFF786532 GPB786532 GYX786532 HIT786532 HSP786532 ICL786532 IMH786532 IWD786532 JFZ786532 JPV786532 JZR786532 KJN786532 KTJ786532 LDF786532 LNB786532 LWX786532 MGT786532 MQP786532 NAL786532 NKH786532 NUD786532 ODZ786532 ONV786532 OXR786532 PHN786532 PRJ786532 QBF786532 QLB786532 QUX786532 RET786532 ROP786532 RYL786532 SIH786532 SSD786532 TBZ786532 TLV786532 TVR786532 UFN786532 UPJ786532 UZF786532 VJB786532 VSX786532 WCT786532 WMP786532 WWL786532 AD852068 JZ852068 TV852068 ADR852068 ANN852068 AXJ852068 BHF852068 BRB852068 CAX852068 CKT852068 CUP852068 DEL852068 DOH852068 DYD852068 EHZ852068 ERV852068 FBR852068 FLN852068 FVJ852068 GFF852068 GPB852068 GYX852068 HIT852068 HSP852068 ICL852068 IMH852068 IWD852068 JFZ852068 JPV852068 JZR852068 KJN852068 KTJ852068 LDF852068 LNB852068 LWX852068 MGT852068 MQP852068 NAL852068 NKH852068 NUD852068 ODZ852068 ONV852068 OXR852068 PHN852068 PRJ852068 QBF852068 QLB852068 QUX852068 RET852068 ROP852068 RYL852068 SIH852068 SSD852068 TBZ852068 TLV852068 TVR852068 UFN852068 UPJ852068 UZF852068 VJB852068 VSX852068 WCT852068 WMP852068 WWL852068 AD917604 JZ917604 TV917604 ADR917604 ANN917604 AXJ917604 BHF917604 BRB917604 CAX917604 CKT917604 CUP917604 DEL917604 DOH917604 DYD917604 EHZ917604 ERV917604 FBR917604 FLN917604 FVJ917604 GFF917604 GPB917604 GYX917604 HIT917604 HSP917604 ICL917604 IMH917604 IWD917604 JFZ917604 JPV917604 JZR917604 KJN917604 KTJ917604 LDF917604 LNB917604 LWX917604 MGT917604 MQP917604 NAL917604 NKH917604 NUD917604 ODZ917604 ONV917604 OXR917604 PHN917604 PRJ917604 QBF917604 QLB917604 QUX917604 RET917604 ROP917604 RYL917604 SIH917604 SSD917604 TBZ917604 TLV917604 TVR917604 UFN917604 UPJ917604 UZF917604 VJB917604 VSX917604 WCT917604 WMP917604 WWL917604 AD983140 JZ983140 TV983140 ADR983140 ANN983140 AXJ983140 BHF983140 BRB983140 CAX983140 CKT983140 CUP983140 DEL983140 DOH983140 DYD983140 EHZ983140 ERV983140 FBR983140 FLN983140 FVJ983140 GFF983140 GPB983140 GYX983140 HIT983140 HSP983140 ICL983140 IMH983140 IWD983140 JFZ983140 JPV983140 JZR983140 KJN983140 KTJ983140 LDF983140 LNB983140 LWX983140 MGT983140 MQP983140 NAL983140 NKH983140 NUD983140 ODZ983140 ONV983140 OXR983140 PHN983140 PRJ983140 QBF983140 QLB983140 QUX983140 RET983140 ROP983140 RYL983140 SIH983140 SSD983140 TBZ983140 TLV983140 TVR983140 UFN983140 UPJ983140 UZF983140 VJB983140 VSX983140 WCT983140 WMP983140 WWL983140 AD178 JZ178 TV178 ADR178 ANN178 AXJ178 BHF178 BRB178 CAX178 CKT178 CUP178 DEL178 DOH178 DYD178 EHZ178 ERV178 FBR178 FLN178 FVJ178 GFF178 GPB178 GYX178 HIT178 HSP178 ICL178 IMH178 IWD178 JFZ178 JPV178 JZR178 KJN178 KTJ178 LDF178 LNB178 LWX178 MGT178 MQP178 NAL178 NKH178 NUD178 ODZ178 ONV178 OXR178 PHN178 PRJ178 QBF178 QLB178 QUX178 RET178 ROP178 RYL178 SIH178 SSD178 TBZ178 TLV178 TVR178 UFN178 UPJ178 UZF178 VJB178 VSX178 WCT178 WMP178 WWL178 AD65714 JZ65714 TV65714 ADR65714 ANN65714 AXJ65714 BHF65714 BRB65714 CAX65714 CKT65714 CUP65714 DEL65714 DOH65714 DYD65714 EHZ65714 ERV65714 FBR65714 FLN65714 FVJ65714 GFF65714 GPB65714 GYX65714 HIT65714 HSP65714 ICL65714 IMH65714 IWD65714 JFZ65714 JPV65714 JZR65714 KJN65714 KTJ65714 LDF65714 LNB65714 LWX65714 MGT65714 MQP65714 NAL65714 NKH65714 NUD65714 ODZ65714 ONV65714 OXR65714 PHN65714 PRJ65714 QBF65714 QLB65714 QUX65714 RET65714 ROP65714 RYL65714 SIH65714 SSD65714 TBZ65714 TLV65714 TVR65714 UFN65714 UPJ65714 UZF65714 VJB65714 VSX65714 WCT65714 WMP65714 WWL65714 AD131250 JZ131250 TV131250 ADR131250 ANN131250 AXJ131250 BHF131250 BRB131250 CAX131250 CKT131250 CUP131250 DEL131250 DOH131250 DYD131250 EHZ131250 ERV131250 FBR131250 FLN131250 FVJ131250 GFF131250 GPB131250 GYX131250 HIT131250 HSP131250 ICL131250 IMH131250 IWD131250 JFZ131250 JPV131250 JZR131250 KJN131250 KTJ131250 LDF131250 LNB131250 LWX131250 MGT131250 MQP131250 NAL131250 NKH131250 NUD131250 ODZ131250 ONV131250 OXR131250 PHN131250 PRJ131250 QBF131250 QLB131250 QUX131250 RET131250 ROP131250 RYL131250 SIH131250 SSD131250 TBZ131250 TLV131250 TVR131250 UFN131250 UPJ131250 UZF131250 VJB131250 VSX131250 WCT131250 WMP131250 WWL131250 AD196786 JZ196786 TV196786 ADR196786 ANN196786 AXJ196786 BHF196786 BRB196786 CAX196786 CKT196786 CUP196786 DEL196786 DOH196786 DYD196786 EHZ196786 ERV196786 FBR196786 FLN196786 FVJ196786 GFF196786 GPB196786 GYX196786 HIT196786 HSP196786 ICL196786 IMH196786 IWD196786 JFZ196786 JPV196786 JZR196786 KJN196786 KTJ196786 LDF196786 LNB196786 LWX196786 MGT196786 MQP196786 NAL196786 NKH196786 NUD196786 ODZ196786 ONV196786 OXR196786 PHN196786 PRJ196786 QBF196786 QLB196786 QUX196786 RET196786 ROP196786 RYL196786 SIH196786 SSD196786 TBZ196786 TLV196786 TVR196786 UFN196786 UPJ196786 UZF196786 VJB196786 VSX196786 WCT196786 WMP196786 WWL196786 AD262322 JZ262322 TV262322 ADR262322 ANN262322 AXJ262322 BHF262322 BRB262322 CAX262322 CKT262322 CUP262322 DEL262322 DOH262322 DYD262322 EHZ262322 ERV262322 FBR262322 FLN262322 FVJ262322 GFF262322 GPB262322 GYX262322 HIT262322 HSP262322 ICL262322 IMH262322 IWD262322 JFZ262322 JPV262322 JZR262322 KJN262322 KTJ262322 LDF262322 LNB262322 LWX262322 MGT262322 MQP262322 NAL262322 NKH262322 NUD262322 ODZ262322 ONV262322 OXR262322 PHN262322 PRJ262322 QBF262322 QLB262322 QUX262322 RET262322 ROP262322 RYL262322 SIH262322 SSD262322 TBZ262322 TLV262322 TVR262322 UFN262322 UPJ262322 UZF262322 VJB262322 VSX262322 WCT262322 WMP262322 WWL262322 AD327858 JZ327858 TV327858 ADR327858 ANN327858 AXJ327858 BHF327858 BRB327858 CAX327858 CKT327858 CUP327858 DEL327858 DOH327858 DYD327858 EHZ327858 ERV327858 FBR327858 FLN327858 FVJ327858 GFF327858 GPB327858 GYX327858 HIT327858 HSP327858 ICL327858 IMH327858 IWD327858 JFZ327858 JPV327858 JZR327858 KJN327858 KTJ327858 LDF327858 LNB327858 LWX327858 MGT327858 MQP327858 NAL327858 NKH327858 NUD327858 ODZ327858 ONV327858 OXR327858 PHN327858 PRJ327858 QBF327858 QLB327858 QUX327858 RET327858 ROP327858 RYL327858 SIH327858 SSD327858 TBZ327858 TLV327858 TVR327858 UFN327858 UPJ327858 UZF327858 VJB327858 VSX327858 WCT327858 WMP327858 WWL327858 AD393394 JZ393394 TV393394 ADR393394 ANN393394 AXJ393394 BHF393394 BRB393394 CAX393394 CKT393394 CUP393394 DEL393394 DOH393394 DYD393394 EHZ393394 ERV393394 FBR393394 FLN393394 FVJ393394 GFF393394 GPB393394 GYX393394 HIT393394 HSP393394 ICL393394 IMH393394 IWD393394 JFZ393394 JPV393394 JZR393394 KJN393394 KTJ393394 LDF393394 LNB393394 LWX393394 MGT393394 MQP393394 NAL393394 NKH393394 NUD393394 ODZ393394 ONV393394 OXR393394 PHN393394 PRJ393394 QBF393394 QLB393394 QUX393394 RET393394 ROP393394 RYL393394 SIH393394 SSD393394 TBZ393394 TLV393394 TVR393394 UFN393394 UPJ393394 UZF393394 VJB393394 VSX393394 WCT393394 WMP393394 WWL393394 AD458930 JZ458930 TV458930 ADR458930 ANN458930 AXJ458930 BHF458930 BRB458930 CAX458930 CKT458930 CUP458930 DEL458930 DOH458930 DYD458930 EHZ458930 ERV458930 FBR458930 FLN458930 FVJ458930 GFF458930 GPB458930 GYX458930 HIT458930 HSP458930 ICL458930 IMH458930 IWD458930 JFZ458930 JPV458930 JZR458930 KJN458930 KTJ458930 LDF458930 LNB458930 LWX458930 MGT458930 MQP458930 NAL458930 NKH458930 NUD458930 ODZ458930 ONV458930 OXR458930 PHN458930 PRJ458930 QBF458930 QLB458930 QUX458930 RET458930 ROP458930 RYL458930 SIH458930 SSD458930 TBZ458930 TLV458930 TVR458930 UFN458930 UPJ458930 UZF458930 VJB458930 VSX458930 WCT458930 WMP458930 WWL458930 AD524466 JZ524466 TV524466 ADR524466 ANN524466 AXJ524466 BHF524466 BRB524466 CAX524466 CKT524466 CUP524466 DEL524466 DOH524466 DYD524466 EHZ524466 ERV524466 FBR524466 FLN524466 FVJ524466 GFF524466 GPB524466 GYX524466 HIT524466 HSP524466 ICL524466 IMH524466 IWD524466 JFZ524466 JPV524466 JZR524466 KJN524466 KTJ524466 LDF524466 LNB524466 LWX524466 MGT524466 MQP524466 NAL524466 NKH524466 NUD524466 ODZ524466 ONV524466 OXR524466 PHN524466 PRJ524466 QBF524466 QLB524466 QUX524466 RET524466 ROP524466 RYL524466 SIH524466 SSD524466 TBZ524466 TLV524466 TVR524466 UFN524466 UPJ524466 UZF524466 VJB524466 VSX524466 WCT524466 WMP524466 WWL524466 AD590002 JZ590002 TV590002 ADR590002 ANN590002 AXJ590002 BHF590002 BRB590002 CAX590002 CKT590002 CUP590002 DEL590002 DOH590002 DYD590002 EHZ590002 ERV590002 FBR590002 FLN590002 FVJ590002 GFF590002 GPB590002 GYX590002 HIT590002 HSP590002 ICL590002 IMH590002 IWD590002 JFZ590002 JPV590002 JZR590002 KJN590002 KTJ590002 LDF590002 LNB590002 LWX590002 MGT590002 MQP590002 NAL590002 NKH590002 NUD590002 ODZ590002 ONV590002 OXR590002 PHN590002 PRJ590002 QBF590002 QLB590002 QUX590002 RET590002 ROP590002 RYL590002 SIH590002 SSD590002 TBZ590002 TLV590002 TVR590002 UFN590002 UPJ590002 UZF590002 VJB590002 VSX590002 WCT590002 WMP590002 WWL590002 AD655538 JZ655538 TV655538 ADR655538 ANN655538 AXJ655538 BHF655538 BRB655538 CAX655538 CKT655538 CUP655538 DEL655538 DOH655538 DYD655538 EHZ655538 ERV655538 FBR655538 FLN655538 FVJ655538 GFF655538 GPB655538 GYX655538 HIT655538 HSP655538 ICL655538 IMH655538 IWD655538 JFZ655538 JPV655538 JZR655538 KJN655538 KTJ655538 LDF655538 LNB655538 LWX655538 MGT655538 MQP655538 NAL655538 NKH655538 NUD655538 ODZ655538 ONV655538 OXR655538 PHN655538 PRJ655538 QBF655538 QLB655538 QUX655538 RET655538 ROP655538 RYL655538 SIH655538 SSD655538 TBZ655538 TLV655538 TVR655538 UFN655538 UPJ655538 UZF655538 VJB655538 VSX655538 WCT655538 WMP655538 WWL655538 AD721074 JZ721074 TV721074 ADR721074 ANN721074 AXJ721074 BHF721074 BRB721074 CAX721074 CKT721074 CUP721074 DEL721074 DOH721074 DYD721074 EHZ721074 ERV721074 FBR721074 FLN721074 FVJ721074 GFF721074 GPB721074 GYX721074 HIT721074 HSP721074 ICL721074 IMH721074 IWD721074 JFZ721074 JPV721074 JZR721074 KJN721074 KTJ721074 LDF721074 LNB721074 LWX721074 MGT721074 MQP721074 NAL721074 NKH721074 NUD721074 ODZ721074 ONV721074 OXR721074 PHN721074 PRJ721074 QBF721074 QLB721074 QUX721074 RET721074 ROP721074 RYL721074 SIH721074 SSD721074 TBZ721074 TLV721074 TVR721074 UFN721074 UPJ721074 UZF721074 VJB721074 VSX721074 WCT721074 WMP721074 WWL721074 AD786610 JZ786610 TV786610 ADR786610 ANN786610 AXJ786610 BHF786610 BRB786610 CAX786610 CKT786610 CUP786610 DEL786610 DOH786610 DYD786610 EHZ786610 ERV786610 FBR786610 FLN786610 FVJ786610 GFF786610 GPB786610 GYX786610 HIT786610 HSP786610 ICL786610 IMH786610 IWD786610 JFZ786610 JPV786610 JZR786610 KJN786610 KTJ786610 LDF786610 LNB786610 LWX786610 MGT786610 MQP786610 NAL786610 NKH786610 NUD786610 ODZ786610 ONV786610 OXR786610 PHN786610 PRJ786610 QBF786610 QLB786610 QUX786610 RET786610 ROP786610 RYL786610 SIH786610 SSD786610 TBZ786610 TLV786610 TVR786610 UFN786610 UPJ786610 UZF786610 VJB786610 VSX786610 WCT786610 WMP786610 WWL786610 AD852146 JZ852146 TV852146 ADR852146 ANN852146 AXJ852146 BHF852146 BRB852146 CAX852146 CKT852146 CUP852146 DEL852146 DOH852146 DYD852146 EHZ852146 ERV852146 FBR852146 FLN852146 FVJ852146 GFF852146 GPB852146 GYX852146 HIT852146 HSP852146 ICL852146 IMH852146 IWD852146 JFZ852146 JPV852146 JZR852146 KJN852146 KTJ852146 LDF852146 LNB852146 LWX852146 MGT852146 MQP852146 NAL852146 NKH852146 NUD852146 ODZ852146 ONV852146 OXR852146 PHN852146 PRJ852146 QBF852146 QLB852146 QUX852146 RET852146 ROP852146 RYL852146 SIH852146 SSD852146 TBZ852146 TLV852146 TVR852146 UFN852146 UPJ852146 UZF852146 VJB852146 VSX852146 WCT852146 WMP852146 WWL852146 AD917682 JZ917682 TV917682 ADR917682 ANN917682 AXJ917682 BHF917682 BRB917682 CAX917682 CKT917682 CUP917682 DEL917682 DOH917682 DYD917682 EHZ917682 ERV917682 FBR917682 FLN917682 FVJ917682 GFF917682 GPB917682 GYX917682 HIT917682 HSP917682 ICL917682 IMH917682 IWD917682 JFZ917682 JPV917682 JZR917682 KJN917682 KTJ917682 LDF917682 LNB917682 LWX917682 MGT917682 MQP917682 NAL917682 NKH917682 NUD917682 ODZ917682 ONV917682 OXR917682 PHN917682 PRJ917682 QBF917682 QLB917682 QUX917682 RET917682 ROP917682 RYL917682 SIH917682 SSD917682 TBZ917682 TLV917682 TVR917682 UFN917682 UPJ917682 UZF917682 VJB917682 VSX917682 WCT917682 WMP917682 WWL917682 AD983218 JZ983218 TV983218 ADR983218 ANN983218 AXJ983218 BHF983218 BRB983218 CAX983218 CKT983218 CUP983218 DEL983218 DOH983218 DYD983218 EHZ983218 ERV983218 FBR983218 FLN983218 FVJ983218 GFF983218 GPB983218 GYX983218 HIT983218 HSP983218 ICL983218 IMH983218 IWD983218 JFZ983218 JPV983218 JZR983218 KJN983218 KTJ983218 LDF983218 LNB983218 LWX983218 MGT983218 MQP983218 NAL983218 NKH983218 NUD983218 ODZ983218 ONV983218 OXR983218 PHN983218 PRJ983218 QBF983218 QLB983218 QUX983218 RET983218 ROP983218 RYL983218 SIH983218 SSD983218 TBZ983218 TLV983218 TVR983218 UFN983218 UPJ983218 UZF983218 VJB983218 VSX983218 WCT983218 WMP983218 WWL983218 AD174 JZ174 TV174 ADR174 ANN174 AXJ174 BHF174 BRB174 CAX174 CKT174 CUP174 DEL174 DOH174 DYD174 EHZ174 ERV174 FBR174 FLN174 FVJ174 GFF174 GPB174 GYX174 HIT174 HSP174 ICL174 IMH174 IWD174 JFZ174 JPV174 JZR174 KJN174 KTJ174 LDF174 LNB174 LWX174 MGT174 MQP174 NAL174 NKH174 NUD174 ODZ174 ONV174 OXR174 PHN174 PRJ174 QBF174 QLB174 QUX174 RET174 ROP174 RYL174 SIH174 SSD174 TBZ174 TLV174 TVR174 UFN174 UPJ174 UZF174 VJB174 VSX174 WCT174 WMP174 WWL174 AD65710 JZ65710 TV65710 ADR65710 ANN65710 AXJ65710 BHF65710 BRB65710 CAX65710 CKT65710 CUP65710 DEL65710 DOH65710 DYD65710 EHZ65710 ERV65710 FBR65710 FLN65710 FVJ65710 GFF65710 GPB65710 GYX65710 HIT65710 HSP65710 ICL65710 IMH65710 IWD65710 JFZ65710 JPV65710 JZR65710 KJN65710 KTJ65710 LDF65710 LNB65710 LWX65710 MGT65710 MQP65710 NAL65710 NKH65710 NUD65710 ODZ65710 ONV65710 OXR65710 PHN65710 PRJ65710 QBF65710 QLB65710 QUX65710 RET65710 ROP65710 RYL65710 SIH65710 SSD65710 TBZ65710 TLV65710 TVR65710 UFN65710 UPJ65710 UZF65710 VJB65710 VSX65710 WCT65710 WMP65710 WWL65710 AD131246 JZ131246 TV131246 ADR131246 ANN131246 AXJ131246 BHF131246 BRB131246 CAX131246 CKT131246 CUP131246 DEL131246 DOH131246 DYD131246 EHZ131246 ERV131246 FBR131246 FLN131246 FVJ131246 GFF131246 GPB131246 GYX131246 HIT131246 HSP131246 ICL131246 IMH131246 IWD131246 JFZ131246 JPV131246 JZR131246 KJN131246 KTJ131246 LDF131246 LNB131246 LWX131246 MGT131246 MQP131246 NAL131246 NKH131246 NUD131246 ODZ131246 ONV131246 OXR131246 PHN131246 PRJ131246 QBF131246 QLB131246 QUX131246 RET131246 ROP131246 RYL131246 SIH131246 SSD131246 TBZ131246 TLV131246 TVR131246 UFN131246 UPJ131246 UZF131246 VJB131246 VSX131246 WCT131246 WMP131246 WWL131246 AD196782 JZ196782 TV196782 ADR196782 ANN196782 AXJ196782 BHF196782 BRB196782 CAX196782 CKT196782 CUP196782 DEL196782 DOH196782 DYD196782 EHZ196782 ERV196782 FBR196782 FLN196782 FVJ196782 GFF196782 GPB196782 GYX196782 HIT196782 HSP196782 ICL196782 IMH196782 IWD196782 JFZ196782 JPV196782 JZR196782 KJN196782 KTJ196782 LDF196782 LNB196782 LWX196782 MGT196782 MQP196782 NAL196782 NKH196782 NUD196782 ODZ196782 ONV196782 OXR196782 PHN196782 PRJ196782 QBF196782 QLB196782 QUX196782 RET196782 ROP196782 RYL196782 SIH196782 SSD196782 TBZ196782 TLV196782 TVR196782 UFN196782 UPJ196782 UZF196782 VJB196782 VSX196782 WCT196782 WMP196782 WWL196782 AD262318 JZ262318 TV262318 ADR262318 ANN262318 AXJ262318 BHF262318 BRB262318 CAX262318 CKT262318 CUP262318 DEL262318 DOH262318 DYD262318 EHZ262318 ERV262318 FBR262318 FLN262318 FVJ262318 GFF262318 GPB262318 GYX262318 HIT262318 HSP262318 ICL262318 IMH262318 IWD262318 JFZ262318 JPV262318 JZR262318 KJN262318 KTJ262318 LDF262318 LNB262318 LWX262318 MGT262318 MQP262318 NAL262318 NKH262318 NUD262318 ODZ262318 ONV262318 OXR262318 PHN262318 PRJ262318 QBF262318 QLB262318 QUX262318 RET262318 ROP262318 RYL262318 SIH262318 SSD262318 TBZ262318 TLV262318 TVR262318 UFN262318 UPJ262318 UZF262318 VJB262318 VSX262318 WCT262318 WMP262318 WWL262318 AD327854 JZ327854 TV327854 ADR327854 ANN327854 AXJ327854 BHF327854 BRB327854 CAX327854 CKT327854 CUP327854 DEL327854 DOH327854 DYD327854 EHZ327854 ERV327854 FBR327854 FLN327854 FVJ327854 GFF327854 GPB327854 GYX327854 HIT327854 HSP327854 ICL327854 IMH327854 IWD327854 JFZ327854 JPV327854 JZR327854 KJN327854 KTJ327854 LDF327854 LNB327854 LWX327854 MGT327854 MQP327854 NAL327854 NKH327854 NUD327854 ODZ327854 ONV327854 OXR327854 PHN327854 PRJ327854 QBF327854 QLB327854 QUX327854 RET327854 ROP327854 RYL327854 SIH327854 SSD327854 TBZ327854 TLV327854 TVR327854 UFN327854 UPJ327854 UZF327854 VJB327854 VSX327854 WCT327854 WMP327854 WWL327854 AD393390 JZ393390 TV393390 ADR393390 ANN393390 AXJ393390 BHF393390 BRB393390 CAX393390 CKT393390 CUP393390 DEL393390 DOH393390 DYD393390 EHZ393390 ERV393390 FBR393390 FLN393390 FVJ393390 GFF393390 GPB393390 GYX393390 HIT393390 HSP393390 ICL393390 IMH393390 IWD393390 JFZ393390 JPV393390 JZR393390 KJN393390 KTJ393390 LDF393390 LNB393390 LWX393390 MGT393390 MQP393390 NAL393390 NKH393390 NUD393390 ODZ393390 ONV393390 OXR393390 PHN393390 PRJ393390 QBF393390 QLB393390 QUX393390 RET393390 ROP393390 RYL393390 SIH393390 SSD393390 TBZ393390 TLV393390 TVR393390 UFN393390 UPJ393390 UZF393390 VJB393390 VSX393390 WCT393390 WMP393390 WWL393390 AD458926 JZ458926 TV458926 ADR458926 ANN458926 AXJ458926 BHF458926 BRB458926 CAX458926 CKT458926 CUP458926 DEL458926 DOH458926 DYD458926 EHZ458926 ERV458926 FBR458926 FLN458926 FVJ458926 GFF458926 GPB458926 GYX458926 HIT458926 HSP458926 ICL458926 IMH458926 IWD458926 JFZ458926 JPV458926 JZR458926 KJN458926 KTJ458926 LDF458926 LNB458926 LWX458926 MGT458926 MQP458926 NAL458926 NKH458926 NUD458926 ODZ458926 ONV458926 OXR458926 PHN458926 PRJ458926 QBF458926 QLB458926 QUX458926 RET458926 ROP458926 RYL458926 SIH458926 SSD458926 TBZ458926 TLV458926 TVR458926 UFN458926 UPJ458926 UZF458926 VJB458926 VSX458926 WCT458926 WMP458926 WWL458926 AD524462 JZ524462 TV524462 ADR524462 ANN524462 AXJ524462 BHF524462 BRB524462 CAX524462 CKT524462 CUP524462 DEL524462 DOH524462 DYD524462 EHZ524462 ERV524462 FBR524462 FLN524462 FVJ524462 GFF524462 GPB524462 GYX524462 HIT524462 HSP524462 ICL524462 IMH524462 IWD524462 JFZ524462 JPV524462 JZR524462 KJN524462 KTJ524462 LDF524462 LNB524462 LWX524462 MGT524462 MQP524462 NAL524462 NKH524462 NUD524462 ODZ524462 ONV524462 OXR524462 PHN524462 PRJ524462 QBF524462 QLB524462 QUX524462 RET524462 ROP524462 RYL524462 SIH524462 SSD524462 TBZ524462 TLV524462 TVR524462 UFN524462 UPJ524462 UZF524462 VJB524462 VSX524462 WCT524462 WMP524462 WWL524462 AD589998 JZ589998 TV589998 ADR589998 ANN589998 AXJ589998 BHF589998 BRB589998 CAX589998 CKT589998 CUP589998 DEL589998 DOH589998 DYD589998 EHZ589998 ERV589998 FBR589998 FLN589998 FVJ589998 GFF589998 GPB589998 GYX589998 HIT589998 HSP589998 ICL589998 IMH589998 IWD589998 JFZ589998 JPV589998 JZR589998 KJN589998 KTJ589998 LDF589998 LNB589998 LWX589998 MGT589998 MQP589998 NAL589998 NKH589998 NUD589998 ODZ589998 ONV589998 OXR589998 PHN589998 PRJ589998 QBF589998 QLB589998 QUX589998 RET589998 ROP589998 RYL589998 SIH589998 SSD589998 TBZ589998 TLV589998 TVR589998 UFN589998 UPJ589998 UZF589998 VJB589998 VSX589998 WCT589998 WMP589998 WWL589998 AD655534 JZ655534 TV655534 ADR655534 ANN655534 AXJ655534 BHF655534 BRB655534 CAX655534 CKT655534 CUP655534 DEL655534 DOH655534 DYD655534 EHZ655534 ERV655534 FBR655534 FLN655534 FVJ655534 GFF655534 GPB655534 GYX655534 HIT655534 HSP655534 ICL655534 IMH655534 IWD655534 JFZ655534 JPV655534 JZR655534 KJN655534 KTJ655534 LDF655534 LNB655534 LWX655534 MGT655534 MQP655534 NAL655534 NKH655534 NUD655534 ODZ655534 ONV655534 OXR655534 PHN655534 PRJ655534 QBF655534 QLB655534 QUX655534 RET655534 ROP655534 RYL655534 SIH655534 SSD655534 TBZ655534 TLV655534 TVR655534 UFN655534 UPJ655534 UZF655534 VJB655534 VSX655534 WCT655534 WMP655534 WWL655534 AD721070 JZ721070 TV721070 ADR721070 ANN721070 AXJ721070 BHF721070 BRB721070 CAX721070 CKT721070 CUP721070 DEL721070 DOH721070 DYD721070 EHZ721070 ERV721070 FBR721070 FLN721070 FVJ721070 GFF721070 GPB721070 GYX721070 HIT721070 HSP721070 ICL721070 IMH721070 IWD721070 JFZ721070 JPV721070 JZR721070 KJN721070 KTJ721070 LDF721070 LNB721070 LWX721070 MGT721070 MQP721070 NAL721070 NKH721070 NUD721070 ODZ721070 ONV721070 OXR721070 PHN721070 PRJ721070 QBF721070 QLB721070 QUX721070 RET721070 ROP721070 RYL721070 SIH721070 SSD721070 TBZ721070 TLV721070 TVR721070 UFN721070 UPJ721070 UZF721070 VJB721070 VSX721070 WCT721070 WMP721070 WWL721070 AD786606 JZ786606 TV786606 ADR786606 ANN786606 AXJ786606 BHF786606 BRB786606 CAX786606 CKT786606 CUP786606 DEL786606 DOH786606 DYD786606 EHZ786606 ERV786606 FBR786606 FLN786606 FVJ786606 GFF786606 GPB786606 GYX786606 HIT786606 HSP786606 ICL786606 IMH786606 IWD786606 JFZ786606 JPV786606 JZR786606 KJN786606 KTJ786606 LDF786606 LNB786606 LWX786606 MGT786606 MQP786606 NAL786606 NKH786606 NUD786606 ODZ786606 ONV786606 OXR786606 PHN786606 PRJ786606 QBF786606 QLB786606 QUX786606 RET786606 ROP786606 RYL786606 SIH786606 SSD786606 TBZ786606 TLV786606 TVR786606 UFN786606 UPJ786606 UZF786606 VJB786606 VSX786606 WCT786606 WMP786606 WWL786606 AD852142 JZ852142 TV852142 ADR852142 ANN852142 AXJ852142 BHF852142 BRB852142 CAX852142 CKT852142 CUP852142 DEL852142 DOH852142 DYD852142 EHZ852142 ERV852142 FBR852142 FLN852142 FVJ852142 GFF852142 GPB852142 GYX852142 HIT852142 HSP852142 ICL852142 IMH852142 IWD852142 JFZ852142 JPV852142 JZR852142 KJN852142 KTJ852142 LDF852142 LNB852142 LWX852142 MGT852142 MQP852142 NAL852142 NKH852142 NUD852142 ODZ852142 ONV852142 OXR852142 PHN852142 PRJ852142 QBF852142 QLB852142 QUX852142 RET852142 ROP852142 RYL852142 SIH852142 SSD852142 TBZ852142 TLV852142 TVR852142 UFN852142 UPJ852142 UZF852142 VJB852142 VSX852142 WCT852142 WMP852142 WWL852142 AD917678 JZ917678 TV917678 ADR917678 ANN917678 AXJ917678 BHF917678 BRB917678 CAX917678 CKT917678 CUP917678 DEL917678 DOH917678 DYD917678 EHZ917678 ERV917678 FBR917678 FLN917678 FVJ917678 GFF917678 GPB917678 GYX917678 HIT917678 HSP917678 ICL917678 IMH917678 IWD917678 JFZ917678 JPV917678 JZR917678 KJN917678 KTJ917678 LDF917678 LNB917678 LWX917678 MGT917678 MQP917678 NAL917678 NKH917678 NUD917678 ODZ917678 ONV917678 OXR917678 PHN917678 PRJ917678 QBF917678 QLB917678 QUX917678 RET917678 ROP917678 RYL917678 SIH917678 SSD917678 TBZ917678 TLV917678 TVR917678 UFN917678 UPJ917678 UZF917678 VJB917678 VSX917678 WCT917678 WMP917678 WWL917678 AD983214 JZ983214 TV983214 ADR983214 ANN983214 AXJ983214 BHF983214 BRB983214 CAX983214 CKT983214 CUP983214 DEL983214 DOH983214 DYD983214 EHZ983214 ERV983214 FBR983214 FLN983214 FVJ983214 GFF983214 GPB983214 GYX983214 HIT983214 HSP983214 ICL983214 IMH983214 IWD983214 JFZ983214 JPV983214 JZR983214 KJN983214 KTJ983214 LDF983214 LNB983214 LWX983214 MGT983214 MQP983214 NAL983214 NKH983214 NUD983214 ODZ983214 ONV983214 OXR983214 PHN983214 PRJ983214 QBF983214 QLB983214 QUX983214 RET983214 ROP983214 RYL983214 SIH983214 SSD983214 TBZ983214 TLV983214 TVR983214 UFN983214 UPJ983214 UZF983214 VJB983214 VSX983214 WCT983214 WMP983214 WWL983214 AD121 JZ121 TV121 ADR121 ANN121 AXJ121 BHF121 BRB121 CAX121 CKT121 CUP121 DEL121 DOH121 DYD121 EHZ121 ERV121 FBR121 FLN121 FVJ121 GFF121 GPB121 GYX121 HIT121 HSP121 ICL121 IMH121 IWD121 JFZ121 JPV121 JZR121 KJN121 KTJ121 LDF121 LNB121 LWX121 MGT121 MQP121 NAL121 NKH121 NUD121 ODZ121 ONV121 OXR121 PHN121 PRJ121 QBF121 QLB121 QUX121 RET121 ROP121 RYL121 SIH121 SSD121 TBZ121 TLV121 TVR121 UFN121 UPJ121 UZF121 VJB121 VSX121 WCT121 WMP121 WWL121 AD65658 JZ65658 TV65658 ADR65658 ANN65658 AXJ65658 BHF65658 BRB65658 CAX65658 CKT65658 CUP65658 DEL65658 DOH65658 DYD65658 EHZ65658 ERV65658 FBR65658 FLN65658 FVJ65658 GFF65658 GPB65658 GYX65658 HIT65658 HSP65658 ICL65658 IMH65658 IWD65658 JFZ65658 JPV65658 JZR65658 KJN65658 KTJ65658 LDF65658 LNB65658 LWX65658 MGT65658 MQP65658 NAL65658 NKH65658 NUD65658 ODZ65658 ONV65658 OXR65658 PHN65658 PRJ65658 QBF65658 QLB65658 QUX65658 RET65658 ROP65658 RYL65658 SIH65658 SSD65658 TBZ65658 TLV65658 TVR65658 UFN65658 UPJ65658 UZF65658 VJB65658 VSX65658 WCT65658 WMP65658 WWL65658 AD131194 JZ131194 TV131194 ADR131194 ANN131194 AXJ131194 BHF131194 BRB131194 CAX131194 CKT131194 CUP131194 DEL131194 DOH131194 DYD131194 EHZ131194 ERV131194 FBR131194 FLN131194 FVJ131194 GFF131194 GPB131194 GYX131194 HIT131194 HSP131194 ICL131194 IMH131194 IWD131194 JFZ131194 JPV131194 JZR131194 KJN131194 KTJ131194 LDF131194 LNB131194 LWX131194 MGT131194 MQP131194 NAL131194 NKH131194 NUD131194 ODZ131194 ONV131194 OXR131194 PHN131194 PRJ131194 QBF131194 QLB131194 QUX131194 RET131194 ROP131194 RYL131194 SIH131194 SSD131194 TBZ131194 TLV131194 TVR131194 UFN131194 UPJ131194 UZF131194 VJB131194 VSX131194 WCT131194 WMP131194 WWL131194 AD196730 JZ196730 TV196730 ADR196730 ANN196730 AXJ196730 BHF196730 BRB196730 CAX196730 CKT196730 CUP196730 DEL196730 DOH196730 DYD196730 EHZ196730 ERV196730 FBR196730 FLN196730 FVJ196730 GFF196730 GPB196730 GYX196730 HIT196730 HSP196730 ICL196730 IMH196730 IWD196730 JFZ196730 JPV196730 JZR196730 KJN196730 KTJ196730 LDF196730 LNB196730 LWX196730 MGT196730 MQP196730 NAL196730 NKH196730 NUD196730 ODZ196730 ONV196730 OXR196730 PHN196730 PRJ196730 QBF196730 QLB196730 QUX196730 RET196730 ROP196730 RYL196730 SIH196730 SSD196730 TBZ196730 TLV196730 TVR196730 UFN196730 UPJ196730 UZF196730 VJB196730 VSX196730 WCT196730 WMP196730 WWL196730 AD262266 JZ262266 TV262266 ADR262266 ANN262266 AXJ262266 BHF262266 BRB262266 CAX262266 CKT262266 CUP262266 DEL262266 DOH262266 DYD262266 EHZ262266 ERV262266 FBR262266 FLN262266 FVJ262266 GFF262266 GPB262266 GYX262266 HIT262266 HSP262266 ICL262266 IMH262266 IWD262266 JFZ262266 JPV262266 JZR262266 KJN262266 KTJ262266 LDF262266 LNB262266 LWX262266 MGT262266 MQP262266 NAL262266 NKH262266 NUD262266 ODZ262266 ONV262266 OXR262266 PHN262266 PRJ262266 QBF262266 QLB262266 QUX262266 RET262266 ROP262266 RYL262266 SIH262266 SSD262266 TBZ262266 TLV262266 TVR262266 UFN262266 UPJ262266 UZF262266 VJB262266 VSX262266 WCT262266 WMP262266 WWL262266 AD327802 JZ327802 TV327802 ADR327802 ANN327802 AXJ327802 BHF327802 BRB327802 CAX327802 CKT327802 CUP327802 DEL327802 DOH327802 DYD327802 EHZ327802 ERV327802 FBR327802 FLN327802 FVJ327802 GFF327802 GPB327802 GYX327802 HIT327802 HSP327802 ICL327802 IMH327802 IWD327802 JFZ327802 JPV327802 JZR327802 KJN327802 KTJ327802 LDF327802 LNB327802 LWX327802 MGT327802 MQP327802 NAL327802 NKH327802 NUD327802 ODZ327802 ONV327802 OXR327802 PHN327802 PRJ327802 QBF327802 QLB327802 QUX327802 RET327802 ROP327802 RYL327802 SIH327802 SSD327802 TBZ327802 TLV327802 TVR327802 UFN327802 UPJ327802 UZF327802 VJB327802 VSX327802 WCT327802 WMP327802 WWL327802 AD393338 JZ393338 TV393338 ADR393338 ANN393338 AXJ393338 BHF393338 BRB393338 CAX393338 CKT393338 CUP393338 DEL393338 DOH393338 DYD393338 EHZ393338 ERV393338 FBR393338 FLN393338 FVJ393338 GFF393338 GPB393338 GYX393338 HIT393338 HSP393338 ICL393338 IMH393338 IWD393338 JFZ393338 JPV393338 JZR393338 KJN393338 KTJ393338 LDF393338 LNB393338 LWX393338 MGT393338 MQP393338 NAL393338 NKH393338 NUD393338 ODZ393338 ONV393338 OXR393338 PHN393338 PRJ393338 QBF393338 QLB393338 QUX393338 RET393338 ROP393338 RYL393338 SIH393338 SSD393338 TBZ393338 TLV393338 TVR393338 UFN393338 UPJ393338 UZF393338 VJB393338 VSX393338 WCT393338 WMP393338 WWL393338 AD458874 JZ458874 TV458874 ADR458874 ANN458874 AXJ458874 BHF458874 BRB458874 CAX458874 CKT458874 CUP458874 DEL458874 DOH458874 DYD458874 EHZ458874 ERV458874 FBR458874 FLN458874 FVJ458874 GFF458874 GPB458874 GYX458874 HIT458874 HSP458874 ICL458874 IMH458874 IWD458874 JFZ458874 JPV458874 JZR458874 KJN458874 KTJ458874 LDF458874 LNB458874 LWX458874 MGT458874 MQP458874 NAL458874 NKH458874 NUD458874 ODZ458874 ONV458874 OXR458874 PHN458874 PRJ458874 QBF458874 QLB458874 QUX458874 RET458874 ROP458874 RYL458874 SIH458874 SSD458874 TBZ458874 TLV458874 TVR458874 UFN458874 UPJ458874 UZF458874 VJB458874 VSX458874 WCT458874 WMP458874 WWL458874 AD524410 JZ524410 TV524410 ADR524410 ANN524410 AXJ524410 BHF524410 BRB524410 CAX524410 CKT524410 CUP524410 DEL524410 DOH524410 DYD524410 EHZ524410 ERV524410 FBR524410 FLN524410 FVJ524410 GFF524410 GPB524410 GYX524410 HIT524410 HSP524410 ICL524410 IMH524410 IWD524410 JFZ524410 JPV524410 JZR524410 KJN524410 KTJ524410 LDF524410 LNB524410 LWX524410 MGT524410 MQP524410 NAL524410 NKH524410 NUD524410 ODZ524410 ONV524410 OXR524410 PHN524410 PRJ524410 QBF524410 QLB524410 QUX524410 RET524410 ROP524410 RYL524410 SIH524410 SSD524410 TBZ524410 TLV524410 TVR524410 UFN524410 UPJ524410 UZF524410 VJB524410 VSX524410 WCT524410 WMP524410 WWL524410 AD589946 JZ589946 TV589946 ADR589946 ANN589946 AXJ589946 BHF589946 BRB589946 CAX589946 CKT589946 CUP589946 DEL589946 DOH589946 DYD589946 EHZ589946 ERV589946 FBR589946 FLN589946 FVJ589946 GFF589946 GPB589946 GYX589946 HIT589946 HSP589946 ICL589946 IMH589946 IWD589946 JFZ589946 JPV589946 JZR589946 KJN589946 KTJ589946 LDF589946 LNB589946 LWX589946 MGT589946 MQP589946 NAL589946 NKH589946 NUD589946 ODZ589946 ONV589946 OXR589946 PHN589946 PRJ589946 QBF589946 QLB589946 QUX589946 RET589946 ROP589946 RYL589946 SIH589946 SSD589946 TBZ589946 TLV589946 TVR589946 UFN589946 UPJ589946 UZF589946 VJB589946 VSX589946 WCT589946 WMP589946 WWL589946 AD655482 JZ655482 TV655482 ADR655482 ANN655482 AXJ655482 BHF655482 BRB655482 CAX655482 CKT655482 CUP655482 DEL655482 DOH655482 DYD655482 EHZ655482 ERV655482 FBR655482 FLN655482 FVJ655482 GFF655482 GPB655482 GYX655482 HIT655482 HSP655482 ICL655482 IMH655482 IWD655482 JFZ655482 JPV655482 JZR655482 KJN655482 KTJ655482 LDF655482 LNB655482 LWX655482 MGT655482 MQP655482 NAL655482 NKH655482 NUD655482 ODZ655482 ONV655482 OXR655482 PHN655482 PRJ655482 QBF655482 QLB655482 QUX655482 RET655482 ROP655482 RYL655482 SIH655482 SSD655482 TBZ655482 TLV655482 TVR655482 UFN655482 UPJ655482 UZF655482 VJB655482 VSX655482 WCT655482 WMP655482 WWL655482 AD721018 JZ721018 TV721018 ADR721018 ANN721018 AXJ721018 BHF721018 BRB721018 CAX721018 CKT721018 CUP721018 DEL721018 DOH721018 DYD721018 EHZ721018 ERV721018 FBR721018 FLN721018 FVJ721018 GFF721018 GPB721018 GYX721018 HIT721018 HSP721018 ICL721018 IMH721018 IWD721018 JFZ721018 JPV721018 JZR721018 KJN721018 KTJ721018 LDF721018 LNB721018 LWX721018 MGT721018 MQP721018 NAL721018 NKH721018 NUD721018 ODZ721018 ONV721018 OXR721018 PHN721018 PRJ721018 QBF721018 QLB721018 QUX721018 RET721018 ROP721018 RYL721018 SIH721018 SSD721018 TBZ721018 TLV721018 TVR721018 UFN721018 UPJ721018 UZF721018 VJB721018 VSX721018 WCT721018 WMP721018 WWL721018 AD786554 JZ786554 TV786554 ADR786554 ANN786554 AXJ786554 BHF786554 BRB786554 CAX786554 CKT786554 CUP786554 DEL786554 DOH786554 DYD786554 EHZ786554 ERV786554 FBR786554 FLN786554 FVJ786554 GFF786554 GPB786554 GYX786554 HIT786554 HSP786554 ICL786554 IMH786554 IWD786554 JFZ786554 JPV786554 JZR786554 KJN786554 KTJ786554 LDF786554 LNB786554 LWX786554 MGT786554 MQP786554 NAL786554 NKH786554 NUD786554 ODZ786554 ONV786554 OXR786554 PHN786554 PRJ786554 QBF786554 QLB786554 QUX786554 RET786554 ROP786554 RYL786554 SIH786554 SSD786554 TBZ786554 TLV786554 TVR786554 UFN786554 UPJ786554 UZF786554 VJB786554 VSX786554 WCT786554 WMP786554 WWL786554 AD852090 JZ852090 TV852090 ADR852090 ANN852090 AXJ852090 BHF852090 BRB852090 CAX852090 CKT852090 CUP852090 DEL852090 DOH852090 DYD852090 EHZ852090 ERV852090 FBR852090 FLN852090 FVJ852090 GFF852090 GPB852090 GYX852090 HIT852090 HSP852090 ICL852090 IMH852090 IWD852090 JFZ852090 JPV852090 JZR852090 KJN852090 KTJ852090 LDF852090 LNB852090 LWX852090 MGT852090 MQP852090 NAL852090 NKH852090 NUD852090 ODZ852090 ONV852090 OXR852090 PHN852090 PRJ852090 QBF852090 QLB852090 QUX852090 RET852090 ROP852090 RYL852090 SIH852090 SSD852090 TBZ852090 TLV852090 TVR852090 UFN852090 UPJ852090 UZF852090 VJB852090 VSX852090 WCT852090 WMP852090 WWL852090 AD917626 JZ917626 TV917626 ADR917626 ANN917626 AXJ917626 BHF917626 BRB917626 CAX917626 CKT917626 CUP917626 DEL917626 DOH917626 DYD917626 EHZ917626 ERV917626 FBR917626 FLN917626 FVJ917626 GFF917626 GPB917626 GYX917626 HIT917626 HSP917626 ICL917626 IMH917626 IWD917626 JFZ917626 JPV917626 JZR917626 KJN917626 KTJ917626 LDF917626 LNB917626 LWX917626 MGT917626 MQP917626 NAL917626 NKH917626 NUD917626 ODZ917626 ONV917626 OXR917626 PHN917626 PRJ917626 QBF917626 QLB917626 QUX917626 RET917626 ROP917626 RYL917626 SIH917626 SSD917626 TBZ917626 TLV917626 TVR917626 UFN917626 UPJ917626 UZF917626 VJB917626 VSX917626 WCT917626 WMP917626 WWL917626 AD983162 JZ983162 TV983162 ADR983162 ANN983162 AXJ983162 BHF983162 BRB983162 CAX983162 CKT983162 CUP983162 DEL983162 DOH983162 DYD983162 EHZ983162 ERV983162 FBR983162 FLN983162 FVJ983162 GFF983162 GPB983162 GYX983162 HIT983162 HSP983162 ICL983162 IMH983162 IWD983162 JFZ983162 JPV983162 JZR983162 KJN983162 KTJ983162 LDF983162 LNB983162 LWX983162 MGT983162 MQP983162 NAL983162 NKH983162 NUD983162 ODZ983162 ONV983162 OXR983162 PHN983162 PRJ983162 QBF983162 QLB983162 QUX983162 RET983162 ROP983162 RYL983162 SIH983162 SSD983162 TBZ983162 TLV983162 TVR983162 UFN983162 UPJ983162 UZF983162 VJB983162 VSX983162 WCT983162 WMP983162 WWL983162 AD63:AD65 JZ63:JZ65 TV63:TV65 ADR63:ADR65 ANN63:ANN65 AXJ63:AXJ65 BHF63:BHF65 BRB63:BRB65 CAX63:CAX65 CKT63:CKT65 CUP63:CUP65 DEL63:DEL65 DOH63:DOH65 DYD63:DYD65 EHZ63:EHZ65 ERV63:ERV65 FBR63:FBR65 FLN63:FLN65 FVJ63:FVJ65 GFF63:GFF65 GPB63:GPB65 GYX63:GYX65 HIT63:HIT65 HSP63:HSP65 ICL63:ICL65 IMH63:IMH65 IWD63:IWD65 JFZ63:JFZ65 JPV63:JPV65 JZR63:JZR65 KJN63:KJN65 KTJ63:KTJ65 LDF63:LDF65 LNB63:LNB65 LWX63:LWX65 MGT63:MGT65 MQP63:MQP65 NAL63:NAL65 NKH63:NKH65 NUD63:NUD65 ODZ63:ODZ65 ONV63:ONV65 OXR63:OXR65 PHN63:PHN65 PRJ63:PRJ65 QBF63:QBF65 QLB63:QLB65 QUX63:QUX65 RET63:RET65 ROP63:ROP65 RYL63:RYL65 SIH63:SIH65 SSD63:SSD65 TBZ63:TBZ65 TLV63:TLV65 TVR63:TVR65 UFN63:UFN65 UPJ63:UPJ65 UZF63:UZF65 VJB63:VJB65 VSX63:VSX65 WCT63:WCT65 WMP63:WMP65 WWL63:WWL65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AD140 JZ140 TV140 ADR140 ANN140 AXJ140 BHF140 BRB140 CAX140 CKT140 CUP140 DEL140 DOH140 DYD140 EHZ140 ERV140 FBR140 FLN140 FVJ140 GFF140 GPB140 GYX140 HIT140 HSP140 ICL140 IMH140 IWD140 JFZ140 JPV140 JZR140 KJN140 KTJ140 LDF140 LNB140 LWX140 MGT140 MQP140 NAL140 NKH140 NUD140 ODZ140 ONV140 OXR140 PHN140 PRJ140 QBF140 QLB140 QUX140 RET140 ROP140 RYL140 SIH140 SSD140 TBZ140 TLV140 TVR140 UFN140 UPJ140 UZF140 VJB140 VSX140 WCT140 WMP140 WWL140 AD65677 JZ65677 TV65677 ADR65677 ANN65677 AXJ65677 BHF65677 BRB65677 CAX65677 CKT65677 CUP65677 DEL65677 DOH65677 DYD65677 EHZ65677 ERV65677 FBR65677 FLN65677 FVJ65677 GFF65677 GPB65677 GYX65677 HIT65677 HSP65677 ICL65677 IMH65677 IWD65677 JFZ65677 JPV65677 JZR65677 KJN65677 KTJ65677 LDF65677 LNB65677 LWX65677 MGT65677 MQP65677 NAL65677 NKH65677 NUD65677 ODZ65677 ONV65677 OXR65677 PHN65677 PRJ65677 QBF65677 QLB65677 QUX65677 RET65677 ROP65677 RYL65677 SIH65677 SSD65677 TBZ65677 TLV65677 TVR65677 UFN65677 UPJ65677 UZF65677 VJB65677 VSX65677 WCT65677 WMP65677 WWL65677 AD131213 JZ131213 TV131213 ADR131213 ANN131213 AXJ131213 BHF131213 BRB131213 CAX131213 CKT131213 CUP131213 DEL131213 DOH131213 DYD131213 EHZ131213 ERV131213 FBR131213 FLN131213 FVJ131213 GFF131213 GPB131213 GYX131213 HIT131213 HSP131213 ICL131213 IMH131213 IWD131213 JFZ131213 JPV131213 JZR131213 KJN131213 KTJ131213 LDF131213 LNB131213 LWX131213 MGT131213 MQP131213 NAL131213 NKH131213 NUD131213 ODZ131213 ONV131213 OXR131213 PHN131213 PRJ131213 QBF131213 QLB131213 QUX131213 RET131213 ROP131213 RYL131213 SIH131213 SSD131213 TBZ131213 TLV131213 TVR131213 UFN131213 UPJ131213 UZF131213 VJB131213 VSX131213 WCT131213 WMP131213 WWL131213 AD196749 JZ196749 TV196749 ADR196749 ANN196749 AXJ196749 BHF196749 BRB196749 CAX196749 CKT196749 CUP196749 DEL196749 DOH196749 DYD196749 EHZ196749 ERV196749 FBR196749 FLN196749 FVJ196749 GFF196749 GPB196749 GYX196749 HIT196749 HSP196749 ICL196749 IMH196749 IWD196749 JFZ196749 JPV196749 JZR196749 KJN196749 KTJ196749 LDF196749 LNB196749 LWX196749 MGT196749 MQP196749 NAL196749 NKH196749 NUD196749 ODZ196749 ONV196749 OXR196749 PHN196749 PRJ196749 QBF196749 QLB196749 QUX196749 RET196749 ROP196749 RYL196749 SIH196749 SSD196749 TBZ196749 TLV196749 TVR196749 UFN196749 UPJ196749 UZF196749 VJB196749 VSX196749 WCT196749 WMP196749 WWL196749 AD262285 JZ262285 TV262285 ADR262285 ANN262285 AXJ262285 BHF262285 BRB262285 CAX262285 CKT262285 CUP262285 DEL262285 DOH262285 DYD262285 EHZ262285 ERV262285 FBR262285 FLN262285 FVJ262285 GFF262285 GPB262285 GYX262285 HIT262285 HSP262285 ICL262285 IMH262285 IWD262285 JFZ262285 JPV262285 JZR262285 KJN262285 KTJ262285 LDF262285 LNB262285 LWX262285 MGT262285 MQP262285 NAL262285 NKH262285 NUD262285 ODZ262285 ONV262285 OXR262285 PHN262285 PRJ262285 QBF262285 QLB262285 QUX262285 RET262285 ROP262285 RYL262285 SIH262285 SSD262285 TBZ262285 TLV262285 TVR262285 UFN262285 UPJ262285 UZF262285 VJB262285 VSX262285 WCT262285 WMP262285 WWL262285 AD327821 JZ327821 TV327821 ADR327821 ANN327821 AXJ327821 BHF327821 BRB327821 CAX327821 CKT327821 CUP327821 DEL327821 DOH327821 DYD327821 EHZ327821 ERV327821 FBR327821 FLN327821 FVJ327821 GFF327821 GPB327821 GYX327821 HIT327821 HSP327821 ICL327821 IMH327821 IWD327821 JFZ327821 JPV327821 JZR327821 KJN327821 KTJ327821 LDF327821 LNB327821 LWX327821 MGT327821 MQP327821 NAL327821 NKH327821 NUD327821 ODZ327821 ONV327821 OXR327821 PHN327821 PRJ327821 QBF327821 QLB327821 QUX327821 RET327821 ROP327821 RYL327821 SIH327821 SSD327821 TBZ327821 TLV327821 TVR327821 UFN327821 UPJ327821 UZF327821 VJB327821 VSX327821 WCT327821 WMP327821 WWL327821 AD393357 JZ393357 TV393357 ADR393357 ANN393357 AXJ393357 BHF393357 BRB393357 CAX393357 CKT393357 CUP393357 DEL393357 DOH393357 DYD393357 EHZ393357 ERV393357 FBR393357 FLN393357 FVJ393357 GFF393357 GPB393357 GYX393357 HIT393357 HSP393357 ICL393357 IMH393357 IWD393357 JFZ393357 JPV393357 JZR393357 KJN393357 KTJ393357 LDF393357 LNB393357 LWX393357 MGT393357 MQP393357 NAL393357 NKH393357 NUD393357 ODZ393357 ONV393357 OXR393357 PHN393357 PRJ393357 QBF393357 QLB393357 QUX393357 RET393357 ROP393357 RYL393357 SIH393357 SSD393357 TBZ393357 TLV393357 TVR393357 UFN393357 UPJ393357 UZF393357 VJB393357 VSX393357 WCT393357 WMP393357 WWL393357 AD458893 JZ458893 TV458893 ADR458893 ANN458893 AXJ458893 BHF458893 BRB458893 CAX458893 CKT458893 CUP458893 DEL458893 DOH458893 DYD458893 EHZ458893 ERV458893 FBR458893 FLN458893 FVJ458893 GFF458893 GPB458893 GYX458893 HIT458893 HSP458893 ICL458893 IMH458893 IWD458893 JFZ458893 JPV458893 JZR458893 KJN458893 KTJ458893 LDF458893 LNB458893 LWX458893 MGT458893 MQP458893 NAL458893 NKH458893 NUD458893 ODZ458893 ONV458893 OXR458893 PHN458893 PRJ458893 QBF458893 QLB458893 QUX458893 RET458893 ROP458893 RYL458893 SIH458893 SSD458893 TBZ458893 TLV458893 TVR458893 UFN458893 UPJ458893 UZF458893 VJB458893 VSX458893 WCT458893 WMP458893 WWL458893 AD524429 JZ524429 TV524429 ADR524429 ANN524429 AXJ524429 BHF524429 BRB524429 CAX524429 CKT524429 CUP524429 DEL524429 DOH524429 DYD524429 EHZ524429 ERV524429 FBR524429 FLN524429 FVJ524429 GFF524429 GPB524429 GYX524429 HIT524429 HSP524429 ICL524429 IMH524429 IWD524429 JFZ524429 JPV524429 JZR524429 KJN524429 KTJ524429 LDF524429 LNB524429 LWX524429 MGT524429 MQP524429 NAL524429 NKH524429 NUD524429 ODZ524429 ONV524429 OXR524429 PHN524429 PRJ524429 QBF524429 QLB524429 QUX524429 RET524429 ROP524429 RYL524429 SIH524429 SSD524429 TBZ524429 TLV524429 TVR524429 UFN524429 UPJ524429 UZF524429 VJB524429 VSX524429 WCT524429 WMP524429 WWL524429 AD589965 JZ589965 TV589965 ADR589965 ANN589965 AXJ589965 BHF589965 BRB589965 CAX589965 CKT589965 CUP589965 DEL589965 DOH589965 DYD589965 EHZ589965 ERV589965 FBR589965 FLN589965 FVJ589965 GFF589965 GPB589965 GYX589965 HIT589965 HSP589965 ICL589965 IMH589965 IWD589965 JFZ589965 JPV589965 JZR589965 KJN589965 KTJ589965 LDF589965 LNB589965 LWX589965 MGT589965 MQP589965 NAL589965 NKH589965 NUD589965 ODZ589965 ONV589965 OXR589965 PHN589965 PRJ589965 QBF589965 QLB589965 QUX589965 RET589965 ROP589965 RYL589965 SIH589965 SSD589965 TBZ589965 TLV589965 TVR589965 UFN589965 UPJ589965 UZF589965 VJB589965 VSX589965 WCT589965 WMP589965 WWL589965 AD655501 JZ655501 TV655501 ADR655501 ANN655501 AXJ655501 BHF655501 BRB655501 CAX655501 CKT655501 CUP655501 DEL655501 DOH655501 DYD655501 EHZ655501 ERV655501 FBR655501 FLN655501 FVJ655501 GFF655501 GPB655501 GYX655501 HIT655501 HSP655501 ICL655501 IMH655501 IWD655501 JFZ655501 JPV655501 JZR655501 KJN655501 KTJ655501 LDF655501 LNB655501 LWX655501 MGT655501 MQP655501 NAL655501 NKH655501 NUD655501 ODZ655501 ONV655501 OXR655501 PHN655501 PRJ655501 QBF655501 QLB655501 QUX655501 RET655501 ROP655501 RYL655501 SIH655501 SSD655501 TBZ655501 TLV655501 TVR655501 UFN655501 UPJ655501 UZF655501 VJB655501 VSX655501 WCT655501 WMP655501 WWL655501 AD721037 JZ721037 TV721037 ADR721037 ANN721037 AXJ721037 BHF721037 BRB721037 CAX721037 CKT721037 CUP721037 DEL721037 DOH721037 DYD721037 EHZ721037 ERV721037 FBR721037 FLN721037 FVJ721037 GFF721037 GPB721037 GYX721037 HIT721037 HSP721037 ICL721037 IMH721037 IWD721037 JFZ721037 JPV721037 JZR721037 KJN721037 KTJ721037 LDF721037 LNB721037 LWX721037 MGT721037 MQP721037 NAL721037 NKH721037 NUD721037 ODZ721037 ONV721037 OXR721037 PHN721037 PRJ721037 QBF721037 QLB721037 QUX721037 RET721037 ROP721037 RYL721037 SIH721037 SSD721037 TBZ721037 TLV721037 TVR721037 UFN721037 UPJ721037 UZF721037 VJB721037 VSX721037 WCT721037 WMP721037 WWL721037 AD786573 JZ786573 TV786573 ADR786573 ANN786573 AXJ786573 BHF786573 BRB786573 CAX786573 CKT786573 CUP786573 DEL786573 DOH786573 DYD786573 EHZ786573 ERV786573 FBR786573 FLN786573 FVJ786573 GFF786573 GPB786573 GYX786573 HIT786573 HSP786573 ICL786573 IMH786573 IWD786573 JFZ786573 JPV786573 JZR786573 KJN786573 KTJ786573 LDF786573 LNB786573 LWX786573 MGT786573 MQP786573 NAL786573 NKH786573 NUD786573 ODZ786573 ONV786573 OXR786573 PHN786573 PRJ786573 QBF786573 QLB786573 QUX786573 RET786573 ROP786573 RYL786573 SIH786573 SSD786573 TBZ786573 TLV786573</xm:sqref>
        </x14:dataValidation>
        <x14:dataValidation type="list" allowBlank="1" showInputMessage="1" showErrorMessage="1">
          <x14:formula1>
            <xm:f>$A$210:$A$222</xm:f>
          </x14:formula1>
          <xm:sqref>AD66:AD74 AD76:AD87 TV5:TV62 ADR5:ADR62 ANN5:ANN62 AXJ5:AXJ62 BHF5:BHF62 BRB5:BRB62 CAX5:CAX62 CKT5:CKT62 CUP5:CUP62 DEL5:DEL62 DOH5:DOH62 DYD5:DYD62 EHZ5:EHZ62 ERV5:ERV62 FBR5:FBR62 FLN5:FLN62 FVJ5:FVJ62 GFF5:GFF62 GPB5:GPB62 GYX5:GYX62 HIT5:HIT62 HSP5:HSP62 ICL5:ICL62 IMH5:IMH62 IWD5:IWD62 JFZ5:JFZ62 JPV5:JPV62 JZR5:JZR62 KJN5:KJN62 KTJ5:KTJ62 LDF5:LDF62 LNB5:LNB62 LWX5:LWX62 MGT5:MGT62 MQP5:MQP62 NAL5:NAL62 NKH5:NKH62 NUD5:NUD62 ODZ5:ODZ62 ONV5:ONV62 OXR5:OXR62 PHN5:PHN62 PRJ5:PRJ62 QBF5:QBF62 QLB5:QLB62 QUX5:QUX62 RET5:RET62 ROP5:ROP62 RYL5:RYL62 SIH5:SIH62 SSD5:SSD62 TBZ5:TBZ62 TLV5:TLV62 TVR5:TVR62 UFN5:UFN62 UPJ5:UPJ62 UZF5:UZF62 VJB5:VJB62 VSX5:VSX62 WCT5:WCT62 WMP5:WMP62 WWL5:WWL62 JZ5:JZ62 ADR66:ADR74 ANN66:ANN74 AXJ66:AXJ74 BHF66:BHF74 BRB66:BRB74 CAX66:CAX74 CKT66:CKT74 CUP66:CUP74 DEL66:DEL74 DOH66:DOH74 DYD66:DYD74 EHZ66:EHZ74 ERV66:ERV74 FBR66:FBR74 FLN66:FLN74 FVJ66:FVJ74 GFF66:GFF74 GPB66:GPB74 GYX66:GYX74 HIT66:HIT74 HSP66:HSP74 ICL66:ICL74 IMH66:IMH74 IWD66:IWD74 JFZ66:JFZ74 JPV66:JPV74 JZR66:JZR74 KJN66:KJN74 KTJ66:KTJ74 LDF66:LDF74 LNB66:LNB74 LWX66:LWX74 MGT66:MGT74 MQP66:MQP74 NAL66:NAL74 NKH66:NKH74 NUD66:NUD74 ODZ66:ODZ74 ONV66:ONV74 OXR66:OXR74 PHN66:PHN74 PRJ66:PRJ74 QBF66:QBF74 QLB66:QLB74 QUX66:QUX74 RET66:RET74 ROP66:ROP74 RYL66:RYL74 SIH66:SIH74 SSD66:SSD74 TBZ66:TBZ74 TLV66:TLV74 TVR66:TVR74 UFN66:UFN74 UPJ66:UPJ74 UZF66:UZF74 VJB66:VJB74 VSX66:VSX74 WCT66:WCT74 WMP66:WMP74 WWL66:WWL74 AD65604:AD65612 JZ65604:JZ65612 TV65604:TV65612 ADR65604:ADR65612 ANN65604:ANN65612 AXJ65604:AXJ65612 BHF65604:BHF65612 BRB65604:BRB65612 CAX65604:CAX65612 CKT65604:CKT65612 CUP65604:CUP65612 DEL65604:DEL65612 DOH65604:DOH65612 DYD65604:DYD65612 EHZ65604:EHZ65612 ERV65604:ERV65612 FBR65604:FBR65612 FLN65604:FLN65612 FVJ65604:FVJ65612 GFF65604:GFF65612 GPB65604:GPB65612 GYX65604:GYX65612 HIT65604:HIT65612 HSP65604:HSP65612 ICL65604:ICL65612 IMH65604:IMH65612 IWD65604:IWD65612 JFZ65604:JFZ65612 JPV65604:JPV65612 JZR65604:JZR65612 KJN65604:KJN65612 KTJ65604:KTJ65612 LDF65604:LDF65612 LNB65604:LNB65612 LWX65604:LWX65612 MGT65604:MGT65612 MQP65604:MQP65612 NAL65604:NAL65612 NKH65604:NKH65612 NUD65604:NUD65612 ODZ65604:ODZ65612 ONV65604:ONV65612 OXR65604:OXR65612 PHN65604:PHN65612 PRJ65604:PRJ65612 QBF65604:QBF65612 QLB65604:QLB65612 QUX65604:QUX65612 RET65604:RET65612 ROP65604:ROP65612 RYL65604:RYL65612 SIH65604:SIH65612 SSD65604:SSD65612 TBZ65604:TBZ65612 TLV65604:TLV65612 TVR65604:TVR65612 UFN65604:UFN65612 UPJ65604:UPJ65612 UZF65604:UZF65612 VJB65604:VJB65612 VSX65604:VSX65612 WCT65604:WCT65612 WMP65604:WMP65612 WWL65604:WWL65612 AD131140:AD131148 JZ131140:JZ131148 TV131140:TV131148 ADR131140:ADR131148 ANN131140:ANN131148 AXJ131140:AXJ131148 BHF131140:BHF131148 BRB131140:BRB131148 CAX131140:CAX131148 CKT131140:CKT131148 CUP131140:CUP131148 DEL131140:DEL131148 DOH131140:DOH131148 DYD131140:DYD131148 EHZ131140:EHZ131148 ERV131140:ERV131148 FBR131140:FBR131148 FLN131140:FLN131148 FVJ131140:FVJ131148 GFF131140:GFF131148 GPB131140:GPB131148 GYX131140:GYX131148 HIT131140:HIT131148 HSP131140:HSP131148 ICL131140:ICL131148 IMH131140:IMH131148 IWD131140:IWD131148 JFZ131140:JFZ131148 JPV131140:JPV131148 JZR131140:JZR131148 KJN131140:KJN131148 KTJ131140:KTJ131148 LDF131140:LDF131148 LNB131140:LNB131148 LWX131140:LWX131148 MGT131140:MGT131148 MQP131140:MQP131148 NAL131140:NAL131148 NKH131140:NKH131148 NUD131140:NUD131148 ODZ131140:ODZ131148 ONV131140:ONV131148 OXR131140:OXR131148 PHN131140:PHN131148 PRJ131140:PRJ131148 QBF131140:QBF131148 QLB131140:QLB131148 QUX131140:QUX131148 RET131140:RET131148 ROP131140:ROP131148 RYL131140:RYL131148 SIH131140:SIH131148 SSD131140:SSD131148 TBZ131140:TBZ131148 TLV131140:TLV131148 TVR131140:TVR131148 UFN131140:UFN131148 UPJ131140:UPJ131148 UZF131140:UZF131148 VJB131140:VJB131148 VSX131140:VSX131148 WCT131140:WCT131148 WMP131140:WMP131148 WWL131140:WWL131148 AD196676:AD196684 JZ196676:JZ196684 TV196676:TV196684 ADR196676:ADR196684 ANN196676:ANN196684 AXJ196676:AXJ196684 BHF196676:BHF196684 BRB196676:BRB196684 CAX196676:CAX196684 CKT196676:CKT196684 CUP196676:CUP196684 DEL196676:DEL196684 DOH196676:DOH196684 DYD196676:DYD196684 EHZ196676:EHZ196684 ERV196676:ERV196684 FBR196676:FBR196684 FLN196676:FLN196684 FVJ196676:FVJ196684 GFF196676:GFF196684 GPB196676:GPB196684 GYX196676:GYX196684 HIT196676:HIT196684 HSP196676:HSP196684 ICL196676:ICL196684 IMH196676:IMH196684 IWD196676:IWD196684 JFZ196676:JFZ196684 JPV196676:JPV196684 JZR196676:JZR196684 KJN196676:KJN196684 KTJ196676:KTJ196684 LDF196676:LDF196684 LNB196676:LNB196684 LWX196676:LWX196684 MGT196676:MGT196684 MQP196676:MQP196684 NAL196676:NAL196684 NKH196676:NKH196684 NUD196676:NUD196684 ODZ196676:ODZ196684 ONV196676:ONV196684 OXR196676:OXR196684 PHN196676:PHN196684 PRJ196676:PRJ196684 QBF196676:QBF196684 QLB196676:QLB196684 QUX196676:QUX196684 RET196676:RET196684 ROP196676:ROP196684 RYL196676:RYL196684 SIH196676:SIH196684 SSD196676:SSD196684 TBZ196676:TBZ196684 TLV196676:TLV196684 TVR196676:TVR196684 UFN196676:UFN196684 UPJ196676:UPJ196684 UZF196676:UZF196684 VJB196676:VJB196684 VSX196676:VSX196684 WCT196676:WCT196684 WMP196676:WMP196684 WWL196676:WWL196684 AD262212:AD262220 JZ262212:JZ262220 TV262212:TV262220 ADR262212:ADR262220 ANN262212:ANN262220 AXJ262212:AXJ262220 BHF262212:BHF262220 BRB262212:BRB262220 CAX262212:CAX262220 CKT262212:CKT262220 CUP262212:CUP262220 DEL262212:DEL262220 DOH262212:DOH262220 DYD262212:DYD262220 EHZ262212:EHZ262220 ERV262212:ERV262220 FBR262212:FBR262220 FLN262212:FLN262220 FVJ262212:FVJ262220 GFF262212:GFF262220 GPB262212:GPB262220 GYX262212:GYX262220 HIT262212:HIT262220 HSP262212:HSP262220 ICL262212:ICL262220 IMH262212:IMH262220 IWD262212:IWD262220 JFZ262212:JFZ262220 JPV262212:JPV262220 JZR262212:JZR262220 KJN262212:KJN262220 KTJ262212:KTJ262220 LDF262212:LDF262220 LNB262212:LNB262220 LWX262212:LWX262220 MGT262212:MGT262220 MQP262212:MQP262220 NAL262212:NAL262220 NKH262212:NKH262220 NUD262212:NUD262220 ODZ262212:ODZ262220 ONV262212:ONV262220 OXR262212:OXR262220 PHN262212:PHN262220 PRJ262212:PRJ262220 QBF262212:QBF262220 QLB262212:QLB262220 QUX262212:QUX262220 RET262212:RET262220 ROP262212:ROP262220 RYL262212:RYL262220 SIH262212:SIH262220 SSD262212:SSD262220 TBZ262212:TBZ262220 TLV262212:TLV262220 TVR262212:TVR262220 UFN262212:UFN262220 UPJ262212:UPJ262220 UZF262212:UZF262220 VJB262212:VJB262220 VSX262212:VSX262220 WCT262212:WCT262220 WMP262212:WMP262220 WWL262212:WWL262220 AD327748:AD327756 JZ327748:JZ327756 TV327748:TV327756 ADR327748:ADR327756 ANN327748:ANN327756 AXJ327748:AXJ327756 BHF327748:BHF327756 BRB327748:BRB327756 CAX327748:CAX327756 CKT327748:CKT327756 CUP327748:CUP327756 DEL327748:DEL327756 DOH327748:DOH327756 DYD327748:DYD327756 EHZ327748:EHZ327756 ERV327748:ERV327756 FBR327748:FBR327756 FLN327748:FLN327756 FVJ327748:FVJ327756 GFF327748:GFF327756 GPB327748:GPB327756 GYX327748:GYX327756 HIT327748:HIT327756 HSP327748:HSP327756 ICL327748:ICL327756 IMH327748:IMH327756 IWD327748:IWD327756 JFZ327748:JFZ327756 JPV327748:JPV327756 JZR327748:JZR327756 KJN327748:KJN327756 KTJ327748:KTJ327756 LDF327748:LDF327756 LNB327748:LNB327756 LWX327748:LWX327756 MGT327748:MGT327756 MQP327748:MQP327756 NAL327748:NAL327756 NKH327748:NKH327756 NUD327748:NUD327756 ODZ327748:ODZ327756 ONV327748:ONV327756 OXR327748:OXR327756 PHN327748:PHN327756 PRJ327748:PRJ327756 QBF327748:QBF327756 QLB327748:QLB327756 QUX327748:QUX327756 RET327748:RET327756 ROP327748:ROP327756 RYL327748:RYL327756 SIH327748:SIH327756 SSD327748:SSD327756 TBZ327748:TBZ327756 TLV327748:TLV327756 TVR327748:TVR327756 UFN327748:UFN327756 UPJ327748:UPJ327756 UZF327748:UZF327756 VJB327748:VJB327756 VSX327748:VSX327756 WCT327748:WCT327756 WMP327748:WMP327756 WWL327748:WWL327756 AD393284:AD393292 JZ393284:JZ393292 TV393284:TV393292 ADR393284:ADR393292 ANN393284:ANN393292 AXJ393284:AXJ393292 BHF393284:BHF393292 BRB393284:BRB393292 CAX393284:CAX393292 CKT393284:CKT393292 CUP393284:CUP393292 DEL393284:DEL393292 DOH393284:DOH393292 DYD393284:DYD393292 EHZ393284:EHZ393292 ERV393284:ERV393292 FBR393284:FBR393292 FLN393284:FLN393292 FVJ393284:FVJ393292 GFF393284:GFF393292 GPB393284:GPB393292 GYX393284:GYX393292 HIT393284:HIT393292 HSP393284:HSP393292 ICL393284:ICL393292 IMH393284:IMH393292 IWD393284:IWD393292 JFZ393284:JFZ393292 JPV393284:JPV393292 JZR393284:JZR393292 KJN393284:KJN393292 KTJ393284:KTJ393292 LDF393284:LDF393292 LNB393284:LNB393292 LWX393284:LWX393292 MGT393284:MGT393292 MQP393284:MQP393292 NAL393284:NAL393292 NKH393284:NKH393292 NUD393284:NUD393292 ODZ393284:ODZ393292 ONV393284:ONV393292 OXR393284:OXR393292 PHN393284:PHN393292 PRJ393284:PRJ393292 QBF393284:QBF393292 QLB393284:QLB393292 QUX393284:QUX393292 RET393284:RET393292 ROP393284:ROP393292 RYL393284:RYL393292 SIH393284:SIH393292 SSD393284:SSD393292 TBZ393284:TBZ393292 TLV393284:TLV393292 TVR393284:TVR393292 UFN393284:UFN393292 UPJ393284:UPJ393292 UZF393284:UZF393292 VJB393284:VJB393292 VSX393284:VSX393292 WCT393284:WCT393292 WMP393284:WMP393292 WWL393284:WWL393292 AD458820:AD458828 JZ458820:JZ458828 TV458820:TV458828 ADR458820:ADR458828 ANN458820:ANN458828 AXJ458820:AXJ458828 BHF458820:BHF458828 BRB458820:BRB458828 CAX458820:CAX458828 CKT458820:CKT458828 CUP458820:CUP458828 DEL458820:DEL458828 DOH458820:DOH458828 DYD458820:DYD458828 EHZ458820:EHZ458828 ERV458820:ERV458828 FBR458820:FBR458828 FLN458820:FLN458828 FVJ458820:FVJ458828 GFF458820:GFF458828 GPB458820:GPB458828 GYX458820:GYX458828 HIT458820:HIT458828 HSP458820:HSP458828 ICL458820:ICL458828 IMH458820:IMH458828 IWD458820:IWD458828 JFZ458820:JFZ458828 JPV458820:JPV458828 JZR458820:JZR458828 KJN458820:KJN458828 KTJ458820:KTJ458828 LDF458820:LDF458828 LNB458820:LNB458828 LWX458820:LWX458828 MGT458820:MGT458828 MQP458820:MQP458828 NAL458820:NAL458828 NKH458820:NKH458828 NUD458820:NUD458828 ODZ458820:ODZ458828 ONV458820:ONV458828 OXR458820:OXR458828 PHN458820:PHN458828 PRJ458820:PRJ458828 QBF458820:QBF458828 QLB458820:QLB458828 QUX458820:QUX458828 RET458820:RET458828 ROP458820:ROP458828 RYL458820:RYL458828 SIH458820:SIH458828 SSD458820:SSD458828 TBZ458820:TBZ458828 TLV458820:TLV458828 TVR458820:TVR458828 UFN458820:UFN458828 UPJ458820:UPJ458828 UZF458820:UZF458828 VJB458820:VJB458828 VSX458820:VSX458828 WCT458820:WCT458828 WMP458820:WMP458828 WWL458820:WWL458828 AD524356:AD524364 JZ524356:JZ524364 TV524356:TV524364 ADR524356:ADR524364 ANN524356:ANN524364 AXJ524356:AXJ524364 BHF524356:BHF524364 BRB524356:BRB524364 CAX524356:CAX524364 CKT524356:CKT524364 CUP524356:CUP524364 DEL524356:DEL524364 DOH524356:DOH524364 DYD524356:DYD524364 EHZ524356:EHZ524364 ERV524356:ERV524364 FBR524356:FBR524364 FLN524356:FLN524364 FVJ524356:FVJ524364 GFF524356:GFF524364 GPB524356:GPB524364 GYX524356:GYX524364 HIT524356:HIT524364 HSP524356:HSP524364 ICL524356:ICL524364 IMH524356:IMH524364 IWD524356:IWD524364 JFZ524356:JFZ524364 JPV524356:JPV524364 JZR524356:JZR524364 KJN524356:KJN524364 KTJ524356:KTJ524364 LDF524356:LDF524364 LNB524356:LNB524364 LWX524356:LWX524364 MGT524356:MGT524364 MQP524356:MQP524364 NAL524356:NAL524364 NKH524356:NKH524364 NUD524356:NUD524364 ODZ524356:ODZ524364 ONV524356:ONV524364 OXR524356:OXR524364 PHN524356:PHN524364 PRJ524356:PRJ524364 QBF524356:QBF524364 QLB524356:QLB524364 QUX524356:QUX524364 RET524356:RET524364 ROP524356:ROP524364 RYL524356:RYL524364 SIH524356:SIH524364 SSD524356:SSD524364 TBZ524356:TBZ524364 TLV524356:TLV524364 TVR524356:TVR524364 UFN524356:UFN524364 UPJ524356:UPJ524364 UZF524356:UZF524364 VJB524356:VJB524364 VSX524356:VSX524364 WCT524356:WCT524364 WMP524356:WMP524364 WWL524356:WWL524364 AD589892:AD589900 JZ589892:JZ589900 TV589892:TV589900 ADR589892:ADR589900 ANN589892:ANN589900 AXJ589892:AXJ589900 BHF589892:BHF589900 BRB589892:BRB589900 CAX589892:CAX589900 CKT589892:CKT589900 CUP589892:CUP589900 DEL589892:DEL589900 DOH589892:DOH589900 DYD589892:DYD589900 EHZ589892:EHZ589900 ERV589892:ERV589900 FBR589892:FBR589900 FLN589892:FLN589900 FVJ589892:FVJ589900 GFF589892:GFF589900 GPB589892:GPB589900 GYX589892:GYX589900 HIT589892:HIT589900 HSP589892:HSP589900 ICL589892:ICL589900 IMH589892:IMH589900 IWD589892:IWD589900 JFZ589892:JFZ589900 JPV589892:JPV589900 JZR589892:JZR589900 KJN589892:KJN589900 KTJ589892:KTJ589900 LDF589892:LDF589900 LNB589892:LNB589900 LWX589892:LWX589900 MGT589892:MGT589900 MQP589892:MQP589900 NAL589892:NAL589900 NKH589892:NKH589900 NUD589892:NUD589900 ODZ589892:ODZ589900 ONV589892:ONV589900 OXR589892:OXR589900 PHN589892:PHN589900 PRJ589892:PRJ589900 QBF589892:QBF589900 QLB589892:QLB589900 QUX589892:QUX589900 RET589892:RET589900 ROP589892:ROP589900 RYL589892:RYL589900 SIH589892:SIH589900 SSD589892:SSD589900 TBZ589892:TBZ589900 TLV589892:TLV589900 TVR589892:TVR589900 UFN589892:UFN589900 UPJ589892:UPJ589900 UZF589892:UZF589900 VJB589892:VJB589900 VSX589892:VSX589900 WCT589892:WCT589900 WMP589892:WMP589900 WWL589892:WWL589900 AD655428:AD655436 JZ655428:JZ655436 TV655428:TV655436 ADR655428:ADR655436 ANN655428:ANN655436 AXJ655428:AXJ655436 BHF655428:BHF655436 BRB655428:BRB655436 CAX655428:CAX655436 CKT655428:CKT655436 CUP655428:CUP655436 DEL655428:DEL655436 DOH655428:DOH655436 DYD655428:DYD655436 EHZ655428:EHZ655436 ERV655428:ERV655436 FBR655428:FBR655436 FLN655428:FLN655436 FVJ655428:FVJ655436 GFF655428:GFF655436 GPB655428:GPB655436 GYX655428:GYX655436 HIT655428:HIT655436 HSP655428:HSP655436 ICL655428:ICL655436 IMH655428:IMH655436 IWD655428:IWD655436 JFZ655428:JFZ655436 JPV655428:JPV655436 JZR655428:JZR655436 KJN655428:KJN655436 KTJ655428:KTJ655436 LDF655428:LDF655436 LNB655428:LNB655436 LWX655428:LWX655436 MGT655428:MGT655436 MQP655428:MQP655436 NAL655428:NAL655436 NKH655428:NKH655436 NUD655428:NUD655436 ODZ655428:ODZ655436 ONV655428:ONV655436 OXR655428:OXR655436 PHN655428:PHN655436 PRJ655428:PRJ655436 QBF655428:QBF655436 QLB655428:QLB655436 QUX655428:QUX655436 RET655428:RET655436 ROP655428:ROP655436 RYL655428:RYL655436 SIH655428:SIH655436 SSD655428:SSD655436 TBZ655428:TBZ655436 TLV655428:TLV655436 TVR655428:TVR655436 UFN655428:UFN655436 UPJ655428:UPJ655436 UZF655428:UZF655436 VJB655428:VJB655436 VSX655428:VSX655436 WCT655428:WCT655436 WMP655428:WMP655436 WWL655428:WWL655436 AD720964:AD720972 JZ720964:JZ720972 TV720964:TV720972 ADR720964:ADR720972 ANN720964:ANN720972 AXJ720964:AXJ720972 BHF720964:BHF720972 BRB720964:BRB720972 CAX720964:CAX720972 CKT720964:CKT720972 CUP720964:CUP720972 DEL720964:DEL720972 DOH720964:DOH720972 DYD720964:DYD720972 EHZ720964:EHZ720972 ERV720964:ERV720972 FBR720964:FBR720972 FLN720964:FLN720972 FVJ720964:FVJ720972 GFF720964:GFF720972 GPB720964:GPB720972 GYX720964:GYX720972 HIT720964:HIT720972 HSP720964:HSP720972 ICL720964:ICL720972 IMH720964:IMH720972 IWD720964:IWD720972 JFZ720964:JFZ720972 JPV720964:JPV720972 JZR720964:JZR720972 KJN720964:KJN720972 KTJ720964:KTJ720972 LDF720964:LDF720972 LNB720964:LNB720972 LWX720964:LWX720972 MGT720964:MGT720972 MQP720964:MQP720972 NAL720964:NAL720972 NKH720964:NKH720972 NUD720964:NUD720972 ODZ720964:ODZ720972 ONV720964:ONV720972 OXR720964:OXR720972 PHN720964:PHN720972 PRJ720964:PRJ720972 QBF720964:QBF720972 QLB720964:QLB720972 QUX720964:QUX720972 RET720964:RET720972 ROP720964:ROP720972 RYL720964:RYL720972 SIH720964:SIH720972 SSD720964:SSD720972 TBZ720964:TBZ720972 TLV720964:TLV720972 TVR720964:TVR720972 UFN720964:UFN720972 UPJ720964:UPJ720972 UZF720964:UZF720972 VJB720964:VJB720972 VSX720964:VSX720972 WCT720964:WCT720972 WMP720964:WMP720972 WWL720964:WWL720972 AD786500:AD786508 JZ786500:JZ786508 TV786500:TV786508 ADR786500:ADR786508 ANN786500:ANN786508 AXJ786500:AXJ786508 BHF786500:BHF786508 BRB786500:BRB786508 CAX786500:CAX786508 CKT786500:CKT786508 CUP786500:CUP786508 DEL786500:DEL786508 DOH786500:DOH786508 DYD786500:DYD786508 EHZ786500:EHZ786508 ERV786500:ERV786508 FBR786500:FBR786508 FLN786500:FLN786508 FVJ786500:FVJ786508 GFF786500:GFF786508 GPB786500:GPB786508 GYX786500:GYX786508 HIT786500:HIT786508 HSP786500:HSP786508 ICL786500:ICL786508 IMH786500:IMH786508 IWD786500:IWD786508 JFZ786500:JFZ786508 JPV786500:JPV786508 JZR786500:JZR786508 KJN786500:KJN786508 KTJ786500:KTJ786508 LDF786500:LDF786508 LNB786500:LNB786508 LWX786500:LWX786508 MGT786500:MGT786508 MQP786500:MQP786508 NAL786500:NAL786508 NKH786500:NKH786508 NUD786500:NUD786508 ODZ786500:ODZ786508 ONV786500:ONV786508 OXR786500:OXR786508 PHN786500:PHN786508 PRJ786500:PRJ786508 QBF786500:QBF786508 QLB786500:QLB786508 QUX786500:QUX786508 RET786500:RET786508 ROP786500:ROP786508 RYL786500:RYL786508 SIH786500:SIH786508 SSD786500:SSD786508 TBZ786500:TBZ786508 TLV786500:TLV786508 TVR786500:TVR786508 UFN786500:UFN786508 UPJ786500:UPJ786508 UZF786500:UZF786508 VJB786500:VJB786508 VSX786500:VSX786508 WCT786500:WCT786508 WMP786500:WMP786508 WWL786500:WWL786508 AD852036:AD852044 JZ852036:JZ852044 TV852036:TV852044 ADR852036:ADR852044 ANN852036:ANN852044 AXJ852036:AXJ852044 BHF852036:BHF852044 BRB852036:BRB852044 CAX852036:CAX852044 CKT852036:CKT852044 CUP852036:CUP852044 DEL852036:DEL852044 DOH852036:DOH852044 DYD852036:DYD852044 EHZ852036:EHZ852044 ERV852036:ERV852044 FBR852036:FBR852044 FLN852036:FLN852044 FVJ852036:FVJ852044 GFF852036:GFF852044 GPB852036:GPB852044 GYX852036:GYX852044 HIT852036:HIT852044 HSP852036:HSP852044 ICL852036:ICL852044 IMH852036:IMH852044 IWD852036:IWD852044 JFZ852036:JFZ852044 JPV852036:JPV852044 JZR852036:JZR852044 KJN852036:KJN852044 KTJ852036:KTJ852044 LDF852036:LDF852044 LNB852036:LNB852044 LWX852036:LWX852044 MGT852036:MGT852044 MQP852036:MQP852044 NAL852036:NAL852044 NKH852036:NKH852044 NUD852036:NUD852044 ODZ852036:ODZ852044 ONV852036:ONV852044 OXR852036:OXR852044 PHN852036:PHN852044 PRJ852036:PRJ852044 QBF852036:QBF852044 QLB852036:QLB852044 QUX852036:QUX852044 RET852036:RET852044 ROP852036:ROP852044 RYL852036:RYL852044 SIH852036:SIH852044 SSD852036:SSD852044 TBZ852036:TBZ852044 TLV852036:TLV852044 TVR852036:TVR852044 UFN852036:UFN852044 UPJ852036:UPJ852044 UZF852036:UZF852044 VJB852036:VJB852044 VSX852036:VSX852044 WCT852036:WCT852044 WMP852036:WMP852044 WWL852036:WWL852044 AD917572:AD917580 JZ917572:JZ917580 TV917572:TV917580 ADR917572:ADR917580 ANN917572:ANN917580 AXJ917572:AXJ917580 BHF917572:BHF917580 BRB917572:BRB917580 CAX917572:CAX917580 CKT917572:CKT917580 CUP917572:CUP917580 DEL917572:DEL917580 DOH917572:DOH917580 DYD917572:DYD917580 EHZ917572:EHZ917580 ERV917572:ERV917580 FBR917572:FBR917580 FLN917572:FLN917580 FVJ917572:FVJ917580 GFF917572:GFF917580 GPB917572:GPB917580 GYX917572:GYX917580 HIT917572:HIT917580 HSP917572:HSP917580 ICL917572:ICL917580 IMH917572:IMH917580 IWD917572:IWD917580 JFZ917572:JFZ917580 JPV917572:JPV917580 JZR917572:JZR917580 KJN917572:KJN917580 KTJ917572:KTJ917580 LDF917572:LDF917580 LNB917572:LNB917580 LWX917572:LWX917580 MGT917572:MGT917580 MQP917572:MQP917580 NAL917572:NAL917580 NKH917572:NKH917580 NUD917572:NUD917580 ODZ917572:ODZ917580 ONV917572:ONV917580 OXR917572:OXR917580 PHN917572:PHN917580 PRJ917572:PRJ917580 QBF917572:QBF917580 QLB917572:QLB917580 QUX917572:QUX917580 RET917572:RET917580 ROP917572:ROP917580 RYL917572:RYL917580 SIH917572:SIH917580 SSD917572:SSD917580 TBZ917572:TBZ917580 TLV917572:TLV917580 TVR917572:TVR917580 UFN917572:UFN917580 UPJ917572:UPJ917580 UZF917572:UZF917580 VJB917572:VJB917580 VSX917572:VSX917580 WCT917572:WCT917580 WMP917572:WMP917580 WWL917572:WWL917580 AD983108:AD983116 JZ983108:JZ983116 TV983108:TV983116 ADR983108:ADR983116 ANN983108:ANN983116 AXJ983108:AXJ983116 BHF983108:BHF983116 BRB983108:BRB983116 CAX983108:CAX983116 CKT983108:CKT983116 CUP983108:CUP983116 DEL983108:DEL983116 DOH983108:DOH983116 DYD983108:DYD983116 EHZ983108:EHZ983116 ERV983108:ERV983116 FBR983108:FBR983116 FLN983108:FLN983116 FVJ983108:FVJ983116 GFF983108:GFF983116 GPB983108:GPB983116 GYX983108:GYX983116 HIT983108:HIT983116 HSP983108:HSP983116 ICL983108:ICL983116 IMH983108:IMH983116 IWD983108:IWD983116 JFZ983108:JFZ983116 JPV983108:JPV983116 JZR983108:JZR983116 KJN983108:KJN983116 KTJ983108:KTJ983116 LDF983108:LDF983116 LNB983108:LNB983116 LWX983108:LWX983116 MGT983108:MGT983116 MQP983108:MQP983116 NAL983108:NAL983116 NKH983108:NKH983116 NUD983108:NUD983116 ODZ983108:ODZ983116 ONV983108:ONV983116 OXR983108:OXR983116 PHN983108:PHN983116 PRJ983108:PRJ983116 QBF983108:QBF983116 QLB983108:QLB983116 QUX983108:QUX983116 RET983108:RET983116 ROP983108:ROP983116 RYL983108:RYL983116 SIH983108:SIH983116 SSD983108:SSD983116 TBZ983108:TBZ983116 TLV983108:TLV983116 TVR983108:TVR983116 UFN983108:UFN983116 UPJ983108:UPJ983116 UZF983108:UZF983116 VJB983108:VJB983116 VSX983108:VSX983116 WCT983108:WCT983116 WMP983108:WMP983116 WWL983108:WWL983116 AD179:AD186 JZ179:JZ186 TV179:TV186 ADR179:ADR186 ANN179:ANN186 AXJ179:AXJ186 BHF179:BHF186 BRB179:BRB186 CAX179:CAX186 CKT179:CKT186 CUP179:CUP186 DEL179:DEL186 DOH179:DOH186 DYD179:DYD186 EHZ179:EHZ186 ERV179:ERV186 FBR179:FBR186 FLN179:FLN186 FVJ179:FVJ186 GFF179:GFF186 GPB179:GPB186 GYX179:GYX186 HIT179:HIT186 HSP179:HSP186 ICL179:ICL186 IMH179:IMH186 IWD179:IWD186 JFZ179:JFZ186 JPV179:JPV186 JZR179:JZR186 KJN179:KJN186 KTJ179:KTJ186 LDF179:LDF186 LNB179:LNB186 LWX179:LWX186 MGT179:MGT186 MQP179:MQP186 NAL179:NAL186 NKH179:NKH186 NUD179:NUD186 ODZ179:ODZ186 ONV179:ONV186 OXR179:OXR186 PHN179:PHN186 PRJ179:PRJ186 QBF179:QBF186 QLB179:QLB186 QUX179:QUX186 RET179:RET186 ROP179:ROP186 RYL179:RYL186 SIH179:SIH186 SSD179:SSD186 TBZ179:TBZ186 TLV179:TLV186 TVR179:TVR186 UFN179:UFN186 UPJ179:UPJ186 UZF179:UZF186 VJB179:VJB186 VSX179:VSX186 WCT179:WCT186 WMP179:WMP186 WWL179:WWL186 AD65715:AD65722 JZ65715:JZ65722 TV65715:TV65722 ADR65715:ADR65722 ANN65715:ANN65722 AXJ65715:AXJ65722 BHF65715:BHF65722 BRB65715:BRB65722 CAX65715:CAX65722 CKT65715:CKT65722 CUP65715:CUP65722 DEL65715:DEL65722 DOH65715:DOH65722 DYD65715:DYD65722 EHZ65715:EHZ65722 ERV65715:ERV65722 FBR65715:FBR65722 FLN65715:FLN65722 FVJ65715:FVJ65722 GFF65715:GFF65722 GPB65715:GPB65722 GYX65715:GYX65722 HIT65715:HIT65722 HSP65715:HSP65722 ICL65715:ICL65722 IMH65715:IMH65722 IWD65715:IWD65722 JFZ65715:JFZ65722 JPV65715:JPV65722 JZR65715:JZR65722 KJN65715:KJN65722 KTJ65715:KTJ65722 LDF65715:LDF65722 LNB65715:LNB65722 LWX65715:LWX65722 MGT65715:MGT65722 MQP65715:MQP65722 NAL65715:NAL65722 NKH65715:NKH65722 NUD65715:NUD65722 ODZ65715:ODZ65722 ONV65715:ONV65722 OXR65715:OXR65722 PHN65715:PHN65722 PRJ65715:PRJ65722 QBF65715:QBF65722 QLB65715:QLB65722 QUX65715:QUX65722 RET65715:RET65722 ROP65715:ROP65722 RYL65715:RYL65722 SIH65715:SIH65722 SSD65715:SSD65722 TBZ65715:TBZ65722 TLV65715:TLV65722 TVR65715:TVR65722 UFN65715:UFN65722 UPJ65715:UPJ65722 UZF65715:UZF65722 VJB65715:VJB65722 VSX65715:VSX65722 WCT65715:WCT65722 WMP65715:WMP65722 WWL65715:WWL65722 AD131251:AD131258 JZ131251:JZ131258 TV131251:TV131258 ADR131251:ADR131258 ANN131251:ANN131258 AXJ131251:AXJ131258 BHF131251:BHF131258 BRB131251:BRB131258 CAX131251:CAX131258 CKT131251:CKT131258 CUP131251:CUP131258 DEL131251:DEL131258 DOH131251:DOH131258 DYD131251:DYD131258 EHZ131251:EHZ131258 ERV131251:ERV131258 FBR131251:FBR131258 FLN131251:FLN131258 FVJ131251:FVJ131258 GFF131251:GFF131258 GPB131251:GPB131258 GYX131251:GYX131258 HIT131251:HIT131258 HSP131251:HSP131258 ICL131251:ICL131258 IMH131251:IMH131258 IWD131251:IWD131258 JFZ131251:JFZ131258 JPV131251:JPV131258 JZR131251:JZR131258 KJN131251:KJN131258 KTJ131251:KTJ131258 LDF131251:LDF131258 LNB131251:LNB131258 LWX131251:LWX131258 MGT131251:MGT131258 MQP131251:MQP131258 NAL131251:NAL131258 NKH131251:NKH131258 NUD131251:NUD131258 ODZ131251:ODZ131258 ONV131251:ONV131258 OXR131251:OXR131258 PHN131251:PHN131258 PRJ131251:PRJ131258 QBF131251:QBF131258 QLB131251:QLB131258 QUX131251:QUX131258 RET131251:RET131258 ROP131251:ROP131258 RYL131251:RYL131258 SIH131251:SIH131258 SSD131251:SSD131258 TBZ131251:TBZ131258 TLV131251:TLV131258 TVR131251:TVR131258 UFN131251:UFN131258 UPJ131251:UPJ131258 UZF131251:UZF131258 VJB131251:VJB131258 VSX131251:VSX131258 WCT131251:WCT131258 WMP131251:WMP131258 WWL131251:WWL131258 AD196787:AD196794 JZ196787:JZ196794 TV196787:TV196794 ADR196787:ADR196794 ANN196787:ANN196794 AXJ196787:AXJ196794 BHF196787:BHF196794 BRB196787:BRB196794 CAX196787:CAX196794 CKT196787:CKT196794 CUP196787:CUP196794 DEL196787:DEL196794 DOH196787:DOH196794 DYD196787:DYD196794 EHZ196787:EHZ196794 ERV196787:ERV196794 FBR196787:FBR196794 FLN196787:FLN196794 FVJ196787:FVJ196794 GFF196787:GFF196794 GPB196787:GPB196794 GYX196787:GYX196794 HIT196787:HIT196794 HSP196787:HSP196794 ICL196787:ICL196794 IMH196787:IMH196794 IWD196787:IWD196794 JFZ196787:JFZ196794 JPV196787:JPV196794 JZR196787:JZR196794 KJN196787:KJN196794 KTJ196787:KTJ196794 LDF196787:LDF196794 LNB196787:LNB196794 LWX196787:LWX196794 MGT196787:MGT196794 MQP196787:MQP196794 NAL196787:NAL196794 NKH196787:NKH196794 NUD196787:NUD196794 ODZ196787:ODZ196794 ONV196787:ONV196794 OXR196787:OXR196794 PHN196787:PHN196794 PRJ196787:PRJ196794 QBF196787:QBF196794 QLB196787:QLB196794 QUX196787:QUX196794 RET196787:RET196794 ROP196787:ROP196794 RYL196787:RYL196794 SIH196787:SIH196794 SSD196787:SSD196794 TBZ196787:TBZ196794 TLV196787:TLV196794 TVR196787:TVR196794 UFN196787:UFN196794 UPJ196787:UPJ196794 UZF196787:UZF196794 VJB196787:VJB196794 VSX196787:VSX196794 WCT196787:WCT196794 WMP196787:WMP196794 WWL196787:WWL196794 AD262323:AD262330 JZ262323:JZ262330 TV262323:TV262330 ADR262323:ADR262330 ANN262323:ANN262330 AXJ262323:AXJ262330 BHF262323:BHF262330 BRB262323:BRB262330 CAX262323:CAX262330 CKT262323:CKT262330 CUP262323:CUP262330 DEL262323:DEL262330 DOH262323:DOH262330 DYD262323:DYD262330 EHZ262323:EHZ262330 ERV262323:ERV262330 FBR262323:FBR262330 FLN262323:FLN262330 FVJ262323:FVJ262330 GFF262323:GFF262330 GPB262323:GPB262330 GYX262323:GYX262330 HIT262323:HIT262330 HSP262323:HSP262330 ICL262323:ICL262330 IMH262323:IMH262330 IWD262323:IWD262330 JFZ262323:JFZ262330 JPV262323:JPV262330 JZR262323:JZR262330 KJN262323:KJN262330 KTJ262323:KTJ262330 LDF262323:LDF262330 LNB262323:LNB262330 LWX262323:LWX262330 MGT262323:MGT262330 MQP262323:MQP262330 NAL262323:NAL262330 NKH262323:NKH262330 NUD262323:NUD262330 ODZ262323:ODZ262330 ONV262323:ONV262330 OXR262323:OXR262330 PHN262323:PHN262330 PRJ262323:PRJ262330 QBF262323:QBF262330 QLB262323:QLB262330 QUX262323:QUX262330 RET262323:RET262330 ROP262323:ROP262330 RYL262323:RYL262330 SIH262323:SIH262330 SSD262323:SSD262330 TBZ262323:TBZ262330 TLV262323:TLV262330 TVR262323:TVR262330 UFN262323:UFN262330 UPJ262323:UPJ262330 UZF262323:UZF262330 VJB262323:VJB262330 VSX262323:VSX262330 WCT262323:WCT262330 WMP262323:WMP262330 WWL262323:WWL262330 AD327859:AD327866 JZ327859:JZ327866 TV327859:TV327866 ADR327859:ADR327866 ANN327859:ANN327866 AXJ327859:AXJ327866 BHF327859:BHF327866 BRB327859:BRB327866 CAX327859:CAX327866 CKT327859:CKT327866 CUP327859:CUP327866 DEL327859:DEL327866 DOH327859:DOH327866 DYD327859:DYD327866 EHZ327859:EHZ327866 ERV327859:ERV327866 FBR327859:FBR327866 FLN327859:FLN327866 FVJ327859:FVJ327866 GFF327859:GFF327866 GPB327859:GPB327866 GYX327859:GYX327866 HIT327859:HIT327866 HSP327859:HSP327866 ICL327859:ICL327866 IMH327859:IMH327866 IWD327859:IWD327866 JFZ327859:JFZ327866 JPV327859:JPV327866 JZR327859:JZR327866 KJN327859:KJN327866 KTJ327859:KTJ327866 LDF327859:LDF327866 LNB327859:LNB327866 LWX327859:LWX327866 MGT327859:MGT327866 MQP327859:MQP327866 NAL327859:NAL327866 NKH327859:NKH327866 NUD327859:NUD327866 ODZ327859:ODZ327866 ONV327859:ONV327866 OXR327859:OXR327866 PHN327859:PHN327866 PRJ327859:PRJ327866 QBF327859:QBF327866 QLB327859:QLB327866 QUX327859:QUX327866 RET327859:RET327866 ROP327859:ROP327866 RYL327859:RYL327866 SIH327859:SIH327866 SSD327859:SSD327866 TBZ327859:TBZ327866 TLV327859:TLV327866 TVR327859:TVR327866 UFN327859:UFN327866 UPJ327859:UPJ327866 UZF327859:UZF327866 VJB327859:VJB327866 VSX327859:VSX327866 WCT327859:WCT327866 WMP327859:WMP327866 WWL327859:WWL327866 AD393395:AD393402 JZ393395:JZ393402 TV393395:TV393402 ADR393395:ADR393402 ANN393395:ANN393402 AXJ393395:AXJ393402 BHF393395:BHF393402 BRB393395:BRB393402 CAX393395:CAX393402 CKT393395:CKT393402 CUP393395:CUP393402 DEL393395:DEL393402 DOH393395:DOH393402 DYD393395:DYD393402 EHZ393395:EHZ393402 ERV393395:ERV393402 FBR393395:FBR393402 FLN393395:FLN393402 FVJ393395:FVJ393402 GFF393395:GFF393402 GPB393395:GPB393402 GYX393395:GYX393402 HIT393395:HIT393402 HSP393395:HSP393402 ICL393395:ICL393402 IMH393395:IMH393402 IWD393395:IWD393402 JFZ393395:JFZ393402 JPV393395:JPV393402 JZR393395:JZR393402 KJN393395:KJN393402 KTJ393395:KTJ393402 LDF393395:LDF393402 LNB393395:LNB393402 LWX393395:LWX393402 MGT393395:MGT393402 MQP393395:MQP393402 NAL393395:NAL393402 NKH393395:NKH393402 NUD393395:NUD393402 ODZ393395:ODZ393402 ONV393395:ONV393402 OXR393395:OXR393402 PHN393395:PHN393402 PRJ393395:PRJ393402 QBF393395:QBF393402 QLB393395:QLB393402 QUX393395:QUX393402 RET393395:RET393402 ROP393395:ROP393402 RYL393395:RYL393402 SIH393395:SIH393402 SSD393395:SSD393402 TBZ393395:TBZ393402 TLV393395:TLV393402 TVR393395:TVR393402 UFN393395:UFN393402 UPJ393395:UPJ393402 UZF393395:UZF393402 VJB393395:VJB393402 VSX393395:VSX393402 WCT393395:WCT393402 WMP393395:WMP393402 WWL393395:WWL393402 AD458931:AD458938 JZ458931:JZ458938 TV458931:TV458938 ADR458931:ADR458938 ANN458931:ANN458938 AXJ458931:AXJ458938 BHF458931:BHF458938 BRB458931:BRB458938 CAX458931:CAX458938 CKT458931:CKT458938 CUP458931:CUP458938 DEL458931:DEL458938 DOH458931:DOH458938 DYD458931:DYD458938 EHZ458931:EHZ458938 ERV458931:ERV458938 FBR458931:FBR458938 FLN458931:FLN458938 FVJ458931:FVJ458938 GFF458931:GFF458938 GPB458931:GPB458938 GYX458931:GYX458938 HIT458931:HIT458938 HSP458931:HSP458938 ICL458931:ICL458938 IMH458931:IMH458938 IWD458931:IWD458938 JFZ458931:JFZ458938 JPV458931:JPV458938 JZR458931:JZR458938 KJN458931:KJN458938 KTJ458931:KTJ458938 LDF458931:LDF458938 LNB458931:LNB458938 LWX458931:LWX458938 MGT458931:MGT458938 MQP458931:MQP458938 NAL458931:NAL458938 NKH458931:NKH458938 NUD458931:NUD458938 ODZ458931:ODZ458938 ONV458931:ONV458938 OXR458931:OXR458938 PHN458931:PHN458938 PRJ458931:PRJ458938 QBF458931:QBF458938 QLB458931:QLB458938 QUX458931:QUX458938 RET458931:RET458938 ROP458931:ROP458938 RYL458931:RYL458938 SIH458931:SIH458938 SSD458931:SSD458938 TBZ458931:TBZ458938 TLV458931:TLV458938 TVR458931:TVR458938 UFN458931:UFN458938 UPJ458931:UPJ458938 UZF458931:UZF458938 VJB458931:VJB458938 VSX458931:VSX458938 WCT458931:WCT458938 WMP458931:WMP458938 WWL458931:WWL458938 AD524467:AD524474 JZ524467:JZ524474 TV524467:TV524474 ADR524467:ADR524474 ANN524467:ANN524474 AXJ524467:AXJ524474 BHF524467:BHF524474 BRB524467:BRB524474 CAX524467:CAX524474 CKT524467:CKT524474 CUP524467:CUP524474 DEL524467:DEL524474 DOH524467:DOH524474 DYD524467:DYD524474 EHZ524467:EHZ524474 ERV524467:ERV524474 FBR524467:FBR524474 FLN524467:FLN524474 FVJ524467:FVJ524474 GFF524467:GFF524474 GPB524467:GPB524474 GYX524467:GYX524474 HIT524467:HIT524474 HSP524467:HSP524474 ICL524467:ICL524474 IMH524467:IMH524474 IWD524467:IWD524474 JFZ524467:JFZ524474 JPV524467:JPV524474 JZR524467:JZR524474 KJN524467:KJN524474 KTJ524467:KTJ524474 LDF524467:LDF524474 LNB524467:LNB524474 LWX524467:LWX524474 MGT524467:MGT524474 MQP524467:MQP524474 NAL524467:NAL524474 NKH524467:NKH524474 NUD524467:NUD524474 ODZ524467:ODZ524474 ONV524467:ONV524474 OXR524467:OXR524474 PHN524467:PHN524474 PRJ524467:PRJ524474 QBF524467:QBF524474 QLB524467:QLB524474 QUX524467:QUX524474 RET524467:RET524474 ROP524467:ROP524474 RYL524467:RYL524474 SIH524467:SIH524474 SSD524467:SSD524474 TBZ524467:TBZ524474 TLV524467:TLV524474 TVR524467:TVR524474 UFN524467:UFN524474 UPJ524467:UPJ524474 UZF524467:UZF524474 VJB524467:VJB524474 VSX524467:VSX524474 WCT524467:WCT524474 WMP524467:WMP524474 WWL524467:WWL524474 AD590003:AD590010 JZ590003:JZ590010 TV590003:TV590010 ADR590003:ADR590010 ANN590003:ANN590010 AXJ590003:AXJ590010 BHF590003:BHF590010 BRB590003:BRB590010 CAX590003:CAX590010 CKT590003:CKT590010 CUP590003:CUP590010 DEL590003:DEL590010 DOH590003:DOH590010 DYD590003:DYD590010 EHZ590003:EHZ590010 ERV590003:ERV590010 FBR590003:FBR590010 FLN590003:FLN590010 FVJ590003:FVJ590010 GFF590003:GFF590010 GPB590003:GPB590010 GYX590003:GYX590010 HIT590003:HIT590010 HSP590003:HSP590010 ICL590003:ICL590010 IMH590003:IMH590010 IWD590003:IWD590010 JFZ590003:JFZ590010 JPV590003:JPV590010 JZR590003:JZR590010 KJN590003:KJN590010 KTJ590003:KTJ590010 LDF590003:LDF590010 LNB590003:LNB590010 LWX590003:LWX590010 MGT590003:MGT590010 MQP590003:MQP590010 NAL590003:NAL590010 NKH590003:NKH590010 NUD590003:NUD590010 ODZ590003:ODZ590010 ONV590003:ONV590010 OXR590003:OXR590010 PHN590003:PHN590010 PRJ590003:PRJ590010 QBF590003:QBF590010 QLB590003:QLB590010 QUX590003:QUX590010 RET590003:RET590010 ROP590003:ROP590010 RYL590003:RYL590010 SIH590003:SIH590010 SSD590003:SSD590010 TBZ590003:TBZ590010 TLV590003:TLV590010 TVR590003:TVR590010 UFN590003:UFN590010 UPJ590003:UPJ590010 UZF590003:UZF590010 VJB590003:VJB590010 VSX590003:VSX590010 WCT590003:WCT590010 WMP590003:WMP590010 WWL590003:WWL590010 AD655539:AD655546 JZ655539:JZ655546 TV655539:TV655546 ADR655539:ADR655546 ANN655539:ANN655546 AXJ655539:AXJ655546 BHF655539:BHF655546 BRB655539:BRB655546 CAX655539:CAX655546 CKT655539:CKT655546 CUP655539:CUP655546 DEL655539:DEL655546 DOH655539:DOH655546 DYD655539:DYD655546 EHZ655539:EHZ655546 ERV655539:ERV655546 FBR655539:FBR655546 FLN655539:FLN655546 FVJ655539:FVJ655546 GFF655539:GFF655546 GPB655539:GPB655546 GYX655539:GYX655546 HIT655539:HIT655546 HSP655539:HSP655546 ICL655539:ICL655546 IMH655539:IMH655546 IWD655539:IWD655546 JFZ655539:JFZ655546 JPV655539:JPV655546 JZR655539:JZR655546 KJN655539:KJN655546 KTJ655539:KTJ655546 LDF655539:LDF655546 LNB655539:LNB655546 LWX655539:LWX655546 MGT655539:MGT655546 MQP655539:MQP655546 NAL655539:NAL655546 NKH655539:NKH655546 NUD655539:NUD655546 ODZ655539:ODZ655546 ONV655539:ONV655546 OXR655539:OXR655546 PHN655539:PHN655546 PRJ655539:PRJ655546 QBF655539:QBF655546 QLB655539:QLB655546 QUX655539:QUX655546 RET655539:RET655546 ROP655539:ROP655546 RYL655539:RYL655546 SIH655539:SIH655546 SSD655539:SSD655546 TBZ655539:TBZ655546 TLV655539:TLV655546 TVR655539:TVR655546 UFN655539:UFN655546 UPJ655539:UPJ655546 UZF655539:UZF655546 VJB655539:VJB655546 VSX655539:VSX655546 WCT655539:WCT655546 WMP655539:WMP655546 WWL655539:WWL655546 AD721075:AD721082 JZ721075:JZ721082 TV721075:TV721082 ADR721075:ADR721082 ANN721075:ANN721082 AXJ721075:AXJ721082 BHF721075:BHF721082 BRB721075:BRB721082 CAX721075:CAX721082 CKT721075:CKT721082 CUP721075:CUP721082 DEL721075:DEL721082 DOH721075:DOH721082 DYD721075:DYD721082 EHZ721075:EHZ721082 ERV721075:ERV721082 FBR721075:FBR721082 FLN721075:FLN721082 FVJ721075:FVJ721082 GFF721075:GFF721082 GPB721075:GPB721082 GYX721075:GYX721082 HIT721075:HIT721082 HSP721075:HSP721082 ICL721075:ICL721082 IMH721075:IMH721082 IWD721075:IWD721082 JFZ721075:JFZ721082 JPV721075:JPV721082 JZR721075:JZR721082 KJN721075:KJN721082 KTJ721075:KTJ721082 LDF721075:LDF721082 LNB721075:LNB721082 LWX721075:LWX721082 MGT721075:MGT721082 MQP721075:MQP721082 NAL721075:NAL721082 NKH721075:NKH721082 NUD721075:NUD721082 ODZ721075:ODZ721082 ONV721075:ONV721082 OXR721075:OXR721082 PHN721075:PHN721082 PRJ721075:PRJ721082 QBF721075:QBF721082 QLB721075:QLB721082 QUX721075:QUX721082 RET721075:RET721082 ROP721075:ROP721082 RYL721075:RYL721082 SIH721075:SIH721082 SSD721075:SSD721082 TBZ721075:TBZ721082 TLV721075:TLV721082 TVR721075:TVR721082 UFN721075:UFN721082 UPJ721075:UPJ721082 UZF721075:UZF721082 VJB721075:VJB721082 VSX721075:VSX721082 WCT721075:WCT721082 WMP721075:WMP721082 WWL721075:WWL721082 AD786611:AD786618 JZ786611:JZ786618 TV786611:TV786618 ADR786611:ADR786618 ANN786611:ANN786618 AXJ786611:AXJ786618 BHF786611:BHF786618 BRB786611:BRB786618 CAX786611:CAX786618 CKT786611:CKT786618 CUP786611:CUP786618 DEL786611:DEL786618 DOH786611:DOH786618 DYD786611:DYD786618 EHZ786611:EHZ786618 ERV786611:ERV786618 FBR786611:FBR786618 FLN786611:FLN786618 FVJ786611:FVJ786618 GFF786611:GFF786618 GPB786611:GPB786618 GYX786611:GYX786618 HIT786611:HIT786618 HSP786611:HSP786618 ICL786611:ICL786618 IMH786611:IMH786618 IWD786611:IWD786618 JFZ786611:JFZ786618 JPV786611:JPV786618 JZR786611:JZR786618 KJN786611:KJN786618 KTJ786611:KTJ786618 LDF786611:LDF786618 LNB786611:LNB786618 LWX786611:LWX786618 MGT786611:MGT786618 MQP786611:MQP786618 NAL786611:NAL786618 NKH786611:NKH786618 NUD786611:NUD786618 ODZ786611:ODZ786618 ONV786611:ONV786618 OXR786611:OXR786618 PHN786611:PHN786618 PRJ786611:PRJ786618 QBF786611:QBF786618 QLB786611:QLB786618 QUX786611:QUX786618 RET786611:RET786618 ROP786611:ROP786618 RYL786611:RYL786618 SIH786611:SIH786618 SSD786611:SSD786618 TBZ786611:TBZ786618 TLV786611:TLV786618 TVR786611:TVR786618 UFN786611:UFN786618 UPJ786611:UPJ786618 UZF786611:UZF786618 VJB786611:VJB786618 VSX786611:VSX786618 WCT786611:WCT786618 WMP786611:WMP786618 WWL786611:WWL786618 AD852147:AD852154 JZ852147:JZ852154 TV852147:TV852154 ADR852147:ADR852154 ANN852147:ANN852154 AXJ852147:AXJ852154 BHF852147:BHF852154 BRB852147:BRB852154 CAX852147:CAX852154 CKT852147:CKT852154 CUP852147:CUP852154 DEL852147:DEL852154 DOH852147:DOH852154 DYD852147:DYD852154 EHZ852147:EHZ852154 ERV852147:ERV852154 FBR852147:FBR852154 FLN852147:FLN852154 FVJ852147:FVJ852154 GFF852147:GFF852154 GPB852147:GPB852154 GYX852147:GYX852154 HIT852147:HIT852154 HSP852147:HSP852154 ICL852147:ICL852154 IMH852147:IMH852154 IWD852147:IWD852154 JFZ852147:JFZ852154 JPV852147:JPV852154 JZR852147:JZR852154 KJN852147:KJN852154 KTJ852147:KTJ852154 LDF852147:LDF852154 LNB852147:LNB852154 LWX852147:LWX852154 MGT852147:MGT852154 MQP852147:MQP852154 NAL852147:NAL852154 NKH852147:NKH852154 NUD852147:NUD852154 ODZ852147:ODZ852154 ONV852147:ONV852154 OXR852147:OXR852154 PHN852147:PHN852154 PRJ852147:PRJ852154 QBF852147:QBF852154 QLB852147:QLB852154 QUX852147:QUX852154 RET852147:RET852154 ROP852147:ROP852154 RYL852147:RYL852154 SIH852147:SIH852154 SSD852147:SSD852154 TBZ852147:TBZ852154 TLV852147:TLV852154 TVR852147:TVR852154 UFN852147:UFN852154 UPJ852147:UPJ852154 UZF852147:UZF852154 VJB852147:VJB852154 VSX852147:VSX852154 WCT852147:WCT852154 WMP852147:WMP852154 WWL852147:WWL852154 AD917683:AD917690 JZ917683:JZ917690 TV917683:TV917690 ADR917683:ADR917690 ANN917683:ANN917690 AXJ917683:AXJ917690 BHF917683:BHF917690 BRB917683:BRB917690 CAX917683:CAX917690 CKT917683:CKT917690 CUP917683:CUP917690 DEL917683:DEL917690 DOH917683:DOH917690 DYD917683:DYD917690 EHZ917683:EHZ917690 ERV917683:ERV917690 FBR917683:FBR917690 FLN917683:FLN917690 FVJ917683:FVJ917690 GFF917683:GFF917690 GPB917683:GPB917690 GYX917683:GYX917690 HIT917683:HIT917690 HSP917683:HSP917690 ICL917683:ICL917690 IMH917683:IMH917690 IWD917683:IWD917690 JFZ917683:JFZ917690 JPV917683:JPV917690 JZR917683:JZR917690 KJN917683:KJN917690 KTJ917683:KTJ917690 LDF917683:LDF917690 LNB917683:LNB917690 LWX917683:LWX917690 MGT917683:MGT917690 MQP917683:MQP917690 NAL917683:NAL917690 NKH917683:NKH917690 NUD917683:NUD917690 ODZ917683:ODZ917690 ONV917683:ONV917690 OXR917683:OXR917690 PHN917683:PHN917690 PRJ917683:PRJ917690 QBF917683:QBF917690 QLB917683:QLB917690 QUX917683:QUX917690 RET917683:RET917690 ROP917683:ROP917690 RYL917683:RYL917690 SIH917683:SIH917690 SSD917683:SSD917690 TBZ917683:TBZ917690 TLV917683:TLV917690 TVR917683:TVR917690 UFN917683:UFN917690 UPJ917683:UPJ917690 UZF917683:UZF917690 VJB917683:VJB917690 VSX917683:VSX917690 WCT917683:WCT917690 WMP917683:WMP917690 WWL917683:WWL917690 AD983219:AD983226 JZ983219:JZ983226 TV983219:TV983226 ADR983219:ADR983226 ANN983219:ANN983226 AXJ983219:AXJ983226 BHF983219:BHF983226 BRB983219:BRB983226 CAX983219:CAX983226 CKT983219:CKT983226 CUP983219:CUP983226 DEL983219:DEL983226 DOH983219:DOH983226 DYD983219:DYD983226 EHZ983219:EHZ983226 ERV983219:ERV983226 FBR983219:FBR983226 FLN983219:FLN983226 FVJ983219:FVJ983226 GFF983219:GFF983226 GPB983219:GPB983226 GYX983219:GYX983226 HIT983219:HIT983226 HSP983219:HSP983226 ICL983219:ICL983226 IMH983219:IMH983226 IWD983219:IWD983226 JFZ983219:JFZ983226 JPV983219:JPV983226 JZR983219:JZR983226 KJN983219:KJN983226 KTJ983219:KTJ983226 LDF983219:LDF983226 LNB983219:LNB983226 LWX983219:LWX983226 MGT983219:MGT983226 MQP983219:MQP983226 NAL983219:NAL983226 NKH983219:NKH983226 NUD983219:NUD983226 ODZ983219:ODZ983226 ONV983219:ONV983226 OXR983219:OXR983226 PHN983219:PHN983226 PRJ983219:PRJ983226 QBF983219:QBF983226 QLB983219:QLB983226 QUX983219:QUX983226 RET983219:RET983226 ROP983219:ROP983226 RYL983219:RYL983226 SIH983219:SIH983226 SSD983219:SSD983226 TBZ983219:TBZ983226 TLV983219:TLV983226 TVR983219:TVR983226 UFN983219:UFN983226 UPJ983219:UPJ983226 UZF983219:UZF983226 VJB983219:VJB983226 VSX983219:VSX983226 WCT983219:WCT983226 WMP983219:WMP983226 WWL983219:WWL983226 AD175:AD177 JZ175:JZ177 TV175:TV177 ADR175:ADR177 ANN175:ANN177 AXJ175:AXJ177 BHF175:BHF177 BRB175:BRB177 CAX175:CAX177 CKT175:CKT177 CUP175:CUP177 DEL175:DEL177 DOH175:DOH177 DYD175:DYD177 EHZ175:EHZ177 ERV175:ERV177 FBR175:FBR177 FLN175:FLN177 FVJ175:FVJ177 GFF175:GFF177 GPB175:GPB177 GYX175:GYX177 HIT175:HIT177 HSP175:HSP177 ICL175:ICL177 IMH175:IMH177 IWD175:IWD177 JFZ175:JFZ177 JPV175:JPV177 JZR175:JZR177 KJN175:KJN177 KTJ175:KTJ177 LDF175:LDF177 LNB175:LNB177 LWX175:LWX177 MGT175:MGT177 MQP175:MQP177 NAL175:NAL177 NKH175:NKH177 NUD175:NUD177 ODZ175:ODZ177 ONV175:ONV177 OXR175:OXR177 PHN175:PHN177 PRJ175:PRJ177 QBF175:QBF177 QLB175:QLB177 QUX175:QUX177 RET175:RET177 ROP175:ROP177 RYL175:RYL177 SIH175:SIH177 SSD175:SSD177 TBZ175:TBZ177 TLV175:TLV177 TVR175:TVR177 UFN175:UFN177 UPJ175:UPJ177 UZF175:UZF177 VJB175:VJB177 VSX175:VSX177 WCT175:WCT177 WMP175:WMP177 WWL175:WWL177 AD65711:AD65713 JZ65711:JZ65713 TV65711:TV65713 ADR65711:ADR65713 ANN65711:ANN65713 AXJ65711:AXJ65713 BHF65711:BHF65713 BRB65711:BRB65713 CAX65711:CAX65713 CKT65711:CKT65713 CUP65711:CUP65713 DEL65711:DEL65713 DOH65711:DOH65713 DYD65711:DYD65713 EHZ65711:EHZ65713 ERV65711:ERV65713 FBR65711:FBR65713 FLN65711:FLN65713 FVJ65711:FVJ65713 GFF65711:GFF65713 GPB65711:GPB65713 GYX65711:GYX65713 HIT65711:HIT65713 HSP65711:HSP65713 ICL65711:ICL65713 IMH65711:IMH65713 IWD65711:IWD65713 JFZ65711:JFZ65713 JPV65711:JPV65713 JZR65711:JZR65713 KJN65711:KJN65713 KTJ65711:KTJ65713 LDF65711:LDF65713 LNB65711:LNB65713 LWX65711:LWX65713 MGT65711:MGT65713 MQP65711:MQP65713 NAL65711:NAL65713 NKH65711:NKH65713 NUD65711:NUD65713 ODZ65711:ODZ65713 ONV65711:ONV65713 OXR65711:OXR65713 PHN65711:PHN65713 PRJ65711:PRJ65713 QBF65711:QBF65713 QLB65711:QLB65713 QUX65711:QUX65713 RET65711:RET65713 ROP65711:ROP65713 RYL65711:RYL65713 SIH65711:SIH65713 SSD65711:SSD65713 TBZ65711:TBZ65713 TLV65711:TLV65713 TVR65711:TVR65713 UFN65711:UFN65713 UPJ65711:UPJ65713 UZF65711:UZF65713 VJB65711:VJB65713 VSX65711:VSX65713 WCT65711:WCT65713 WMP65711:WMP65713 WWL65711:WWL65713 AD131247:AD131249 JZ131247:JZ131249 TV131247:TV131249 ADR131247:ADR131249 ANN131247:ANN131249 AXJ131247:AXJ131249 BHF131247:BHF131249 BRB131247:BRB131249 CAX131247:CAX131249 CKT131247:CKT131249 CUP131247:CUP131249 DEL131247:DEL131249 DOH131247:DOH131249 DYD131247:DYD131249 EHZ131247:EHZ131249 ERV131247:ERV131249 FBR131247:FBR131249 FLN131247:FLN131249 FVJ131247:FVJ131249 GFF131247:GFF131249 GPB131247:GPB131249 GYX131247:GYX131249 HIT131247:HIT131249 HSP131247:HSP131249 ICL131247:ICL131249 IMH131247:IMH131249 IWD131247:IWD131249 JFZ131247:JFZ131249 JPV131247:JPV131249 JZR131247:JZR131249 KJN131247:KJN131249 KTJ131247:KTJ131249 LDF131247:LDF131249 LNB131247:LNB131249 LWX131247:LWX131249 MGT131247:MGT131249 MQP131247:MQP131249 NAL131247:NAL131249 NKH131247:NKH131249 NUD131247:NUD131249 ODZ131247:ODZ131249 ONV131247:ONV131249 OXR131247:OXR131249 PHN131247:PHN131249 PRJ131247:PRJ131249 QBF131247:QBF131249 QLB131247:QLB131249 QUX131247:QUX131249 RET131247:RET131249 ROP131247:ROP131249 RYL131247:RYL131249 SIH131247:SIH131249 SSD131247:SSD131249 TBZ131247:TBZ131249 TLV131247:TLV131249 TVR131247:TVR131249 UFN131247:UFN131249 UPJ131247:UPJ131249 UZF131247:UZF131249 VJB131247:VJB131249 VSX131247:VSX131249 WCT131247:WCT131249 WMP131247:WMP131249 WWL131247:WWL131249 AD196783:AD196785 JZ196783:JZ196785 TV196783:TV196785 ADR196783:ADR196785 ANN196783:ANN196785 AXJ196783:AXJ196785 BHF196783:BHF196785 BRB196783:BRB196785 CAX196783:CAX196785 CKT196783:CKT196785 CUP196783:CUP196785 DEL196783:DEL196785 DOH196783:DOH196785 DYD196783:DYD196785 EHZ196783:EHZ196785 ERV196783:ERV196785 FBR196783:FBR196785 FLN196783:FLN196785 FVJ196783:FVJ196785 GFF196783:GFF196785 GPB196783:GPB196785 GYX196783:GYX196785 HIT196783:HIT196785 HSP196783:HSP196785 ICL196783:ICL196785 IMH196783:IMH196785 IWD196783:IWD196785 JFZ196783:JFZ196785 JPV196783:JPV196785 JZR196783:JZR196785 KJN196783:KJN196785 KTJ196783:KTJ196785 LDF196783:LDF196785 LNB196783:LNB196785 LWX196783:LWX196785 MGT196783:MGT196785 MQP196783:MQP196785 NAL196783:NAL196785 NKH196783:NKH196785 NUD196783:NUD196785 ODZ196783:ODZ196785 ONV196783:ONV196785 OXR196783:OXR196785 PHN196783:PHN196785 PRJ196783:PRJ196785 QBF196783:QBF196785 QLB196783:QLB196785 QUX196783:QUX196785 RET196783:RET196785 ROP196783:ROP196785 RYL196783:RYL196785 SIH196783:SIH196785 SSD196783:SSD196785 TBZ196783:TBZ196785 TLV196783:TLV196785 TVR196783:TVR196785 UFN196783:UFN196785 UPJ196783:UPJ196785 UZF196783:UZF196785 VJB196783:VJB196785 VSX196783:VSX196785 WCT196783:WCT196785 WMP196783:WMP196785 WWL196783:WWL196785 AD262319:AD262321 JZ262319:JZ262321 TV262319:TV262321 ADR262319:ADR262321 ANN262319:ANN262321 AXJ262319:AXJ262321 BHF262319:BHF262321 BRB262319:BRB262321 CAX262319:CAX262321 CKT262319:CKT262321 CUP262319:CUP262321 DEL262319:DEL262321 DOH262319:DOH262321 DYD262319:DYD262321 EHZ262319:EHZ262321 ERV262319:ERV262321 FBR262319:FBR262321 FLN262319:FLN262321 FVJ262319:FVJ262321 GFF262319:GFF262321 GPB262319:GPB262321 GYX262319:GYX262321 HIT262319:HIT262321 HSP262319:HSP262321 ICL262319:ICL262321 IMH262319:IMH262321 IWD262319:IWD262321 JFZ262319:JFZ262321 JPV262319:JPV262321 JZR262319:JZR262321 KJN262319:KJN262321 KTJ262319:KTJ262321 LDF262319:LDF262321 LNB262319:LNB262321 LWX262319:LWX262321 MGT262319:MGT262321 MQP262319:MQP262321 NAL262319:NAL262321 NKH262319:NKH262321 NUD262319:NUD262321 ODZ262319:ODZ262321 ONV262319:ONV262321 OXR262319:OXR262321 PHN262319:PHN262321 PRJ262319:PRJ262321 QBF262319:QBF262321 QLB262319:QLB262321 QUX262319:QUX262321 RET262319:RET262321 ROP262319:ROP262321 RYL262319:RYL262321 SIH262319:SIH262321 SSD262319:SSD262321 TBZ262319:TBZ262321 TLV262319:TLV262321 TVR262319:TVR262321 UFN262319:UFN262321 UPJ262319:UPJ262321 UZF262319:UZF262321 VJB262319:VJB262321 VSX262319:VSX262321 WCT262319:WCT262321 WMP262319:WMP262321 WWL262319:WWL262321 AD327855:AD327857 JZ327855:JZ327857 TV327855:TV327857 ADR327855:ADR327857 ANN327855:ANN327857 AXJ327855:AXJ327857 BHF327855:BHF327857 BRB327855:BRB327857 CAX327855:CAX327857 CKT327855:CKT327857 CUP327855:CUP327857 DEL327855:DEL327857 DOH327855:DOH327857 DYD327855:DYD327857 EHZ327855:EHZ327857 ERV327855:ERV327857 FBR327855:FBR327857 FLN327855:FLN327857 FVJ327855:FVJ327857 GFF327855:GFF327857 GPB327855:GPB327857 GYX327855:GYX327857 HIT327855:HIT327857 HSP327855:HSP327857 ICL327855:ICL327857 IMH327855:IMH327857 IWD327855:IWD327857 JFZ327855:JFZ327857 JPV327855:JPV327857 JZR327855:JZR327857 KJN327855:KJN327857 KTJ327855:KTJ327857 LDF327855:LDF327857 LNB327855:LNB327857 LWX327855:LWX327857 MGT327855:MGT327857 MQP327855:MQP327857 NAL327855:NAL327857 NKH327855:NKH327857 NUD327855:NUD327857 ODZ327855:ODZ327857 ONV327855:ONV327857 OXR327855:OXR327857 PHN327855:PHN327857 PRJ327855:PRJ327857 QBF327855:QBF327857 QLB327855:QLB327857 QUX327855:QUX327857 RET327855:RET327857 ROP327855:ROP327857 RYL327855:RYL327857 SIH327855:SIH327857 SSD327855:SSD327857 TBZ327855:TBZ327857 TLV327855:TLV327857 TVR327855:TVR327857 UFN327855:UFN327857 UPJ327855:UPJ327857 UZF327855:UZF327857 VJB327855:VJB327857 VSX327855:VSX327857 WCT327855:WCT327857 WMP327855:WMP327857 WWL327855:WWL327857 AD393391:AD393393 JZ393391:JZ393393 TV393391:TV393393 ADR393391:ADR393393 ANN393391:ANN393393 AXJ393391:AXJ393393 BHF393391:BHF393393 BRB393391:BRB393393 CAX393391:CAX393393 CKT393391:CKT393393 CUP393391:CUP393393 DEL393391:DEL393393 DOH393391:DOH393393 DYD393391:DYD393393 EHZ393391:EHZ393393 ERV393391:ERV393393 FBR393391:FBR393393 FLN393391:FLN393393 FVJ393391:FVJ393393 GFF393391:GFF393393 GPB393391:GPB393393 GYX393391:GYX393393 HIT393391:HIT393393 HSP393391:HSP393393 ICL393391:ICL393393 IMH393391:IMH393393 IWD393391:IWD393393 JFZ393391:JFZ393393 JPV393391:JPV393393 JZR393391:JZR393393 KJN393391:KJN393393 KTJ393391:KTJ393393 LDF393391:LDF393393 LNB393391:LNB393393 LWX393391:LWX393393 MGT393391:MGT393393 MQP393391:MQP393393 NAL393391:NAL393393 NKH393391:NKH393393 NUD393391:NUD393393 ODZ393391:ODZ393393 ONV393391:ONV393393 OXR393391:OXR393393 PHN393391:PHN393393 PRJ393391:PRJ393393 QBF393391:QBF393393 QLB393391:QLB393393 QUX393391:QUX393393 RET393391:RET393393 ROP393391:ROP393393 RYL393391:RYL393393 SIH393391:SIH393393 SSD393391:SSD393393 TBZ393391:TBZ393393 TLV393391:TLV393393 TVR393391:TVR393393 UFN393391:UFN393393 UPJ393391:UPJ393393 UZF393391:UZF393393 VJB393391:VJB393393 VSX393391:VSX393393 WCT393391:WCT393393 WMP393391:WMP393393 WWL393391:WWL393393 AD458927:AD458929 JZ458927:JZ458929 TV458927:TV458929 ADR458927:ADR458929 ANN458927:ANN458929 AXJ458927:AXJ458929 BHF458927:BHF458929 BRB458927:BRB458929 CAX458927:CAX458929 CKT458927:CKT458929 CUP458927:CUP458929 DEL458927:DEL458929 DOH458927:DOH458929 DYD458927:DYD458929 EHZ458927:EHZ458929 ERV458927:ERV458929 FBR458927:FBR458929 FLN458927:FLN458929 FVJ458927:FVJ458929 GFF458927:GFF458929 GPB458927:GPB458929 GYX458927:GYX458929 HIT458927:HIT458929 HSP458927:HSP458929 ICL458927:ICL458929 IMH458927:IMH458929 IWD458927:IWD458929 JFZ458927:JFZ458929 JPV458927:JPV458929 JZR458927:JZR458929 KJN458927:KJN458929 KTJ458927:KTJ458929 LDF458927:LDF458929 LNB458927:LNB458929 LWX458927:LWX458929 MGT458927:MGT458929 MQP458927:MQP458929 NAL458927:NAL458929 NKH458927:NKH458929 NUD458927:NUD458929 ODZ458927:ODZ458929 ONV458927:ONV458929 OXR458927:OXR458929 PHN458927:PHN458929 PRJ458927:PRJ458929 QBF458927:QBF458929 QLB458927:QLB458929 QUX458927:QUX458929 RET458927:RET458929 ROP458927:ROP458929 RYL458927:RYL458929 SIH458927:SIH458929 SSD458927:SSD458929 TBZ458927:TBZ458929 TLV458927:TLV458929 TVR458927:TVR458929 UFN458927:UFN458929 UPJ458927:UPJ458929 UZF458927:UZF458929 VJB458927:VJB458929 VSX458927:VSX458929 WCT458927:WCT458929 WMP458927:WMP458929 WWL458927:WWL458929 AD524463:AD524465 JZ524463:JZ524465 TV524463:TV524465 ADR524463:ADR524465 ANN524463:ANN524465 AXJ524463:AXJ524465 BHF524463:BHF524465 BRB524463:BRB524465 CAX524463:CAX524465 CKT524463:CKT524465 CUP524463:CUP524465 DEL524463:DEL524465 DOH524463:DOH524465 DYD524463:DYD524465 EHZ524463:EHZ524465 ERV524463:ERV524465 FBR524463:FBR524465 FLN524463:FLN524465 FVJ524463:FVJ524465 GFF524463:GFF524465 GPB524463:GPB524465 GYX524463:GYX524465 HIT524463:HIT524465 HSP524463:HSP524465 ICL524463:ICL524465 IMH524463:IMH524465 IWD524463:IWD524465 JFZ524463:JFZ524465 JPV524463:JPV524465 JZR524463:JZR524465 KJN524463:KJN524465 KTJ524463:KTJ524465 LDF524463:LDF524465 LNB524463:LNB524465 LWX524463:LWX524465 MGT524463:MGT524465 MQP524463:MQP524465 NAL524463:NAL524465 NKH524463:NKH524465 NUD524463:NUD524465 ODZ524463:ODZ524465 ONV524463:ONV524465 OXR524463:OXR524465 PHN524463:PHN524465 PRJ524463:PRJ524465 QBF524463:QBF524465 QLB524463:QLB524465 QUX524463:QUX524465 RET524463:RET524465 ROP524463:ROP524465 RYL524463:RYL524465 SIH524463:SIH524465 SSD524463:SSD524465 TBZ524463:TBZ524465 TLV524463:TLV524465 TVR524463:TVR524465 UFN524463:UFN524465 UPJ524463:UPJ524465 UZF524463:UZF524465 VJB524463:VJB524465 VSX524463:VSX524465 WCT524463:WCT524465 WMP524463:WMP524465 WWL524463:WWL524465 AD589999:AD590001 JZ589999:JZ590001 TV589999:TV590001 ADR589999:ADR590001 ANN589999:ANN590001 AXJ589999:AXJ590001 BHF589999:BHF590001 BRB589999:BRB590001 CAX589999:CAX590001 CKT589999:CKT590001 CUP589999:CUP590001 DEL589999:DEL590001 DOH589999:DOH590001 DYD589999:DYD590001 EHZ589999:EHZ590001 ERV589999:ERV590001 FBR589999:FBR590001 FLN589999:FLN590001 FVJ589999:FVJ590001 GFF589999:GFF590001 GPB589999:GPB590001 GYX589999:GYX590001 HIT589999:HIT590001 HSP589999:HSP590001 ICL589999:ICL590001 IMH589999:IMH590001 IWD589999:IWD590001 JFZ589999:JFZ590001 JPV589999:JPV590001 JZR589999:JZR590001 KJN589999:KJN590001 KTJ589999:KTJ590001 LDF589999:LDF590001 LNB589999:LNB590001 LWX589999:LWX590001 MGT589999:MGT590001 MQP589999:MQP590001 NAL589999:NAL590001 NKH589999:NKH590001 NUD589999:NUD590001 ODZ589999:ODZ590001 ONV589999:ONV590001 OXR589999:OXR590001 PHN589999:PHN590001 PRJ589999:PRJ590001 QBF589999:QBF590001 QLB589999:QLB590001 QUX589999:QUX590001 RET589999:RET590001 ROP589999:ROP590001 RYL589999:RYL590001 SIH589999:SIH590001 SSD589999:SSD590001 TBZ589999:TBZ590001 TLV589999:TLV590001 TVR589999:TVR590001 UFN589999:UFN590001 UPJ589999:UPJ590001 UZF589999:UZF590001 VJB589999:VJB590001 VSX589999:VSX590001 WCT589999:WCT590001 WMP589999:WMP590001 WWL589999:WWL590001 AD655535:AD655537 JZ655535:JZ655537 TV655535:TV655537 ADR655535:ADR655537 ANN655535:ANN655537 AXJ655535:AXJ655537 BHF655535:BHF655537 BRB655535:BRB655537 CAX655535:CAX655537 CKT655535:CKT655537 CUP655535:CUP655537 DEL655535:DEL655537 DOH655535:DOH655537 DYD655535:DYD655537 EHZ655535:EHZ655537 ERV655535:ERV655537 FBR655535:FBR655537 FLN655535:FLN655537 FVJ655535:FVJ655537 GFF655535:GFF655537 GPB655535:GPB655537 GYX655535:GYX655537 HIT655535:HIT655537 HSP655535:HSP655537 ICL655535:ICL655537 IMH655535:IMH655537 IWD655535:IWD655537 JFZ655535:JFZ655537 JPV655535:JPV655537 JZR655535:JZR655537 KJN655535:KJN655537 KTJ655535:KTJ655537 LDF655535:LDF655537 LNB655535:LNB655537 LWX655535:LWX655537 MGT655535:MGT655537 MQP655535:MQP655537 NAL655535:NAL655537 NKH655535:NKH655537 NUD655535:NUD655537 ODZ655535:ODZ655537 ONV655535:ONV655537 OXR655535:OXR655537 PHN655535:PHN655537 PRJ655535:PRJ655537 QBF655535:QBF655537 QLB655535:QLB655537 QUX655535:QUX655537 RET655535:RET655537 ROP655535:ROP655537 RYL655535:RYL655537 SIH655535:SIH655537 SSD655535:SSD655537 TBZ655535:TBZ655537 TLV655535:TLV655537 TVR655535:TVR655537 UFN655535:UFN655537 UPJ655535:UPJ655537 UZF655535:UZF655537 VJB655535:VJB655537 VSX655535:VSX655537 WCT655535:WCT655537 WMP655535:WMP655537 WWL655535:WWL655537 AD721071:AD721073 JZ721071:JZ721073 TV721071:TV721073 ADR721071:ADR721073 ANN721071:ANN721073 AXJ721071:AXJ721073 BHF721071:BHF721073 BRB721071:BRB721073 CAX721071:CAX721073 CKT721071:CKT721073 CUP721071:CUP721073 DEL721071:DEL721073 DOH721071:DOH721073 DYD721071:DYD721073 EHZ721071:EHZ721073 ERV721071:ERV721073 FBR721071:FBR721073 FLN721071:FLN721073 FVJ721071:FVJ721073 GFF721071:GFF721073 GPB721071:GPB721073 GYX721071:GYX721073 HIT721071:HIT721073 HSP721071:HSP721073 ICL721071:ICL721073 IMH721071:IMH721073 IWD721071:IWD721073 JFZ721071:JFZ721073 JPV721071:JPV721073 JZR721071:JZR721073 KJN721071:KJN721073 KTJ721071:KTJ721073 LDF721071:LDF721073 LNB721071:LNB721073 LWX721071:LWX721073 MGT721071:MGT721073 MQP721071:MQP721073 NAL721071:NAL721073 NKH721071:NKH721073 NUD721071:NUD721073 ODZ721071:ODZ721073 ONV721071:ONV721073 OXR721071:OXR721073 PHN721071:PHN721073 PRJ721071:PRJ721073 QBF721071:QBF721073 QLB721071:QLB721073 QUX721071:QUX721073 RET721071:RET721073 ROP721071:ROP721073 RYL721071:RYL721073 SIH721071:SIH721073 SSD721071:SSD721073 TBZ721071:TBZ721073 TLV721071:TLV721073 TVR721071:TVR721073 UFN721071:UFN721073 UPJ721071:UPJ721073 UZF721071:UZF721073 VJB721071:VJB721073 VSX721071:VSX721073 WCT721071:WCT721073 WMP721071:WMP721073 WWL721071:WWL721073 AD786607:AD786609 JZ786607:JZ786609 TV786607:TV786609 ADR786607:ADR786609 ANN786607:ANN786609 AXJ786607:AXJ786609 BHF786607:BHF786609 BRB786607:BRB786609 CAX786607:CAX786609 CKT786607:CKT786609 CUP786607:CUP786609 DEL786607:DEL786609 DOH786607:DOH786609 DYD786607:DYD786609 EHZ786607:EHZ786609 ERV786607:ERV786609 FBR786607:FBR786609 FLN786607:FLN786609 FVJ786607:FVJ786609 GFF786607:GFF786609 GPB786607:GPB786609 GYX786607:GYX786609 HIT786607:HIT786609 HSP786607:HSP786609 ICL786607:ICL786609 IMH786607:IMH786609 IWD786607:IWD786609 JFZ786607:JFZ786609 JPV786607:JPV786609 JZR786607:JZR786609 KJN786607:KJN786609 KTJ786607:KTJ786609 LDF786607:LDF786609 LNB786607:LNB786609 LWX786607:LWX786609 MGT786607:MGT786609 MQP786607:MQP786609 NAL786607:NAL786609 NKH786607:NKH786609 NUD786607:NUD786609 ODZ786607:ODZ786609 ONV786607:ONV786609 OXR786607:OXR786609 PHN786607:PHN786609 PRJ786607:PRJ786609 QBF786607:QBF786609 QLB786607:QLB786609 QUX786607:QUX786609 RET786607:RET786609 ROP786607:ROP786609 RYL786607:RYL786609 SIH786607:SIH786609 SSD786607:SSD786609 TBZ786607:TBZ786609 TLV786607:TLV786609 TVR786607:TVR786609 UFN786607:UFN786609 UPJ786607:UPJ786609 UZF786607:UZF786609 VJB786607:VJB786609 VSX786607:VSX786609 WCT786607:WCT786609 WMP786607:WMP786609 WWL786607:WWL786609 AD852143:AD852145 JZ852143:JZ852145 TV852143:TV852145 ADR852143:ADR852145 ANN852143:ANN852145 AXJ852143:AXJ852145 BHF852143:BHF852145 BRB852143:BRB852145 CAX852143:CAX852145 CKT852143:CKT852145 CUP852143:CUP852145 DEL852143:DEL852145 DOH852143:DOH852145 DYD852143:DYD852145 EHZ852143:EHZ852145 ERV852143:ERV852145 FBR852143:FBR852145 FLN852143:FLN852145 FVJ852143:FVJ852145 GFF852143:GFF852145 GPB852143:GPB852145 GYX852143:GYX852145 HIT852143:HIT852145 HSP852143:HSP852145 ICL852143:ICL852145 IMH852143:IMH852145 IWD852143:IWD852145 JFZ852143:JFZ852145 JPV852143:JPV852145 JZR852143:JZR852145 KJN852143:KJN852145 KTJ852143:KTJ852145 LDF852143:LDF852145 LNB852143:LNB852145 LWX852143:LWX852145 MGT852143:MGT852145 MQP852143:MQP852145 NAL852143:NAL852145 NKH852143:NKH852145 NUD852143:NUD852145 ODZ852143:ODZ852145 ONV852143:ONV852145 OXR852143:OXR852145 PHN852143:PHN852145 PRJ852143:PRJ852145 QBF852143:QBF852145 QLB852143:QLB852145 QUX852143:QUX852145 RET852143:RET852145 ROP852143:ROP852145 RYL852143:RYL852145 SIH852143:SIH852145 SSD852143:SSD852145 TBZ852143:TBZ852145 TLV852143:TLV852145 TVR852143:TVR852145 UFN852143:UFN852145 UPJ852143:UPJ852145 UZF852143:UZF852145 VJB852143:VJB852145 VSX852143:VSX852145 WCT852143:WCT852145 WMP852143:WMP852145 WWL852143:WWL852145 AD917679:AD917681 JZ917679:JZ917681 TV917679:TV917681 ADR917679:ADR917681 ANN917679:ANN917681 AXJ917679:AXJ917681 BHF917679:BHF917681 BRB917679:BRB917681 CAX917679:CAX917681 CKT917679:CKT917681 CUP917679:CUP917681 DEL917679:DEL917681 DOH917679:DOH917681 DYD917679:DYD917681 EHZ917679:EHZ917681 ERV917679:ERV917681 FBR917679:FBR917681 FLN917679:FLN917681 FVJ917679:FVJ917681 GFF917679:GFF917681 GPB917679:GPB917681 GYX917679:GYX917681 HIT917679:HIT917681 HSP917679:HSP917681 ICL917679:ICL917681 IMH917679:IMH917681 IWD917679:IWD917681 JFZ917679:JFZ917681 JPV917679:JPV917681 JZR917679:JZR917681 KJN917679:KJN917681 KTJ917679:KTJ917681 LDF917679:LDF917681 LNB917679:LNB917681 LWX917679:LWX917681 MGT917679:MGT917681 MQP917679:MQP917681 NAL917679:NAL917681 NKH917679:NKH917681 NUD917679:NUD917681 ODZ917679:ODZ917681 ONV917679:ONV917681 OXR917679:OXR917681 PHN917679:PHN917681 PRJ917679:PRJ917681 QBF917679:QBF917681 QLB917679:QLB917681 QUX917679:QUX917681 RET917679:RET917681 ROP917679:ROP917681 RYL917679:RYL917681 SIH917679:SIH917681 SSD917679:SSD917681 TBZ917679:TBZ917681 TLV917679:TLV917681 TVR917679:TVR917681 UFN917679:UFN917681 UPJ917679:UPJ917681 UZF917679:UZF917681 VJB917679:VJB917681 VSX917679:VSX917681 WCT917679:WCT917681 WMP917679:WMP917681 WWL917679:WWL917681 AD983215:AD983217 JZ983215:JZ983217 TV983215:TV983217 ADR983215:ADR983217 ANN983215:ANN983217 AXJ983215:AXJ983217 BHF983215:BHF983217 BRB983215:BRB983217 CAX983215:CAX983217 CKT983215:CKT983217 CUP983215:CUP983217 DEL983215:DEL983217 DOH983215:DOH983217 DYD983215:DYD983217 EHZ983215:EHZ983217 ERV983215:ERV983217 FBR983215:FBR983217 FLN983215:FLN983217 FVJ983215:FVJ983217 GFF983215:GFF983217 GPB983215:GPB983217 GYX983215:GYX983217 HIT983215:HIT983217 HSP983215:HSP983217 ICL983215:ICL983217 IMH983215:IMH983217 IWD983215:IWD983217 JFZ983215:JFZ983217 JPV983215:JPV983217 JZR983215:JZR983217 KJN983215:KJN983217 KTJ983215:KTJ983217 LDF983215:LDF983217 LNB983215:LNB983217 LWX983215:LWX983217 MGT983215:MGT983217 MQP983215:MQP983217 NAL983215:NAL983217 NKH983215:NKH983217 NUD983215:NUD983217 ODZ983215:ODZ983217 ONV983215:ONV983217 OXR983215:OXR983217 PHN983215:PHN983217 PRJ983215:PRJ983217 QBF983215:QBF983217 QLB983215:QLB983217 QUX983215:QUX983217 RET983215:RET983217 ROP983215:ROP983217 RYL983215:RYL983217 SIH983215:SIH983217 SSD983215:SSD983217 TBZ983215:TBZ983217 TLV983215:TLV983217 TVR983215:TVR983217 UFN983215:UFN983217 UPJ983215:UPJ983217 UZF983215:UZF983217 VJB983215:VJB983217 VSX983215:VSX983217 WCT983215:WCT983217 WMP983215:WMP983217 WWL983215:WWL983217 AD170:AD173 JZ170:JZ173 TV170:TV173 ADR170:ADR173 ANN170:ANN173 AXJ170:AXJ173 BHF170:BHF173 BRB170:BRB173 CAX170:CAX173 CKT170:CKT173 CUP170:CUP173 DEL170:DEL173 DOH170:DOH173 DYD170:DYD173 EHZ170:EHZ173 ERV170:ERV173 FBR170:FBR173 FLN170:FLN173 FVJ170:FVJ173 GFF170:GFF173 GPB170:GPB173 GYX170:GYX173 HIT170:HIT173 HSP170:HSP173 ICL170:ICL173 IMH170:IMH173 IWD170:IWD173 JFZ170:JFZ173 JPV170:JPV173 JZR170:JZR173 KJN170:KJN173 KTJ170:KTJ173 LDF170:LDF173 LNB170:LNB173 LWX170:LWX173 MGT170:MGT173 MQP170:MQP173 NAL170:NAL173 NKH170:NKH173 NUD170:NUD173 ODZ170:ODZ173 ONV170:ONV173 OXR170:OXR173 PHN170:PHN173 PRJ170:PRJ173 QBF170:QBF173 QLB170:QLB173 QUX170:QUX173 RET170:RET173 ROP170:ROP173 RYL170:RYL173 SIH170:SIH173 SSD170:SSD173 TBZ170:TBZ173 TLV170:TLV173 TVR170:TVR173 UFN170:UFN173 UPJ170:UPJ173 UZF170:UZF173 VJB170:VJB173 VSX170:VSX173 WCT170:WCT173 WMP170:WMP173 WWL170:WWL173 AD65707:AD65709 JZ65707:JZ65709 TV65707:TV65709 ADR65707:ADR65709 ANN65707:ANN65709 AXJ65707:AXJ65709 BHF65707:BHF65709 BRB65707:BRB65709 CAX65707:CAX65709 CKT65707:CKT65709 CUP65707:CUP65709 DEL65707:DEL65709 DOH65707:DOH65709 DYD65707:DYD65709 EHZ65707:EHZ65709 ERV65707:ERV65709 FBR65707:FBR65709 FLN65707:FLN65709 FVJ65707:FVJ65709 GFF65707:GFF65709 GPB65707:GPB65709 GYX65707:GYX65709 HIT65707:HIT65709 HSP65707:HSP65709 ICL65707:ICL65709 IMH65707:IMH65709 IWD65707:IWD65709 JFZ65707:JFZ65709 JPV65707:JPV65709 JZR65707:JZR65709 KJN65707:KJN65709 KTJ65707:KTJ65709 LDF65707:LDF65709 LNB65707:LNB65709 LWX65707:LWX65709 MGT65707:MGT65709 MQP65707:MQP65709 NAL65707:NAL65709 NKH65707:NKH65709 NUD65707:NUD65709 ODZ65707:ODZ65709 ONV65707:ONV65709 OXR65707:OXR65709 PHN65707:PHN65709 PRJ65707:PRJ65709 QBF65707:QBF65709 QLB65707:QLB65709 QUX65707:QUX65709 RET65707:RET65709 ROP65707:ROP65709 RYL65707:RYL65709 SIH65707:SIH65709 SSD65707:SSD65709 TBZ65707:TBZ65709 TLV65707:TLV65709 TVR65707:TVR65709 UFN65707:UFN65709 UPJ65707:UPJ65709 UZF65707:UZF65709 VJB65707:VJB65709 VSX65707:VSX65709 WCT65707:WCT65709 WMP65707:WMP65709 WWL65707:WWL65709 AD131243:AD131245 JZ131243:JZ131245 TV131243:TV131245 ADR131243:ADR131245 ANN131243:ANN131245 AXJ131243:AXJ131245 BHF131243:BHF131245 BRB131243:BRB131245 CAX131243:CAX131245 CKT131243:CKT131245 CUP131243:CUP131245 DEL131243:DEL131245 DOH131243:DOH131245 DYD131243:DYD131245 EHZ131243:EHZ131245 ERV131243:ERV131245 FBR131243:FBR131245 FLN131243:FLN131245 FVJ131243:FVJ131245 GFF131243:GFF131245 GPB131243:GPB131245 GYX131243:GYX131245 HIT131243:HIT131245 HSP131243:HSP131245 ICL131243:ICL131245 IMH131243:IMH131245 IWD131243:IWD131245 JFZ131243:JFZ131245 JPV131243:JPV131245 JZR131243:JZR131245 KJN131243:KJN131245 KTJ131243:KTJ131245 LDF131243:LDF131245 LNB131243:LNB131245 LWX131243:LWX131245 MGT131243:MGT131245 MQP131243:MQP131245 NAL131243:NAL131245 NKH131243:NKH131245 NUD131243:NUD131245 ODZ131243:ODZ131245 ONV131243:ONV131245 OXR131243:OXR131245 PHN131243:PHN131245 PRJ131243:PRJ131245 QBF131243:QBF131245 QLB131243:QLB131245 QUX131243:QUX131245 RET131243:RET131245 ROP131243:ROP131245 RYL131243:RYL131245 SIH131243:SIH131245 SSD131243:SSD131245 TBZ131243:TBZ131245 TLV131243:TLV131245 TVR131243:TVR131245 UFN131243:UFN131245 UPJ131243:UPJ131245 UZF131243:UZF131245 VJB131243:VJB131245 VSX131243:VSX131245 WCT131243:WCT131245 WMP131243:WMP131245 WWL131243:WWL131245 AD196779:AD196781 JZ196779:JZ196781 TV196779:TV196781 ADR196779:ADR196781 ANN196779:ANN196781 AXJ196779:AXJ196781 BHF196779:BHF196781 BRB196779:BRB196781 CAX196779:CAX196781 CKT196779:CKT196781 CUP196779:CUP196781 DEL196779:DEL196781 DOH196779:DOH196781 DYD196779:DYD196781 EHZ196779:EHZ196781 ERV196779:ERV196781 FBR196779:FBR196781 FLN196779:FLN196781 FVJ196779:FVJ196781 GFF196779:GFF196781 GPB196779:GPB196781 GYX196779:GYX196781 HIT196779:HIT196781 HSP196779:HSP196781 ICL196779:ICL196781 IMH196779:IMH196781 IWD196779:IWD196781 JFZ196779:JFZ196781 JPV196779:JPV196781 JZR196779:JZR196781 KJN196779:KJN196781 KTJ196779:KTJ196781 LDF196779:LDF196781 LNB196779:LNB196781 LWX196779:LWX196781 MGT196779:MGT196781 MQP196779:MQP196781 NAL196779:NAL196781 NKH196779:NKH196781 NUD196779:NUD196781 ODZ196779:ODZ196781 ONV196779:ONV196781 OXR196779:OXR196781 PHN196779:PHN196781 PRJ196779:PRJ196781 QBF196779:QBF196781 QLB196779:QLB196781 QUX196779:QUX196781 RET196779:RET196781 ROP196779:ROP196781 RYL196779:RYL196781 SIH196779:SIH196781 SSD196779:SSD196781 TBZ196779:TBZ196781 TLV196779:TLV196781 TVR196779:TVR196781 UFN196779:UFN196781 UPJ196779:UPJ196781 UZF196779:UZF196781 VJB196779:VJB196781 VSX196779:VSX196781 WCT196779:WCT196781 WMP196779:WMP196781 WWL196779:WWL196781 AD262315:AD262317 JZ262315:JZ262317 TV262315:TV262317 ADR262315:ADR262317 ANN262315:ANN262317 AXJ262315:AXJ262317 BHF262315:BHF262317 BRB262315:BRB262317 CAX262315:CAX262317 CKT262315:CKT262317 CUP262315:CUP262317 DEL262315:DEL262317 DOH262315:DOH262317 DYD262315:DYD262317 EHZ262315:EHZ262317 ERV262315:ERV262317 FBR262315:FBR262317 FLN262315:FLN262317 FVJ262315:FVJ262317 GFF262315:GFF262317 GPB262315:GPB262317 GYX262315:GYX262317 HIT262315:HIT262317 HSP262315:HSP262317 ICL262315:ICL262317 IMH262315:IMH262317 IWD262315:IWD262317 JFZ262315:JFZ262317 JPV262315:JPV262317 JZR262315:JZR262317 KJN262315:KJN262317 KTJ262315:KTJ262317 LDF262315:LDF262317 LNB262315:LNB262317 LWX262315:LWX262317 MGT262315:MGT262317 MQP262315:MQP262317 NAL262315:NAL262317 NKH262315:NKH262317 NUD262315:NUD262317 ODZ262315:ODZ262317 ONV262315:ONV262317 OXR262315:OXR262317 PHN262315:PHN262317 PRJ262315:PRJ262317 QBF262315:QBF262317 QLB262315:QLB262317 QUX262315:QUX262317 RET262315:RET262317 ROP262315:ROP262317 RYL262315:RYL262317 SIH262315:SIH262317 SSD262315:SSD262317 TBZ262315:TBZ262317 TLV262315:TLV262317 TVR262315:TVR262317 UFN262315:UFN262317 UPJ262315:UPJ262317 UZF262315:UZF262317 VJB262315:VJB262317 VSX262315:VSX262317 WCT262315:WCT262317 WMP262315:WMP262317 WWL262315:WWL262317 AD327851:AD327853 JZ327851:JZ327853 TV327851:TV327853 ADR327851:ADR327853 ANN327851:ANN327853 AXJ327851:AXJ327853 BHF327851:BHF327853 BRB327851:BRB327853 CAX327851:CAX327853 CKT327851:CKT327853 CUP327851:CUP327853 DEL327851:DEL327853 DOH327851:DOH327853 DYD327851:DYD327853 EHZ327851:EHZ327853 ERV327851:ERV327853 FBR327851:FBR327853 FLN327851:FLN327853 FVJ327851:FVJ327853 GFF327851:GFF327853 GPB327851:GPB327853 GYX327851:GYX327853 HIT327851:HIT327853 HSP327851:HSP327853 ICL327851:ICL327853 IMH327851:IMH327853 IWD327851:IWD327853 JFZ327851:JFZ327853 JPV327851:JPV327853 JZR327851:JZR327853 KJN327851:KJN327853 KTJ327851:KTJ327853 LDF327851:LDF327853 LNB327851:LNB327853 LWX327851:LWX327853 MGT327851:MGT327853 MQP327851:MQP327853 NAL327851:NAL327853 NKH327851:NKH327853 NUD327851:NUD327853 ODZ327851:ODZ327853 ONV327851:ONV327853 OXR327851:OXR327853 PHN327851:PHN327853 PRJ327851:PRJ327853 QBF327851:QBF327853 QLB327851:QLB327853 QUX327851:QUX327853 RET327851:RET327853 ROP327851:ROP327853 RYL327851:RYL327853 SIH327851:SIH327853 SSD327851:SSD327853 TBZ327851:TBZ327853 TLV327851:TLV327853 TVR327851:TVR327853 UFN327851:UFN327853 UPJ327851:UPJ327853 UZF327851:UZF327853 VJB327851:VJB327853 VSX327851:VSX327853 WCT327851:WCT327853 WMP327851:WMP327853 WWL327851:WWL327853 AD393387:AD393389 JZ393387:JZ393389 TV393387:TV393389 ADR393387:ADR393389 ANN393387:ANN393389 AXJ393387:AXJ393389 BHF393387:BHF393389 BRB393387:BRB393389 CAX393387:CAX393389 CKT393387:CKT393389 CUP393387:CUP393389 DEL393387:DEL393389 DOH393387:DOH393389 DYD393387:DYD393389 EHZ393387:EHZ393389 ERV393387:ERV393389 FBR393387:FBR393389 FLN393387:FLN393389 FVJ393387:FVJ393389 GFF393387:GFF393389 GPB393387:GPB393389 GYX393387:GYX393389 HIT393387:HIT393389 HSP393387:HSP393389 ICL393387:ICL393389 IMH393387:IMH393389 IWD393387:IWD393389 JFZ393387:JFZ393389 JPV393387:JPV393389 JZR393387:JZR393389 KJN393387:KJN393389 KTJ393387:KTJ393389 LDF393387:LDF393389 LNB393387:LNB393389 LWX393387:LWX393389 MGT393387:MGT393389 MQP393387:MQP393389 NAL393387:NAL393389 NKH393387:NKH393389 NUD393387:NUD393389 ODZ393387:ODZ393389 ONV393387:ONV393389 OXR393387:OXR393389 PHN393387:PHN393389 PRJ393387:PRJ393389 QBF393387:QBF393389 QLB393387:QLB393389 QUX393387:QUX393389 RET393387:RET393389 ROP393387:ROP393389 RYL393387:RYL393389 SIH393387:SIH393389 SSD393387:SSD393389 TBZ393387:TBZ393389 TLV393387:TLV393389 TVR393387:TVR393389 UFN393387:UFN393389 UPJ393387:UPJ393389 UZF393387:UZF393389 VJB393387:VJB393389 VSX393387:VSX393389 WCT393387:WCT393389 WMP393387:WMP393389 WWL393387:WWL393389 AD458923:AD458925 JZ458923:JZ458925 TV458923:TV458925 ADR458923:ADR458925 ANN458923:ANN458925 AXJ458923:AXJ458925 BHF458923:BHF458925 BRB458923:BRB458925 CAX458923:CAX458925 CKT458923:CKT458925 CUP458923:CUP458925 DEL458923:DEL458925 DOH458923:DOH458925 DYD458923:DYD458925 EHZ458923:EHZ458925 ERV458923:ERV458925 FBR458923:FBR458925 FLN458923:FLN458925 FVJ458923:FVJ458925 GFF458923:GFF458925 GPB458923:GPB458925 GYX458923:GYX458925 HIT458923:HIT458925 HSP458923:HSP458925 ICL458923:ICL458925 IMH458923:IMH458925 IWD458923:IWD458925 JFZ458923:JFZ458925 JPV458923:JPV458925 JZR458923:JZR458925 KJN458923:KJN458925 KTJ458923:KTJ458925 LDF458923:LDF458925 LNB458923:LNB458925 LWX458923:LWX458925 MGT458923:MGT458925 MQP458923:MQP458925 NAL458923:NAL458925 NKH458923:NKH458925 NUD458923:NUD458925 ODZ458923:ODZ458925 ONV458923:ONV458925 OXR458923:OXR458925 PHN458923:PHN458925 PRJ458923:PRJ458925 QBF458923:QBF458925 QLB458923:QLB458925 QUX458923:QUX458925 RET458923:RET458925 ROP458923:ROP458925 RYL458923:RYL458925 SIH458923:SIH458925 SSD458923:SSD458925 TBZ458923:TBZ458925 TLV458923:TLV458925 TVR458923:TVR458925 UFN458923:UFN458925 UPJ458923:UPJ458925 UZF458923:UZF458925 VJB458923:VJB458925 VSX458923:VSX458925 WCT458923:WCT458925 WMP458923:WMP458925 WWL458923:WWL458925 AD524459:AD524461 JZ524459:JZ524461 TV524459:TV524461 ADR524459:ADR524461 ANN524459:ANN524461 AXJ524459:AXJ524461 BHF524459:BHF524461 BRB524459:BRB524461 CAX524459:CAX524461 CKT524459:CKT524461 CUP524459:CUP524461 DEL524459:DEL524461 DOH524459:DOH524461 DYD524459:DYD524461 EHZ524459:EHZ524461 ERV524459:ERV524461 FBR524459:FBR524461 FLN524459:FLN524461 FVJ524459:FVJ524461 GFF524459:GFF524461 GPB524459:GPB524461 GYX524459:GYX524461 HIT524459:HIT524461 HSP524459:HSP524461 ICL524459:ICL524461 IMH524459:IMH524461 IWD524459:IWD524461 JFZ524459:JFZ524461 JPV524459:JPV524461 JZR524459:JZR524461 KJN524459:KJN524461 KTJ524459:KTJ524461 LDF524459:LDF524461 LNB524459:LNB524461 LWX524459:LWX524461 MGT524459:MGT524461 MQP524459:MQP524461 NAL524459:NAL524461 NKH524459:NKH524461 NUD524459:NUD524461 ODZ524459:ODZ524461 ONV524459:ONV524461 OXR524459:OXR524461 PHN524459:PHN524461 PRJ524459:PRJ524461 QBF524459:QBF524461 QLB524459:QLB524461 QUX524459:QUX524461 RET524459:RET524461 ROP524459:ROP524461 RYL524459:RYL524461 SIH524459:SIH524461 SSD524459:SSD524461 TBZ524459:TBZ524461 TLV524459:TLV524461 TVR524459:TVR524461 UFN524459:UFN524461 UPJ524459:UPJ524461 UZF524459:UZF524461 VJB524459:VJB524461 VSX524459:VSX524461 WCT524459:WCT524461 WMP524459:WMP524461 WWL524459:WWL524461 AD589995:AD589997 JZ589995:JZ589997 TV589995:TV589997 ADR589995:ADR589997 ANN589995:ANN589997 AXJ589995:AXJ589997 BHF589995:BHF589997 BRB589995:BRB589997 CAX589995:CAX589997 CKT589995:CKT589997 CUP589995:CUP589997 DEL589995:DEL589997 DOH589995:DOH589997 DYD589995:DYD589997 EHZ589995:EHZ589997 ERV589995:ERV589997 FBR589995:FBR589997 FLN589995:FLN589997 FVJ589995:FVJ589997 GFF589995:GFF589997 GPB589995:GPB589997 GYX589995:GYX589997 HIT589995:HIT589997 HSP589995:HSP589997 ICL589995:ICL589997 IMH589995:IMH589997 IWD589995:IWD589997 JFZ589995:JFZ589997 JPV589995:JPV589997 JZR589995:JZR589997 KJN589995:KJN589997 KTJ589995:KTJ589997 LDF589995:LDF589997 LNB589995:LNB589997 LWX589995:LWX589997 MGT589995:MGT589997 MQP589995:MQP589997 NAL589995:NAL589997 NKH589995:NKH589997 NUD589995:NUD589997 ODZ589995:ODZ589997 ONV589995:ONV589997 OXR589995:OXR589997 PHN589995:PHN589997 PRJ589995:PRJ589997 QBF589995:QBF589997 QLB589995:QLB589997 QUX589995:QUX589997 RET589995:RET589997 ROP589995:ROP589997 RYL589995:RYL589997 SIH589995:SIH589997 SSD589995:SSD589997 TBZ589995:TBZ589997 TLV589995:TLV589997 TVR589995:TVR589997 UFN589995:UFN589997 UPJ589995:UPJ589997 UZF589995:UZF589997 VJB589995:VJB589997 VSX589995:VSX589997 WCT589995:WCT589997 WMP589995:WMP589997 WWL589995:WWL589997 AD655531:AD655533 JZ655531:JZ655533 TV655531:TV655533 ADR655531:ADR655533 ANN655531:ANN655533 AXJ655531:AXJ655533 BHF655531:BHF655533 BRB655531:BRB655533 CAX655531:CAX655533 CKT655531:CKT655533 CUP655531:CUP655533 DEL655531:DEL655533 DOH655531:DOH655533 DYD655531:DYD655533 EHZ655531:EHZ655533 ERV655531:ERV655533 FBR655531:FBR655533 FLN655531:FLN655533 FVJ655531:FVJ655533 GFF655531:GFF655533 GPB655531:GPB655533 GYX655531:GYX655533 HIT655531:HIT655533 HSP655531:HSP655533 ICL655531:ICL655533 IMH655531:IMH655533 IWD655531:IWD655533 JFZ655531:JFZ655533 JPV655531:JPV655533 JZR655531:JZR655533 KJN655531:KJN655533 KTJ655531:KTJ655533 LDF655531:LDF655533 LNB655531:LNB655533 LWX655531:LWX655533 MGT655531:MGT655533 MQP655531:MQP655533 NAL655531:NAL655533 NKH655531:NKH655533 NUD655531:NUD655533 ODZ655531:ODZ655533 ONV655531:ONV655533 OXR655531:OXR655533 PHN655531:PHN655533 PRJ655531:PRJ655533 QBF655531:QBF655533 QLB655531:QLB655533 QUX655531:QUX655533 RET655531:RET655533 ROP655531:ROP655533 RYL655531:RYL655533 SIH655531:SIH655533 SSD655531:SSD655533 TBZ655531:TBZ655533 TLV655531:TLV655533 TVR655531:TVR655533 UFN655531:UFN655533 UPJ655531:UPJ655533 UZF655531:UZF655533 VJB655531:VJB655533 VSX655531:VSX655533 WCT655531:WCT655533 WMP655531:WMP655533 WWL655531:WWL655533 AD721067:AD721069 JZ721067:JZ721069 TV721067:TV721069 ADR721067:ADR721069 ANN721067:ANN721069 AXJ721067:AXJ721069 BHF721067:BHF721069 BRB721067:BRB721069 CAX721067:CAX721069 CKT721067:CKT721069 CUP721067:CUP721069 DEL721067:DEL721069 DOH721067:DOH721069 DYD721067:DYD721069 EHZ721067:EHZ721069 ERV721067:ERV721069 FBR721067:FBR721069 FLN721067:FLN721069 FVJ721067:FVJ721069 GFF721067:GFF721069 GPB721067:GPB721069 GYX721067:GYX721069 HIT721067:HIT721069 HSP721067:HSP721069 ICL721067:ICL721069 IMH721067:IMH721069 IWD721067:IWD721069 JFZ721067:JFZ721069 JPV721067:JPV721069 JZR721067:JZR721069 KJN721067:KJN721069 KTJ721067:KTJ721069 LDF721067:LDF721069 LNB721067:LNB721069 LWX721067:LWX721069 MGT721067:MGT721069 MQP721067:MQP721069 NAL721067:NAL721069 NKH721067:NKH721069 NUD721067:NUD721069 ODZ721067:ODZ721069 ONV721067:ONV721069 OXR721067:OXR721069 PHN721067:PHN721069 PRJ721067:PRJ721069 QBF721067:QBF721069 QLB721067:QLB721069 QUX721067:QUX721069 RET721067:RET721069 ROP721067:ROP721069 RYL721067:RYL721069 SIH721067:SIH721069 SSD721067:SSD721069 TBZ721067:TBZ721069 TLV721067:TLV721069 TVR721067:TVR721069 UFN721067:UFN721069 UPJ721067:UPJ721069 UZF721067:UZF721069 VJB721067:VJB721069 VSX721067:VSX721069 WCT721067:WCT721069 WMP721067:WMP721069 WWL721067:WWL721069 AD786603:AD786605 JZ786603:JZ786605 TV786603:TV786605 ADR786603:ADR786605 ANN786603:ANN786605 AXJ786603:AXJ786605 BHF786603:BHF786605 BRB786603:BRB786605 CAX786603:CAX786605 CKT786603:CKT786605 CUP786603:CUP786605 DEL786603:DEL786605 DOH786603:DOH786605 DYD786603:DYD786605 EHZ786603:EHZ786605 ERV786603:ERV786605 FBR786603:FBR786605 FLN786603:FLN786605 FVJ786603:FVJ786605 GFF786603:GFF786605 GPB786603:GPB786605 GYX786603:GYX786605 HIT786603:HIT786605 HSP786603:HSP786605 ICL786603:ICL786605 IMH786603:IMH786605 IWD786603:IWD786605 JFZ786603:JFZ786605 JPV786603:JPV786605 JZR786603:JZR786605 KJN786603:KJN786605 KTJ786603:KTJ786605 LDF786603:LDF786605 LNB786603:LNB786605 LWX786603:LWX786605 MGT786603:MGT786605 MQP786603:MQP786605 NAL786603:NAL786605 NKH786603:NKH786605 NUD786603:NUD786605 ODZ786603:ODZ786605 ONV786603:ONV786605 OXR786603:OXR786605 PHN786603:PHN786605 PRJ786603:PRJ786605 QBF786603:QBF786605 QLB786603:QLB786605 QUX786603:QUX786605 RET786603:RET786605 ROP786603:ROP786605 RYL786603:RYL786605 SIH786603:SIH786605 SSD786603:SSD786605 TBZ786603:TBZ786605 TLV786603:TLV786605 TVR786603:TVR786605 UFN786603:UFN786605 UPJ786603:UPJ786605 UZF786603:UZF786605 VJB786603:VJB786605 VSX786603:VSX786605 WCT786603:WCT786605 WMP786603:WMP786605 WWL786603:WWL786605 AD852139:AD852141 JZ852139:JZ852141 TV852139:TV852141 ADR852139:ADR852141 ANN852139:ANN852141 AXJ852139:AXJ852141 BHF852139:BHF852141 BRB852139:BRB852141 CAX852139:CAX852141 CKT852139:CKT852141 CUP852139:CUP852141 DEL852139:DEL852141 DOH852139:DOH852141 DYD852139:DYD852141 EHZ852139:EHZ852141 ERV852139:ERV852141 FBR852139:FBR852141 FLN852139:FLN852141 FVJ852139:FVJ852141 GFF852139:GFF852141 GPB852139:GPB852141 GYX852139:GYX852141 HIT852139:HIT852141 HSP852139:HSP852141 ICL852139:ICL852141 IMH852139:IMH852141 IWD852139:IWD852141 JFZ852139:JFZ852141 JPV852139:JPV852141 JZR852139:JZR852141 KJN852139:KJN852141 KTJ852139:KTJ852141 LDF852139:LDF852141 LNB852139:LNB852141 LWX852139:LWX852141 MGT852139:MGT852141 MQP852139:MQP852141 NAL852139:NAL852141 NKH852139:NKH852141 NUD852139:NUD852141 ODZ852139:ODZ852141 ONV852139:ONV852141 OXR852139:OXR852141 PHN852139:PHN852141 PRJ852139:PRJ852141 QBF852139:QBF852141 QLB852139:QLB852141 QUX852139:QUX852141 RET852139:RET852141 ROP852139:ROP852141 RYL852139:RYL852141 SIH852139:SIH852141 SSD852139:SSD852141 TBZ852139:TBZ852141 TLV852139:TLV852141 TVR852139:TVR852141 UFN852139:UFN852141 UPJ852139:UPJ852141 UZF852139:UZF852141 VJB852139:VJB852141 VSX852139:VSX852141 WCT852139:WCT852141 WMP852139:WMP852141 WWL852139:WWL852141 AD917675:AD917677 JZ917675:JZ917677 TV917675:TV917677 ADR917675:ADR917677 ANN917675:ANN917677 AXJ917675:AXJ917677 BHF917675:BHF917677 BRB917675:BRB917677 CAX917675:CAX917677 CKT917675:CKT917677 CUP917675:CUP917677 DEL917675:DEL917677 DOH917675:DOH917677 DYD917675:DYD917677 EHZ917675:EHZ917677 ERV917675:ERV917677 FBR917675:FBR917677 FLN917675:FLN917677 FVJ917675:FVJ917677 GFF917675:GFF917677 GPB917675:GPB917677 GYX917675:GYX917677 HIT917675:HIT917677 HSP917675:HSP917677 ICL917675:ICL917677 IMH917675:IMH917677 IWD917675:IWD917677 JFZ917675:JFZ917677 JPV917675:JPV917677 JZR917675:JZR917677 KJN917675:KJN917677 KTJ917675:KTJ917677 LDF917675:LDF917677 LNB917675:LNB917677 LWX917675:LWX917677 MGT917675:MGT917677 MQP917675:MQP917677 NAL917675:NAL917677 NKH917675:NKH917677 NUD917675:NUD917677 ODZ917675:ODZ917677 ONV917675:ONV917677 OXR917675:OXR917677 PHN917675:PHN917677 PRJ917675:PRJ917677 QBF917675:QBF917677 QLB917675:QLB917677 QUX917675:QUX917677 RET917675:RET917677 ROP917675:ROP917677 RYL917675:RYL917677 SIH917675:SIH917677 SSD917675:SSD917677 TBZ917675:TBZ917677 TLV917675:TLV917677 TVR917675:TVR917677 UFN917675:UFN917677 UPJ917675:UPJ917677 UZF917675:UZF917677 VJB917675:VJB917677 VSX917675:VSX917677 WCT917675:WCT917677 WMP917675:WMP917677 WWL917675:WWL917677 AD983211:AD983213 JZ983211:JZ983213 TV983211:TV983213 ADR983211:ADR983213 ANN983211:ANN983213 AXJ983211:AXJ983213 BHF983211:BHF983213 BRB983211:BRB983213 CAX983211:CAX983213 CKT983211:CKT983213 CUP983211:CUP983213 DEL983211:DEL983213 DOH983211:DOH983213 DYD983211:DYD983213 EHZ983211:EHZ983213 ERV983211:ERV983213 FBR983211:FBR983213 FLN983211:FLN983213 FVJ983211:FVJ983213 GFF983211:GFF983213 GPB983211:GPB983213 GYX983211:GYX983213 HIT983211:HIT983213 HSP983211:HSP983213 ICL983211:ICL983213 IMH983211:IMH983213 IWD983211:IWD983213 JFZ983211:JFZ983213 JPV983211:JPV983213 JZR983211:JZR983213 KJN983211:KJN983213 KTJ983211:KTJ983213 LDF983211:LDF983213 LNB983211:LNB983213 LWX983211:LWX983213 MGT983211:MGT983213 MQP983211:MQP983213 NAL983211:NAL983213 NKH983211:NKH983213 NUD983211:NUD983213 ODZ983211:ODZ983213 ONV983211:ONV983213 OXR983211:OXR983213 PHN983211:PHN983213 PRJ983211:PRJ983213 QBF983211:QBF983213 QLB983211:QLB983213 QUX983211:QUX983213 RET983211:RET983213 ROP983211:ROP983213 RYL983211:RYL983213 SIH983211:SIH983213 SSD983211:SSD983213 TBZ983211:TBZ983213 TLV983211:TLV983213 TVR983211:TVR983213 UFN983211:UFN983213 UPJ983211:UPJ983213 UZF983211:UZF983213 VJB983211:VJB983213 VSX983211:VSX983213 WCT983211:WCT983213 WMP983211:WMP983213 WWL983211:WWL983213 AD157:AD168 JZ157:JZ168 TV157:TV168 ADR157:ADR168 ANN157:ANN168 AXJ157:AXJ168 BHF157:BHF168 BRB157:BRB168 CAX157:CAX168 CKT157:CKT168 CUP157:CUP168 DEL157:DEL168 DOH157:DOH168 DYD157:DYD168 EHZ157:EHZ168 ERV157:ERV168 FBR157:FBR168 FLN157:FLN168 FVJ157:FVJ168 GFF157:GFF168 GPB157:GPB168 GYX157:GYX168 HIT157:HIT168 HSP157:HSP168 ICL157:ICL168 IMH157:IMH168 IWD157:IWD168 JFZ157:JFZ168 JPV157:JPV168 JZR157:JZR168 KJN157:KJN168 KTJ157:KTJ168 LDF157:LDF168 LNB157:LNB168 LWX157:LWX168 MGT157:MGT168 MQP157:MQP168 NAL157:NAL168 NKH157:NKH168 NUD157:NUD168 ODZ157:ODZ168 ONV157:ONV168 OXR157:OXR168 PHN157:PHN168 PRJ157:PRJ168 QBF157:QBF168 QLB157:QLB168 QUX157:QUX168 RET157:RET168 ROP157:ROP168 RYL157:RYL168 SIH157:SIH168 SSD157:SSD168 TBZ157:TBZ168 TLV157:TLV168 TVR157:TVR168 UFN157:UFN168 UPJ157:UPJ168 UZF157:UZF168 VJB157:VJB168 VSX157:VSX168 WCT157:WCT168 WMP157:WMP168 WWL157:WWL168 AD65694:AD65705 JZ65694:JZ65705 TV65694:TV65705 ADR65694:ADR65705 ANN65694:ANN65705 AXJ65694:AXJ65705 BHF65694:BHF65705 BRB65694:BRB65705 CAX65694:CAX65705 CKT65694:CKT65705 CUP65694:CUP65705 DEL65694:DEL65705 DOH65694:DOH65705 DYD65694:DYD65705 EHZ65694:EHZ65705 ERV65694:ERV65705 FBR65694:FBR65705 FLN65694:FLN65705 FVJ65694:FVJ65705 GFF65694:GFF65705 GPB65694:GPB65705 GYX65694:GYX65705 HIT65694:HIT65705 HSP65694:HSP65705 ICL65694:ICL65705 IMH65694:IMH65705 IWD65694:IWD65705 JFZ65694:JFZ65705 JPV65694:JPV65705 JZR65694:JZR65705 KJN65694:KJN65705 KTJ65694:KTJ65705 LDF65694:LDF65705 LNB65694:LNB65705 LWX65694:LWX65705 MGT65694:MGT65705 MQP65694:MQP65705 NAL65694:NAL65705 NKH65694:NKH65705 NUD65694:NUD65705 ODZ65694:ODZ65705 ONV65694:ONV65705 OXR65694:OXR65705 PHN65694:PHN65705 PRJ65694:PRJ65705 QBF65694:QBF65705 QLB65694:QLB65705 QUX65694:QUX65705 RET65694:RET65705 ROP65694:ROP65705 RYL65694:RYL65705 SIH65694:SIH65705 SSD65694:SSD65705 TBZ65694:TBZ65705 TLV65694:TLV65705 TVR65694:TVR65705 UFN65694:UFN65705 UPJ65694:UPJ65705 UZF65694:UZF65705 VJB65694:VJB65705 VSX65694:VSX65705 WCT65694:WCT65705 WMP65694:WMP65705 WWL65694:WWL65705 AD131230:AD131241 JZ131230:JZ131241 TV131230:TV131241 ADR131230:ADR131241 ANN131230:ANN131241 AXJ131230:AXJ131241 BHF131230:BHF131241 BRB131230:BRB131241 CAX131230:CAX131241 CKT131230:CKT131241 CUP131230:CUP131241 DEL131230:DEL131241 DOH131230:DOH131241 DYD131230:DYD131241 EHZ131230:EHZ131241 ERV131230:ERV131241 FBR131230:FBR131241 FLN131230:FLN131241 FVJ131230:FVJ131241 GFF131230:GFF131241 GPB131230:GPB131241 GYX131230:GYX131241 HIT131230:HIT131241 HSP131230:HSP131241 ICL131230:ICL131241 IMH131230:IMH131241 IWD131230:IWD131241 JFZ131230:JFZ131241 JPV131230:JPV131241 JZR131230:JZR131241 KJN131230:KJN131241 KTJ131230:KTJ131241 LDF131230:LDF131241 LNB131230:LNB131241 LWX131230:LWX131241 MGT131230:MGT131241 MQP131230:MQP131241 NAL131230:NAL131241 NKH131230:NKH131241 NUD131230:NUD131241 ODZ131230:ODZ131241 ONV131230:ONV131241 OXR131230:OXR131241 PHN131230:PHN131241 PRJ131230:PRJ131241 QBF131230:QBF131241 QLB131230:QLB131241 QUX131230:QUX131241 RET131230:RET131241 ROP131230:ROP131241 RYL131230:RYL131241 SIH131230:SIH131241 SSD131230:SSD131241 TBZ131230:TBZ131241 TLV131230:TLV131241 TVR131230:TVR131241 UFN131230:UFN131241 UPJ131230:UPJ131241 UZF131230:UZF131241 VJB131230:VJB131241 VSX131230:VSX131241 WCT131230:WCT131241 WMP131230:WMP131241 WWL131230:WWL131241 AD196766:AD196777 JZ196766:JZ196777 TV196766:TV196777 ADR196766:ADR196777 ANN196766:ANN196777 AXJ196766:AXJ196777 BHF196766:BHF196777 BRB196766:BRB196777 CAX196766:CAX196777 CKT196766:CKT196777 CUP196766:CUP196777 DEL196766:DEL196777 DOH196766:DOH196777 DYD196766:DYD196777 EHZ196766:EHZ196777 ERV196766:ERV196777 FBR196766:FBR196777 FLN196766:FLN196777 FVJ196766:FVJ196777 GFF196766:GFF196777 GPB196766:GPB196777 GYX196766:GYX196777 HIT196766:HIT196777 HSP196766:HSP196777 ICL196766:ICL196777 IMH196766:IMH196777 IWD196766:IWD196777 JFZ196766:JFZ196777 JPV196766:JPV196777 JZR196766:JZR196777 KJN196766:KJN196777 KTJ196766:KTJ196777 LDF196766:LDF196777 LNB196766:LNB196777 LWX196766:LWX196777 MGT196766:MGT196777 MQP196766:MQP196777 NAL196766:NAL196777 NKH196766:NKH196777 NUD196766:NUD196777 ODZ196766:ODZ196777 ONV196766:ONV196777 OXR196766:OXR196777 PHN196766:PHN196777 PRJ196766:PRJ196777 QBF196766:QBF196777 QLB196766:QLB196777 QUX196766:QUX196777 RET196766:RET196777 ROP196766:ROP196777 RYL196766:RYL196777 SIH196766:SIH196777 SSD196766:SSD196777 TBZ196766:TBZ196777 TLV196766:TLV196777 TVR196766:TVR196777 UFN196766:UFN196777 UPJ196766:UPJ196777 UZF196766:UZF196777 VJB196766:VJB196777 VSX196766:VSX196777 WCT196766:WCT196777 WMP196766:WMP196777 WWL196766:WWL196777 AD262302:AD262313 JZ262302:JZ262313 TV262302:TV262313 ADR262302:ADR262313 ANN262302:ANN262313 AXJ262302:AXJ262313 BHF262302:BHF262313 BRB262302:BRB262313 CAX262302:CAX262313 CKT262302:CKT262313 CUP262302:CUP262313 DEL262302:DEL262313 DOH262302:DOH262313 DYD262302:DYD262313 EHZ262302:EHZ262313 ERV262302:ERV262313 FBR262302:FBR262313 FLN262302:FLN262313 FVJ262302:FVJ262313 GFF262302:GFF262313 GPB262302:GPB262313 GYX262302:GYX262313 HIT262302:HIT262313 HSP262302:HSP262313 ICL262302:ICL262313 IMH262302:IMH262313 IWD262302:IWD262313 JFZ262302:JFZ262313 JPV262302:JPV262313 JZR262302:JZR262313 KJN262302:KJN262313 KTJ262302:KTJ262313 LDF262302:LDF262313 LNB262302:LNB262313 LWX262302:LWX262313 MGT262302:MGT262313 MQP262302:MQP262313 NAL262302:NAL262313 NKH262302:NKH262313 NUD262302:NUD262313 ODZ262302:ODZ262313 ONV262302:ONV262313 OXR262302:OXR262313 PHN262302:PHN262313 PRJ262302:PRJ262313 QBF262302:QBF262313 QLB262302:QLB262313 QUX262302:QUX262313 RET262302:RET262313 ROP262302:ROP262313 RYL262302:RYL262313 SIH262302:SIH262313 SSD262302:SSD262313 TBZ262302:TBZ262313 TLV262302:TLV262313 TVR262302:TVR262313 UFN262302:UFN262313 UPJ262302:UPJ262313 UZF262302:UZF262313 VJB262302:VJB262313 VSX262302:VSX262313 WCT262302:WCT262313 WMP262302:WMP262313 WWL262302:WWL262313 AD327838:AD327849 JZ327838:JZ327849 TV327838:TV327849 ADR327838:ADR327849 ANN327838:ANN327849 AXJ327838:AXJ327849 BHF327838:BHF327849 BRB327838:BRB327849 CAX327838:CAX327849 CKT327838:CKT327849 CUP327838:CUP327849 DEL327838:DEL327849 DOH327838:DOH327849 DYD327838:DYD327849 EHZ327838:EHZ327849 ERV327838:ERV327849 FBR327838:FBR327849 FLN327838:FLN327849 FVJ327838:FVJ327849 GFF327838:GFF327849 GPB327838:GPB327849 GYX327838:GYX327849 HIT327838:HIT327849 HSP327838:HSP327849 ICL327838:ICL327849 IMH327838:IMH327849 IWD327838:IWD327849 JFZ327838:JFZ327849 JPV327838:JPV327849 JZR327838:JZR327849 KJN327838:KJN327849 KTJ327838:KTJ327849 LDF327838:LDF327849 LNB327838:LNB327849 LWX327838:LWX327849 MGT327838:MGT327849 MQP327838:MQP327849 NAL327838:NAL327849 NKH327838:NKH327849 NUD327838:NUD327849 ODZ327838:ODZ327849 ONV327838:ONV327849 OXR327838:OXR327849 PHN327838:PHN327849 PRJ327838:PRJ327849 QBF327838:QBF327849 QLB327838:QLB327849 QUX327838:QUX327849 RET327838:RET327849 ROP327838:ROP327849 RYL327838:RYL327849 SIH327838:SIH327849 SSD327838:SSD327849 TBZ327838:TBZ327849 TLV327838:TLV327849 TVR327838:TVR327849 UFN327838:UFN327849 UPJ327838:UPJ327849 UZF327838:UZF327849 VJB327838:VJB327849 VSX327838:VSX327849 WCT327838:WCT327849 WMP327838:WMP327849 WWL327838:WWL327849 AD393374:AD393385 JZ393374:JZ393385 TV393374:TV393385 ADR393374:ADR393385 ANN393374:ANN393385 AXJ393374:AXJ393385 BHF393374:BHF393385 BRB393374:BRB393385 CAX393374:CAX393385 CKT393374:CKT393385 CUP393374:CUP393385 DEL393374:DEL393385 DOH393374:DOH393385 DYD393374:DYD393385 EHZ393374:EHZ393385 ERV393374:ERV393385 FBR393374:FBR393385 FLN393374:FLN393385 FVJ393374:FVJ393385 GFF393374:GFF393385 GPB393374:GPB393385 GYX393374:GYX393385 HIT393374:HIT393385 HSP393374:HSP393385 ICL393374:ICL393385 IMH393374:IMH393385 IWD393374:IWD393385 JFZ393374:JFZ393385 JPV393374:JPV393385 JZR393374:JZR393385 KJN393374:KJN393385 KTJ393374:KTJ393385 LDF393374:LDF393385 LNB393374:LNB393385 LWX393374:LWX393385 MGT393374:MGT393385 MQP393374:MQP393385 NAL393374:NAL393385 NKH393374:NKH393385 NUD393374:NUD393385 ODZ393374:ODZ393385 ONV393374:ONV393385 OXR393374:OXR393385 PHN393374:PHN393385 PRJ393374:PRJ393385 QBF393374:QBF393385 QLB393374:QLB393385 QUX393374:QUX393385 RET393374:RET393385 ROP393374:ROP393385 RYL393374:RYL393385 SIH393374:SIH393385 SSD393374:SSD393385 TBZ393374:TBZ393385 TLV393374:TLV393385 TVR393374:TVR393385 UFN393374:UFN393385 UPJ393374:UPJ393385 UZF393374:UZF393385 VJB393374:VJB393385 VSX393374:VSX393385 WCT393374:WCT393385 WMP393374:WMP393385 WWL393374:WWL393385 AD458910:AD458921 JZ458910:JZ458921 TV458910:TV458921 ADR458910:ADR458921 ANN458910:ANN458921 AXJ458910:AXJ458921 BHF458910:BHF458921 BRB458910:BRB458921 CAX458910:CAX458921 CKT458910:CKT458921 CUP458910:CUP458921 DEL458910:DEL458921 DOH458910:DOH458921 DYD458910:DYD458921 EHZ458910:EHZ458921 ERV458910:ERV458921 FBR458910:FBR458921 FLN458910:FLN458921 FVJ458910:FVJ458921 GFF458910:GFF458921 GPB458910:GPB458921 GYX458910:GYX458921 HIT458910:HIT458921 HSP458910:HSP458921 ICL458910:ICL458921 IMH458910:IMH458921 IWD458910:IWD458921 JFZ458910:JFZ458921 JPV458910:JPV458921 JZR458910:JZR458921 KJN458910:KJN458921 KTJ458910:KTJ458921 LDF458910:LDF458921 LNB458910:LNB458921 LWX458910:LWX458921 MGT458910:MGT458921 MQP458910:MQP458921 NAL458910:NAL458921 NKH458910:NKH458921 NUD458910:NUD458921 ODZ458910:ODZ458921 ONV458910:ONV458921 OXR458910:OXR458921 PHN458910:PHN458921 PRJ458910:PRJ458921 QBF458910:QBF458921 QLB458910:QLB458921 QUX458910:QUX458921 RET458910:RET458921 ROP458910:ROP458921 RYL458910:RYL458921 SIH458910:SIH458921 SSD458910:SSD458921 TBZ458910:TBZ458921 TLV458910:TLV458921 TVR458910:TVR458921 UFN458910:UFN458921 UPJ458910:UPJ458921 UZF458910:UZF458921 VJB458910:VJB458921 VSX458910:VSX458921 WCT458910:WCT458921 WMP458910:WMP458921 WWL458910:WWL458921 AD524446:AD524457 JZ524446:JZ524457 TV524446:TV524457 ADR524446:ADR524457 ANN524446:ANN524457 AXJ524446:AXJ524457 BHF524446:BHF524457 BRB524446:BRB524457 CAX524446:CAX524457 CKT524446:CKT524457 CUP524446:CUP524457 DEL524446:DEL524457 DOH524446:DOH524457 DYD524446:DYD524457 EHZ524446:EHZ524457 ERV524446:ERV524457 FBR524446:FBR524457 FLN524446:FLN524457 FVJ524446:FVJ524457 GFF524446:GFF524457 GPB524446:GPB524457 GYX524446:GYX524457 HIT524446:HIT524457 HSP524446:HSP524457 ICL524446:ICL524457 IMH524446:IMH524457 IWD524446:IWD524457 JFZ524446:JFZ524457 JPV524446:JPV524457 JZR524446:JZR524457 KJN524446:KJN524457 KTJ524446:KTJ524457 LDF524446:LDF524457 LNB524446:LNB524457 LWX524446:LWX524457 MGT524446:MGT524457 MQP524446:MQP524457 NAL524446:NAL524457 NKH524446:NKH524457 NUD524446:NUD524457 ODZ524446:ODZ524457 ONV524446:ONV524457 OXR524446:OXR524457 PHN524446:PHN524457 PRJ524446:PRJ524457 QBF524446:QBF524457 QLB524446:QLB524457 QUX524446:QUX524457 RET524446:RET524457 ROP524446:ROP524457 RYL524446:RYL524457 SIH524446:SIH524457 SSD524446:SSD524457 TBZ524446:TBZ524457 TLV524446:TLV524457 TVR524446:TVR524457 UFN524446:UFN524457 UPJ524446:UPJ524457 UZF524446:UZF524457 VJB524446:VJB524457 VSX524446:VSX524457 WCT524446:WCT524457 WMP524446:WMP524457 WWL524446:WWL524457 AD589982:AD589993 JZ589982:JZ589993 TV589982:TV589993 ADR589982:ADR589993 ANN589982:ANN589993 AXJ589982:AXJ589993 BHF589982:BHF589993 BRB589982:BRB589993 CAX589982:CAX589993 CKT589982:CKT589993 CUP589982:CUP589993 DEL589982:DEL589993 DOH589982:DOH589993 DYD589982:DYD589993 EHZ589982:EHZ589993 ERV589982:ERV589993 FBR589982:FBR589993 FLN589982:FLN589993 FVJ589982:FVJ589993 GFF589982:GFF589993 GPB589982:GPB589993 GYX589982:GYX589993 HIT589982:HIT589993 HSP589982:HSP589993 ICL589982:ICL589993 IMH589982:IMH589993 IWD589982:IWD589993 JFZ589982:JFZ589993 JPV589982:JPV589993 JZR589982:JZR589993 KJN589982:KJN589993 KTJ589982:KTJ589993 LDF589982:LDF589993 LNB589982:LNB589993 LWX589982:LWX589993 MGT589982:MGT589993 MQP589982:MQP589993 NAL589982:NAL589993 NKH589982:NKH589993 NUD589982:NUD589993 ODZ589982:ODZ589993 ONV589982:ONV589993 OXR589982:OXR589993 PHN589982:PHN589993 PRJ589982:PRJ589993 QBF589982:QBF589993 QLB589982:QLB589993 QUX589982:QUX589993 RET589982:RET589993 ROP589982:ROP589993 RYL589982:RYL589993 SIH589982:SIH589993 SSD589982:SSD589993 TBZ589982:TBZ589993 TLV589982:TLV589993 TVR589982:TVR589993 UFN589982:UFN589993 UPJ589982:UPJ589993 UZF589982:UZF589993 VJB589982:VJB589993 VSX589982:VSX589993 WCT589982:WCT589993 WMP589982:WMP589993 WWL589982:WWL589993 AD655518:AD655529 JZ655518:JZ655529 TV655518:TV655529 ADR655518:ADR655529 ANN655518:ANN655529 AXJ655518:AXJ655529 BHF655518:BHF655529 BRB655518:BRB655529 CAX655518:CAX655529 CKT655518:CKT655529 CUP655518:CUP655529 DEL655518:DEL655529 DOH655518:DOH655529 DYD655518:DYD655529 EHZ655518:EHZ655529 ERV655518:ERV655529 FBR655518:FBR655529 FLN655518:FLN655529 FVJ655518:FVJ655529 GFF655518:GFF655529 GPB655518:GPB655529 GYX655518:GYX655529 HIT655518:HIT655529 HSP655518:HSP655529 ICL655518:ICL655529 IMH655518:IMH655529 IWD655518:IWD655529 JFZ655518:JFZ655529 JPV655518:JPV655529 JZR655518:JZR655529 KJN655518:KJN655529 KTJ655518:KTJ655529 LDF655518:LDF655529 LNB655518:LNB655529 LWX655518:LWX655529 MGT655518:MGT655529 MQP655518:MQP655529 NAL655518:NAL655529 NKH655518:NKH655529 NUD655518:NUD655529 ODZ655518:ODZ655529 ONV655518:ONV655529 OXR655518:OXR655529 PHN655518:PHN655529 PRJ655518:PRJ655529 QBF655518:QBF655529 QLB655518:QLB655529 QUX655518:QUX655529 RET655518:RET655529 ROP655518:ROP655529 RYL655518:RYL655529 SIH655518:SIH655529 SSD655518:SSD655529 TBZ655518:TBZ655529 TLV655518:TLV655529 TVR655518:TVR655529 UFN655518:UFN655529 UPJ655518:UPJ655529 UZF655518:UZF655529 VJB655518:VJB655529 VSX655518:VSX655529 WCT655518:WCT655529 WMP655518:WMP655529 WWL655518:WWL655529 AD721054:AD721065 JZ721054:JZ721065 TV721054:TV721065 ADR721054:ADR721065 ANN721054:ANN721065 AXJ721054:AXJ721065 BHF721054:BHF721065 BRB721054:BRB721065 CAX721054:CAX721065 CKT721054:CKT721065 CUP721054:CUP721065 DEL721054:DEL721065 DOH721054:DOH721065 DYD721054:DYD721065 EHZ721054:EHZ721065 ERV721054:ERV721065 FBR721054:FBR721065 FLN721054:FLN721065 FVJ721054:FVJ721065 GFF721054:GFF721065 GPB721054:GPB721065 GYX721054:GYX721065 HIT721054:HIT721065 HSP721054:HSP721065 ICL721054:ICL721065 IMH721054:IMH721065 IWD721054:IWD721065 JFZ721054:JFZ721065 JPV721054:JPV721065 JZR721054:JZR721065 KJN721054:KJN721065 KTJ721054:KTJ721065 LDF721054:LDF721065 LNB721054:LNB721065 LWX721054:LWX721065 MGT721054:MGT721065 MQP721054:MQP721065 NAL721054:NAL721065 NKH721054:NKH721065 NUD721054:NUD721065 ODZ721054:ODZ721065 ONV721054:ONV721065 OXR721054:OXR721065 PHN721054:PHN721065 PRJ721054:PRJ721065 QBF721054:QBF721065 QLB721054:QLB721065 QUX721054:QUX721065 RET721054:RET721065 ROP721054:ROP721065 RYL721054:RYL721065 SIH721054:SIH721065 SSD721054:SSD721065 TBZ721054:TBZ721065 TLV721054:TLV721065 TVR721054:TVR721065 UFN721054:UFN721065 UPJ721054:UPJ721065 UZF721054:UZF721065 VJB721054:VJB721065 VSX721054:VSX721065 WCT721054:WCT721065 WMP721054:WMP721065 WWL721054:WWL721065 AD786590:AD786601 JZ786590:JZ786601 TV786590:TV786601 ADR786590:ADR786601 ANN786590:ANN786601 AXJ786590:AXJ786601 BHF786590:BHF786601 BRB786590:BRB786601 CAX786590:CAX786601 CKT786590:CKT786601 CUP786590:CUP786601 DEL786590:DEL786601 DOH786590:DOH786601 DYD786590:DYD786601 EHZ786590:EHZ786601 ERV786590:ERV786601 FBR786590:FBR786601 FLN786590:FLN786601 FVJ786590:FVJ786601 GFF786590:GFF786601 GPB786590:GPB786601 GYX786590:GYX786601 HIT786590:HIT786601 HSP786590:HSP786601 ICL786590:ICL786601 IMH786590:IMH786601 IWD786590:IWD786601 JFZ786590:JFZ786601 JPV786590:JPV786601 JZR786590:JZR786601 KJN786590:KJN786601 KTJ786590:KTJ786601 LDF786590:LDF786601 LNB786590:LNB786601 LWX786590:LWX786601 MGT786590:MGT786601 MQP786590:MQP786601 NAL786590:NAL786601 NKH786590:NKH786601 NUD786590:NUD786601 ODZ786590:ODZ786601 ONV786590:ONV786601 OXR786590:OXR786601 PHN786590:PHN786601 PRJ786590:PRJ786601 QBF786590:QBF786601 QLB786590:QLB786601 QUX786590:QUX786601 RET786590:RET786601 ROP786590:ROP786601 RYL786590:RYL786601 SIH786590:SIH786601 SSD786590:SSD786601 TBZ786590:TBZ786601 TLV786590:TLV786601 TVR786590:TVR786601 UFN786590:UFN786601 UPJ786590:UPJ786601 UZF786590:UZF786601 VJB786590:VJB786601 VSX786590:VSX786601 WCT786590:WCT786601 WMP786590:WMP786601 WWL786590:WWL786601 AD852126:AD852137 JZ852126:JZ852137 TV852126:TV852137 ADR852126:ADR852137 ANN852126:ANN852137 AXJ852126:AXJ852137 BHF852126:BHF852137 BRB852126:BRB852137 CAX852126:CAX852137 CKT852126:CKT852137 CUP852126:CUP852137 DEL852126:DEL852137 DOH852126:DOH852137 DYD852126:DYD852137 EHZ852126:EHZ852137 ERV852126:ERV852137 FBR852126:FBR852137 FLN852126:FLN852137 FVJ852126:FVJ852137 GFF852126:GFF852137 GPB852126:GPB852137 GYX852126:GYX852137 HIT852126:HIT852137 HSP852126:HSP852137 ICL852126:ICL852137 IMH852126:IMH852137 IWD852126:IWD852137 JFZ852126:JFZ852137 JPV852126:JPV852137 JZR852126:JZR852137 KJN852126:KJN852137 KTJ852126:KTJ852137 LDF852126:LDF852137 LNB852126:LNB852137 LWX852126:LWX852137 MGT852126:MGT852137 MQP852126:MQP852137 NAL852126:NAL852137 NKH852126:NKH852137 NUD852126:NUD852137 ODZ852126:ODZ852137 ONV852126:ONV852137 OXR852126:OXR852137 PHN852126:PHN852137 PRJ852126:PRJ852137 QBF852126:QBF852137 QLB852126:QLB852137 QUX852126:QUX852137 RET852126:RET852137 ROP852126:ROP852137 RYL852126:RYL852137 SIH852126:SIH852137 SSD852126:SSD852137 TBZ852126:TBZ852137 TLV852126:TLV852137 TVR852126:TVR852137 UFN852126:UFN852137 UPJ852126:UPJ852137 UZF852126:UZF852137 VJB852126:VJB852137 VSX852126:VSX852137 WCT852126:WCT852137 WMP852126:WMP852137 WWL852126:WWL852137 AD917662:AD917673 JZ917662:JZ917673 TV917662:TV917673 ADR917662:ADR917673 ANN917662:ANN917673 AXJ917662:AXJ917673 BHF917662:BHF917673 BRB917662:BRB917673 CAX917662:CAX917673 CKT917662:CKT917673 CUP917662:CUP917673 DEL917662:DEL917673 DOH917662:DOH917673 DYD917662:DYD917673 EHZ917662:EHZ917673 ERV917662:ERV917673 FBR917662:FBR917673 FLN917662:FLN917673 FVJ917662:FVJ917673 GFF917662:GFF917673 GPB917662:GPB917673 GYX917662:GYX917673 HIT917662:HIT917673 HSP917662:HSP917673 ICL917662:ICL917673 IMH917662:IMH917673 IWD917662:IWD917673 JFZ917662:JFZ917673 JPV917662:JPV917673 JZR917662:JZR917673 KJN917662:KJN917673 KTJ917662:KTJ917673 LDF917662:LDF917673 LNB917662:LNB917673 LWX917662:LWX917673 MGT917662:MGT917673 MQP917662:MQP917673 NAL917662:NAL917673 NKH917662:NKH917673 NUD917662:NUD917673 ODZ917662:ODZ917673 ONV917662:ONV917673 OXR917662:OXR917673 PHN917662:PHN917673 PRJ917662:PRJ917673 QBF917662:QBF917673 QLB917662:QLB917673 QUX917662:QUX917673 RET917662:RET917673 ROP917662:ROP917673 RYL917662:RYL917673 SIH917662:SIH917673 SSD917662:SSD917673 TBZ917662:TBZ917673 TLV917662:TLV917673 TVR917662:TVR917673 UFN917662:UFN917673 UPJ917662:UPJ917673 UZF917662:UZF917673 VJB917662:VJB917673 VSX917662:VSX917673 WCT917662:WCT917673 WMP917662:WMP917673 WWL917662:WWL917673 AD983198:AD983209 JZ983198:JZ983209 TV983198:TV983209 ADR983198:ADR983209 ANN983198:ANN983209 AXJ983198:AXJ983209 BHF983198:BHF983209 BRB983198:BRB983209 CAX983198:CAX983209 CKT983198:CKT983209 CUP983198:CUP983209 DEL983198:DEL983209 DOH983198:DOH983209 DYD983198:DYD983209 EHZ983198:EHZ983209 ERV983198:ERV983209 FBR983198:FBR983209 FLN983198:FLN983209 FVJ983198:FVJ983209 GFF983198:GFF983209 GPB983198:GPB983209 GYX983198:GYX983209 HIT983198:HIT983209 HSP983198:HSP983209 ICL983198:ICL983209 IMH983198:IMH983209 IWD983198:IWD983209 JFZ983198:JFZ983209 JPV983198:JPV983209 JZR983198:JZR983209 KJN983198:KJN983209 KTJ983198:KTJ983209 LDF983198:LDF983209 LNB983198:LNB983209 LWX983198:LWX983209 MGT983198:MGT983209 MQP983198:MQP983209 NAL983198:NAL983209 NKH983198:NKH983209 NUD983198:NUD983209 ODZ983198:ODZ983209 ONV983198:ONV983209 OXR983198:OXR983209 PHN983198:PHN983209 PRJ983198:PRJ983209 QBF983198:QBF983209 QLB983198:QLB983209 QUX983198:QUX983209 RET983198:RET983209 ROP983198:ROP983209 RYL983198:RYL983209 SIH983198:SIH983209 SSD983198:SSD983209 TBZ983198:TBZ983209 TLV983198:TLV983209 TVR983198:TVR983209 UFN983198:UFN983209 UPJ983198:UPJ983209 UZF983198:UZF983209 VJB983198:VJB983209 VSX983198:VSX983209 WCT983198:WCT983209 WMP983198:WMP983209 WWL983198:WWL983209 AD153:AD155 JZ153:JZ155 TV153:TV155 ADR153:ADR155 ANN153:ANN155 AXJ153:AXJ155 BHF153:BHF155 BRB153:BRB155 CAX153:CAX155 CKT153:CKT155 CUP153:CUP155 DEL153:DEL155 DOH153:DOH155 DYD153:DYD155 EHZ153:EHZ155 ERV153:ERV155 FBR153:FBR155 FLN153:FLN155 FVJ153:FVJ155 GFF153:GFF155 GPB153:GPB155 GYX153:GYX155 HIT153:HIT155 HSP153:HSP155 ICL153:ICL155 IMH153:IMH155 IWD153:IWD155 JFZ153:JFZ155 JPV153:JPV155 JZR153:JZR155 KJN153:KJN155 KTJ153:KTJ155 LDF153:LDF155 LNB153:LNB155 LWX153:LWX155 MGT153:MGT155 MQP153:MQP155 NAL153:NAL155 NKH153:NKH155 NUD153:NUD155 ODZ153:ODZ155 ONV153:ONV155 OXR153:OXR155 PHN153:PHN155 PRJ153:PRJ155 QBF153:QBF155 QLB153:QLB155 QUX153:QUX155 RET153:RET155 ROP153:ROP155 RYL153:RYL155 SIH153:SIH155 SSD153:SSD155 TBZ153:TBZ155 TLV153:TLV155 TVR153:TVR155 UFN153:UFN155 UPJ153:UPJ155 UZF153:UZF155 VJB153:VJB155 VSX153:VSX155 WCT153:WCT155 WMP153:WMP155 WWL153:WWL155 AD65690:AD65692 JZ65690:JZ65692 TV65690:TV65692 ADR65690:ADR65692 ANN65690:ANN65692 AXJ65690:AXJ65692 BHF65690:BHF65692 BRB65690:BRB65692 CAX65690:CAX65692 CKT65690:CKT65692 CUP65690:CUP65692 DEL65690:DEL65692 DOH65690:DOH65692 DYD65690:DYD65692 EHZ65690:EHZ65692 ERV65690:ERV65692 FBR65690:FBR65692 FLN65690:FLN65692 FVJ65690:FVJ65692 GFF65690:GFF65692 GPB65690:GPB65692 GYX65690:GYX65692 HIT65690:HIT65692 HSP65690:HSP65692 ICL65690:ICL65692 IMH65690:IMH65692 IWD65690:IWD65692 JFZ65690:JFZ65692 JPV65690:JPV65692 JZR65690:JZR65692 KJN65690:KJN65692 KTJ65690:KTJ65692 LDF65690:LDF65692 LNB65690:LNB65692 LWX65690:LWX65692 MGT65690:MGT65692 MQP65690:MQP65692 NAL65690:NAL65692 NKH65690:NKH65692 NUD65690:NUD65692 ODZ65690:ODZ65692 ONV65690:ONV65692 OXR65690:OXR65692 PHN65690:PHN65692 PRJ65690:PRJ65692 QBF65690:QBF65692 QLB65690:QLB65692 QUX65690:QUX65692 RET65690:RET65692 ROP65690:ROP65692 RYL65690:RYL65692 SIH65690:SIH65692 SSD65690:SSD65692 TBZ65690:TBZ65692 TLV65690:TLV65692 TVR65690:TVR65692 UFN65690:UFN65692 UPJ65690:UPJ65692 UZF65690:UZF65692 VJB65690:VJB65692 VSX65690:VSX65692 WCT65690:WCT65692 WMP65690:WMP65692 WWL65690:WWL65692 AD131226:AD131228 JZ131226:JZ131228 TV131226:TV131228 ADR131226:ADR131228 ANN131226:ANN131228 AXJ131226:AXJ131228 BHF131226:BHF131228 BRB131226:BRB131228 CAX131226:CAX131228 CKT131226:CKT131228 CUP131226:CUP131228 DEL131226:DEL131228 DOH131226:DOH131228 DYD131226:DYD131228 EHZ131226:EHZ131228 ERV131226:ERV131228 FBR131226:FBR131228 FLN131226:FLN131228 FVJ131226:FVJ131228 GFF131226:GFF131228 GPB131226:GPB131228 GYX131226:GYX131228 HIT131226:HIT131228 HSP131226:HSP131228 ICL131226:ICL131228 IMH131226:IMH131228 IWD131226:IWD131228 JFZ131226:JFZ131228 JPV131226:JPV131228 JZR131226:JZR131228 KJN131226:KJN131228 KTJ131226:KTJ131228 LDF131226:LDF131228 LNB131226:LNB131228 LWX131226:LWX131228 MGT131226:MGT131228 MQP131226:MQP131228 NAL131226:NAL131228 NKH131226:NKH131228 NUD131226:NUD131228 ODZ131226:ODZ131228 ONV131226:ONV131228 OXR131226:OXR131228 PHN131226:PHN131228 PRJ131226:PRJ131228 QBF131226:QBF131228 QLB131226:QLB131228 QUX131226:QUX131228 RET131226:RET131228 ROP131226:ROP131228 RYL131226:RYL131228 SIH131226:SIH131228 SSD131226:SSD131228 TBZ131226:TBZ131228 TLV131226:TLV131228 TVR131226:TVR131228 UFN131226:UFN131228 UPJ131226:UPJ131228 UZF131226:UZF131228 VJB131226:VJB131228 VSX131226:VSX131228 WCT131226:WCT131228 WMP131226:WMP131228 WWL131226:WWL131228 AD196762:AD196764 JZ196762:JZ196764 TV196762:TV196764 ADR196762:ADR196764 ANN196762:ANN196764 AXJ196762:AXJ196764 BHF196762:BHF196764 BRB196762:BRB196764 CAX196762:CAX196764 CKT196762:CKT196764 CUP196762:CUP196764 DEL196762:DEL196764 DOH196762:DOH196764 DYD196762:DYD196764 EHZ196762:EHZ196764 ERV196762:ERV196764 FBR196762:FBR196764 FLN196762:FLN196764 FVJ196762:FVJ196764 GFF196762:GFF196764 GPB196762:GPB196764 GYX196762:GYX196764 HIT196762:HIT196764 HSP196762:HSP196764 ICL196762:ICL196764 IMH196762:IMH196764 IWD196762:IWD196764 JFZ196762:JFZ196764 JPV196762:JPV196764 JZR196762:JZR196764 KJN196762:KJN196764 KTJ196762:KTJ196764 LDF196762:LDF196764 LNB196762:LNB196764 LWX196762:LWX196764 MGT196762:MGT196764 MQP196762:MQP196764 NAL196762:NAL196764 NKH196762:NKH196764 NUD196762:NUD196764 ODZ196762:ODZ196764 ONV196762:ONV196764 OXR196762:OXR196764 PHN196762:PHN196764 PRJ196762:PRJ196764 QBF196762:QBF196764 QLB196762:QLB196764 QUX196762:QUX196764 RET196762:RET196764 ROP196762:ROP196764 RYL196762:RYL196764 SIH196762:SIH196764 SSD196762:SSD196764 TBZ196762:TBZ196764 TLV196762:TLV196764 TVR196762:TVR196764 UFN196762:UFN196764 UPJ196762:UPJ196764 UZF196762:UZF196764 VJB196762:VJB196764 VSX196762:VSX196764 WCT196762:WCT196764 WMP196762:WMP196764 WWL196762:WWL196764 AD262298:AD262300 JZ262298:JZ262300 TV262298:TV262300 ADR262298:ADR262300 ANN262298:ANN262300 AXJ262298:AXJ262300 BHF262298:BHF262300 BRB262298:BRB262300 CAX262298:CAX262300 CKT262298:CKT262300 CUP262298:CUP262300 DEL262298:DEL262300 DOH262298:DOH262300 DYD262298:DYD262300 EHZ262298:EHZ262300 ERV262298:ERV262300 FBR262298:FBR262300 FLN262298:FLN262300 FVJ262298:FVJ262300 GFF262298:GFF262300 GPB262298:GPB262300 GYX262298:GYX262300 HIT262298:HIT262300 HSP262298:HSP262300 ICL262298:ICL262300 IMH262298:IMH262300 IWD262298:IWD262300 JFZ262298:JFZ262300 JPV262298:JPV262300 JZR262298:JZR262300 KJN262298:KJN262300 KTJ262298:KTJ262300 LDF262298:LDF262300 LNB262298:LNB262300 LWX262298:LWX262300 MGT262298:MGT262300 MQP262298:MQP262300 NAL262298:NAL262300 NKH262298:NKH262300 NUD262298:NUD262300 ODZ262298:ODZ262300 ONV262298:ONV262300 OXR262298:OXR262300 PHN262298:PHN262300 PRJ262298:PRJ262300 QBF262298:QBF262300 QLB262298:QLB262300 QUX262298:QUX262300 RET262298:RET262300 ROP262298:ROP262300 RYL262298:RYL262300 SIH262298:SIH262300 SSD262298:SSD262300 TBZ262298:TBZ262300 TLV262298:TLV262300 TVR262298:TVR262300 UFN262298:UFN262300 UPJ262298:UPJ262300 UZF262298:UZF262300 VJB262298:VJB262300 VSX262298:VSX262300 WCT262298:WCT262300 WMP262298:WMP262300 WWL262298:WWL262300 AD327834:AD327836 JZ327834:JZ327836 TV327834:TV327836 ADR327834:ADR327836 ANN327834:ANN327836 AXJ327834:AXJ327836 BHF327834:BHF327836 BRB327834:BRB327836 CAX327834:CAX327836 CKT327834:CKT327836 CUP327834:CUP327836 DEL327834:DEL327836 DOH327834:DOH327836 DYD327834:DYD327836 EHZ327834:EHZ327836 ERV327834:ERV327836 FBR327834:FBR327836 FLN327834:FLN327836 FVJ327834:FVJ327836 GFF327834:GFF327836 GPB327834:GPB327836 GYX327834:GYX327836 HIT327834:HIT327836 HSP327834:HSP327836 ICL327834:ICL327836 IMH327834:IMH327836 IWD327834:IWD327836 JFZ327834:JFZ327836 JPV327834:JPV327836 JZR327834:JZR327836 KJN327834:KJN327836 KTJ327834:KTJ327836 LDF327834:LDF327836 LNB327834:LNB327836 LWX327834:LWX327836 MGT327834:MGT327836 MQP327834:MQP327836 NAL327834:NAL327836 NKH327834:NKH327836 NUD327834:NUD327836 ODZ327834:ODZ327836 ONV327834:ONV327836 OXR327834:OXR327836 PHN327834:PHN327836 PRJ327834:PRJ327836 QBF327834:QBF327836 QLB327834:QLB327836 QUX327834:QUX327836 RET327834:RET327836 ROP327834:ROP327836 RYL327834:RYL327836 SIH327834:SIH327836 SSD327834:SSD327836 TBZ327834:TBZ327836 TLV327834:TLV327836 TVR327834:TVR327836 UFN327834:UFN327836 UPJ327834:UPJ327836 UZF327834:UZF327836 VJB327834:VJB327836 VSX327834:VSX327836 WCT327834:WCT327836 WMP327834:WMP327836 WWL327834:WWL327836 AD393370:AD393372 JZ393370:JZ393372 TV393370:TV393372 ADR393370:ADR393372 ANN393370:ANN393372 AXJ393370:AXJ393372 BHF393370:BHF393372 BRB393370:BRB393372 CAX393370:CAX393372 CKT393370:CKT393372 CUP393370:CUP393372 DEL393370:DEL393372 DOH393370:DOH393372 DYD393370:DYD393372 EHZ393370:EHZ393372 ERV393370:ERV393372 FBR393370:FBR393372 FLN393370:FLN393372 FVJ393370:FVJ393372 GFF393370:GFF393372 GPB393370:GPB393372 GYX393370:GYX393372 HIT393370:HIT393372 HSP393370:HSP393372 ICL393370:ICL393372 IMH393370:IMH393372 IWD393370:IWD393372 JFZ393370:JFZ393372 JPV393370:JPV393372 JZR393370:JZR393372 KJN393370:KJN393372 KTJ393370:KTJ393372 LDF393370:LDF393372 LNB393370:LNB393372 LWX393370:LWX393372 MGT393370:MGT393372 MQP393370:MQP393372 NAL393370:NAL393372 NKH393370:NKH393372 NUD393370:NUD393372 ODZ393370:ODZ393372 ONV393370:ONV393372 OXR393370:OXR393372 PHN393370:PHN393372 PRJ393370:PRJ393372 QBF393370:QBF393372 QLB393370:QLB393372 QUX393370:QUX393372 RET393370:RET393372 ROP393370:ROP393372 RYL393370:RYL393372 SIH393370:SIH393372 SSD393370:SSD393372 TBZ393370:TBZ393372 TLV393370:TLV393372 TVR393370:TVR393372 UFN393370:UFN393372 UPJ393370:UPJ393372 UZF393370:UZF393372 VJB393370:VJB393372 VSX393370:VSX393372 WCT393370:WCT393372 WMP393370:WMP393372 WWL393370:WWL393372 AD458906:AD458908 JZ458906:JZ458908 TV458906:TV458908 ADR458906:ADR458908 ANN458906:ANN458908 AXJ458906:AXJ458908 BHF458906:BHF458908 BRB458906:BRB458908 CAX458906:CAX458908 CKT458906:CKT458908 CUP458906:CUP458908 DEL458906:DEL458908 DOH458906:DOH458908 DYD458906:DYD458908 EHZ458906:EHZ458908 ERV458906:ERV458908 FBR458906:FBR458908 FLN458906:FLN458908 FVJ458906:FVJ458908 GFF458906:GFF458908 GPB458906:GPB458908 GYX458906:GYX458908 HIT458906:HIT458908 HSP458906:HSP458908 ICL458906:ICL458908 IMH458906:IMH458908 IWD458906:IWD458908 JFZ458906:JFZ458908 JPV458906:JPV458908 JZR458906:JZR458908 KJN458906:KJN458908 KTJ458906:KTJ458908 LDF458906:LDF458908 LNB458906:LNB458908 LWX458906:LWX458908 MGT458906:MGT458908 MQP458906:MQP458908 NAL458906:NAL458908 NKH458906:NKH458908 NUD458906:NUD458908 ODZ458906:ODZ458908 ONV458906:ONV458908 OXR458906:OXR458908 PHN458906:PHN458908 PRJ458906:PRJ458908 QBF458906:QBF458908 QLB458906:QLB458908 QUX458906:QUX458908 RET458906:RET458908 ROP458906:ROP458908 RYL458906:RYL458908 SIH458906:SIH458908 SSD458906:SSD458908 TBZ458906:TBZ458908 TLV458906:TLV458908 TVR458906:TVR458908 UFN458906:UFN458908 UPJ458906:UPJ458908 UZF458906:UZF458908 VJB458906:VJB458908 VSX458906:VSX458908 WCT458906:WCT458908 WMP458906:WMP458908 WWL458906:WWL458908 AD524442:AD524444 JZ524442:JZ524444 TV524442:TV524444 ADR524442:ADR524444 ANN524442:ANN524444 AXJ524442:AXJ524444 BHF524442:BHF524444 BRB524442:BRB524444 CAX524442:CAX524444 CKT524442:CKT524444 CUP524442:CUP524444 DEL524442:DEL524444 DOH524442:DOH524444 DYD524442:DYD524444 EHZ524442:EHZ524444 ERV524442:ERV524444 FBR524442:FBR524444 FLN524442:FLN524444 FVJ524442:FVJ524444 GFF524442:GFF524444 GPB524442:GPB524444 GYX524442:GYX524444 HIT524442:HIT524444 HSP524442:HSP524444 ICL524442:ICL524444 IMH524442:IMH524444 IWD524442:IWD524444 JFZ524442:JFZ524444 JPV524442:JPV524444 JZR524442:JZR524444 KJN524442:KJN524444 KTJ524442:KTJ524444 LDF524442:LDF524444 LNB524442:LNB524444 LWX524442:LWX524444 MGT524442:MGT524444 MQP524442:MQP524444 NAL524442:NAL524444 NKH524442:NKH524444 NUD524442:NUD524444 ODZ524442:ODZ524444 ONV524442:ONV524444 OXR524442:OXR524444 PHN524442:PHN524444 PRJ524442:PRJ524444 QBF524442:QBF524444 QLB524442:QLB524444 QUX524442:QUX524444 RET524442:RET524444 ROP524442:ROP524444 RYL524442:RYL524444 SIH524442:SIH524444 SSD524442:SSD524444 TBZ524442:TBZ524444 TLV524442:TLV524444 TVR524442:TVR524444 UFN524442:UFN524444 UPJ524442:UPJ524444 UZF524442:UZF524444 VJB524442:VJB524444 VSX524442:VSX524444 WCT524442:WCT524444 WMP524442:WMP524444 WWL524442:WWL524444 AD589978:AD589980 JZ589978:JZ589980 TV589978:TV589980 ADR589978:ADR589980 ANN589978:ANN589980 AXJ589978:AXJ589980 BHF589978:BHF589980 BRB589978:BRB589980 CAX589978:CAX589980 CKT589978:CKT589980 CUP589978:CUP589980 DEL589978:DEL589980 DOH589978:DOH589980 DYD589978:DYD589980 EHZ589978:EHZ589980 ERV589978:ERV589980 FBR589978:FBR589980 FLN589978:FLN589980 FVJ589978:FVJ589980 GFF589978:GFF589980 GPB589978:GPB589980 GYX589978:GYX589980 HIT589978:HIT589980 HSP589978:HSP589980 ICL589978:ICL589980 IMH589978:IMH589980 IWD589978:IWD589980 JFZ589978:JFZ589980 JPV589978:JPV589980 JZR589978:JZR589980 KJN589978:KJN589980 KTJ589978:KTJ589980 LDF589978:LDF589980 LNB589978:LNB589980 LWX589978:LWX589980 MGT589978:MGT589980 MQP589978:MQP589980 NAL589978:NAL589980 NKH589978:NKH589980 NUD589978:NUD589980 ODZ589978:ODZ589980 ONV589978:ONV589980 OXR589978:OXR589980 PHN589978:PHN589980 PRJ589978:PRJ589980 QBF589978:QBF589980 QLB589978:QLB589980 QUX589978:QUX589980 RET589978:RET589980 ROP589978:ROP589980 RYL589978:RYL589980 SIH589978:SIH589980 SSD589978:SSD589980 TBZ589978:TBZ589980 TLV589978:TLV589980 TVR589978:TVR589980 UFN589978:UFN589980 UPJ589978:UPJ589980 UZF589978:UZF589980 VJB589978:VJB589980 VSX589978:VSX589980 WCT589978:WCT589980 WMP589978:WMP589980 WWL589978:WWL589980 AD655514:AD655516 JZ655514:JZ655516 TV655514:TV655516 ADR655514:ADR655516 ANN655514:ANN655516 AXJ655514:AXJ655516 BHF655514:BHF655516 BRB655514:BRB655516 CAX655514:CAX655516 CKT655514:CKT655516 CUP655514:CUP655516 DEL655514:DEL655516 DOH655514:DOH655516 DYD655514:DYD655516 EHZ655514:EHZ655516 ERV655514:ERV655516 FBR655514:FBR655516 FLN655514:FLN655516 FVJ655514:FVJ655516 GFF655514:GFF655516 GPB655514:GPB655516 GYX655514:GYX655516 HIT655514:HIT655516 HSP655514:HSP655516 ICL655514:ICL655516 IMH655514:IMH655516 IWD655514:IWD655516 JFZ655514:JFZ655516 JPV655514:JPV655516 JZR655514:JZR655516 KJN655514:KJN655516 KTJ655514:KTJ655516 LDF655514:LDF655516 LNB655514:LNB655516 LWX655514:LWX655516 MGT655514:MGT655516 MQP655514:MQP655516 NAL655514:NAL655516 NKH655514:NKH655516 NUD655514:NUD655516 ODZ655514:ODZ655516 ONV655514:ONV655516 OXR655514:OXR655516 PHN655514:PHN655516 PRJ655514:PRJ655516 QBF655514:QBF655516 QLB655514:QLB655516 QUX655514:QUX655516 RET655514:RET655516 ROP655514:ROP655516 RYL655514:RYL655516 SIH655514:SIH655516 SSD655514:SSD655516 TBZ655514:TBZ655516 TLV655514:TLV655516 TVR655514:TVR655516 UFN655514:UFN655516 UPJ655514:UPJ655516 UZF655514:UZF655516 VJB655514:VJB655516 VSX655514:VSX655516 WCT655514:WCT655516 WMP655514:WMP655516 WWL655514:WWL655516 AD721050:AD721052 JZ721050:JZ721052 TV721050:TV721052 ADR721050:ADR721052 ANN721050:ANN721052 AXJ721050:AXJ721052 BHF721050:BHF721052 BRB721050:BRB721052 CAX721050:CAX721052 CKT721050:CKT721052 CUP721050:CUP721052 DEL721050:DEL721052 DOH721050:DOH721052 DYD721050:DYD721052 EHZ721050:EHZ721052 ERV721050:ERV721052 FBR721050:FBR721052 FLN721050:FLN721052 FVJ721050:FVJ721052 GFF721050:GFF721052 GPB721050:GPB721052 GYX721050:GYX721052 HIT721050:HIT721052 HSP721050:HSP721052 ICL721050:ICL721052 IMH721050:IMH721052 IWD721050:IWD721052 JFZ721050:JFZ721052 JPV721050:JPV721052 JZR721050:JZR721052 KJN721050:KJN721052 KTJ721050:KTJ721052 LDF721050:LDF721052 LNB721050:LNB721052 LWX721050:LWX721052 MGT721050:MGT721052 MQP721050:MQP721052 NAL721050:NAL721052 NKH721050:NKH721052 NUD721050:NUD721052 ODZ721050:ODZ721052 ONV721050:ONV721052 OXR721050:OXR721052 PHN721050:PHN721052 PRJ721050:PRJ721052 QBF721050:QBF721052 QLB721050:QLB721052 QUX721050:QUX721052 RET721050:RET721052 ROP721050:ROP721052 RYL721050:RYL721052 SIH721050:SIH721052 SSD721050:SSD721052 TBZ721050:TBZ721052 TLV721050:TLV721052 TVR721050:TVR721052 UFN721050:UFN721052 UPJ721050:UPJ721052 UZF721050:UZF721052 VJB721050:VJB721052 VSX721050:VSX721052 WCT721050:WCT721052 WMP721050:WMP721052 WWL721050:WWL721052 AD786586:AD786588 JZ786586:JZ786588 TV786586:TV786588 ADR786586:ADR786588 ANN786586:ANN786588 AXJ786586:AXJ786588 BHF786586:BHF786588 BRB786586:BRB786588 CAX786586:CAX786588 CKT786586:CKT786588 CUP786586:CUP786588 DEL786586:DEL786588 DOH786586:DOH786588 DYD786586:DYD786588 EHZ786586:EHZ786588 ERV786586:ERV786588 FBR786586:FBR786588 FLN786586:FLN786588 FVJ786586:FVJ786588 GFF786586:GFF786588 GPB786586:GPB786588 GYX786586:GYX786588 HIT786586:HIT786588 HSP786586:HSP786588 ICL786586:ICL786588 IMH786586:IMH786588 IWD786586:IWD786588 JFZ786586:JFZ786588 JPV786586:JPV786588 JZR786586:JZR786588 KJN786586:KJN786588 KTJ786586:KTJ786588 LDF786586:LDF786588 LNB786586:LNB786588 LWX786586:LWX786588 MGT786586:MGT786588 MQP786586:MQP786588 NAL786586:NAL786588 NKH786586:NKH786588 NUD786586:NUD786588 ODZ786586:ODZ786588 ONV786586:ONV786588 OXR786586:OXR786588 PHN786586:PHN786588 PRJ786586:PRJ786588 QBF786586:QBF786588 QLB786586:QLB786588 QUX786586:QUX786588 RET786586:RET786588 ROP786586:ROP786588 RYL786586:RYL786588 SIH786586:SIH786588 SSD786586:SSD786588 TBZ786586:TBZ786588 TLV786586:TLV786588 TVR786586:TVR786588 UFN786586:UFN786588 UPJ786586:UPJ786588 UZF786586:UZF786588 VJB786586:VJB786588 VSX786586:VSX786588 WCT786586:WCT786588 WMP786586:WMP786588 WWL786586:WWL786588 AD852122:AD852124 JZ852122:JZ852124 TV852122:TV852124 ADR852122:ADR852124 ANN852122:ANN852124 AXJ852122:AXJ852124 BHF852122:BHF852124 BRB852122:BRB852124 CAX852122:CAX852124 CKT852122:CKT852124 CUP852122:CUP852124 DEL852122:DEL852124 DOH852122:DOH852124 DYD852122:DYD852124 EHZ852122:EHZ852124 ERV852122:ERV852124 FBR852122:FBR852124 FLN852122:FLN852124 FVJ852122:FVJ852124 GFF852122:GFF852124 GPB852122:GPB852124 GYX852122:GYX852124 HIT852122:HIT852124 HSP852122:HSP852124 ICL852122:ICL852124 IMH852122:IMH852124 IWD852122:IWD852124 JFZ852122:JFZ852124 JPV852122:JPV852124 JZR852122:JZR852124 KJN852122:KJN852124 KTJ852122:KTJ852124 LDF852122:LDF852124 LNB852122:LNB852124 LWX852122:LWX852124 MGT852122:MGT852124 MQP852122:MQP852124 NAL852122:NAL852124 NKH852122:NKH852124 NUD852122:NUD852124 ODZ852122:ODZ852124 ONV852122:ONV852124 OXR852122:OXR852124 PHN852122:PHN852124 PRJ852122:PRJ852124 QBF852122:QBF852124 QLB852122:QLB852124 QUX852122:QUX852124 RET852122:RET852124 ROP852122:ROP852124 RYL852122:RYL852124 SIH852122:SIH852124 SSD852122:SSD852124 TBZ852122:TBZ852124 TLV852122:TLV852124 TVR852122:TVR852124 UFN852122:UFN852124 UPJ852122:UPJ852124 UZF852122:UZF852124 VJB852122:VJB852124 VSX852122:VSX852124 WCT852122:WCT852124 WMP852122:WMP852124 WWL852122:WWL852124 AD917658:AD917660 JZ917658:JZ917660 TV917658:TV917660 ADR917658:ADR917660 ANN917658:ANN917660 AXJ917658:AXJ917660 BHF917658:BHF917660 BRB917658:BRB917660 CAX917658:CAX917660 CKT917658:CKT917660 CUP917658:CUP917660 DEL917658:DEL917660 DOH917658:DOH917660 DYD917658:DYD917660 EHZ917658:EHZ917660 ERV917658:ERV917660 FBR917658:FBR917660 FLN917658:FLN917660 FVJ917658:FVJ917660 GFF917658:GFF917660 GPB917658:GPB917660 GYX917658:GYX917660 HIT917658:HIT917660 HSP917658:HSP917660 ICL917658:ICL917660 IMH917658:IMH917660 IWD917658:IWD917660 JFZ917658:JFZ917660 JPV917658:JPV917660 JZR917658:JZR917660 KJN917658:KJN917660 KTJ917658:KTJ917660 LDF917658:LDF917660 LNB917658:LNB917660 LWX917658:LWX917660 MGT917658:MGT917660 MQP917658:MQP917660 NAL917658:NAL917660 NKH917658:NKH917660 NUD917658:NUD917660 ODZ917658:ODZ917660 ONV917658:ONV917660 OXR917658:OXR917660 PHN917658:PHN917660 PRJ917658:PRJ917660 QBF917658:QBF917660 QLB917658:QLB917660 QUX917658:QUX917660 RET917658:RET917660 ROP917658:ROP917660 RYL917658:RYL917660 SIH917658:SIH917660 SSD917658:SSD917660 TBZ917658:TBZ917660 TLV917658:TLV917660 TVR917658:TVR917660 UFN917658:UFN917660 UPJ917658:UPJ917660 UZF917658:UZF917660 VJB917658:VJB917660 VSX917658:VSX917660 WCT917658:WCT917660 WMP917658:WMP917660 WWL917658:WWL917660 AD983194:AD983196 JZ983194:JZ983196 TV983194:TV983196 ADR983194:ADR983196 ANN983194:ANN983196 AXJ983194:AXJ983196 BHF983194:BHF983196 BRB983194:BRB983196 CAX983194:CAX983196 CKT983194:CKT983196 CUP983194:CUP983196 DEL983194:DEL983196 DOH983194:DOH983196 DYD983194:DYD983196 EHZ983194:EHZ983196 ERV983194:ERV983196 FBR983194:FBR983196 FLN983194:FLN983196 FVJ983194:FVJ983196 GFF983194:GFF983196 GPB983194:GPB983196 GYX983194:GYX983196 HIT983194:HIT983196 HSP983194:HSP983196 ICL983194:ICL983196 IMH983194:IMH983196 IWD983194:IWD983196 JFZ983194:JFZ983196 JPV983194:JPV983196 JZR983194:JZR983196 KJN983194:KJN983196 KTJ983194:KTJ983196 LDF983194:LDF983196 LNB983194:LNB983196 LWX983194:LWX983196 MGT983194:MGT983196 MQP983194:MQP983196 NAL983194:NAL983196 NKH983194:NKH983196 NUD983194:NUD983196 ODZ983194:ODZ983196 ONV983194:ONV983196 OXR983194:OXR983196 PHN983194:PHN983196 PRJ983194:PRJ983196 QBF983194:QBF983196 QLB983194:QLB983196 QUX983194:QUX983196 RET983194:RET983196 ROP983194:ROP983196 RYL983194:RYL983196 SIH983194:SIH983196 SSD983194:SSD983196 TBZ983194:TBZ983196 TLV983194:TLV983196 TVR983194:TVR983196 UFN983194:UFN983196 UPJ983194:UPJ983196 UZF983194:UZF983196 VJB983194:VJB983196 VSX983194:VSX983196 WCT983194:WCT983196 WMP983194:WMP983196 WWL983194:WWL983196 JZ66:JZ74 JZ141:JZ151 TV141:TV151 ADR141:ADR151 ANN141:ANN151 AXJ141:AXJ151 BHF141:BHF151 BRB141:BRB151 CAX141:CAX151 CKT141:CKT151 CUP141:CUP151 DEL141:DEL151 DOH141:DOH151 DYD141:DYD151 EHZ141:EHZ151 ERV141:ERV151 FBR141:FBR151 FLN141:FLN151 FVJ141:FVJ151 GFF141:GFF151 GPB141:GPB151 GYX141:GYX151 HIT141:HIT151 HSP141:HSP151 ICL141:ICL151 IMH141:IMH151 IWD141:IWD151 JFZ141:JFZ151 JPV141:JPV151 JZR141:JZR151 KJN141:KJN151 KTJ141:KTJ151 LDF141:LDF151 LNB141:LNB151 LWX141:LWX151 MGT141:MGT151 MQP141:MQP151 NAL141:NAL151 NKH141:NKH151 NUD141:NUD151 ODZ141:ODZ151 ONV141:ONV151 OXR141:OXR151 PHN141:PHN151 PRJ141:PRJ151 QBF141:QBF151 QLB141:QLB151 QUX141:QUX151 RET141:RET151 ROP141:ROP151 RYL141:RYL151 SIH141:SIH151 SSD141:SSD151 TBZ141:TBZ151 TLV141:TLV151 TVR141:TVR151 UFN141:UFN151 UPJ141:UPJ151 UZF141:UZF151 VJB141:VJB151 VSX141:VSX151 WCT141:WCT151 WMP141:WMP151 WWL141:WWL151 AD65678:AD65688 JZ65678:JZ65688 TV65678:TV65688 ADR65678:ADR65688 ANN65678:ANN65688 AXJ65678:AXJ65688 BHF65678:BHF65688 BRB65678:BRB65688 CAX65678:CAX65688 CKT65678:CKT65688 CUP65678:CUP65688 DEL65678:DEL65688 DOH65678:DOH65688 DYD65678:DYD65688 EHZ65678:EHZ65688 ERV65678:ERV65688 FBR65678:FBR65688 FLN65678:FLN65688 FVJ65678:FVJ65688 GFF65678:GFF65688 GPB65678:GPB65688 GYX65678:GYX65688 HIT65678:HIT65688 HSP65678:HSP65688 ICL65678:ICL65688 IMH65678:IMH65688 IWD65678:IWD65688 JFZ65678:JFZ65688 JPV65678:JPV65688 JZR65678:JZR65688 KJN65678:KJN65688 KTJ65678:KTJ65688 LDF65678:LDF65688 LNB65678:LNB65688 LWX65678:LWX65688 MGT65678:MGT65688 MQP65678:MQP65688 NAL65678:NAL65688 NKH65678:NKH65688 NUD65678:NUD65688 ODZ65678:ODZ65688 ONV65678:ONV65688 OXR65678:OXR65688 PHN65678:PHN65688 PRJ65678:PRJ65688 QBF65678:QBF65688 QLB65678:QLB65688 QUX65678:QUX65688 RET65678:RET65688 ROP65678:ROP65688 RYL65678:RYL65688 SIH65678:SIH65688 SSD65678:SSD65688 TBZ65678:TBZ65688 TLV65678:TLV65688 TVR65678:TVR65688 UFN65678:UFN65688 UPJ65678:UPJ65688 UZF65678:UZF65688 VJB65678:VJB65688 VSX65678:VSX65688 WCT65678:WCT65688 WMP65678:WMP65688 WWL65678:WWL65688 AD131214:AD131224 JZ131214:JZ131224 TV131214:TV131224 ADR131214:ADR131224 ANN131214:ANN131224 AXJ131214:AXJ131224 BHF131214:BHF131224 BRB131214:BRB131224 CAX131214:CAX131224 CKT131214:CKT131224 CUP131214:CUP131224 DEL131214:DEL131224 DOH131214:DOH131224 DYD131214:DYD131224 EHZ131214:EHZ131224 ERV131214:ERV131224 FBR131214:FBR131224 FLN131214:FLN131224 FVJ131214:FVJ131224 GFF131214:GFF131224 GPB131214:GPB131224 GYX131214:GYX131224 HIT131214:HIT131224 HSP131214:HSP131224 ICL131214:ICL131224 IMH131214:IMH131224 IWD131214:IWD131224 JFZ131214:JFZ131224 JPV131214:JPV131224 JZR131214:JZR131224 KJN131214:KJN131224 KTJ131214:KTJ131224 LDF131214:LDF131224 LNB131214:LNB131224 LWX131214:LWX131224 MGT131214:MGT131224 MQP131214:MQP131224 NAL131214:NAL131224 NKH131214:NKH131224 NUD131214:NUD131224 ODZ131214:ODZ131224 ONV131214:ONV131224 OXR131214:OXR131224 PHN131214:PHN131224 PRJ131214:PRJ131224 QBF131214:QBF131224 QLB131214:QLB131224 QUX131214:QUX131224 RET131214:RET131224 ROP131214:ROP131224 RYL131214:RYL131224 SIH131214:SIH131224 SSD131214:SSD131224 TBZ131214:TBZ131224 TLV131214:TLV131224 TVR131214:TVR131224 UFN131214:UFN131224 UPJ131214:UPJ131224 UZF131214:UZF131224 VJB131214:VJB131224 VSX131214:VSX131224 WCT131214:WCT131224 WMP131214:WMP131224 WWL131214:WWL131224 AD196750:AD196760 JZ196750:JZ196760 TV196750:TV196760 ADR196750:ADR196760 ANN196750:ANN196760 AXJ196750:AXJ196760 BHF196750:BHF196760 BRB196750:BRB196760 CAX196750:CAX196760 CKT196750:CKT196760 CUP196750:CUP196760 DEL196750:DEL196760 DOH196750:DOH196760 DYD196750:DYD196760 EHZ196750:EHZ196760 ERV196750:ERV196760 FBR196750:FBR196760 FLN196750:FLN196760 FVJ196750:FVJ196760 GFF196750:GFF196760 GPB196750:GPB196760 GYX196750:GYX196760 HIT196750:HIT196760 HSP196750:HSP196760 ICL196750:ICL196760 IMH196750:IMH196760 IWD196750:IWD196760 JFZ196750:JFZ196760 JPV196750:JPV196760 JZR196750:JZR196760 KJN196750:KJN196760 KTJ196750:KTJ196760 LDF196750:LDF196760 LNB196750:LNB196760 LWX196750:LWX196760 MGT196750:MGT196760 MQP196750:MQP196760 NAL196750:NAL196760 NKH196750:NKH196760 NUD196750:NUD196760 ODZ196750:ODZ196760 ONV196750:ONV196760 OXR196750:OXR196760 PHN196750:PHN196760 PRJ196750:PRJ196760 QBF196750:QBF196760 QLB196750:QLB196760 QUX196750:QUX196760 RET196750:RET196760 ROP196750:ROP196760 RYL196750:RYL196760 SIH196750:SIH196760 SSD196750:SSD196760 TBZ196750:TBZ196760 TLV196750:TLV196760 TVR196750:TVR196760 UFN196750:UFN196760 UPJ196750:UPJ196760 UZF196750:UZF196760 VJB196750:VJB196760 VSX196750:VSX196760 WCT196750:WCT196760 WMP196750:WMP196760 WWL196750:WWL196760 AD262286:AD262296 JZ262286:JZ262296 TV262286:TV262296 ADR262286:ADR262296 ANN262286:ANN262296 AXJ262286:AXJ262296 BHF262286:BHF262296 BRB262286:BRB262296 CAX262286:CAX262296 CKT262286:CKT262296 CUP262286:CUP262296 DEL262286:DEL262296 DOH262286:DOH262296 DYD262286:DYD262296 EHZ262286:EHZ262296 ERV262286:ERV262296 FBR262286:FBR262296 FLN262286:FLN262296 FVJ262286:FVJ262296 GFF262286:GFF262296 GPB262286:GPB262296 GYX262286:GYX262296 HIT262286:HIT262296 HSP262286:HSP262296 ICL262286:ICL262296 IMH262286:IMH262296 IWD262286:IWD262296 JFZ262286:JFZ262296 JPV262286:JPV262296 JZR262286:JZR262296 KJN262286:KJN262296 KTJ262286:KTJ262296 LDF262286:LDF262296 LNB262286:LNB262296 LWX262286:LWX262296 MGT262286:MGT262296 MQP262286:MQP262296 NAL262286:NAL262296 NKH262286:NKH262296 NUD262286:NUD262296 ODZ262286:ODZ262296 ONV262286:ONV262296 OXR262286:OXR262296 PHN262286:PHN262296 PRJ262286:PRJ262296 QBF262286:QBF262296 QLB262286:QLB262296 QUX262286:QUX262296 RET262286:RET262296 ROP262286:ROP262296 RYL262286:RYL262296 SIH262286:SIH262296 SSD262286:SSD262296 TBZ262286:TBZ262296 TLV262286:TLV262296 TVR262286:TVR262296 UFN262286:UFN262296 UPJ262286:UPJ262296 UZF262286:UZF262296 VJB262286:VJB262296 VSX262286:VSX262296 WCT262286:WCT262296 WMP262286:WMP262296 WWL262286:WWL262296 AD327822:AD327832 JZ327822:JZ327832 TV327822:TV327832 ADR327822:ADR327832 ANN327822:ANN327832 AXJ327822:AXJ327832 BHF327822:BHF327832 BRB327822:BRB327832 CAX327822:CAX327832 CKT327822:CKT327832 CUP327822:CUP327832 DEL327822:DEL327832 DOH327822:DOH327832 DYD327822:DYD327832 EHZ327822:EHZ327832 ERV327822:ERV327832 FBR327822:FBR327832 FLN327822:FLN327832 FVJ327822:FVJ327832 GFF327822:GFF327832 GPB327822:GPB327832 GYX327822:GYX327832 HIT327822:HIT327832 HSP327822:HSP327832 ICL327822:ICL327832 IMH327822:IMH327832 IWD327822:IWD327832 JFZ327822:JFZ327832 JPV327822:JPV327832 JZR327822:JZR327832 KJN327822:KJN327832 KTJ327822:KTJ327832 LDF327822:LDF327832 LNB327822:LNB327832 LWX327822:LWX327832 MGT327822:MGT327832 MQP327822:MQP327832 NAL327822:NAL327832 NKH327822:NKH327832 NUD327822:NUD327832 ODZ327822:ODZ327832 ONV327822:ONV327832 OXR327822:OXR327832 PHN327822:PHN327832 PRJ327822:PRJ327832 QBF327822:QBF327832 QLB327822:QLB327832 QUX327822:QUX327832 RET327822:RET327832 ROP327822:ROP327832 RYL327822:RYL327832 SIH327822:SIH327832 SSD327822:SSD327832 TBZ327822:TBZ327832 TLV327822:TLV327832 TVR327822:TVR327832 UFN327822:UFN327832 UPJ327822:UPJ327832 UZF327822:UZF327832 VJB327822:VJB327832 VSX327822:VSX327832 WCT327822:WCT327832 WMP327822:WMP327832 WWL327822:WWL327832 AD393358:AD393368 JZ393358:JZ393368 TV393358:TV393368 ADR393358:ADR393368 ANN393358:ANN393368 AXJ393358:AXJ393368 BHF393358:BHF393368 BRB393358:BRB393368 CAX393358:CAX393368 CKT393358:CKT393368 CUP393358:CUP393368 DEL393358:DEL393368 DOH393358:DOH393368 DYD393358:DYD393368 EHZ393358:EHZ393368 ERV393358:ERV393368 FBR393358:FBR393368 FLN393358:FLN393368 FVJ393358:FVJ393368 GFF393358:GFF393368 GPB393358:GPB393368 GYX393358:GYX393368 HIT393358:HIT393368 HSP393358:HSP393368 ICL393358:ICL393368 IMH393358:IMH393368 IWD393358:IWD393368 JFZ393358:JFZ393368 JPV393358:JPV393368 JZR393358:JZR393368 KJN393358:KJN393368 KTJ393358:KTJ393368 LDF393358:LDF393368 LNB393358:LNB393368 LWX393358:LWX393368 MGT393358:MGT393368 MQP393358:MQP393368 NAL393358:NAL393368 NKH393358:NKH393368 NUD393358:NUD393368 ODZ393358:ODZ393368 ONV393358:ONV393368 OXR393358:OXR393368 PHN393358:PHN393368 PRJ393358:PRJ393368 QBF393358:QBF393368 QLB393358:QLB393368 QUX393358:QUX393368 RET393358:RET393368 ROP393358:ROP393368 RYL393358:RYL393368 SIH393358:SIH393368 SSD393358:SSD393368 TBZ393358:TBZ393368 TLV393358:TLV393368 TVR393358:TVR393368 UFN393358:UFN393368 UPJ393358:UPJ393368 UZF393358:UZF393368 VJB393358:VJB393368 VSX393358:VSX393368 WCT393358:WCT393368 WMP393358:WMP393368 WWL393358:WWL393368 AD458894:AD458904 JZ458894:JZ458904 TV458894:TV458904 ADR458894:ADR458904 ANN458894:ANN458904 AXJ458894:AXJ458904 BHF458894:BHF458904 BRB458894:BRB458904 CAX458894:CAX458904 CKT458894:CKT458904 CUP458894:CUP458904 DEL458894:DEL458904 DOH458894:DOH458904 DYD458894:DYD458904 EHZ458894:EHZ458904 ERV458894:ERV458904 FBR458894:FBR458904 FLN458894:FLN458904 FVJ458894:FVJ458904 GFF458894:GFF458904 GPB458894:GPB458904 GYX458894:GYX458904 HIT458894:HIT458904 HSP458894:HSP458904 ICL458894:ICL458904 IMH458894:IMH458904 IWD458894:IWD458904 JFZ458894:JFZ458904 JPV458894:JPV458904 JZR458894:JZR458904 KJN458894:KJN458904 KTJ458894:KTJ458904 LDF458894:LDF458904 LNB458894:LNB458904 LWX458894:LWX458904 MGT458894:MGT458904 MQP458894:MQP458904 NAL458894:NAL458904 NKH458894:NKH458904 NUD458894:NUD458904 ODZ458894:ODZ458904 ONV458894:ONV458904 OXR458894:OXR458904 PHN458894:PHN458904 PRJ458894:PRJ458904 QBF458894:QBF458904 QLB458894:QLB458904 QUX458894:QUX458904 RET458894:RET458904 ROP458894:ROP458904 RYL458894:RYL458904 SIH458894:SIH458904 SSD458894:SSD458904 TBZ458894:TBZ458904 TLV458894:TLV458904 TVR458894:TVR458904 UFN458894:UFN458904 UPJ458894:UPJ458904 UZF458894:UZF458904 VJB458894:VJB458904 VSX458894:VSX458904 WCT458894:WCT458904 WMP458894:WMP458904 WWL458894:WWL458904 AD524430:AD524440 JZ524430:JZ524440 TV524430:TV524440 ADR524430:ADR524440 ANN524430:ANN524440 AXJ524430:AXJ524440 BHF524430:BHF524440 BRB524430:BRB524440 CAX524430:CAX524440 CKT524430:CKT524440 CUP524430:CUP524440 DEL524430:DEL524440 DOH524430:DOH524440 DYD524430:DYD524440 EHZ524430:EHZ524440 ERV524430:ERV524440 FBR524430:FBR524440 FLN524430:FLN524440 FVJ524430:FVJ524440 GFF524430:GFF524440 GPB524430:GPB524440 GYX524430:GYX524440 HIT524430:HIT524440 HSP524430:HSP524440 ICL524430:ICL524440 IMH524430:IMH524440 IWD524430:IWD524440 JFZ524430:JFZ524440 JPV524430:JPV524440 JZR524430:JZR524440 KJN524430:KJN524440 KTJ524430:KTJ524440 LDF524430:LDF524440 LNB524430:LNB524440 LWX524430:LWX524440 MGT524430:MGT524440 MQP524430:MQP524440 NAL524430:NAL524440 NKH524430:NKH524440 NUD524430:NUD524440 ODZ524430:ODZ524440 ONV524430:ONV524440 OXR524430:OXR524440 PHN524430:PHN524440 PRJ524430:PRJ524440 QBF524430:QBF524440 QLB524430:QLB524440 QUX524430:QUX524440 RET524430:RET524440 ROP524430:ROP524440 RYL524430:RYL524440 SIH524430:SIH524440 SSD524430:SSD524440 TBZ524430:TBZ524440 TLV524430:TLV524440 TVR524430:TVR524440 UFN524430:UFN524440 UPJ524430:UPJ524440 UZF524430:UZF524440 VJB524430:VJB524440 VSX524430:VSX524440 WCT524430:WCT524440 WMP524430:WMP524440 WWL524430:WWL524440 AD589966:AD589976 JZ589966:JZ589976 TV589966:TV589976 ADR589966:ADR589976 ANN589966:ANN589976 AXJ589966:AXJ589976 BHF589966:BHF589976 BRB589966:BRB589976 CAX589966:CAX589976 CKT589966:CKT589976 CUP589966:CUP589976 DEL589966:DEL589976 DOH589966:DOH589976 DYD589966:DYD589976 EHZ589966:EHZ589976 ERV589966:ERV589976 FBR589966:FBR589976 FLN589966:FLN589976 FVJ589966:FVJ589976 GFF589966:GFF589976 GPB589966:GPB589976 GYX589966:GYX589976 HIT589966:HIT589976 HSP589966:HSP589976 ICL589966:ICL589976 IMH589966:IMH589976 IWD589966:IWD589976 JFZ589966:JFZ589976 JPV589966:JPV589976 JZR589966:JZR589976 KJN589966:KJN589976 KTJ589966:KTJ589976 LDF589966:LDF589976 LNB589966:LNB589976 LWX589966:LWX589976 MGT589966:MGT589976 MQP589966:MQP589976 NAL589966:NAL589976 NKH589966:NKH589976 NUD589966:NUD589976 ODZ589966:ODZ589976 ONV589966:ONV589976 OXR589966:OXR589976 PHN589966:PHN589976 PRJ589966:PRJ589976 QBF589966:QBF589976 QLB589966:QLB589976 QUX589966:QUX589976 RET589966:RET589976 ROP589966:ROP589976 RYL589966:RYL589976 SIH589966:SIH589976 SSD589966:SSD589976 TBZ589966:TBZ589976 TLV589966:TLV589976 TVR589966:TVR589976 UFN589966:UFN589976 UPJ589966:UPJ589976 UZF589966:UZF589976 VJB589966:VJB589976 VSX589966:VSX589976 WCT589966:WCT589976 WMP589966:WMP589976 WWL589966:WWL589976 AD655502:AD655512 JZ655502:JZ655512 TV655502:TV655512 ADR655502:ADR655512 ANN655502:ANN655512 AXJ655502:AXJ655512 BHF655502:BHF655512 BRB655502:BRB655512 CAX655502:CAX655512 CKT655502:CKT655512 CUP655502:CUP655512 DEL655502:DEL655512 DOH655502:DOH655512 DYD655502:DYD655512 EHZ655502:EHZ655512 ERV655502:ERV655512 FBR655502:FBR655512 FLN655502:FLN655512 FVJ655502:FVJ655512 GFF655502:GFF655512 GPB655502:GPB655512 GYX655502:GYX655512 HIT655502:HIT655512 HSP655502:HSP655512 ICL655502:ICL655512 IMH655502:IMH655512 IWD655502:IWD655512 JFZ655502:JFZ655512 JPV655502:JPV655512 JZR655502:JZR655512 KJN655502:KJN655512 KTJ655502:KTJ655512 LDF655502:LDF655512 LNB655502:LNB655512 LWX655502:LWX655512 MGT655502:MGT655512 MQP655502:MQP655512 NAL655502:NAL655512 NKH655502:NKH655512 NUD655502:NUD655512 ODZ655502:ODZ655512 ONV655502:ONV655512 OXR655502:OXR655512 PHN655502:PHN655512 PRJ655502:PRJ655512 QBF655502:QBF655512 QLB655502:QLB655512 QUX655502:QUX655512 RET655502:RET655512 ROP655502:ROP655512 RYL655502:RYL655512 SIH655502:SIH655512 SSD655502:SSD655512 TBZ655502:TBZ655512 TLV655502:TLV655512 TVR655502:TVR655512 UFN655502:UFN655512 UPJ655502:UPJ655512 UZF655502:UZF655512 VJB655502:VJB655512 VSX655502:VSX655512 WCT655502:WCT655512 WMP655502:WMP655512 WWL655502:WWL655512 AD721038:AD721048 JZ721038:JZ721048 TV721038:TV721048 ADR721038:ADR721048 ANN721038:ANN721048 AXJ721038:AXJ721048 BHF721038:BHF721048 BRB721038:BRB721048 CAX721038:CAX721048 CKT721038:CKT721048 CUP721038:CUP721048 DEL721038:DEL721048 DOH721038:DOH721048 DYD721038:DYD721048 EHZ721038:EHZ721048 ERV721038:ERV721048 FBR721038:FBR721048 FLN721038:FLN721048 FVJ721038:FVJ721048 GFF721038:GFF721048 GPB721038:GPB721048 GYX721038:GYX721048 HIT721038:HIT721048 HSP721038:HSP721048 ICL721038:ICL721048 IMH721038:IMH721048 IWD721038:IWD721048 JFZ721038:JFZ721048 JPV721038:JPV721048 JZR721038:JZR721048 KJN721038:KJN721048 KTJ721038:KTJ721048 LDF721038:LDF721048 LNB721038:LNB721048 LWX721038:LWX721048 MGT721038:MGT721048 MQP721038:MQP721048 NAL721038:NAL721048 NKH721038:NKH721048 NUD721038:NUD721048 ODZ721038:ODZ721048 ONV721038:ONV721048 OXR721038:OXR721048 PHN721038:PHN721048 PRJ721038:PRJ721048 QBF721038:QBF721048 QLB721038:QLB721048 QUX721038:QUX721048 RET721038:RET721048 ROP721038:ROP721048 RYL721038:RYL721048 SIH721038:SIH721048 SSD721038:SSD721048 TBZ721038:TBZ721048 TLV721038:TLV721048 TVR721038:TVR721048 UFN721038:UFN721048 UPJ721038:UPJ721048 UZF721038:UZF721048 VJB721038:VJB721048 VSX721038:VSX721048 WCT721038:WCT721048 WMP721038:WMP721048 WWL721038:WWL721048 AD786574:AD786584 JZ786574:JZ786584 TV786574:TV786584 ADR786574:ADR786584 ANN786574:ANN786584 AXJ786574:AXJ786584 BHF786574:BHF786584 BRB786574:BRB786584 CAX786574:CAX786584 CKT786574:CKT786584 CUP786574:CUP786584 DEL786574:DEL786584 DOH786574:DOH786584 DYD786574:DYD786584 EHZ786574:EHZ786584 ERV786574:ERV786584 FBR786574:FBR786584 FLN786574:FLN786584 FVJ786574:FVJ786584 GFF786574:GFF786584 GPB786574:GPB786584 GYX786574:GYX786584 HIT786574:HIT786584 HSP786574:HSP786584 ICL786574:ICL786584 IMH786574:IMH786584 IWD786574:IWD786584 JFZ786574:JFZ786584 JPV786574:JPV786584 JZR786574:JZR786584 KJN786574:KJN786584 KTJ786574:KTJ786584 LDF786574:LDF786584 LNB786574:LNB786584 LWX786574:LWX786584 MGT786574:MGT786584 MQP786574:MQP786584 NAL786574:NAL786584 NKH786574:NKH786584 NUD786574:NUD786584 ODZ786574:ODZ786584 ONV786574:ONV786584 OXR786574:OXR786584 PHN786574:PHN786584 PRJ786574:PRJ786584 QBF786574:QBF786584 QLB786574:QLB786584 QUX786574:QUX786584 RET786574:RET786584 ROP786574:ROP786584 RYL786574:RYL786584 SIH786574:SIH786584 SSD786574:SSD786584 TBZ786574:TBZ786584 TLV786574:TLV786584 TVR786574:TVR786584 UFN786574:UFN786584 UPJ786574:UPJ786584 UZF786574:UZF786584 VJB786574:VJB786584 VSX786574:VSX786584 WCT786574:WCT786584 WMP786574:WMP786584 WWL786574:WWL786584 AD852110:AD852120 JZ852110:JZ852120 TV852110:TV852120 ADR852110:ADR852120 ANN852110:ANN852120 AXJ852110:AXJ852120 BHF852110:BHF852120 BRB852110:BRB852120 CAX852110:CAX852120 CKT852110:CKT852120 CUP852110:CUP852120 DEL852110:DEL852120 DOH852110:DOH852120 DYD852110:DYD852120 EHZ852110:EHZ852120 ERV852110:ERV852120 FBR852110:FBR852120 FLN852110:FLN852120 FVJ852110:FVJ852120 GFF852110:GFF852120 GPB852110:GPB852120 GYX852110:GYX852120 HIT852110:HIT852120 HSP852110:HSP852120 ICL852110:ICL852120 IMH852110:IMH852120 IWD852110:IWD852120 JFZ852110:JFZ852120 JPV852110:JPV852120 JZR852110:JZR852120 KJN852110:KJN852120 KTJ852110:KTJ852120 LDF852110:LDF852120 LNB852110:LNB852120 LWX852110:LWX852120 MGT852110:MGT852120 MQP852110:MQP852120 NAL852110:NAL852120 NKH852110:NKH852120 NUD852110:NUD852120 ODZ852110:ODZ852120 ONV852110:ONV852120 OXR852110:OXR852120 PHN852110:PHN852120 PRJ852110:PRJ852120 QBF852110:QBF852120 QLB852110:QLB852120 QUX852110:QUX852120 RET852110:RET852120 ROP852110:ROP852120 RYL852110:RYL852120 SIH852110:SIH852120 SSD852110:SSD852120 TBZ852110:TBZ852120 TLV852110:TLV852120 TVR852110:TVR852120 UFN852110:UFN852120 UPJ852110:UPJ852120 UZF852110:UZF852120 VJB852110:VJB852120 VSX852110:VSX852120 WCT852110:WCT852120 WMP852110:WMP852120 WWL852110:WWL852120 AD917646:AD917656 JZ917646:JZ917656 TV917646:TV917656 ADR917646:ADR917656 ANN917646:ANN917656 AXJ917646:AXJ917656 BHF917646:BHF917656 BRB917646:BRB917656 CAX917646:CAX917656 CKT917646:CKT917656 CUP917646:CUP917656 DEL917646:DEL917656 DOH917646:DOH917656 DYD917646:DYD917656 EHZ917646:EHZ917656 ERV917646:ERV917656 FBR917646:FBR917656 FLN917646:FLN917656 FVJ917646:FVJ917656 GFF917646:GFF917656 GPB917646:GPB917656 GYX917646:GYX917656 HIT917646:HIT917656 HSP917646:HSP917656 ICL917646:ICL917656 IMH917646:IMH917656 IWD917646:IWD917656 JFZ917646:JFZ917656 JPV917646:JPV917656 JZR917646:JZR917656 KJN917646:KJN917656 KTJ917646:KTJ917656 LDF917646:LDF917656 LNB917646:LNB917656 LWX917646:LWX917656 MGT917646:MGT917656 MQP917646:MQP917656 NAL917646:NAL917656 NKH917646:NKH917656 NUD917646:NUD917656 ODZ917646:ODZ917656 ONV917646:ONV917656 OXR917646:OXR917656 PHN917646:PHN917656 PRJ917646:PRJ917656 QBF917646:QBF917656 QLB917646:QLB917656 QUX917646:QUX917656 RET917646:RET917656 ROP917646:ROP917656 RYL917646:RYL917656 SIH917646:SIH917656 SSD917646:SSD917656 TBZ917646:TBZ917656 TLV917646:TLV917656 TVR917646:TVR917656 UFN917646:UFN917656 UPJ917646:UPJ917656 UZF917646:UZF917656 VJB917646:VJB917656 VSX917646:VSX917656 WCT917646:WCT917656 WMP917646:WMP917656 WWL917646:WWL917656 AD983182:AD983192 JZ983182:JZ983192 TV983182:TV983192 ADR983182:ADR983192 ANN983182:ANN983192 AXJ983182:AXJ983192 BHF983182:BHF983192 BRB983182:BRB983192 CAX983182:CAX983192 CKT983182:CKT983192 CUP983182:CUP983192 DEL983182:DEL983192 DOH983182:DOH983192 DYD983182:DYD983192 EHZ983182:EHZ983192 ERV983182:ERV983192 FBR983182:FBR983192 FLN983182:FLN983192 FVJ983182:FVJ983192 GFF983182:GFF983192 GPB983182:GPB983192 GYX983182:GYX983192 HIT983182:HIT983192 HSP983182:HSP983192 ICL983182:ICL983192 IMH983182:IMH983192 IWD983182:IWD983192 JFZ983182:JFZ983192 JPV983182:JPV983192 JZR983182:JZR983192 KJN983182:KJN983192 KTJ983182:KTJ983192 LDF983182:LDF983192 LNB983182:LNB983192 LWX983182:LWX983192 MGT983182:MGT983192 MQP983182:MQP983192 NAL983182:NAL983192 NKH983182:NKH983192 NUD983182:NUD983192 ODZ983182:ODZ983192 ONV983182:ONV983192 OXR983182:OXR983192 PHN983182:PHN983192 PRJ983182:PRJ983192 QBF983182:QBF983192 QLB983182:QLB983192 QUX983182:QUX983192 RET983182:RET983192 ROP983182:ROP983192 RYL983182:RYL983192 SIH983182:SIH983192 SSD983182:SSD983192 TBZ983182:TBZ983192 TLV983182:TLV983192 TVR983182:TVR983192 UFN983182:UFN983192 UPJ983182:UPJ983192 UZF983182:UZF983192 VJB983182:VJB983192 VSX983182:VSX983192 WCT983182:WCT983192 WMP983182:WMP983192 WWL983182:WWL983192 JZ137:JZ139 TV137:TV139 ADR137:ADR139 ANN137:ANN139 AXJ137:AXJ139 BHF137:BHF139 BRB137:BRB139 CAX137:CAX139 CKT137:CKT139 CUP137:CUP139 DEL137:DEL139 DOH137:DOH139 DYD137:DYD139 EHZ137:EHZ139 ERV137:ERV139 FBR137:FBR139 FLN137:FLN139 FVJ137:FVJ139 GFF137:GFF139 GPB137:GPB139 GYX137:GYX139 HIT137:HIT139 HSP137:HSP139 ICL137:ICL139 IMH137:IMH139 IWD137:IWD139 JFZ137:JFZ139 JPV137:JPV139 JZR137:JZR139 KJN137:KJN139 KTJ137:KTJ139 LDF137:LDF139 LNB137:LNB139 LWX137:LWX139 MGT137:MGT139 MQP137:MQP139 NAL137:NAL139 NKH137:NKH139 NUD137:NUD139 ODZ137:ODZ139 ONV137:ONV139 OXR137:OXR139 PHN137:PHN139 PRJ137:PRJ139 QBF137:QBF139 QLB137:QLB139 QUX137:QUX139 RET137:RET139 ROP137:ROP139 RYL137:RYL139 SIH137:SIH139 SSD137:SSD139 TBZ137:TBZ139 TLV137:TLV139 TVR137:TVR139 UFN137:UFN139 UPJ137:UPJ139 UZF137:UZF139 VJB137:VJB139 VSX137:VSX139 WCT137:WCT139 WMP137:WMP139 WWL137:WWL139 AD65674:AD65676 JZ65674:JZ65676 TV65674:TV65676 ADR65674:ADR65676 ANN65674:ANN65676 AXJ65674:AXJ65676 BHF65674:BHF65676 BRB65674:BRB65676 CAX65674:CAX65676 CKT65674:CKT65676 CUP65674:CUP65676 DEL65674:DEL65676 DOH65674:DOH65676 DYD65674:DYD65676 EHZ65674:EHZ65676 ERV65674:ERV65676 FBR65674:FBR65676 FLN65674:FLN65676 FVJ65674:FVJ65676 GFF65674:GFF65676 GPB65674:GPB65676 GYX65674:GYX65676 HIT65674:HIT65676 HSP65674:HSP65676 ICL65674:ICL65676 IMH65674:IMH65676 IWD65674:IWD65676 JFZ65674:JFZ65676 JPV65674:JPV65676 JZR65674:JZR65676 KJN65674:KJN65676 KTJ65674:KTJ65676 LDF65674:LDF65676 LNB65674:LNB65676 LWX65674:LWX65676 MGT65674:MGT65676 MQP65674:MQP65676 NAL65674:NAL65676 NKH65674:NKH65676 NUD65674:NUD65676 ODZ65674:ODZ65676 ONV65674:ONV65676 OXR65674:OXR65676 PHN65674:PHN65676 PRJ65674:PRJ65676 QBF65674:QBF65676 QLB65674:QLB65676 QUX65674:QUX65676 RET65674:RET65676 ROP65674:ROP65676 RYL65674:RYL65676 SIH65674:SIH65676 SSD65674:SSD65676 TBZ65674:TBZ65676 TLV65674:TLV65676 TVR65674:TVR65676 UFN65674:UFN65676 UPJ65674:UPJ65676 UZF65674:UZF65676 VJB65674:VJB65676 VSX65674:VSX65676 WCT65674:WCT65676 WMP65674:WMP65676 WWL65674:WWL65676 AD131210:AD131212 JZ131210:JZ131212 TV131210:TV131212 ADR131210:ADR131212 ANN131210:ANN131212 AXJ131210:AXJ131212 BHF131210:BHF131212 BRB131210:BRB131212 CAX131210:CAX131212 CKT131210:CKT131212 CUP131210:CUP131212 DEL131210:DEL131212 DOH131210:DOH131212 DYD131210:DYD131212 EHZ131210:EHZ131212 ERV131210:ERV131212 FBR131210:FBR131212 FLN131210:FLN131212 FVJ131210:FVJ131212 GFF131210:GFF131212 GPB131210:GPB131212 GYX131210:GYX131212 HIT131210:HIT131212 HSP131210:HSP131212 ICL131210:ICL131212 IMH131210:IMH131212 IWD131210:IWD131212 JFZ131210:JFZ131212 JPV131210:JPV131212 JZR131210:JZR131212 KJN131210:KJN131212 KTJ131210:KTJ131212 LDF131210:LDF131212 LNB131210:LNB131212 LWX131210:LWX131212 MGT131210:MGT131212 MQP131210:MQP131212 NAL131210:NAL131212 NKH131210:NKH131212 NUD131210:NUD131212 ODZ131210:ODZ131212 ONV131210:ONV131212 OXR131210:OXR131212 PHN131210:PHN131212 PRJ131210:PRJ131212 QBF131210:QBF131212 QLB131210:QLB131212 QUX131210:QUX131212 RET131210:RET131212 ROP131210:ROP131212 RYL131210:RYL131212 SIH131210:SIH131212 SSD131210:SSD131212 TBZ131210:TBZ131212 TLV131210:TLV131212 TVR131210:TVR131212 UFN131210:UFN131212 UPJ131210:UPJ131212 UZF131210:UZF131212 VJB131210:VJB131212 VSX131210:VSX131212 WCT131210:WCT131212 WMP131210:WMP131212 WWL131210:WWL131212 AD196746:AD196748 JZ196746:JZ196748 TV196746:TV196748 ADR196746:ADR196748 ANN196746:ANN196748 AXJ196746:AXJ196748 BHF196746:BHF196748 BRB196746:BRB196748 CAX196746:CAX196748 CKT196746:CKT196748 CUP196746:CUP196748 DEL196746:DEL196748 DOH196746:DOH196748 DYD196746:DYD196748 EHZ196746:EHZ196748 ERV196746:ERV196748 FBR196746:FBR196748 FLN196746:FLN196748 FVJ196746:FVJ196748 GFF196746:GFF196748 GPB196746:GPB196748 GYX196746:GYX196748 HIT196746:HIT196748 HSP196746:HSP196748 ICL196746:ICL196748 IMH196746:IMH196748 IWD196746:IWD196748 JFZ196746:JFZ196748 JPV196746:JPV196748 JZR196746:JZR196748 KJN196746:KJN196748 KTJ196746:KTJ196748 LDF196746:LDF196748 LNB196746:LNB196748 LWX196746:LWX196748 MGT196746:MGT196748 MQP196746:MQP196748 NAL196746:NAL196748 NKH196746:NKH196748 NUD196746:NUD196748 ODZ196746:ODZ196748 ONV196746:ONV196748 OXR196746:OXR196748 PHN196746:PHN196748 PRJ196746:PRJ196748 QBF196746:QBF196748 QLB196746:QLB196748 QUX196746:QUX196748 RET196746:RET196748 ROP196746:ROP196748 RYL196746:RYL196748 SIH196746:SIH196748 SSD196746:SSD196748 TBZ196746:TBZ196748 TLV196746:TLV196748 TVR196746:TVR196748 UFN196746:UFN196748 UPJ196746:UPJ196748 UZF196746:UZF196748 VJB196746:VJB196748 VSX196746:VSX196748 WCT196746:WCT196748 WMP196746:WMP196748 WWL196746:WWL196748 AD262282:AD262284 JZ262282:JZ262284 TV262282:TV262284 ADR262282:ADR262284 ANN262282:ANN262284 AXJ262282:AXJ262284 BHF262282:BHF262284 BRB262282:BRB262284 CAX262282:CAX262284 CKT262282:CKT262284 CUP262282:CUP262284 DEL262282:DEL262284 DOH262282:DOH262284 DYD262282:DYD262284 EHZ262282:EHZ262284 ERV262282:ERV262284 FBR262282:FBR262284 FLN262282:FLN262284 FVJ262282:FVJ262284 GFF262282:GFF262284 GPB262282:GPB262284 GYX262282:GYX262284 HIT262282:HIT262284 HSP262282:HSP262284 ICL262282:ICL262284 IMH262282:IMH262284 IWD262282:IWD262284 JFZ262282:JFZ262284 JPV262282:JPV262284 JZR262282:JZR262284 KJN262282:KJN262284 KTJ262282:KTJ262284 LDF262282:LDF262284 LNB262282:LNB262284 LWX262282:LWX262284 MGT262282:MGT262284 MQP262282:MQP262284 NAL262282:NAL262284 NKH262282:NKH262284 NUD262282:NUD262284 ODZ262282:ODZ262284 ONV262282:ONV262284 OXR262282:OXR262284 PHN262282:PHN262284 PRJ262282:PRJ262284 QBF262282:QBF262284 QLB262282:QLB262284 QUX262282:QUX262284 RET262282:RET262284 ROP262282:ROP262284 RYL262282:RYL262284 SIH262282:SIH262284 SSD262282:SSD262284 TBZ262282:TBZ262284 TLV262282:TLV262284 TVR262282:TVR262284 UFN262282:UFN262284 UPJ262282:UPJ262284 UZF262282:UZF262284 VJB262282:VJB262284 VSX262282:VSX262284 WCT262282:WCT262284 WMP262282:WMP262284 WWL262282:WWL262284 AD327818:AD327820 JZ327818:JZ327820 TV327818:TV327820 ADR327818:ADR327820 ANN327818:ANN327820 AXJ327818:AXJ327820 BHF327818:BHF327820 BRB327818:BRB327820 CAX327818:CAX327820 CKT327818:CKT327820 CUP327818:CUP327820 DEL327818:DEL327820 DOH327818:DOH327820 DYD327818:DYD327820 EHZ327818:EHZ327820 ERV327818:ERV327820 FBR327818:FBR327820 FLN327818:FLN327820 FVJ327818:FVJ327820 GFF327818:GFF327820 GPB327818:GPB327820 GYX327818:GYX327820 HIT327818:HIT327820 HSP327818:HSP327820 ICL327818:ICL327820 IMH327818:IMH327820 IWD327818:IWD327820 JFZ327818:JFZ327820 JPV327818:JPV327820 JZR327818:JZR327820 KJN327818:KJN327820 KTJ327818:KTJ327820 LDF327818:LDF327820 LNB327818:LNB327820 LWX327818:LWX327820 MGT327818:MGT327820 MQP327818:MQP327820 NAL327818:NAL327820 NKH327818:NKH327820 NUD327818:NUD327820 ODZ327818:ODZ327820 ONV327818:ONV327820 OXR327818:OXR327820 PHN327818:PHN327820 PRJ327818:PRJ327820 QBF327818:QBF327820 QLB327818:QLB327820 QUX327818:QUX327820 RET327818:RET327820 ROP327818:ROP327820 RYL327818:RYL327820 SIH327818:SIH327820 SSD327818:SSD327820 TBZ327818:TBZ327820 TLV327818:TLV327820 TVR327818:TVR327820 UFN327818:UFN327820 UPJ327818:UPJ327820 UZF327818:UZF327820 VJB327818:VJB327820 VSX327818:VSX327820 WCT327818:WCT327820 WMP327818:WMP327820 WWL327818:WWL327820 AD393354:AD393356 JZ393354:JZ393356 TV393354:TV393356 ADR393354:ADR393356 ANN393354:ANN393356 AXJ393354:AXJ393356 BHF393354:BHF393356 BRB393354:BRB393356 CAX393354:CAX393356 CKT393354:CKT393356 CUP393354:CUP393356 DEL393354:DEL393356 DOH393354:DOH393356 DYD393354:DYD393356 EHZ393354:EHZ393356 ERV393354:ERV393356 FBR393354:FBR393356 FLN393354:FLN393356 FVJ393354:FVJ393356 GFF393354:GFF393356 GPB393354:GPB393356 GYX393354:GYX393356 HIT393354:HIT393356 HSP393354:HSP393356 ICL393354:ICL393356 IMH393354:IMH393356 IWD393354:IWD393356 JFZ393354:JFZ393356 JPV393354:JPV393356 JZR393354:JZR393356 KJN393354:KJN393356 KTJ393354:KTJ393356 LDF393354:LDF393356 LNB393354:LNB393356 LWX393354:LWX393356 MGT393354:MGT393356 MQP393354:MQP393356 NAL393354:NAL393356 NKH393354:NKH393356 NUD393354:NUD393356 ODZ393354:ODZ393356 ONV393354:ONV393356 OXR393354:OXR393356 PHN393354:PHN393356 PRJ393354:PRJ393356 QBF393354:QBF393356 QLB393354:QLB393356 QUX393354:QUX393356 RET393354:RET393356 ROP393354:ROP393356 RYL393354:RYL393356 SIH393354:SIH393356 SSD393354:SSD393356 TBZ393354:TBZ393356 TLV393354:TLV393356 TVR393354:TVR393356 UFN393354:UFN393356 UPJ393354:UPJ393356 UZF393354:UZF393356 VJB393354:VJB393356 VSX393354:VSX393356 WCT393354:WCT393356 WMP393354:WMP393356 WWL393354:WWL393356 AD458890:AD458892 JZ458890:JZ458892 TV458890:TV458892 ADR458890:ADR458892 ANN458890:ANN458892 AXJ458890:AXJ458892 BHF458890:BHF458892 BRB458890:BRB458892 CAX458890:CAX458892 CKT458890:CKT458892 CUP458890:CUP458892 DEL458890:DEL458892 DOH458890:DOH458892 DYD458890:DYD458892 EHZ458890:EHZ458892 ERV458890:ERV458892 FBR458890:FBR458892 FLN458890:FLN458892 FVJ458890:FVJ458892 GFF458890:GFF458892 GPB458890:GPB458892 GYX458890:GYX458892 HIT458890:HIT458892 HSP458890:HSP458892 ICL458890:ICL458892 IMH458890:IMH458892 IWD458890:IWD458892 JFZ458890:JFZ458892 JPV458890:JPV458892 JZR458890:JZR458892 KJN458890:KJN458892 KTJ458890:KTJ458892 LDF458890:LDF458892 LNB458890:LNB458892 LWX458890:LWX458892 MGT458890:MGT458892 MQP458890:MQP458892 NAL458890:NAL458892 NKH458890:NKH458892 NUD458890:NUD458892 ODZ458890:ODZ458892 ONV458890:ONV458892 OXR458890:OXR458892 PHN458890:PHN458892 PRJ458890:PRJ458892 QBF458890:QBF458892 QLB458890:QLB458892 QUX458890:QUX458892 RET458890:RET458892 ROP458890:ROP458892 RYL458890:RYL458892 SIH458890:SIH458892 SSD458890:SSD458892 TBZ458890:TBZ458892 TLV458890:TLV458892 TVR458890:TVR458892 UFN458890:UFN458892 UPJ458890:UPJ458892 UZF458890:UZF458892 VJB458890:VJB458892 VSX458890:VSX458892 WCT458890:WCT458892 WMP458890:WMP458892 WWL458890:WWL458892 AD524426:AD524428 JZ524426:JZ524428 TV524426:TV524428 ADR524426:ADR524428 ANN524426:ANN524428 AXJ524426:AXJ524428 BHF524426:BHF524428 BRB524426:BRB524428 CAX524426:CAX524428 CKT524426:CKT524428 CUP524426:CUP524428 DEL524426:DEL524428 DOH524426:DOH524428 DYD524426:DYD524428 EHZ524426:EHZ524428 ERV524426:ERV524428 FBR524426:FBR524428 FLN524426:FLN524428 FVJ524426:FVJ524428 GFF524426:GFF524428 GPB524426:GPB524428 GYX524426:GYX524428 HIT524426:HIT524428 HSP524426:HSP524428 ICL524426:ICL524428 IMH524426:IMH524428 IWD524426:IWD524428 JFZ524426:JFZ524428 JPV524426:JPV524428 JZR524426:JZR524428 KJN524426:KJN524428 KTJ524426:KTJ524428 LDF524426:LDF524428 LNB524426:LNB524428 LWX524426:LWX524428 MGT524426:MGT524428 MQP524426:MQP524428 NAL524426:NAL524428 NKH524426:NKH524428 NUD524426:NUD524428 ODZ524426:ODZ524428 ONV524426:ONV524428 OXR524426:OXR524428 PHN524426:PHN524428 PRJ524426:PRJ524428 QBF524426:QBF524428 QLB524426:QLB524428 QUX524426:QUX524428 RET524426:RET524428 ROP524426:ROP524428 RYL524426:RYL524428 SIH524426:SIH524428 SSD524426:SSD524428 TBZ524426:TBZ524428 TLV524426:TLV524428 TVR524426:TVR524428 UFN524426:UFN524428 UPJ524426:UPJ524428 UZF524426:UZF524428 VJB524426:VJB524428 VSX524426:VSX524428 WCT524426:WCT524428 WMP524426:WMP524428 WWL524426:WWL524428 AD589962:AD589964 JZ589962:JZ589964 TV589962:TV589964 ADR589962:ADR589964 ANN589962:ANN589964 AXJ589962:AXJ589964 BHF589962:BHF589964 BRB589962:BRB589964 CAX589962:CAX589964 CKT589962:CKT589964 CUP589962:CUP589964 DEL589962:DEL589964 DOH589962:DOH589964 DYD589962:DYD589964 EHZ589962:EHZ589964 ERV589962:ERV589964 FBR589962:FBR589964 FLN589962:FLN589964 FVJ589962:FVJ589964 GFF589962:GFF589964 GPB589962:GPB589964 GYX589962:GYX589964 HIT589962:HIT589964 HSP589962:HSP589964 ICL589962:ICL589964 IMH589962:IMH589964 IWD589962:IWD589964 JFZ589962:JFZ589964 JPV589962:JPV589964 JZR589962:JZR589964 KJN589962:KJN589964 KTJ589962:KTJ589964 LDF589962:LDF589964 LNB589962:LNB589964 LWX589962:LWX589964 MGT589962:MGT589964 MQP589962:MQP589964 NAL589962:NAL589964 NKH589962:NKH589964 NUD589962:NUD589964 ODZ589962:ODZ589964 ONV589962:ONV589964 OXR589962:OXR589964 PHN589962:PHN589964 PRJ589962:PRJ589964 QBF589962:QBF589964 QLB589962:QLB589964 QUX589962:QUX589964 RET589962:RET589964 ROP589962:ROP589964 RYL589962:RYL589964 SIH589962:SIH589964 SSD589962:SSD589964 TBZ589962:TBZ589964 TLV589962:TLV589964 TVR589962:TVR589964 UFN589962:UFN589964 UPJ589962:UPJ589964 UZF589962:UZF589964 VJB589962:VJB589964 VSX589962:VSX589964 WCT589962:WCT589964 WMP589962:WMP589964 WWL589962:WWL589964 AD655498:AD655500 JZ655498:JZ655500 TV655498:TV655500 ADR655498:ADR655500 ANN655498:ANN655500 AXJ655498:AXJ655500 BHF655498:BHF655500 BRB655498:BRB655500 CAX655498:CAX655500 CKT655498:CKT655500 CUP655498:CUP655500 DEL655498:DEL655500 DOH655498:DOH655500 DYD655498:DYD655500 EHZ655498:EHZ655500 ERV655498:ERV655500 FBR655498:FBR655500 FLN655498:FLN655500 FVJ655498:FVJ655500 GFF655498:GFF655500 GPB655498:GPB655500 GYX655498:GYX655500 HIT655498:HIT655500 HSP655498:HSP655500 ICL655498:ICL655500 IMH655498:IMH655500 IWD655498:IWD655500 JFZ655498:JFZ655500 JPV655498:JPV655500 JZR655498:JZR655500 KJN655498:KJN655500 KTJ655498:KTJ655500 LDF655498:LDF655500 LNB655498:LNB655500 LWX655498:LWX655500 MGT655498:MGT655500 MQP655498:MQP655500 NAL655498:NAL655500 NKH655498:NKH655500 NUD655498:NUD655500 ODZ655498:ODZ655500 ONV655498:ONV655500 OXR655498:OXR655500 PHN655498:PHN655500 PRJ655498:PRJ655500 QBF655498:QBF655500 QLB655498:QLB655500 QUX655498:QUX655500 RET655498:RET655500 ROP655498:ROP655500 RYL655498:RYL655500 SIH655498:SIH655500 SSD655498:SSD655500 TBZ655498:TBZ655500 TLV655498:TLV655500 TVR655498:TVR655500 UFN655498:UFN655500 UPJ655498:UPJ655500 UZF655498:UZF655500 VJB655498:VJB655500 VSX655498:VSX655500 WCT655498:WCT655500 WMP655498:WMP655500 WWL655498:WWL655500 AD721034:AD721036 JZ721034:JZ721036 TV721034:TV721036 ADR721034:ADR721036 ANN721034:ANN721036 AXJ721034:AXJ721036 BHF721034:BHF721036 BRB721034:BRB721036 CAX721034:CAX721036 CKT721034:CKT721036 CUP721034:CUP721036 DEL721034:DEL721036 DOH721034:DOH721036 DYD721034:DYD721036 EHZ721034:EHZ721036 ERV721034:ERV721036 FBR721034:FBR721036 FLN721034:FLN721036 FVJ721034:FVJ721036 GFF721034:GFF721036 GPB721034:GPB721036 GYX721034:GYX721036 HIT721034:HIT721036 HSP721034:HSP721036 ICL721034:ICL721036 IMH721034:IMH721036 IWD721034:IWD721036 JFZ721034:JFZ721036 JPV721034:JPV721036 JZR721034:JZR721036 KJN721034:KJN721036 KTJ721034:KTJ721036 LDF721034:LDF721036 LNB721034:LNB721036 LWX721034:LWX721036 MGT721034:MGT721036 MQP721034:MQP721036 NAL721034:NAL721036 NKH721034:NKH721036 NUD721034:NUD721036 ODZ721034:ODZ721036 ONV721034:ONV721036 OXR721034:OXR721036 PHN721034:PHN721036 PRJ721034:PRJ721036 QBF721034:QBF721036 QLB721034:QLB721036 QUX721034:QUX721036 RET721034:RET721036 ROP721034:ROP721036 RYL721034:RYL721036 SIH721034:SIH721036 SSD721034:SSD721036 TBZ721034:TBZ721036 TLV721034:TLV721036 TVR721034:TVR721036 UFN721034:UFN721036 UPJ721034:UPJ721036 UZF721034:UZF721036 VJB721034:VJB721036 VSX721034:VSX721036 WCT721034:WCT721036 WMP721034:WMP721036 WWL721034:WWL721036 AD786570:AD786572 JZ786570:JZ786572 TV786570:TV786572 ADR786570:ADR786572 ANN786570:ANN786572 AXJ786570:AXJ786572 BHF786570:BHF786572 BRB786570:BRB786572 CAX786570:CAX786572 CKT786570:CKT786572 CUP786570:CUP786572 DEL786570:DEL786572 DOH786570:DOH786572 DYD786570:DYD786572 EHZ786570:EHZ786572 ERV786570:ERV786572 FBR786570:FBR786572 FLN786570:FLN786572 FVJ786570:FVJ786572 GFF786570:GFF786572 GPB786570:GPB786572 GYX786570:GYX786572 HIT786570:HIT786572 HSP786570:HSP786572 ICL786570:ICL786572 IMH786570:IMH786572 IWD786570:IWD786572 JFZ786570:JFZ786572 JPV786570:JPV786572 JZR786570:JZR786572 KJN786570:KJN786572 KTJ786570:KTJ786572 LDF786570:LDF786572 LNB786570:LNB786572 LWX786570:LWX786572 MGT786570:MGT786572 MQP786570:MQP786572 NAL786570:NAL786572 NKH786570:NKH786572 NUD786570:NUD786572 ODZ786570:ODZ786572 ONV786570:ONV786572 OXR786570:OXR786572 PHN786570:PHN786572 PRJ786570:PRJ786572 QBF786570:QBF786572 QLB786570:QLB786572 QUX786570:QUX786572 RET786570:RET786572 ROP786570:ROP786572 RYL786570:RYL786572 SIH786570:SIH786572 SSD786570:SSD786572 TBZ786570:TBZ786572 TLV786570:TLV786572 TVR786570:TVR786572 UFN786570:UFN786572 UPJ786570:UPJ786572 UZF786570:UZF786572 VJB786570:VJB786572 VSX786570:VSX786572 WCT786570:WCT786572 WMP786570:WMP786572 WWL786570:WWL786572 AD852106:AD852108 JZ852106:JZ852108 TV852106:TV852108 ADR852106:ADR852108 ANN852106:ANN852108 AXJ852106:AXJ852108 BHF852106:BHF852108 BRB852106:BRB852108 CAX852106:CAX852108 CKT852106:CKT852108 CUP852106:CUP852108 DEL852106:DEL852108 DOH852106:DOH852108 DYD852106:DYD852108 EHZ852106:EHZ852108 ERV852106:ERV852108 FBR852106:FBR852108 FLN852106:FLN852108 FVJ852106:FVJ852108 GFF852106:GFF852108 GPB852106:GPB852108 GYX852106:GYX852108 HIT852106:HIT852108 HSP852106:HSP852108 ICL852106:ICL852108 IMH852106:IMH852108 IWD852106:IWD852108 JFZ852106:JFZ852108 JPV852106:JPV852108 JZR852106:JZR852108 KJN852106:KJN852108 KTJ852106:KTJ852108 LDF852106:LDF852108 LNB852106:LNB852108 LWX852106:LWX852108 MGT852106:MGT852108 MQP852106:MQP852108 NAL852106:NAL852108 NKH852106:NKH852108 NUD852106:NUD852108 ODZ852106:ODZ852108 ONV852106:ONV852108 OXR852106:OXR852108 PHN852106:PHN852108 PRJ852106:PRJ852108 QBF852106:QBF852108 QLB852106:QLB852108 QUX852106:QUX852108 RET852106:RET852108 ROP852106:ROP852108 RYL852106:RYL852108 SIH852106:SIH852108 SSD852106:SSD852108 TBZ852106:TBZ852108 TLV852106:TLV852108 TVR852106:TVR852108 UFN852106:UFN852108 UPJ852106:UPJ852108 UZF852106:UZF852108 VJB852106:VJB852108 VSX852106:VSX852108 WCT852106:WCT852108 WMP852106:WMP852108 WWL852106:WWL852108 AD917642:AD917644 JZ917642:JZ917644 TV917642:TV917644 ADR917642:ADR917644 ANN917642:ANN917644 AXJ917642:AXJ917644 BHF917642:BHF917644 BRB917642:BRB917644 CAX917642:CAX917644 CKT917642:CKT917644 CUP917642:CUP917644 DEL917642:DEL917644 DOH917642:DOH917644 DYD917642:DYD917644 EHZ917642:EHZ917644 ERV917642:ERV917644 FBR917642:FBR917644 FLN917642:FLN917644 FVJ917642:FVJ917644 GFF917642:GFF917644 GPB917642:GPB917644 GYX917642:GYX917644 HIT917642:HIT917644 HSP917642:HSP917644 ICL917642:ICL917644 IMH917642:IMH917644 IWD917642:IWD917644 JFZ917642:JFZ917644 JPV917642:JPV917644 JZR917642:JZR917644 KJN917642:KJN917644 KTJ917642:KTJ917644 LDF917642:LDF917644 LNB917642:LNB917644 LWX917642:LWX917644 MGT917642:MGT917644 MQP917642:MQP917644 NAL917642:NAL917644 NKH917642:NKH917644 NUD917642:NUD917644 ODZ917642:ODZ917644 ONV917642:ONV917644 OXR917642:OXR917644 PHN917642:PHN917644 PRJ917642:PRJ917644 QBF917642:QBF917644 QLB917642:QLB917644 QUX917642:QUX917644 RET917642:RET917644 ROP917642:ROP917644 RYL917642:RYL917644 SIH917642:SIH917644 SSD917642:SSD917644 TBZ917642:TBZ917644 TLV917642:TLV917644 TVR917642:TVR917644 UFN917642:UFN917644 UPJ917642:UPJ917644 UZF917642:UZF917644 VJB917642:VJB917644 VSX917642:VSX917644 WCT917642:WCT917644 WMP917642:WMP917644 WWL917642:WWL917644 AD983178:AD983180 JZ983178:JZ983180 TV983178:TV983180 ADR983178:ADR983180 ANN983178:ANN983180 AXJ983178:AXJ983180 BHF983178:BHF983180 BRB983178:BRB983180 CAX983178:CAX983180 CKT983178:CKT983180 CUP983178:CUP983180 DEL983178:DEL983180 DOH983178:DOH983180 DYD983178:DYD983180 EHZ983178:EHZ983180 ERV983178:ERV983180 FBR983178:FBR983180 FLN983178:FLN983180 FVJ983178:FVJ983180 GFF983178:GFF983180 GPB983178:GPB983180 GYX983178:GYX983180 HIT983178:HIT983180 HSP983178:HSP983180 ICL983178:ICL983180 IMH983178:IMH983180 IWD983178:IWD983180 JFZ983178:JFZ983180 JPV983178:JPV983180 JZR983178:JZR983180 KJN983178:KJN983180 KTJ983178:KTJ983180 LDF983178:LDF983180 LNB983178:LNB983180 LWX983178:LWX983180 MGT983178:MGT983180 MQP983178:MQP983180 NAL983178:NAL983180 NKH983178:NKH983180 NUD983178:NUD983180 ODZ983178:ODZ983180 ONV983178:ONV983180 OXR983178:OXR983180 PHN983178:PHN983180 PRJ983178:PRJ983180 QBF983178:QBF983180 QLB983178:QLB983180 QUX983178:QUX983180 RET983178:RET983180 ROP983178:ROP983180 RYL983178:RYL983180 SIH983178:SIH983180 SSD983178:SSD983180 TBZ983178:TBZ983180 TLV983178:TLV983180 TVR983178:TVR983180 UFN983178:UFN983180 UPJ983178:UPJ983180 UZF983178:UZF983180 VJB983178:VJB983180 VSX983178:VSX983180 WCT983178:WCT983180 WMP983178:WMP983180 WWL983178:WWL983180 AD133:AD135 JZ133:JZ135 TV133:TV135 ADR133:ADR135 ANN133:ANN135 AXJ133:AXJ135 BHF133:BHF135 BRB133:BRB135 CAX133:CAX135 CKT133:CKT135 CUP133:CUP135 DEL133:DEL135 DOH133:DOH135 DYD133:DYD135 EHZ133:EHZ135 ERV133:ERV135 FBR133:FBR135 FLN133:FLN135 FVJ133:FVJ135 GFF133:GFF135 GPB133:GPB135 GYX133:GYX135 HIT133:HIT135 HSP133:HSP135 ICL133:ICL135 IMH133:IMH135 IWD133:IWD135 JFZ133:JFZ135 JPV133:JPV135 JZR133:JZR135 KJN133:KJN135 KTJ133:KTJ135 LDF133:LDF135 LNB133:LNB135 LWX133:LWX135 MGT133:MGT135 MQP133:MQP135 NAL133:NAL135 NKH133:NKH135 NUD133:NUD135 ODZ133:ODZ135 ONV133:ONV135 OXR133:OXR135 PHN133:PHN135 PRJ133:PRJ135 QBF133:QBF135 QLB133:QLB135 QUX133:QUX135 RET133:RET135 ROP133:ROP135 RYL133:RYL135 SIH133:SIH135 SSD133:SSD135 TBZ133:TBZ135 TLV133:TLV135 TVR133:TVR135 UFN133:UFN135 UPJ133:UPJ135 UZF133:UZF135 VJB133:VJB135 VSX133:VSX135 WCT133:WCT135 WMP133:WMP135 WWL133:WWL135 AD65670:AD65672 JZ65670:JZ65672 TV65670:TV65672 ADR65670:ADR65672 ANN65670:ANN65672 AXJ65670:AXJ65672 BHF65670:BHF65672 BRB65670:BRB65672 CAX65670:CAX65672 CKT65670:CKT65672 CUP65670:CUP65672 DEL65670:DEL65672 DOH65670:DOH65672 DYD65670:DYD65672 EHZ65670:EHZ65672 ERV65670:ERV65672 FBR65670:FBR65672 FLN65670:FLN65672 FVJ65670:FVJ65672 GFF65670:GFF65672 GPB65670:GPB65672 GYX65670:GYX65672 HIT65670:HIT65672 HSP65670:HSP65672 ICL65670:ICL65672 IMH65670:IMH65672 IWD65670:IWD65672 JFZ65670:JFZ65672 JPV65670:JPV65672 JZR65670:JZR65672 KJN65670:KJN65672 KTJ65670:KTJ65672 LDF65670:LDF65672 LNB65670:LNB65672 LWX65670:LWX65672 MGT65670:MGT65672 MQP65670:MQP65672 NAL65670:NAL65672 NKH65670:NKH65672 NUD65670:NUD65672 ODZ65670:ODZ65672 ONV65670:ONV65672 OXR65670:OXR65672 PHN65670:PHN65672 PRJ65670:PRJ65672 QBF65670:QBF65672 QLB65670:QLB65672 QUX65670:QUX65672 RET65670:RET65672 ROP65670:ROP65672 RYL65670:RYL65672 SIH65670:SIH65672 SSD65670:SSD65672 TBZ65670:TBZ65672 TLV65670:TLV65672 TVR65670:TVR65672 UFN65670:UFN65672 UPJ65670:UPJ65672 UZF65670:UZF65672 VJB65670:VJB65672 VSX65670:VSX65672 WCT65670:WCT65672 WMP65670:WMP65672 WWL65670:WWL65672 AD131206:AD131208 JZ131206:JZ131208 TV131206:TV131208 ADR131206:ADR131208 ANN131206:ANN131208 AXJ131206:AXJ131208 BHF131206:BHF131208 BRB131206:BRB131208 CAX131206:CAX131208 CKT131206:CKT131208 CUP131206:CUP131208 DEL131206:DEL131208 DOH131206:DOH131208 DYD131206:DYD131208 EHZ131206:EHZ131208 ERV131206:ERV131208 FBR131206:FBR131208 FLN131206:FLN131208 FVJ131206:FVJ131208 GFF131206:GFF131208 GPB131206:GPB131208 GYX131206:GYX131208 HIT131206:HIT131208 HSP131206:HSP131208 ICL131206:ICL131208 IMH131206:IMH131208 IWD131206:IWD131208 JFZ131206:JFZ131208 JPV131206:JPV131208 JZR131206:JZR131208 KJN131206:KJN131208 KTJ131206:KTJ131208 LDF131206:LDF131208 LNB131206:LNB131208 LWX131206:LWX131208 MGT131206:MGT131208 MQP131206:MQP131208 NAL131206:NAL131208 NKH131206:NKH131208 NUD131206:NUD131208 ODZ131206:ODZ131208 ONV131206:ONV131208 OXR131206:OXR131208 PHN131206:PHN131208 PRJ131206:PRJ131208 QBF131206:QBF131208 QLB131206:QLB131208 QUX131206:QUX131208 RET131206:RET131208 ROP131206:ROP131208 RYL131206:RYL131208 SIH131206:SIH131208 SSD131206:SSD131208 TBZ131206:TBZ131208 TLV131206:TLV131208 TVR131206:TVR131208 UFN131206:UFN131208 UPJ131206:UPJ131208 UZF131206:UZF131208 VJB131206:VJB131208 VSX131206:VSX131208 WCT131206:WCT131208 WMP131206:WMP131208 WWL131206:WWL131208 AD196742:AD196744 JZ196742:JZ196744 TV196742:TV196744 ADR196742:ADR196744 ANN196742:ANN196744 AXJ196742:AXJ196744 BHF196742:BHF196744 BRB196742:BRB196744 CAX196742:CAX196744 CKT196742:CKT196744 CUP196742:CUP196744 DEL196742:DEL196744 DOH196742:DOH196744 DYD196742:DYD196744 EHZ196742:EHZ196744 ERV196742:ERV196744 FBR196742:FBR196744 FLN196742:FLN196744 FVJ196742:FVJ196744 GFF196742:GFF196744 GPB196742:GPB196744 GYX196742:GYX196744 HIT196742:HIT196744 HSP196742:HSP196744 ICL196742:ICL196744 IMH196742:IMH196744 IWD196742:IWD196744 JFZ196742:JFZ196744 JPV196742:JPV196744 JZR196742:JZR196744 KJN196742:KJN196744 KTJ196742:KTJ196744 LDF196742:LDF196744 LNB196742:LNB196744 LWX196742:LWX196744 MGT196742:MGT196744 MQP196742:MQP196744 NAL196742:NAL196744 NKH196742:NKH196744 NUD196742:NUD196744 ODZ196742:ODZ196744 ONV196742:ONV196744 OXR196742:OXR196744 PHN196742:PHN196744 PRJ196742:PRJ196744 QBF196742:QBF196744 QLB196742:QLB196744 QUX196742:QUX196744 RET196742:RET196744 ROP196742:ROP196744 RYL196742:RYL196744 SIH196742:SIH196744 SSD196742:SSD196744 TBZ196742:TBZ196744 TLV196742:TLV196744 TVR196742:TVR196744 UFN196742:UFN196744 UPJ196742:UPJ196744 UZF196742:UZF196744 VJB196742:VJB196744 VSX196742:VSX196744 WCT196742:WCT196744 WMP196742:WMP196744 WWL196742:WWL196744 AD262278:AD262280 JZ262278:JZ262280 TV262278:TV262280 ADR262278:ADR262280 ANN262278:ANN262280 AXJ262278:AXJ262280 BHF262278:BHF262280 BRB262278:BRB262280 CAX262278:CAX262280 CKT262278:CKT262280 CUP262278:CUP262280 DEL262278:DEL262280 DOH262278:DOH262280 DYD262278:DYD262280 EHZ262278:EHZ262280 ERV262278:ERV262280 FBR262278:FBR262280 FLN262278:FLN262280 FVJ262278:FVJ262280 GFF262278:GFF262280 GPB262278:GPB262280 GYX262278:GYX262280 HIT262278:HIT262280 HSP262278:HSP262280 ICL262278:ICL262280 IMH262278:IMH262280 IWD262278:IWD262280 JFZ262278:JFZ262280 JPV262278:JPV262280 JZR262278:JZR262280 KJN262278:KJN262280 KTJ262278:KTJ262280 LDF262278:LDF262280 LNB262278:LNB262280 LWX262278:LWX262280 MGT262278:MGT262280 MQP262278:MQP262280 NAL262278:NAL262280 NKH262278:NKH262280 NUD262278:NUD262280 ODZ262278:ODZ262280 ONV262278:ONV262280 OXR262278:OXR262280 PHN262278:PHN262280 PRJ262278:PRJ262280 QBF262278:QBF262280 QLB262278:QLB262280 QUX262278:QUX262280 RET262278:RET262280 ROP262278:ROP262280 RYL262278:RYL262280 SIH262278:SIH262280 SSD262278:SSD262280 TBZ262278:TBZ262280 TLV262278:TLV262280 TVR262278:TVR262280 UFN262278:UFN262280 UPJ262278:UPJ262280 UZF262278:UZF262280 VJB262278:VJB262280 VSX262278:VSX262280 WCT262278:WCT262280 WMP262278:WMP262280 WWL262278:WWL262280 AD327814:AD327816 JZ327814:JZ327816 TV327814:TV327816 ADR327814:ADR327816 ANN327814:ANN327816 AXJ327814:AXJ327816 BHF327814:BHF327816 BRB327814:BRB327816 CAX327814:CAX327816 CKT327814:CKT327816 CUP327814:CUP327816 DEL327814:DEL327816 DOH327814:DOH327816 DYD327814:DYD327816 EHZ327814:EHZ327816 ERV327814:ERV327816 FBR327814:FBR327816 FLN327814:FLN327816 FVJ327814:FVJ327816 GFF327814:GFF327816 GPB327814:GPB327816 GYX327814:GYX327816 HIT327814:HIT327816 HSP327814:HSP327816 ICL327814:ICL327816 IMH327814:IMH327816 IWD327814:IWD327816 JFZ327814:JFZ327816 JPV327814:JPV327816 JZR327814:JZR327816 KJN327814:KJN327816 KTJ327814:KTJ327816 LDF327814:LDF327816 LNB327814:LNB327816 LWX327814:LWX327816 MGT327814:MGT327816 MQP327814:MQP327816 NAL327814:NAL327816 NKH327814:NKH327816 NUD327814:NUD327816 ODZ327814:ODZ327816 ONV327814:ONV327816 OXR327814:OXR327816 PHN327814:PHN327816 PRJ327814:PRJ327816 QBF327814:QBF327816 QLB327814:QLB327816 QUX327814:QUX327816 RET327814:RET327816 ROP327814:ROP327816 RYL327814:RYL327816 SIH327814:SIH327816 SSD327814:SSD327816 TBZ327814:TBZ327816 TLV327814:TLV327816 TVR327814:TVR327816 UFN327814:UFN327816 UPJ327814:UPJ327816 UZF327814:UZF327816 VJB327814:VJB327816 VSX327814:VSX327816 WCT327814:WCT327816 WMP327814:WMP327816 WWL327814:WWL327816 AD393350:AD393352 JZ393350:JZ393352 TV393350:TV393352 ADR393350:ADR393352 ANN393350:ANN393352 AXJ393350:AXJ393352 BHF393350:BHF393352 BRB393350:BRB393352 CAX393350:CAX393352 CKT393350:CKT393352 CUP393350:CUP393352 DEL393350:DEL393352 DOH393350:DOH393352 DYD393350:DYD393352 EHZ393350:EHZ393352 ERV393350:ERV393352 FBR393350:FBR393352 FLN393350:FLN393352 FVJ393350:FVJ393352 GFF393350:GFF393352 GPB393350:GPB393352 GYX393350:GYX393352 HIT393350:HIT393352 HSP393350:HSP393352 ICL393350:ICL393352 IMH393350:IMH393352 IWD393350:IWD393352 JFZ393350:JFZ393352 JPV393350:JPV393352 JZR393350:JZR393352 KJN393350:KJN393352 KTJ393350:KTJ393352 LDF393350:LDF393352 LNB393350:LNB393352 LWX393350:LWX393352 MGT393350:MGT393352 MQP393350:MQP393352 NAL393350:NAL393352 NKH393350:NKH393352 NUD393350:NUD393352 ODZ393350:ODZ393352 ONV393350:ONV393352 OXR393350:OXR393352 PHN393350:PHN393352 PRJ393350:PRJ393352 QBF393350:QBF393352 QLB393350:QLB393352 QUX393350:QUX393352 RET393350:RET393352 ROP393350:ROP393352 RYL393350:RYL393352 SIH393350:SIH393352 SSD393350:SSD393352 TBZ393350:TBZ393352 TLV393350:TLV393352 TVR393350:TVR393352 UFN393350:UFN393352 UPJ393350:UPJ393352 UZF393350:UZF393352 VJB393350:VJB393352 VSX393350:VSX393352 WCT393350:WCT393352 WMP393350:WMP393352 WWL393350:WWL393352 AD458886:AD458888 JZ458886:JZ458888 TV458886:TV458888 ADR458886:ADR458888 ANN458886:ANN458888 AXJ458886:AXJ458888 BHF458886:BHF458888 BRB458886:BRB458888 CAX458886:CAX458888 CKT458886:CKT458888 CUP458886:CUP458888 DEL458886:DEL458888 DOH458886:DOH458888 DYD458886:DYD458888 EHZ458886:EHZ458888 ERV458886:ERV458888 FBR458886:FBR458888 FLN458886:FLN458888 FVJ458886:FVJ458888 GFF458886:GFF458888 GPB458886:GPB458888 GYX458886:GYX458888 HIT458886:HIT458888 HSP458886:HSP458888 ICL458886:ICL458888 IMH458886:IMH458888 IWD458886:IWD458888 JFZ458886:JFZ458888 JPV458886:JPV458888 JZR458886:JZR458888 KJN458886:KJN458888 KTJ458886:KTJ458888 LDF458886:LDF458888 LNB458886:LNB458888 LWX458886:LWX458888 MGT458886:MGT458888 MQP458886:MQP458888 NAL458886:NAL458888 NKH458886:NKH458888 NUD458886:NUD458888 ODZ458886:ODZ458888 ONV458886:ONV458888 OXR458886:OXR458888 PHN458886:PHN458888 PRJ458886:PRJ458888 QBF458886:QBF458888 QLB458886:QLB458888 QUX458886:QUX458888 RET458886:RET458888 ROP458886:ROP458888 RYL458886:RYL458888 SIH458886:SIH458888 SSD458886:SSD458888 TBZ458886:TBZ458888 TLV458886:TLV458888 TVR458886:TVR458888 UFN458886:UFN458888 UPJ458886:UPJ458888 UZF458886:UZF458888 VJB458886:VJB458888 VSX458886:VSX458888 WCT458886:WCT458888 WMP458886:WMP458888 WWL458886:WWL458888 AD524422:AD524424 JZ524422:JZ524424 TV524422:TV524424 ADR524422:ADR524424 ANN524422:ANN524424 AXJ524422:AXJ524424 BHF524422:BHF524424 BRB524422:BRB524424 CAX524422:CAX524424 CKT524422:CKT524424 CUP524422:CUP524424 DEL524422:DEL524424 DOH524422:DOH524424 DYD524422:DYD524424 EHZ524422:EHZ524424 ERV524422:ERV524424 FBR524422:FBR524424 FLN524422:FLN524424 FVJ524422:FVJ524424 GFF524422:GFF524424 GPB524422:GPB524424 GYX524422:GYX524424 HIT524422:HIT524424 HSP524422:HSP524424 ICL524422:ICL524424 IMH524422:IMH524424 IWD524422:IWD524424 JFZ524422:JFZ524424 JPV524422:JPV524424 JZR524422:JZR524424 KJN524422:KJN524424 KTJ524422:KTJ524424 LDF524422:LDF524424 LNB524422:LNB524424 LWX524422:LWX524424 MGT524422:MGT524424 MQP524422:MQP524424 NAL524422:NAL524424 NKH524422:NKH524424 NUD524422:NUD524424 ODZ524422:ODZ524424 ONV524422:ONV524424 OXR524422:OXR524424 PHN524422:PHN524424 PRJ524422:PRJ524424 QBF524422:QBF524424 QLB524422:QLB524424 QUX524422:QUX524424 RET524422:RET524424 ROP524422:ROP524424 RYL524422:RYL524424 SIH524422:SIH524424 SSD524422:SSD524424 TBZ524422:TBZ524424 TLV524422:TLV524424 TVR524422:TVR524424 UFN524422:UFN524424 UPJ524422:UPJ524424 UZF524422:UZF524424 VJB524422:VJB524424 VSX524422:VSX524424 WCT524422:WCT524424 WMP524422:WMP524424 WWL524422:WWL524424 AD589958:AD589960 JZ589958:JZ589960 TV589958:TV589960 ADR589958:ADR589960 ANN589958:ANN589960 AXJ589958:AXJ589960 BHF589958:BHF589960 BRB589958:BRB589960 CAX589958:CAX589960 CKT589958:CKT589960 CUP589958:CUP589960 DEL589958:DEL589960 DOH589958:DOH589960 DYD589958:DYD589960 EHZ589958:EHZ589960 ERV589958:ERV589960 FBR589958:FBR589960 FLN589958:FLN589960 FVJ589958:FVJ589960 GFF589958:GFF589960 GPB589958:GPB589960 GYX589958:GYX589960 HIT589958:HIT589960 HSP589958:HSP589960 ICL589958:ICL589960 IMH589958:IMH589960 IWD589958:IWD589960 JFZ589958:JFZ589960 JPV589958:JPV589960 JZR589958:JZR589960 KJN589958:KJN589960 KTJ589958:KTJ589960 LDF589958:LDF589960 LNB589958:LNB589960 LWX589958:LWX589960 MGT589958:MGT589960 MQP589958:MQP589960 NAL589958:NAL589960 NKH589958:NKH589960 NUD589958:NUD589960 ODZ589958:ODZ589960 ONV589958:ONV589960 OXR589958:OXR589960 PHN589958:PHN589960 PRJ589958:PRJ589960 QBF589958:QBF589960 QLB589958:QLB589960 QUX589958:QUX589960 RET589958:RET589960 ROP589958:ROP589960 RYL589958:RYL589960 SIH589958:SIH589960 SSD589958:SSD589960 TBZ589958:TBZ589960 TLV589958:TLV589960 TVR589958:TVR589960 UFN589958:UFN589960 UPJ589958:UPJ589960 UZF589958:UZF589960 VJB589958:VJB589960 VSX589958:VSX589960 WCT589958:WCT589960 WMP589958:WMP589960 WWL589958:WWL589960 AD655494:AD655496 JZ655494:JZ655496 TV655494:TV655496 ADR655494:ADR655496 ANN655494:ANN655496 AXJ655494:AXJ655496 BHF655494:BHF655496 BRB655494:BRB655496 CAX655494:CAX655496 CKT655494:CKT655496 CUP655494:CUP655496 DEL655494:DEL655496 DOH655494:DOH655496 DYD655494:DYD655496 EHZ655494:EHZ655496 ERV655494:ERV655496 FBR655494:FBR655496 FLN655494:FLN655496 FVJ655494:FVJ655496 GFF655494:GFF655496 GPB655494:GPB655496 GYX655494:GYX655496 HIT655494:HIT655496 HSP655494:HSP655496 ICL655494:ICL655496 IMH655494:IMH655496 IWD655494:IWD655496 JFZ655494:JFZ655496 JPV655494:JPV655496 JZR655494:JZR655496 KJN655494:KJN655496 KTJ655494:KTJ655496 LDF655494:LDF655496 LNB655494:LNB655496 LWX655494:LWX655496 MGT655494:MGT655496 MQP655494:MQP655496 NAL655494:NAL655496 NKH655494:NKH655496 NUD655494:NUD655496 ODZ655494:ODZ655496 ONV655494:ONV655496 OXR655494:OXR655496 PHN655494:PHN655496 PRJ655494:PRJ655496 QBF655494:QBF655496 QLB655494:QLB655496 QUX655494:QUX655496 RET655494:RET655496 ROP655494:ROP655496 RYL655494:RYL655496 SIH655494:SIH655496 SSD655494:SSD655496 TBZ655494:TBZ655496 TLV655494:TLV655496 TVR655494:TVR655496 UFN655494:UFN655496 UPJ655494:UPJ655496 UZF655494:UZF655496 VJB655494:VJB655496 VSX655494:VSX655496 WCT655494:WCT655496 WMP655494:WMP655496 WWL655494:WWL655496 AD721030:AD721032 JZ721030:JZ721032 TV721030:TV721032 ADR721030:ADR721032 ANN721030:ANN721032 AXJ721030:AXJ721032 BHF721030:BHF721032 BRB721030:BRB721032 CAX721030:CAX721032 CKT721030:CKT721032 CUP721030:CUP721032 DEL721030:DEL721032 DOH721030:DOH721032 DYD721030:DYD721032 EHZ721030:EHZ721032 ERV721030:ERV721032 FBR721030:FBR721032 FLN721030:FLN721032 FVJ721030:FVJ721032 GFF721030:GFF721032 GPB721030:GPB721032 GYX721030:GYX721032 HIT721030:HIT721032 HSP721030:HSP721032 ICL721030:ICL721032 IMH721030:IMH721032 IWD721030:IWD721032 JFZ721030:JFZ721032 JPV721030:JPV721032 JZR721030:JZR721032 KJN721030:KJN721032 KTJ721030:KTJ721032 LDF721030:LDF721032 LNB721030:LNB721032 LWX721030:LWX721032 MGT721030:MGT721032 MQP721030:MQP721032 NAL721030:NAL721032 NKH721030:NKH721032 NUD721030:NUD721032 ODZ721030:ODZ721032 ONV721030:ONV721032 OXR721030:OXR721032 PHN721030:PHN721032 PRJ721030:PRJ721032 QBF721030:QBF721032 QLB721030:QLB721032 QUX721030:QUX721032 RET721030:RET721032 ROP721030:ROP721032 RYL721030:RYL721032 SIH721030:SIH721032 SSD721030:SSD721032 TBZ721030:TBZ721032 TLV721030:TLV721032 TVR721030:TVR721032 UFN721030:UFN721032 UPJ721030:UPJ721032 UZF721030:UZF721032 VJB721030:VJB721032 VSX721030:VSX721032 WCT721030:WCT721032 WMP721030:WMP721032 WWL721030:WWL721032 AD786566:AD786568 JZ786566:JZ786568 TV786566:TV786568 ADR786566:ADR786568 ANN786566:ANN786568 AXJ786566:AXJ786568 BHF786566:BHF786568 BRB786566:BRB786568 CAX786566:CAX786568 CKT786566:CKT786568 CUP786566:CUP786568 DEL786566:DEL786568 DOH786566:DOH786568 DYD786566:DYD786568 EHZ786566:EHZ786568 ERV786566:ERV786568 FBR786566:FBR786568 FLN786566:FLN786568 FVJ786566:FVJ786568 GFF786566:GFF786568 GPB786566:GPB786568 GYX786566:GYX786568 HIT786566:HIT786568 HSP786566:HSP786568 ICL786566:ICL786568 IMH786566:IMH786568 IWD786566:IWD786568 JFZ786566:JFZ786568 JPV786566:JPV786568 JZR786566:JZR786568 KJN786566:KJN786568 KTJ786566:KTJ786568 LDF786566:LDF786568 LNB786566:LNB786568 LWX786566:LWX786568 MGT786566:MGT786568 MQP786566:MQP786568 NAL786566:NAL786568 NKH786566:NKH786568 NUD786566:NUD786568 ODZ786566:ODZ786568 ONV786566:ONV786568 OXR786566:OXR786568 PHN786566:PHN786568 PRJ786566:PRJ786568 QBF786566:QBF786568 QLB786566:QLB786568 QUX786566:QUX786568 RET786566:RET786568 ROP786566:ROP786568 RYL786566:RYL786568 SIH786566:SIH786568 SSD786566:SSD786568 TBZ786566:TBZ786568 TLV786566:TLV786568 TVR786566:TVR786568 UFN786566:UFN786568 UPJ786566:UPJ786568 UZF786566:UZF786568 VJB786566:VJB786568 VSX786566:VSX786568 WCT786566:WCT786568 WMP786566:WMP786568 WWL786566:WWL786568 AD852102:AD852104 JZ852102:JZ852104 TV852102:TV852104 ADR852102:ADR852104 ANN852102:ANN852104 AXJ852102:AXJ852104 BHF852102:BHF852104 BRB852102:BRB852104 CAX852102:CAX852104 CKT852102:CKT852104 CUP852102:CUP852104 DEL852102:DEL852104 DOH852102:DOH852104 DYD852102:DYD852104 EHZ852102:EHZ852104 ERV852102:ERV852104 FBR852102:FBR852104 FLN852102:FLN852104 FVJ852102:FVJ852104 GFF852102:GFF852104 GPB852102:GPB852104 GYX852102:GYX852104 HIT852102:HIT852104 HSP852102:HSP852104 ICL852102:ICL852104 IMH852102:IMH852104 IWD852102:IWD852104 JFZ852102:JFZ852104 JPV852102:JPV852104 JZR852102:JZR852104 KJN852102:KJN852104 KTJ852102:KTJ852104 LDF852102:LDF852104 LNB852102:LNB852104 LWX852102:LWX852104 MGT852102:MGT852104 MQP852102:MQP852104 NAL852102:NAL852104 NKH852102:NKH852104 NUD852102:NUD852104 ODZ852102:ODZ852104 ONV852102:ONV852104 OXR852102:OXR852104 PHN852102:PHN852104 PRJ852102:PRJ852104 QBF852102:QBF852104 QLB852102:QLB852104 QUX852102:QUX852104 RET852102:RET852104 ROP852102:ROP852104 RYL852102:RYL852104 SIH852102:SIH852104 SSD852102:SSD852104 TBZ852102:TBZ852104 TLV852102:TLV852104 TVR852102:TVR852104 UFN852102:UFN852104 UPJ852102:UPJ852104 UZF852102:UZF852104 VJB852102:VJB852104 VSX852102:VSX852104 WCT852102:WCT852104 WMP852102:WMP852104 WWL852102:WWL852104 AD917638:AD917640 JZ917638:JZ917640 TV917638:TV917640 ADR917638:ADR917640 ANN917638:ANN917640 AXJ917638:AXJ917640 BHF917638:BHF917640 BRB917638:BRB917640 CAX917638:CAX917640 CKT917638:CKT917640 CUP917638:CUP917640 DEL917638:DEL917640 DOH917638:DOH917640 DYD917638:DYD917640 EHZ917638:EHZ917640 ERV917638:ERV917640 FBR917638:FBR917640 FLN917638:FLN917640 FVJ917638:FVJ917640 GFF917638:GFF917640 GPB917638:GPB917640 GYX917638:GYX917640 HIT917638:HIT917640 HSP917638:HSP917640 ICL917638:ICL917640 IMH917638:IMH917640 IWD917638:IWD917640 JFZ917638:JFZ917640 JPV917638:JPV917640 JZR917638:JZR917640 KJN917638:KJN917640 KTJ917638:KTJ917640 LDF917638:LDF917640 LNB917638:LNB917640 LWX917638:LWX917640 MGT917638:MGT917640 MQP917638:MQP917640 NAL917638:NAL917640 NKH917638:NKH917640 NUD917638:NUD917640 ODZ917638:ODZ917640 ONV917638:ONV917640 OXR917638:OXR917640 PHN917638:PHN917640 PRJ917638:PRJ917640 QBF917638:QBF917640 QLB917638:QLB917640 QUX917638:QUX917640 RET917638:RET917640 ROP917638:ROP917640 RYL917638:RYL917640 SIH917638:SIH917640 SSD917638:SSD917640 TBZ917638:TBZ917640 TLV917638:TLV917640 TVR917638:TVR917640 UFN917638:UFN917640 UPJ917638:UPJ917640 UZF917638:UZF917640 VJB917638:VJB917640 VSX917638:VSX917640 WCT917638:WCT917640 WMP917638:WMP917640 WWL917638:WWL917640 AD983174:AD983176 JZ983174:JZ983176 TV983174:TV983176 ADR983174:ADR983176 ANN983174:ANN983176 AXJ983174:AXJ983176 BHF983174:BHF983176 BRB983174:BRB983176 CAX983174:CAX983176 CKT983174:CKT983176 CUP983174:CUP983176 DEL983174:DEL983176 DOH983174:DOH983176 DYD983174:DYD983176 EHZ983174:EHZ983176 ERV983174:ERV983176 FBR983174:FBR983176 FLN983174:FLN983176 FVJ983174:FVJ983176 GFF983174:GFF983176 GPB983174:GPB983176 GYX983174:GYX983176 HIT983174:HIT983176 HSP983174:HSP983176 ICL983174:ICL983176 IMH983174:IMH983176 IWD983174:IWD983176 JFZ983174:JFZ983176 JPV983174:JPV983176 JZR983174:JZR983176 KJN983174:KJN983176 KTJ983174:KTJ983176 LDF983174:LDF983176 LNB983174:LNB983176 LWX983174:LWX983176 MGT983174:MGT983176 MQP983174:MQP983176 NAL983174:NAL983176 NKH983174:NKH983176 NUD983174:NUD983176 ODZ983174:ODZ983176 ONV983174:ONV983176 OXR983174:OXR983176 PHN983174:PHN983176 PRJ983174:PRJ983176 QBF983174:QBF983176 QLB983174:QLB983176 QUX983174:QUX983176 RET983174:RET983176 ROP983174:ROP983176 RYL983174:RYL983176 SIH983174:SIH983176 SSD983174:SSD983176 TBZ983174:TBZ983176 TLV983174:TLV983176 TVR983174:TVR983176 UFN983174:UFN983176 UPJ983174:UPJ983176 UZF983174:UZF983176 VJB983174:VJB983176 VSX983174:VSX983176 WCT983174:WCT983176 WMP983174:WMP983176 WWL983174:WWL983176 AD130:AD131 JZ130:JZ131 TV130:TV131 ADR130:ADR131 ANN130:ANN131 AXJ130:AXJ131 BHF130:BHF131 BRB130:BRB131 CAX130:CAX131 CKT130:CKT131 CUP130:CUP131 DEL130:DEL131 DOH130:DOH131 DYD130:DYD131 EHZ130:EHZ131 ERV130:ERV131 FBR130:FBR131 FLN130:FLN131 FVJ130:FVJ131 GFF130:GFF131 GPB130:GPB131 GYX130:GYX131 HIT130:HIT131 HSP130:HSP131 ICL130:ICL131 IMH130:IMH131 IWD130:IWD131 JFZ130:JFZ131 JPV130:JPV131 JZR130:JZR131 KJN130:KJN131 KTJ130:KTJ131 LDF130:LDF131 LNB130:LNB131 LWX130:LWX131 MGT130:MGT131 MQP130:MQP131 NAL130:NAL131 NKH130:NKH131 NUD130:NUD131 ODZ130:ODZ131 ONV130:ONV131 OXR130:OXR131 PHN130:PHN131 PRJ130:PRJ131 QBF130:QBF131 QLB130:QLB131 QUX130:QUX131 RET130:RET131 ROP130:ROP131 RYL130:RYL131 SIH130:SIH131 SSD130:SSD131 TBZ130:TBZ131 TLV130:TLV131 TVR130:TVR131 UFN130:UFN131 UPJ130:UPJ131 UZF130:UZF131 VJB130:VJB131 VSX130:VSX131 WCT130:WCT131 WMP130:WMP131 WWL130:WWL131 AD65667:AD65668 JZ65667:JZ65668 TV65667:TV65668 ADR65667:ADR65668 ANN65667:ANN65668 AXJ65667:AXJ65668 BHF65667:BHF65668 BRB65667:BRB65668 CAX65667:CAX65668 CKT65667:CKT65668 CUP65667:CUP65668 DEL65667:DEL65668 DOH65667:DOH65668 DYD65667:DYD65668 EHZ65667:EHZ65668 ERV65667:ERV65668 FBR65667:FBR65668 FLN65667:FLN65668 FVJ65667:FVJ65668 GFF65667:GFF65668 GPB65667:GPB65668 GYX65667:GYX65668 HIT65667:HIT65668 HSP65667:HSP65668 ICL65667:ICL65668 IMH65667:IMH65668 IWD65667:IWD65668 JFZ65667:JFZ65668 JPV65667:JPV65668 JZR65667:JZR65668 KJN65667:KJN65668 KTJ65667:KTJ65668 LDF65667:LDF65668 LNB65667:LNB65668 LWX65667:LWX65668 MGT65667:MGT65668 MQP65667:MQP65668 NAL65667:NAL65668 NKH65667:NKH65668 NUD65667:NUD65668 ODZ65667:ODZ65668 ONV65667:ONV65668 OXR65667:OXR65668 PHN65667:PHN65668 PRJ65667:PRJ65668 QBF65667:QBF65668 QLB65667:QLB65668 QUX65667:QUX65668 RET65667:RET65668 ROP65667:ROP65668 RYL65667:RYL65668 SIH65667:SIH65668 SSD65667:SSD65668 TBZ65667:TBZ65668 TLV65667:TLV65668 TVR65667:TVR65668 UFN65667:UFN65668 UPJ65667:UPJ65668 UZF65667:UZF65668 VJB65667:VJB65668 VSX65667:VSX65668 WCT65667:WCT65668 WMP65667:WMP65668 WWL65667:WWL65668 AD131203:AD131204 JZ131203:JZ131204 TV131203:TV131204 ADR131203:ADR131204 ANN131203:ANN131204 AXJ131203:AXJ131204 BHF131203:BHF131204 BRB131203:BRB131204 CAX131203:CAX131204 CKT131203:CKT131204 CUP131203:CUP131204 DEL131203:DEL131204 DOH131203:DOH131204 DYD131203:DYD131204 EHZ131203:EHZ131204 ERV131203:ERV131204 FBR131203:FBR131204 FLN131203:FLN131204 FVJ131203:FVJ131204 GFF131203:GFF131204 GPB131203:GPB131204 GYX131203:GYX131204 HIT131203:HIT131204 HSP131203:HSP131204 ICL131203:ICL131204 IMH131203:IMH131204 IWD131203:IWD131204 JFZ131203:JFZ131204 JPV131203:JPV131204 JZR131203:JZR131204 KJN131203:KJN131204 KTJ131203:KTJ131204 LDF131203:LDF131204 LNB131203:LNB131204 LWX131203:LWX131204 MGT131203:MGT131204 MQP131203:MQP131204 NAL131203:NAL131204 NKH131203:NKH131204 NUD131203:NUD131204 ODZ131203:ODZ131204 ONV131203:ONV131204 OXR131203:OXR131204 PHN131203:PHN131204 PRJ131203:PRJ131204 QBF131203:QBF131204 QLB131203:QLB131204 QUX131203:QUX131204 RET131203:RET131204 ROP131203:ROP131204 RYL131203:RYL131204 SIH131203:SIH131204 SSD131203:SSD131204 TBZ131203:TBZ131204 TLV131203:TLV131204 TVR131203:TVR131204 UFN131203:UFN131204 UPJ131203:UPJ131204 UZF131203:UZF131204 VJB131203:VJB131204 VSX131203:VSX131204 WCT131203:WCT131204 WMP131203:WMP131204 WWL131203:WWL131204 AD196739:AD196740 JZ196739:JZ196740 TV196739:TV196740 ADR196739:ADR196740 ANN196739:ANN196740 AXJ196739:AXJ196740 BHF196739:BHF196740 BRB196739:BRB196740 CAX196739:CAX196740 CKT196739:CKT196740 CUP196739:CUP196740 DEL196739:DEL196740 DOH196739:DOH196740 DYD196739:DYD196740 EHZ196739:EHZ196740 ERV196739:ERV196740 FBR196739:FBR196740 FLN196739:FLN196740 FVJ196739:FVJ196740 GFF196739:GFF196740 GPB196739:GPB196740 GYX196739:GYX196740 HIT196739:HIT196740 HSP196739:HSP196740 ICL196739:ICL196740 IMH196739:IMH196740 IWD196739:IWD196740 JFZ196739:JFZ196740 JPV196739:JPV196740 JZR196739:JZR196740 KJN196739:KJN196740 KTJ196739:KTJ196740 LDF196739:LDF196740 LNB196739:LNB196740 LWX196739:LWX196740 MGT196739:MGT196740 MQP196739:MQP196740 NAL196739:NAL196740 NKH196739:NKH196740 NUD196739:NUD196740 ODZ196739:ODZ196740 ONV196739:ONV196740 OXR196739:OXR196740 PHN196739:PHN196740 PRJ196739:PRJ196740 QBF196739:QBF196740 QLB196739:QLB196740 QUX196739:QUX196740 RET196739:RET196740 ROP196739:ROP196740 RYL196739:RYL196740 SIH196739:SIH196740 SSD196739:SSD196740 TBZ196739:TBZ196740 TLV196739:TLV196740 TVR196739:TVR196740 UFN196739:UFN196740 UPJ196739:UPJ196740 UZF196739:UZF196740 VJB196739:VJB196740 VSX196739:VSX196740 WCT196739:WCT196740 WMP196739:WMP196740 WWL196739:WWL196740 AD262275:AD262276 JZ262275:JZ262276 TV262275:TV262276 ADR262275:ADR262276 ANN262275:ANN262276 AXJ262275:AXJ262276 BHF262275:BHF262276 BRB262275:BRB262276 CAX262275:CAX262276 CKT262275:CKT262276 CUP262275:CUP262276 DEL262275:DEL262276 DOH262275:DOH262276 DYD262275:DYD262276 EHZ262275:EHZ262276 ERV262275:ERV262276 FBR262275:FBR262276 FLN262275:FLN262276 FVJ262275:FVJ262276 GFF262275:GFF262276 GPB262275:GPB262276 GYX262275:GYX262276 HIT262275:HIT262276 HSP262275:HSP262276 ICL262275:ICL262276 IMH262275:IMH262276 IWD262275:IWD262276 JFZ262275:JFZ262276 JPV262275:JPV262276 JZR262275:JZR262276 KJN262275:KJN262276 KTJ262275:KTJ262276 LDF262275:LDF262276 LNB262275:LNB262276 LWX262275:LWX262276 MGT262275:MGT262276 MQP262275:MQP262276 NAL262275:NAL262276 NKH262275:NKH262276 NUD262275:NUD262276 ODZ262275:ODZ262276 ONV262275:ONV262276 OXR262275:OXR262276 PHN262275:PHN262276 PRJ262275:PRJ262276 QBF262275:QBF262276 QLB262275:QLB262276 QUX262275:QUX262276 RET262275:RET262276 ROP262275:ROP262276 RYL262275:RYL262276 SIH262275:SIH262276 SSD262275:SSD262276 TBZ262275:TBZ262276 TLV262275:TLV262276 TVR262275:TVR262276 UFN262275:UFN262276 UPJ262275:UPJ262276 UZF262275:UZF262276 VJB262275:VJB262276 VSX262275:VSX262276 WCT262275:WCT262276 WMP262275:WMP262276 WWL262275:WWL262276 AD327811:AD327812 JZ327811:JZ327812 TV327811:TV327812 ADR327811:ADR327812 ANN327811:ANN327812 AXJ327811:AXJ327812 BHF327811:BHF327812 BRB327811:BRB327812 CAX327811:CAX327812 CKT327811:CKT327812 CUP327811:CUP327812 DEL327811:DEL327812 DOH327811:DOH327812 DYD327811:DYD327812 EHZ327811:EHZ327812 ERV327811:ERV327812 FBR327811:FBR327812 FLN327811:FLN327812 FVJ327811:FVJ327812 GFF327811:GFF327812 GPB327811:GPB327812 GYX327811:GYX327812 HIT327811:HIT327812 HSP327811:HSP327812 ICL327811:ICL327812 IMH327811:IMH327812 IWD327811:IWD327812 JFZ327811:JFZ327812 JPV327811:JPV327812 JZR327811:JZR327812 KJN327811:KJN327812 KTJ327811:KTJ327812 LDF327811:LDF327812 LNB327811:LNB327812 LWX327811:LWX327812 MGT327811:MGT327812 MQP327811:MQP327812 NAL327811:NAL327812 NKH327811:NKH327812 NUD327811:NUD327812 ODZ327811:ODZ327812 ONV327811:ONV327812 OXR327811:OXR327812 PHN327811:PHN327812 PRJ327811:PRJ327812 QBF327811:QBF327812 QLB327811:QLB327812 QUX327811:QUX327812 RET327811:RET327812 ROP327811:ROP327812 RYL327811:RYL327812 SIH327811:SIH327812 SSD327811:SSD327812 TBZ327811:TBZ327812 TLV327811:TLV327812 TVR327811:TVR327812 UFN327811:UFN327812 UPJ327811:UPJ327812 UZF327811:UZF327812 VJB327811:VJB327812 VSX327811:VSX327812 WCT327811:WCT327812 WMP327811:WMP327812 WWL327811:WWL327812 AD393347:AD393348 JZ393347:JZ393348 TV393347:TV393348 ADR393347:ADR393348 ANN393347:ANN393348 AXJ393347:AXJ393348 BHF393347:BHF393348 BRB393347:BRB393348 CAX393347:CAX393348 CKT393347:CKT393348 CUP393347:CUP393348 DEL393347:DEL393348 DOH393347:DOH393348 DYD393347:DYD393348 EHZ393347:EHZ393348 ERV393347:ERV393348 FBR393347:FBR393348 FLN393347:FLN393348 FVJ393347:FVJ393348 GFF393347:GFF393348 GPB393347:GPB393348 GYX393347:GYX393348 HIT393347:HIT393348 HSP393347:HSP393348 ICL393347:ICL393348 IMH393347:IMH393348 IWD393347:IWD393348 JFZ393347:JFZ393348 JPV393347:JPV393348 JZR393347:JZR393348 KJN393347:KJN393348 KTJ393347:KTJ393348 LDF393347:LDF393348 LNB393347:LNB393348 LWX393347:LWX393348 MGT393347:MGT393348 MQP393347:MQP393348 NAL393347:NAL393348 NKH393347:NKH393348 NUD393347:NUD393348 ODZ393347:ODZ393348 ONV393347:ONV393348 OXR393347:OXR393348 PHN393347:PHN393348 PRJ393347:PRJ393348 QBF393347:QBF393348 QLB393347:QLB393348 QUX393347:QUX393348 RET393347:RET393348 ROP393347:ROP393348 RYL393347:RYL393348 SIH393347:SIH393348 SSD393347:SSD393348 TBZ393347:TBZ393348 TLV393347:TLV393348 TVR393347:TVR393348 UFN393347:UFN393348 UPJ393347:UPJ393348 UZF393347:UZF393348 VJB393347:VJB393348 VSX393347:VSX393348 WCT393347:WCT393348 WMP393347:WMP393348 WWL393347:WWL393348 AD458883:AD458884 JZ458883:JZ458884 TV458883:TV458884 ADR458883:ADR458884 ANN458883:ANN458884 AXJ458883:AXJ458884 BHF458883:BHF458884 BRB458883:BRB458884 CAX458883:CAX458884 CKT458883:CKT458884 CUP458883:CUP458884 DEL458883:DEL458884 DOH458883:DOH458884 DYD458883:DYD458884 EHZ458883:EHZ458884 ERV458883:ERV458884 FBR458883:FBR458884 FLN458883:FLN458884 FVJ458883:FVJ458884 GFF458883:GFF458884 GPB458883:GPB458884 GYX458883:GYX458884 HIT458883:HIT458884 HSP458883:HSP458884 ICL458883:ICL458884 IMH458883:IMH458884 IWD458883:IWD458884 JFZ458883:JFZ458884 JPV458883:JPV458884 JZR458883:JZR458884 KJN458883:KJN458884 KTJ458883:KTJ458884 LDF458883:LDF458884 LNB458883:LNB458884 LWX458883:LWX458884 MGT458883:MGT458884 MQP458883:MQP458884 NAL458883:NAL458884 NKH458883:NKH458884 NUD458883:NUD458884 ODZ458883:ODZ458884 ONV458883:ONV458884 OXR458883:OXR458884 PHN458883:PHN458884 PRJ458883:PRJ458884 QBF458883:QBF458884 QLB458883:QLB458884 QUX458883:QUX458884 RET458883:RET458884 ROP458883:ROP458884 RYL458883:RYL458884 SIH458883:SIH458884 SSD458883:SSD458884 TBZ458883:TBZ458884 TLV458883:TLV458884 TVR458883:TVR458884 UFN458883:UFN458884 UPJ458883:UPJ458884 UZF458883:UZF458884 VJB458883:VJB458884 VSX458883:VSX458884 WCT458883:WCT458884 WMP458883:WMP458884 WWL458883:WWL458884 AD524419:AD524420 JZ524419:JZ524420 TV524419:TV524420 ADR524419:ADR524420 ANN524419:ANN524420 AXJ524419:AXJ524420 BHF524419:BHF524420 BRB524419:BRB524420 CAX524419:CAX524420 CKT524419:CKT524420 CUP524419:CUP524420 DEL524419:DEL524420 DOH524419:DOH524420 DYD524419:DYD524420 EHZ524419:EHZ524420 ERV524419:ERV524420 FBR524419:FBR524420 FLN524419:FLN524420 FVJ524419:FVJ524420 GFF524419:GFF524420 GPB524419:GPB524420 GYX524419:GYX524420 HIT524419:HIT524420 HSP524419:HSP524420 ICL524419:ICL524420 IMH524419:IMH524420 IWD524419:IWD524420 JFZ524419:JFZ524420 JPV524419:JPV524420 JZR524419:JZR524420 KJN524419:KJN524420 KTJ524419:KTJ524420 LDF524419:LDF524420 LNB524419:LNB524420 LWX524419:LWX524420 MGT524419:MGT524420 MQP524419:MQP524420 NAL524419:NAL524420 NKH524419:NKH524420 NUD524419:NUD524420 ODZ524419:ODZ524420 ONV524419:ONV524420 OXR524419:OXR524420 PHN524419:PHN524420 PRJ524419:PRJ524420 QBF524419:QBF524420 QLB524419:QLB524420 QUX524419:QUX524420 RET524419:RET524420 ROP524419:ROP524420 RYL524419:RYL524420 SIH524419:SIH524420 SSD524419:SSD524420 TBZ524419:TBZ524420 TLV524419:TLV524420 TVR524419:TVR524420 UFN524419:UFN524420 UPJ524419:UPJ524420 UZF524419:UZF524420 VJB524419:VJB524420 VSX524419:VSX524420 WCT524419:WCT524420 WMP524419:WMP524420 WWL524419:WWL524420 AD589955:AD589956 JZ589955:JZ589956 TV589955:TV589956 ADR589955:ADR589956 ANN589955:ANN589956 AXJ589955:AXJ589956 BHF589955:BHF589956 BRB589955:BRB589956 CAX589955:CAX589956 CKT589955:CKT589956 CUP589955:CUP589956 DEL589955:DEL589956 DOH589955:DOH589956 DYD589955:DYD589956 EHZ589955:EHZ589956 ERV589955:ERV589956 FBR589955:FBR589956 FLN589955:FLN589956 FVJ589955:FVJ589956 GFF589955:GFF589956 GPB589955:GPB589956 GYX589955:GYX589956 HIT589955:HIT589956 HSP589955:HSP589956 ICL589955:ICL589956 IMH589955:IMH589956 IWD589955:IWD589956 JFZ589955:JFZ589956 JPV589955:JPV589956 JZR589955:JZR589956 KJN589955:KJN589956 KTJ589955:KTJ589956 LDF589955:LDF589956 LNB589955:LNB589956 LWX589955:LWX589956 MGT589955:MGT589956 MQP589955:MQP589956 NAL589955:NAL589956 NKH589955:NKH589956 NUD589955:NUD589956 ODZ589955:ODZ589956 ONV589955:ONV589956 OXR589955:OXR589956 PHN589955:PHN589956 PRJ589955:PRJ589956 QBF589955:QBF589956 QLB589955:QLB589956 QUX589955:QUX589956 RET589955:RET589956 ROP589955:ROP589956 RYL589955:RYL589956 SIH589955:SIH589956 SSD589955:SSD589956 TBZ589955:TBZ589956 TLV589955:TLV589956 TVR589955:TVR589956 UFN589955:UFN589956 UPJ589955:UPJ589956 UZF589955:UZF589956 VJB589955:VJB589956 VSX589955:VSX589956 WCT589955:WCT589956 WMP589955:WMP589956 WWL589955:WWL589956 AD655491:AD655492 JZ655491:JZ655492 TV655491:TV655492 ADR655491:ADR655492 ANN655491:ANN655492 AXJ655491:AXJ655492 BHF655491:BHF655492 BRB655491:BRB655492 CAX655491:CAX655492 CKT655491:CKT655492 CUP655491:CUP655492 DEL655491:DEL655492 DOH655491:DOH655492 DYD655491:DYD655492 EHZ655491:EHZ655492 ERV655491:ERV655492 FBR655491:FBR655492 FLN655491:FLN655492 FVJ655491:FVJ655492 GFF655491:GFF655492 GPB655491:GPB655492 GYX655491:GYX655492 HIT655491:HIT655492 HSP655491:HSP655492 ICL655491:ICL655492 IMH655491:IMH655492 IWD655491:IWD655492 JFZ655491:JFZ655492 JPV655491:JPV655492 JZR655491:JZR655492 KJN655491:KJN655492 KTJ655491:KTJ655492 LDF655491:LDF655492 LNB655491:LNB655492 LWX655491:LWX655492 MGT655491:MGT655492 MQP655491:MQP655492 NAL655491:NAL655492 NKH655491:NKH655492 NUD655491:NUD655492 ODZ655491:ODZ655492 ONV655491:ONV655492 OXR655491:OXR655492 PHN655491:PHN655492 PRJ655491:PRJ655492 QBF655491:QBF655492 QLB655491:QLB655492 QUX655491:QUX655492 RET655491:RET655492 ROP655491:ROP655492 RYL655491:RYL655492 SIH655491:SIH655492 SSD655491:SSD655492 TBZ655491:TBZ655492 TLV655491:TLV655492 TVR655491:TVR655492 UFN655491:UFN655492 UPJ655491:UPJ655492 UZF655491:UZF655492 VJB655491:VJB655492 VSX655491:VSX655492 WCT655491:WCT655492 WMP655491:WMP655492 WWL655491:WWL655492 AD721027:AD721028 JZ721027:JZ721028 TV721027:TV721028 ADR721027:ADR721028 ANN721027:ANN721028 AXJ721027:AXJ721028 BHF721027:BHF721028 BRB721027:BRB721028 CAX721027:CAX721028 CKT721027:CKT721028 CUP721027:CUP721028 DEL721027:DEL721028 DOH721027:DOH721028 DYD721027:DYD721028 EHZ721027:EHZ721028 ERV721027:ERV721028 FBR721027:FBR721028 FLN721027:FLN721028 FVJ721027:FVJ721028 GFF721027:GFF721028 GPB721027:GPB721028 GYX721027:GYX721028 HIT721027:HIT721028 HSP721027:HSP721028 ICL721027:ICL721028 IMH721027:IMH721028 IWD721027:IWD721028 JFZ721027:JFZ721028 JPV721027:JPV721028 JZR721027:JZR721028 KJN721027:KJN721028 KTJ721027:KTJ721028 LDF721027:LDF721028 LNB721027:LNB721028 LWX721027:LWX721028 MGT721027:MGT721028 MQP721027:MQP721028 NAL721027:NAL721028 NKH721027:NKH721028 NUD721027:NUD721028 ODZ721027:ODZ721028 ONV721027:ONV721028 OXR721027:OXR721028 PHN721027:PHN721028 PRJ721027:PRJ721028 QBF721027:QBF721028 QLB721027:QLB721028 QUX721027:QUX721028 RET721027:RET721028 ROP721027:ROP721028 RYL721027:RYL721028 SIH721027:SIH721028 SSD721027:SSD721028 TBZ721027:TBZ721028 TLV721027:TLV721028 TVR721027:TVR721028 UFN721027:UFN721028 UPJ721027:UPJ721028 UZF721027:UZF721028 VJB721027:VJB721028 VSX721027:VSX721028 WCT721027:WCT721028 WMP721027:WMP721028 WWL721027:WWL721028 AD786563:AD786564 JZ786563:JZ786564 TV786563:TV786564 ADR786563:ADR786564 ANN786563:ANN786564 AXJ786563:AXJ786564 BHF786563:BHF786564 BRB786563:BRB786564 CAX786563:CAX786564 CKT786563:CKT786564 CUP786563:CUP786564 DEL786563:DEL786564 DOH786563:DOH786564 DYD786563:DYD786564 EHZ786563:EHZ786564 ERV786563:ERV786564 FBR786563:FBR786564 FLN786563:FLN786564 FVJ786563:FVJ786564 GFF786563:GFF786564 GPB786563:GPB786564 GYX786563:GYX786564 HIT786563:HIT786564 HSP786563:HSP786564 ICL786563:ICL786564 IMH786563:IMH786564 IWD786563:IWD786564 JFZ786563:JFZ786564 JPV786563:JPV786564 JZR786563:JZR786564 KJN786563:KJN786564 KTJ786563:KTJ786564 LDF786563:LDF786564 LNB786563:LNB786564 LWX786563:LWX786564 MGT786563:MGT786564 MQP786563:MQP786564 NAL786563:NAL786564 NKH786563:NKH786564 NUD786563:NUD786564 ODZ786563:ODZ786564 ONV786563:ONV786564 OXR786563:OXR786564 PHN786563:PHN786564 PRJ786563:PRJ786564 QBF786563:QBF786564 QLB786563:QLB786564 QUX786563:QUX786564 RET786563:RET786564 ROP786563:ROP786564 RYL786563:RYL786564 SIH786563:SIH786564 SSD786563:SSD786564 TBZ786563:TBZ786564 TLV786563:TLV786564 TVR786563:TVR786564 UFN786563:UFN786564 UPJ786563:UPJ786564 UZF786563:UZF786564 VJB786563:VJB786564 VSX786563:VSX786564 WCT786563:WCT786564 WMP786563:WMP786564 WWL786563:WWL786564 AD852099:AD852100 JZ852099:JZ852100 TV852099:TV852100 ADR852099:ADR852100 ANN852099:ANN852100 AXJ852099:AXJ852100 BHF852099:BHF852100 BRB852099:BRB852100 CAX852099:CAX852100 CKT852099:CKT852100 CUP852099:CUP852100 DEL852099:DEL852100 DOH852099:DOH852100 DYD852099:DYD852100 EHZ852099:EHZ852100 ERV852099:ERV852100 FBR852099:FBR852100 FLN852099:FLN852100 FVJ852099:FVJ852100 GFF852099:GFF852100 GPB852099:GPB852100 GYX852099:GYX852100 HIT852099:HIT852100 HSP852099:HSP852100 ICL852099:ICL852100 IMH852099:IMH852100 IWD852099:IWD852100 JFZ852099:JFZ852100 JPV852099:JPV852100 JZR852099:JZR852100 KJN852099:KJN852100 KTJ852099:KTJ852100 LDF852099:LDF852100 LNB852099:LNB852100 LWX852099:LWX852100 MGT852099:MGT852100 MQP852099:MQP852100 NAL852099:NAL852100 NKH852099:NKH852100 NUD852099:NUD852100 ODZ852099:ODZ852100 ONV852099:ONV852100 OXR852099:OXR852100 PHN852099:PHN852100 PRJ852099:PRJ852100 QBF852099:QBF852100 QLB852099:QLB852100 QUX852099:QUX852100 RET852099:RET852100 ROP852099:ROP852100 RYL852099:RYL852100 SIH852099:SIH852100 SSD852099:SSD852100 TBZ852099:TBZ852100 TLV852099:TLV852100 TVR852099:TVR852100 UFN852099:UFN852100 UPJ852099:UPJ852100 UZF852099:UZF852100 VJB852099:VJB852100 VSX852099:VSX852100 WCT852099:WCT852100 WMP852099:WMP852100 WWL852099:WWL852100 AD917635:AD917636 JZ917635:JZ917636 TV917635:TV917636 ADR917635:ADR917636 ANN917635:ANN917636 AXJ917635:AXJ917636 BHF917635:BHF917636 BRB917635:BRB917636 CAX917635:CAX917636 CKT917635:CKT917636 CUP917635:CUP917636 DEL917635:DEL917636 DOH917635:DOH917636 DYD917635:DYD917636 EHZ917635:EHZ917636 ERV917635:ERV917636 FBR917635:FBR917636 FLN917635:FLN917636 FVJ917635:FVJ917636 GFF917635:GFF917636 GPB917635:GPB917636 GYX917635:GYX917636 HIT917635:HIT917636 HSP917635:HSP917636 ICL917635:ICL917636 IMH917635:IMH917636 IWD917635:IWD917636 JFZ917635:JFZ917636 JPV917635:JPV917636 JZR917635:JZR917636 KJN917635:KJN917636 KTJ917635:KTJ917636 LDF917635:LDF917636 LNB917635:LNB917636 LWX917635:LWX917636 MGT917635:MGT917636 MQP917635:MQP917636 NAL917635:NAL917636 NKH917635:NKH917636 NUD917635:NUD917636 ODZ917635:ODZ917636 ONV917635:ONV917636 OXR917635:OXR917636 PHN917635:PHN917636 PRJ917635:PRJ917636 QBF917635:QBF917636 QLB917635:QLB917636 QUX917635:QUX917636 RET917635:RET917636 ROP917635:ROP917636 RYL917635:RYL917636 SIH917635:SIH917636 SSD917635:SSD917636 TBZ917635:TBZ917636 TLV917635:TLV917636 TVR917635:TVR917636 UFN917635:UFN917636 UPJ917635:UPJ917636 UZF917635:UZF917636 VJB917635:VJB917636 VSX917635:VSX917636 WCT917635:WCT917636 WMP917635:WMP917636 WWL917635:WWL917636 AD983171:AD983172 JZ983171:JZ983172 TV983171:TV983172 ADR983171:ADR983172 ANN983171:ANN983172 AXJ983171:AXJ983172 BHF983171:BHF983172 BRB983171:BRB983172 CAX983171:CAX983172 CKT983171:CKT983172 CUP983171:CUP983172 DEL983171:DEL983172 DOH983171:DOH983172 DYD983171:DYD983172 EHZ983171:EHZ983172 ERV983171:ERV983172 FBR983171:FBR983172 FLN983171:FLN983172 FVJ983171:FVJ983172 GFF983171:GFF983172 GPB983171:GPB983172 GYX983171:GYX983172 HIT983171:HIT983172 HSP983171:HSP983172 ICL983171:ICL983172 IMH983171:IMH983172 IWD983171:IWD983172 JFZ983171:JFZ983172 JPV983171:JPV983172 JZR983171:JZR983172 KJN983171:KJN983172 KTJ983171:KTJ983172 LDF983171:LDF983172 LNB983171:LNB983172 LWX983171:LWX983172 MGT983171:MGT983172 MQP983171:MQP983172 NAL983171:NAL983172 NKH983171:NKH983172 NUD983171:NUD983172 ODZ983171:ODZ983172 ONV983171:ONV983172 OXR983171:OXR983172 PHN983171:PHN983172 PRJ983171:PRJ983172 QBF983171:QBF983172 QLB983171:QLB983172 QUX983171:QUX983172 RET983171:RET983172 ROP983171:ROP983172 RYL983171:RYL983172 SIH983171:SIH983172 SSD983171:SSD983172 TBZ983171:TBZ983172 TLV983171:TLV983172 TVR983171:TVR983172 UFN983171:UFN983172 UPJ983171:UPJ983172 UZF983171:UZF983172 VJB983171:VJB983172 VSX983171:VSX983172 WCT983171:WCT983172 WMP983171:WMP983172 WWL983171:WWL983172 AD126:AD128 JZ126:JZ128 TV126:TV128 ADR126:ADR128 ANN126:ANN128 AXJ126:AXJ128 BHF126:BHF128 BRB126:BRB128 CAX126:CAX128 CKT126:CKT128 CUP126:CUP128 DEL126:DEL128 DOH126:DOH128 DYD126:DYD128 EHZ126:EHZ128 ERV126:ERV128 FBR126:FBR128 FLN126:FLN128 FVJ126:FVJ128 GFF126:GFF128 GPB126:GPB128 GYX126:GYX128 HIT126:HIT128 HSP126:HSP128 ICL126:ICL128 IMH126:IMH128 IWD126:IWD128 JFZ126:JFZ128 JPV126:JPV128 JZR126:JZR128 KJN126:KJN128 KTJ126:KTJ128 LDF126:LDF128 LNB126:LNB128 LWX126:LWX128 MGT126:MGT128 MQP126:MQP128 NAL126:NAL128 NKH126:NKH128 NUD126:NUD128 ODZ126:ODZ128 ONV126:ONV128 OXR126:OXR128 PHN126:PHN128 PRJ126:PRJ128 QBF126:QBF128 QLB126:QLB128 QUX126:QUX128 RET126:RET128 ROP126:ROP128 RYL126:RYL128 SIH126:SIH128 SSD126:SSD128 TBZ126:TBZ128 TLV126:TLV128 TVR126:TVR128 UFN126:UFN128 UPJ126:UPJ128 UZF126:UZF128 VJB126:VJB128 VSX126:VSX128 WCT126:WCT128 WMP126:WMP128 WWL126:WWL128 AD65663:AD65665 JZ65663:JZ65665 TV65663:TV65665 ADR65663:ADR65665 ANN65663:ANN65665 AXJ65663:AXJ65665 BHF65663:BHF65665 BRB65663:BRB65665 CAX65663:CAX65665 CKT65663:CKT65665 CUP65663:CUP65665 DEL65663:DEL65665 DOH65663:DOH65665 DYD65663:DYD65665 EHZ65663:EHZ65665 ERV65663:ERV65665 FBR65663:FBR65665 FLN65663:FLN65665 FVJ65663:FVJ65665 GFF65663:GFF65665 GPB65663:GPB65665 GYX65663:GYX65665 HIT65663:HIT65665 HSP65663:HSP65665 ICL65663:ICL65665 IMH65663:IMH65665 IWD65663:IWD65665 JFZ65663:JFZ65665 JPV65663:JPV65665 JZR65663:JZR65665 KJN65663:KJN65665 KTJ65663:KTJ65665 LDF65663:LDF65665 LNB65663:LNB65665 LWX65663:LWX65665 MGT65663:MGT65665 MQP65663:MQP65665 NAL65663:NAL65665 NKH65663:NKH65665 NUD65663:NUD65665 ODZ65663:ODZ65665 ONV65663:ONV65665 OXR65663:OXR65665 PHN65663:PHN65665 PRJ65663:PRJ65665 QBF65663:QBF65665 QLB65663:QLB65665 QUX65663:QUX65665 RET65663:RET65665 ROP65663:ROP65665 RYL65663:RYL65665 SIH65663:SIH65665 SSD65663:SSD65665 TBZ65663:TBZ65665 TLV65663:TLV65665 TVR65663:TVR65665 UFN65663:UFN65665 UPJ65663:UPJ65665 UZF65663:UZF65665 VJB65663:VJB65665 VSX65663:VSX65665 WCT65663:WCT65665 WMP65663:WMP65665 WWL65663:WWL65665 AD131199:AD131201 JZ131199:JZ131201 TV131199:TV131201 ADR131199:ADR131201 ANN131199:ANN131201 AXJ131199:AXJ131201 BHF131199:BHF131201 BRB131199:BRB131201 CAX131199:CAX131201 CKT131199:CKT131201 CUP131199:CUP131201 DEL131199:DEL131201 DOH131199:DOH131201 DYD131199:DYD131201 EHZ131199:EHZ131201 ERV131199:ERV131201 FBR131199:FBR131201 FLN131199:FLN131201 FVJ131199:FVJ131201 GFF131199:GFF131201 GPB131199:GPB131201 GYX131199:GYX131201 HIT131199:HIT131201 HSP131199:HSP131201 ICL131199:ICL131201 IMH131199:IMH131201 IWD131199:IWD131201 JFZ131199:JFZ131201 JPV131199:JPV131201 JZR131199:JZR131201 KJN131199:KJN131201 KTJ131199:KTJ131201 LDF131199:LDF131201 LNB131199:LNB131201 LWX131199:LWX131201 MGT131199:MGT131201 MQP131199:MQP131201 NAL131199:NAL131201 NKH131199:NKH131201 NUD131199:NUD131201 ODZ131199:ODZ131201 ONV131199:ONV131201 OXR131199:OXR131201 PHN131199:PHN131201 PRJ131199:PRJ131201 QBF131199:QBF131201 QLB131199:QLB131201 QUX131199:QUX131201 RET131199:RET131201 ROP131199:ROP131201 RYL131199:RYL131201 SIH131199:SIH131201 SSD131199:SSD131201 TBZ131199:TBZ131201 TLV131199:TLV131201 TVR131199:TVR131201 UFN131199:UFN131201 UPJ131199:UPJ131201 UZF131199:UZF131201 VJB131199:VJB131201 VSX131199:VSX131201 WCT131199:WCT131201 WMP131199:WMP131201 WWL131199:WWL131201 AD196735:AD196737 JZ196735:JZ196737 TV196735:TV196737 ADR196735:ADR196737 ANN196735:ANN196737 AXJ196735:AXJ196737 BHF196735:BHF196737 BRB196735:BRB196737 CAX196735:CAX196737 CKT196735:CKT196737 CUP196735:CUP196737 DEL196735:DEL196737 DOH196735:DOH196737 DYD196735:DYD196737 EHZ196735:EHZ196737 ERV196735:ERV196737 FBR196735:FBR196737 FLN196735:FLN196737 FVJ196735:FVJ196737 GFF196735:GFF196737 GPB196735:GPB196737 GYX196735:GYX196737 HIT196735:HIT196737 HSP196735:HSP196737 ICL196735:ICL196737 IMH196735:IMH196737 IWD196735:IWD196737 JFZ196735:JFZ196737 JPV196735:JPV196737 JZR196735:JZR196737 KJN196735:KJN196737 KTJ196735:KTJ196737 LDF196735:LDF196737 LNB196735:LNB196737 LWX196735:LWX196737 MGT196735:MGT196737 MQP196735:MQP196737 NAL196735:NAL196737 NKH196735:NKH196737 NUD196735:NUD196737 ODZ196735:ODZ196737 ONV196735:ONV196737 OXR196735:OXR196737 PHN196735:PHN196737 PRJ196735:PRJ196737 QBF196735:QBF196737 QLB196735:QLB196737 QUX196735:QUX196737 RET196735:RET196737 ROP196735:ROP196737 RYL196735:RYL196737 SIH196735:SIH196737 SSD196735:SSD196737 TBZ196735:TBZ196737 TLV196735:TLV196737 TVR196735:TVR196737 UFN196735:UFN196737 UPJ196735:UPJ196737 UZF196735:UZF196737 VJB196735:VJB196737 VSX196735:VSX196737 WCT196735:WCT196737 WMP196735:WMP196737 WWL196735:WWL196737 AD262271:AD262273 JZ262271:JZ262273 TV262271:TV262273 ADR262271:ADR262273 ANN262271:ANN262273 AXJ262271:AXJ262273 BHF262271:BHF262273 BRB262271:BRB262273 CAX262271:CAX262273 CKT262271:CKT262273 CUP262271:CUP262273 DEL262271:DEL262273 DOH262271:DOH262273 DYD262271:DYD262273 EHZ262271:EHZ262273 ERV262271:ERV262273 FBR262271:FBR262273 FLN262271:FLN262273 FVJ262271:FVJ262273 GFF262271:GFF262273 GPB262271:GPB262273 GYX262271:GYX262273 HIT262271:HIT262273 HSP262271:HSP262273 ICL262271:ICL262273 IMH262271:IMH262273 IWD262271:IWD262273 JFZ262271:JFZ262273 JPV262271:JPV262273 JZR262271:JZR262273 KJN262271:KJN262273 KTJ262271:KTJ262273 LDF262271:LDF262273 LNB262271:LNB262273 LWX262271:LWX262273 MGT262271:MGT262273 MQP262271:MQP262273 NAL262271:NAL262273 NKH262271:NKH262273 NUD262271:NUD262273 ODZ262271:ODZ262273 ONV262271:ONV262273 OXR262271:OXR262273 PHN262271:PHN262273 PRJ262271:PRJ262273 QBF262271:QBF262273 QLB262271:QLB262273 QUX262271:QUX262273 RET262271:RET262273 ROP262271:ROP262273 RYL262271:RYL262273 SIH262271:SIH262273 SSD262271:SSD262273 TBZ262271:TBZ262273 TLV262271:TLV262273 TVR262271:TVR262273 UFN262271:UFN262273 UPJ262271:UPJ262273 UZF262271:UZF262273 VJB262271:VJB262273 VSX262271:VSX262273 WCT262271:WCT262273 WMP262271:WMP262273 WWL262271:WWL262273 AD327807:AD327809 JZ327807:JZ327809 TV327807:TV327809 ADR327807:ADR327809 ANN327807:ANN327809 AXJ327807:AXJ327809 BHF327807:BHF327809 BRB327807:BRB327809 CAX327807:CAX327809 CKT327807:CKT327809 CUP327807:CUP327809 DEL327807:DEL327809 DOH327807:DOH327809 DYD327807:DYD327809 EHZ327807:EHZ327809 ERV327807:ERV327809 FBR327807:FBR327809 FLN327807:FLN327809 FVJ327807:FVJ327809 GFF327807:GFF327809 GPB327807:GPB327809 GYX327807:GYX327809 HIT327807:HIT327809 HSP327807:HSP327809 ICL327807:ICL327809 IMH327807:IMH327809 IWD327807:IWD327809 JFZ327807:JFZ327809 JPV327807:JPV327809 JZR327807:JZR327809 KJN327807:KJN327809 KTJ327807:KTJ327809 LDF327807:LDF327809 LNB327807:LNB327809 LWX327807:LWX327809 MGT327807:MGT327809 MQP327807:MQP327809 NAL327807:NAL327809 NKH327807:NKH327809 NUD327807:NUD327809 ODZ327807:ODZ327809 ONV327807:ONV327809 OXR327807:OXR327809 PHN327807:PHN327809 PRJ327807:PRJ327809 QBF327807:QBF327809 QLB327807:QLB327809 QUX327807:QUX327809 RET327807:RET327809 ROP327807:ROP327809 RYL327807:RYL327809 SIH327807:SIH327809 SSD327807:SSD327809 TBZ327807:TBZ327809 TLV327807:TLV327809 TVR327807:TVR327809 UFN327807:UFN327809 UPJ327807:UPJ327809 UZF327807:UZF327809 VJB327807:VJB327809 VSX327807:VSX327809 WCT327807:WCT327809 WMP327807:WMP327809 WWL327807:WWL327809 AD393343:AD393345 JZ393343:JZ393345 TV393343:TV393345 ADR393343:ADR393345 ANN393343:ANN393345 AXJ393343:AXJ393345 BHF393343:BHF393345 BRB393343:BRB393345 CAX393343:CAX393345 CKT393343:CKT393345 CUP393343:CUP393345 DEL393343:DEL393345 DOH393343:DOH393345 DYD393343:DYD393345 EHZ393343:EHZ393345 ERV393343:ERV393345 FBR393343:FBR393345 FLN393343:FLN393345 FVJ393343:FVJ393345 GFF393343:GFF393345 GPB393343:GPB393345 GYX393343:GYX393345 HIT393343:HIT393345 HSP393343:HSP393345 ICL393343:ICL393345 IMH393343:IMH393345 IWD393343:IWD393345 JFZ393343:JFZ393345 JPV393343:JPV393345 JZR393343:JZR393345 KJN393343:KJN393345 KTJ393343:KTJ393345 LDF393343:LDF393345 LNB393343:LNB393345 LWX393343:LWX393345 MGT393343:MGT393345 MQP393343:MQP393345 NAL393343:NAL393345 NKH393343:NKH393345 NUD393343:NUD393345 ODZ393343:ODZ393345 ONV393343:ONV393345 OXR393343:OXR393345 PHN393343:PHN393345 PRJ393343:PRJ393345 QBF393343:QBF393345 QLB393343:QLB393345 QUX393343:QUX393345 RET393343:RET393345 ROP393343:ROP393345 RYL393343:RYL393345 SIH393343:SIH393345 SSD393343:SSD393345 TBZ393343:TBZ393345 TLV393343:TLV393345 TVR393343:TVR393345 UFN393343:UFN393345 UPJ393343:UPJ393345 UZF393343:UZF393345 VJB393343:VJB393345 VSX393343:VSX393345 WCT393343:WCT393345 WMP393343:WMP393345 WWL393343:WWL393345 AD458879:AD458881 JZ458879:JZ458881 TV458879:TV458881 ADR458879:ADR458881 ANN458879:ANN458881 AXJ458879:AXJ458881 BHF458879:BHF458881 BRB458879:BRB458881 CAX458879:CAX458881 CKT458879:CKT458881 CUP458879:CUP458881 DEL458879:DEL458881 DOH458879:DOH458881 DYD458879:DYD458881 EHZ458879:EHZ458881 ERV458879:ERV458881 FBR458879:FBR458881 FLN458879:FLN458881 FVJ458879:FVJ458881 GFF458879:GFF458881 GPB458879:GPB458881 GYX458879:GYX458881 HIT458879:HIT458881 HSP458879:HSP458881 ICL458879:ICL458881 IMH458879:IMH458881 IWD458879:IWD458881 JFZ458879:JFZ458881 JPV458879:JPV458881 JZR458879:JZR458881 KJN458879:KJN458881 KTJ458879:KTJ458881 LDF458879:LDF458881 LNB458879:LNB458881 LWX458879:LWX458881 MGT458879:MGT458881 MQP458879:MQP458881 NAL458879:NAL458881 NKH458879:NKH458881 NUD458879:NUD458881 ODZ458879:ODZ458881 ONV458879:ONV458881 OXR458879:OXR458881 PHN458879:PHN458881 PRJ458879:PRJ458881 QBF458879:QBF458881 QLB458879:QLB458881 QUX458879:QUX458881 RET458879:RET458881 ROP458879:ROP458881 RYL458879:RYL458881 SIH458879:SIH458881 SSD458879:SSD458881 TBZ458879:TBZ458881 TLV458879:TLV458881 TVR458879:TVR458881 UFN458879:UFN458881 UPJ458879:UPJ458881 UZF458879:UZF458881 VJB458879:VJB458881 VSX458879:VSX458881 WCT458879:WCT458881 WMP458879:WMP458881 WWL458879:WWL458881 AD524415:AD524417 JZ524415:JZ524417 TV524415:TV524417 ADR524415:ADR524417 ANN524415:ANN524417 AXJ524415:AXJ524417 BHF524415:BHF524417 BRB524415:BRB524417 CAX524415:CAX524417 CKT524415:CKT524417 CUP524415:CUP524417 DEL524415:DEL524417 DOH524415:DOH524417 DYD524415:DYD524417 EHZ524415:EHZ524417 ERV524415:ERV524417 FBR524415:FBR524417 FLN524415:FLN524417 FVJ524415:FVJ524417 GFF524415:GFF524417 GPB524415:GPB524417 GYX524415:GYX524417 HIT524415:HIT524417 HSP524415:HSP524417 ICL524415:ICL524417 IMH524415:IMH524417 IWD524415:IWD524417 JFZ524415:JFZ524417 JPV524415:JPV524417 JZR524415:JZR524417 KJN524415:KJN524417 KTJ524415:KTJ524417 LDF524415:LDF524417 LNB524415:LNB524417 LWX524415:LWX524417 MGT524415:MGT524417 MQP524415:MQP524417 NAL524415:NAL524417 NKH524415:NKH524417 NUD524415:NUD524417 ODZ524415:ODZ524417 ONV524415:ONV524417 OXR524415:OXR524417 PHN524415:PHN524417 PRJ524415:PRJ524417 QBF524415:QBF524417 QLB524415:QLB524417 QUX524415:QUX524417 RET524415:RET524417 ROP524415:ROP524417 RYL524415:RYL524417 SIH524415:SIH524417 SSD524415:SSD524417 TBZ524415:TBZ524417 TLV524415:TLV524417 TVR524415:TVR524417 UFN524415:UFN524417 UPJ524415:UPJ524417 UZF524415:UZF524417 VJB524415:VJB524417 VSX524415:VSX524417 WCT524415:WCT524417 WMP524415:WMP524417 WWL524415:WWL524417 AD589951:AD589953 JZ589951:JZ589953 TV589951:TV589953 ADR589951:ADR589953 ANN589951:ANN589953 AXJ589951:AXJ589953 BHF589951:BHF589953 BRB589951:BRB589953 CAX589951:CAX589953 CKT589951:CKT589953 CUP589951:CUP589953 DEL589951:DEL589953 DOH589951:DOH589953 DYD589951:DYD589953 EHZ589951:EHZ589953 ERV589951:ERV589953 FBR589951:FBR589953 FLN589951:FLN589953 FVJ589951:FVJ589953 GFF589951:GFF589953 GPB589951:GPB589953 GYX589951:GYX589953 HIT589951:HIT589953 HSP589951:HSP589953 ICL589951:ICL589953 IMH589951:IMH589953 IWD589951:IWD589953 JFZ589951:JFZ589953 JPV589951:JPV589953 JZR589951:JZR589953 KJN589951:KJN589953 KTJ589951:KTJ589953 LDF589951:LDF589953 LNB589951:LNB589953 LWX589951:LWX589953 MGT589951:MGT589953 MQP589951:MQP589953 NAL589951:NAL589953 NKH589951:NKH589953 NUD589951:NUD589953 ODZ589951:ODZ589953 ONV589951:ONV589953 OXR589951:OXR589953 PHN589951:PHN589953 PRJ589951:PRJ589953 QBF589951:QBF589953 QLB589951:QLB589953 QUX589951:QUX589953 RET589951:RET589953 ROP589951:ROP589953 RYL589951:RYL589953 SIH589951:SIH589953 SSD589951:SSD589953 TBZ589951:TBZ589953 TLV589951:TLV589953 TVR589951:TVR589953 UFN589951:UFN589953 UPJ589951:UPJ589953 UZF589951:UZF589953 VJB589951:VJB589953 VSX589951:VSX589953 WCT589951:WCT589953 WMP589951:WMP589953 WWL589951:WWL589953 AD655487:AD655489 JZ655487:JZ655489 TV655487:TV655489 ADR655487:ADR655489 ANN655487:ANN655489 AXJ655487:AXJ655489 BHF655487:BHF655489 BRB655487:BRB655489 CAX655487:CAX655489 CKT655487:CKT655489 CUP655487:CUP655489 DEL655487:DEL655489 DOH655487:DOH655489 DYD655487:DYD655489 EHZ655487:EHZ655489 ERV655487:ERV655489 FBR655487:FBR655489 FLN655487:FLN655489 FVJ655487:FVJ655489 GFF655487:GFF655489 GPB655487:GPB655489 GYX655487:GYX655489 HIT655487:HIT655489 HSP655487:HSP655489 ICL655487:ICL655489 IMH655487:IMH655489 IWD655487:IWD655489 JFZ655487:JFZ655489 JPV655487:JPV655489 JZR655487:JZR655489 KJN655487:KJN655489 KTJ655487:KTJ655489 LDF655487:LDF655489 LNB655487:LNB655489 LWX655487:LWX655489 MGT655487:MGT655489 MQP655487:MQP655489 NAL655487:NAL655489 NKH655487:NKH655489 NUD655487:NUD655489 ODZ655487:ODZ655489 ONV655487:ONV655489 OXR655487:OXR655489 PHN655487:PHN655489 PRJ655487:PRJ655489 QBF655487:QBF655489 QLB655487:QLB655489 QUX655487:QUX655489 RET655487:RET655489 ROP655487:ROP655489 RYL655487:RYL655489 SIH655487:SIH655489 SSD655487:SSD655489 TBZ655487:TBZ655489 TLV655487:TLV655489 TVR655487:TVR655489 UFN655487:UFN655489 UPJ655487:UPJ655489 UZF655487:UZF655489 VJB655487:VJB655489 VSX655487:VSX655489 WCT655487:WCT655489 WMP655487:WMP655489 WWL655487:WWL655489 AD721023:AD721025 JZ721023:JZ721025 TV721023:TV721025 ADR721023:ADR721025 ANN721023:ANN721025 AXJ721023:AXJ721025 BHF721023:BHF721025 BRB721023:BRB721025 CAX721023:CAX721025 CKT721023:CKT721025 CUP721023:CUP721025 DEL721023:DEL721025 DOH721023:DOH721025 DYD721023:DYD721025 EHZ721023:EHZ721025 ERV721023:ERV721025 FBR721023:FBR721025 FLN721023:FLN721025 FVJ721023:FVJ721025 GFF721023:GFF721025 GPB721023:GPB721025 GYX721023:GYX721025 HIT721023:HIT721025 HSP721023:HSP721025 ICL721023:ICL721025 IMH721023:IMH721025 IWD721023:IWD721025 JFZ721023:JFZ721025 JPV721023:JPV721025 JZR721023:JZR721025 KJN721023:KJN721025 KTJ721023:KTJ721025 LDF721023:LDF721025 LNB721023:LNB721025 LWX721023:LWX721025 MGT721023:MGT721025 MQP721023:MQP721025 NAL721023:NAL721025 NKH721023:NKH721025 NUD721023:NUD721025 ODZ721023:ODZ721025 ONV721023:ONV721025 OXR721023:OXR721025 PHN721023:PHN721025 PRJ721023:PRJ721025 QBF721023:QBF721025 QLB721023:QLB721025 QUX721023:QUX721025 RET721023:RET721025 ROP721023:ROP721025 RYL721023:RYL721025 SIH721023:SIH721025 SSD721023:SSD721025 TBZ721023:TBZ721025 TLV721023:TLV721025 TVR721023:TVR721025 UFN721023:UFN721025 UPJ721023:UPJ721025 UZF721023:UZF721025 VJB721023:VJB721025 VSX721023:VSX721025 WCT721023:WCT721025 WMP721023:WMP721025 WWL721023:WWL721025 AD786559:AD786561 JZ786559:JZ786561 TV786559:TV786561 ADR786559:ADR786561 ANN786559:ANN786561 AXJ786559:AXJ786561 BHF786559:BHF786561 BRB786559:BRB786561 CAX786559:CAX786561 CKT786559:CKT786561 CUP786559:CUP786561 DEL786559:DEL786561 DOH786559:DOH786561 DYD786559:DYD786561 EHZ786559:EHZ786561 ERV786559:ERV786561 FBR786559:FBR786561 FLN786559:FLN786561 FVJ786559:FVJ786561 GFF786559:GFF786561 GPB786559:GPB786561 GYX786559:GYX786561 HIT786559:HIT786561 HSP786559:HSP786561 ICL786559:ICL786561 IMH786559:IMH786561 IWD786559:IWD786561 JFZ786559:JFZ786561 JPV786559:JPV786561 JZR786559:JZR786561 KJN786559:KJN786561 KTJ786559:KTJ786561 LDF786559:LDF786561 LNB786559:LNB786561 LWX786559:LWX786561 MGT786559:MGT786561 MQP786559:MQP786561 NAL786559:NAL786561 NKH786559:NKH786561 NUD786559:NUD786561 ODZ786559:ODZ786561 ONV786559:ONV786561 OXR786559:OXR786561 PHN786559:PHN786561 PRJ786559:PRJ786561 QBF786559:QBF786561 QLB786559:QLB786561 QUX786559:QUX786561 RET786559:RET786561 ROP786559:ROP786561 RYL786559:RYL786561 SIH786559:SIH786561 SSD786559:SSD786561 TBZ786559:TBZ786561 TLV786559:TLV786561 TVR786559:TVR786561 UFN786559:UFN786561 UPJ786559:UPJ786561 UZF786559:UZF786561 VJB786559:VJB786561 VSX786559:VSX786561 WCT786559:WCT786561 WMP786559:WMP786561 WWL786559:WWL786561 AD852095:AD852097 JZ852095:JZ852097 TV852095:TV852097 ADR852095:ADR852097 ANN852095:ANN852097 AXJ852095:AXJ852097 BHF852095:BHF852097 BRB852095:BRB852097 CAX852095:CAX852097 CKT852095:CKT852097 CUP852095:CUP852097 DEL852095:DEL852097 DOH852095:DOH852097 DYD852095:DYD852097 EHZ852095:EHZ852097 ERV852095:ERV852097 FBR852095:FBR852097 FLN852095:FLN852097 FVJ852095:FVJ852097 GFF852095:GFF852097 GPB852095:GPB852097 GYX852095:GYX852097 HIT852095:HIT852097 HSP852095:HSP852097 ICL852095:ICL852097 IMH852095:IMH852097 IWD852095:IWD852097 JFZ852095:JFZ852097 JPV852095:JPV852097 JZR852095:JZR852097 KJN852095:KJN852097 KTJ852095:KTJ852097 LDF852095:LDF852097 LNB852095:LNB852097 LWX852095:LWX852097 MGT852095:MGT852097 MQP852095:MQP852097 NAL852095:NAL852097 NKH852095:NKH852097 NUD852095:NUD852097 ODZ852095:ODZ852097 ONV852095:ONV852097 OXR852095:OXR852097 PHN852095:PHN852097 PRJ852095:PRJ852097 QBF852095:QBF852097 QLB852095:QLB852097 QUX852095:QUX852097 RET852095:RET852097 ROP852095:ROP852097 RYL852095:RYL852097 SIH852095:SIH852097 SSD852095:SSD852097 TBZ852095:TBZ852097 TLV852095:TLV852097 TVR852095:TVR852097 UFN852095:UFN852097 UPJ852095:UPJ852097 UZF852095:UZF852097 VJB852095:VJB852097 VSX852095:VSX852097 WCT852095:WCT852097 WMP852095:WMP852097 WWL852095:WWL852097 AD917631:AD917633 JZ917631:JZ917633 TV917631:TV917633 ADR917631:ADR917633 ANN917631:ANN917633 AXJ917631:AXJ917633 BHF917631:BHF917633 BRB917631:BRB917633 CAX917631:CAX917633 CKT917631:CKT917633 CUP917631:CUP917633 DEL917631:DEL917633 DOH917631:DOH917633 DYD917631:DYD917633 EHZ917631:EHZ917633 ERV917631:ERV917633 FBR917631:FBR917633 FLN917631:FLN917633 FVJ917631:FVJ917633 GFF917631:GFF917633 GPB917631:GPB917633 GYX917631:GYX917633 HIT917631:HIT917633 HSP917631:HSP917633 ICL917631:ICL917633 IMH917631:IMH917633 IWD917631:IWD917633 JFZ917631:JFZ917633 JPV917631:JPV917633 JZR917631:JZR917633 KJN917631:KJN917633 KTJ917631:KTJ917633 LDF917631:LDF917633 LNB917631:LNB917633 LWX917631:LWX917633 MGT917631:MGT917633 MQP917631:MQP917633 NAL917631:NAL917633 NKH917631:NKH917633 NUD917631:NUD917633 ODZ917631:ODZ917633 ONV917631:ONV917633 OXR917631:OXR917633 PHN917631:PHN917633 PRJ917631:PRJ917633 QBF917631:QBF917633 QLB917631:QLB917633 QUX917631:QUX917633 RET917631:RET917633 ROP917631:ROP917633 RYL917631:RYL917633 SIH917631:SIH917633 SSD917631:SSD917633 TBZ917631:TBZ917633 TLV917631:TLV917633 TVR917631:TVR917633 UFN917631:UFN917633 UPJ917631:UPJ917633 UZF917631:UZF917633 VJB917631:VJB917633 VSX917631:VSX917633 WCT917631:WCT917633 WMP917631:WMP917633 WWL917631:WWL917633 AD983167:AD983169 JZ983167:JZ983169 TV983167:TV983169 ADR983167:ADR983169 ANN983167:ANN983169 AXJ983167:AXJ983169 BHF983167:BHF983169 BRB983167:BRB983169 CAX983167:CAX983169 CKT983167:CKT983169 CUP983167:CUP983169 DEL983167:DEL983169 DOH983167:DOH983169 DYD983167:DYD983169 EHZ983167:EHZ983169 ERV983167:ERV983169 FBR983167:FBR983169 FLN983167:FLN983169 FVJ983167:FVJ983169 GFF983167:GFF983169 GPB983167:GPB983169 GYX983167:GYX983169 HIT983167:HIT983169 HSP983167:HSP983169 ICL983167:ICL983169 IMH983167:IMH983169 IWD983167:IWD983169 JFZ983167:JFZ983169 JPV983167:JPV983169 JZR983167:JZR983169 KJN983167:KJN983169 KTJ983167:KTJ983169 LDF983167:LDF983169 LNB983167:LNB983169 LWX983167:LWX983169 MGT983167:MGT983169 MQP983167:MQP983169 NAL983167:NAL983169 NKH983167:NKH983169 NUD983167:NUD983169 ODZ983167:ODZ983169 ONV983167:ONV983169 OXR983167:OXR983169 PHN983167:PHN983169 PRJ983167:PRJ983169 QBF983167:QBF983169 QLB983167:QLB983169 QUX983167:QUX983169 RET983167:RET983169 ROP983167:ROP983169 RYL983167:RYL983169 SIH983167:SIH983169 SSD983167:SSD983169 TBZ983167:TBZ983169 TLV983167:TLV983169 TVR983167:TVR983169 UFN983167:UFN983169 UPJ983167:UPJ983169 UZF983167:UZF983169 VJB983167:VJB983169 VSX983167:VSX983169 WCT983167:WCT983169 WMP983167:WMP983169 WWL983167:WWL983169 AD122:AD124 JZ122:JZ124 TV122:TV124 ADR122:ADR124 ANN122:ANN124 AXJ122:AXJ124 BHF122:BHF124 BRB122:BRB124 CAX122:CAX124 CKT122:CKT124 CUP122:CUP124 DEL122:DEL124 DOH122:DOH124 DYD122:DYD124 EHZ122:EHZ124 ERV122:ERV124 FBR122:FBR124 FLN122:FLN124 FVJ122:FVJ124 GFF122:GFF124 GPB122:GPB124 GYX122:GYX124 HIT122:HIT124 HSP122:HSP124 ICL122:ICL124 IMH122:IMH124 IWD122:IWD124 JFZ122:JFZ124 JPV122:JPV124 JZR122:JZR124 KJN122:KJN124 KTJ122:KTJ124 LDF122:LDF124 LNB122:LNB124 LWX122:LWX124 MGT122:MGT124 MQP122:MQP124 NAL122:NAL124 NKH122:NKH124 NUD122:NUD124 ODZ122:ODZ124 ONV122:ONV124 OXR122:OXR124 PHN122:PHN124 PRJ122:PRJ124 QBF122:QBF124 QLB122:QLB124 QUX122:QUX124 RET122:RET124 ROP122:ROP124 RYL122:RYL124 SIH122:SIH124 SSD122:SSD124 TBZ122:TBZ124 TLV122:TLV124 TVR122:TVR124 UFN122:UFN124 UPJ122:UPJ124 UZF122:UZF124 VJB122:VJB124 VSX122:VSX124 WCT122:WCT124 WMP122:WMP124 WWL122:WWL124 AD65659:AD65661 JZ65659:JZ65661 TV65659:TV65661 ADR65659:ADR65661 ANN65659:ANN65661 AXJ65659:AXJ65661 BHF65659:BHF65661 BRB65659:BRB65661 CAX65659:CAX65661 CKT65659:CKT65661 CUP65659:CUP65661 DEL65659:DEL65661 DOH65659:DOH65661 DYD65659:DYD65661 EHZ65659:EHZ65661 ERV65659:ERV65661 FBR65659:FBR65661 FLN65659:FLN65661 FVJ65659:FVJ65661 GFF65659:GFF65661 GPB65659:GPB65661 GYX65659:GYX65661 HIT65659:HIT65661 HSP65659:HSP65661 ICL65659:ICL65661 IMH65659:IMH65661 IWD65659:IWD65661 JFZ65659:JFZ65661 JPV65659:JPV65661 JZR65659:JZR65661 KJN65659:KJN65661 KTJ65659:KTJ65661 LDF65659:LDF65661 LNB65659:LNB65661 LWX65659:LWX65661 MGT65659:MGT65661 MQP65659:MQP65661 NAL65659:NAL65661 NKH65659:NKH65661 NUD65659:NUD65661 ODZ65659:ODZ65661 ONV65659:ONV65661 OXR65659:OXR65661 PHN65659:PHN65661 PRJ65659:PRJ65661 QBF65659:QBF65661 QLB65659:QLB65661 QUX65659:QUX65661 RET65659:RET65661 ROP65659:ROP65661 RYL65659:RYL65661 SIH65659:SIH65661 SSD65659:SSD65661 TBZ65659:TBZ65661 TLV65659:TLV65661 TVR65659:TVR65661 UFN65659:UFN65661 UPJ65659:UPJ65661 UZF65659:UZF65661 VJB65659:VJB65661 VSX65659:VSX65661 WCT65659:WCT65661 WMP65659:WMP65661 WWL65659:WWL65661 AD131195:AD131197 JZ131195:JZ131197 TV131195:TV131197 ADR131195:ADR131197 ANN131195:ANN131197 AXJ131195:AXJ131197 BHF131195:BHF131197 BRB131195:BRB131197 CAX131195:CAX131197 CKT131195:CKT131197 CUP131195:CUP131197 DEL131195:DEL131197 DOH131195:DOH131197 DYD131195:DYD131197 EHZ131195:EHZ131197 ERV131195:ERV131197 FBR131195:FBR131197 FLN131195:FLN131197 FVJ131195:FVJ131197 GFF131195:GFF131197 GPB131195:GPB131197 GYX131195:GYX131197 HIT131195:HIT131197 HSP131195:HSP131197 ICL131195:ICL131197 IMH131195:IMH131197 IWD131195:IWD131197 JFZ131195:JFZ131197 JPV131195:JPV131197 JZR131195:JZR131197 KJN131195:KJN131197 KTJ131195:KTJ131197 LDF131195:LDF131197 LNB131195:LNB131197 LWX131195:LWX131197 MGT131195:MGT131197 MQP131195:MQP131197 NAL131195:NAL131197 NKH131195:NKH131197 NUD131195:NUD131197 ODZ131195:ODZ131197 ONV131195:ONV131197 OXR131195:OXR131197 PHN131195:PHN131197 PRJ131195:PRJ131197 QBF131195:QBF131197 QLB131195:QLB131197 QUX131195:QUX131197 RET131195:RET131197 ROP131195:ROP131197 RYL131195:RYL131197 SIH131195:SIH131197 SSD131195:SSD131197 TBZ131195:TBZ131197 TLV131195:TLV131197 TVR131195:TVR131197 UFN131195:UFN131197 UPJ131195:UPJ131197 UZF131195:UZF131197 VJB131195:VJB131197 VSX131195:VSX131197 WCT131195:WCT131197 WMP131195:WMP131197 WWL131195:WWL131197 AD196731:AD196733 JZ196731:JZ196733 TV196731:TV196733 ADR196731:ADR196733 ANN196731:ANN196733 AXJ196731:AXJ196733 BHF196731:BHF196733 BRB196731:BRB196733 CAX196731:CAX196733 CKT196731:CKT196733 CUP196731:CUP196733 DEL196731:DEL196733 DOH196731:DOH196733 DYD196731:DYD196733 EHZ196731:EHZ196733 ERV196731:ERV196733 FBR196731:FBR196733 FLN196731:FLN196733 FVJ196731:FVJ196733 GFF196731:GFF196733 GPB196731:GPB196733 GYX196731:GYX196733 HIT196731:HIT196733 HSP196731:HSP196733 ICL196731:ICL196733 IMH196731:IMH196733 IWD196731:IWD196733 JFZ196731:JFZ196733 JPV196731:JPV196733 JZR196731:JZR196733 KJN196731:KJN196733 KTJ196731:KTJ196733 LDF196731:LDF196733 LNB196731:LNB196733 LWX196731:LWX196733 MGT196731:MGT196733 MQP196731:MQP196733 NAL196731:NAL196733 NKH196731:NKH196733 NUD196731:NUD196733 ODZ196731:ODZ196733 ONV196731:ONV196733 OXR196731:OXR196733 PHN196731:PHN196733 PRJ196731:PRJ196733 QBF196731:QBF196733 QLB196731:QLB196733 QUX196731:QUX196733 RET196731:RET196733 ROP196731:ROP196733 RYL196731:RYL196733 SIH196731:SIH196733 SSD196731:SSD196733 TBZ196731:TBZ196733 TLV196731:TLV196733 TVR196731:TVR196733 UFN196731:UFN196733 UPJ196731:UPJ196733 UZF196731:UZF196733 VJB196731:VJB196733 VSX196731:VSX196733 WCT196731:WCT196733 WMP196731:WMP196733 WWL196731:WWL196733 AD262267:AD262269 JZ262267:JZ262269 TV262267:TV262269 ADR262267:ADR262269 ANN262267:ANN262269 AXJ262267:AXJ262269 BHF262267:BHF262269 BRB262267:BRB262269 CAX262267:CAX262269 CKT262267:CKT262269 CUP262267:CUP262269 DEL262267:DEL262269 DOH262267:DOH262269 DYD262267:DYD262269 EHZ262267:EHZ262269 ERV262267:ERV262269 FBR262267:FBR262269 FLN262267:FLN262269 FVJ262267:FVJ262269 GFF262267:GFF262269 GPB262267:GPB262269 GYX262267:GYX262269 HIT262267:HIT262269 HSP262267:HSP262269 ICL262267:ICL262269 IMH262267:IMH262269 IWD262267:IWD262269 JFZ262267:JFZ262269 JPV262267:JPV262269 JZR262267:JZR262269 KJN262267:KJN262269 KTJ262267:KTJ262269 LDF262267:LDF262269 LNB262267:LNB262269 LWX262267:LWX262269 MGT262267:MGT262269 MQP262267:MQP262269 NAL262267:NAL262269 NKH262267:NKH262269 NUD262267:NUD262269 ODZ262267:ODZ262269 ONV262267:ONV262269 OXR262267:OXR262269 PHN262267:PHN262269 PRJ262267:PRJ262269 QBF262267:QBF262269 QLB262267:QLB262269 QUX262267:QUX262269 RET262267:RET262269 ROP262267:ROP262269 RYL262267:RYL262269 SIH262267:SIH262269 SSD262267:SSD262269 TBZ262267:TBZ262269 TLV262267:TLV262269 TVR262267:TVR262269 UFN262267:UFN262269 UPJ262267:UPJ262269 UZF262267:UZF262269 VJB262267:VJB262269 VSX262267:VSX262269 WCT262267:WCT262269 WMP262267:WMP262269 WWL262267:WWL262269 AD327803:AD327805 JZ327803:JZ327805 TV327803:TV327805 ADR327803:ADR327805 ANN327803:ANN327805 AXJ327803:AXJ327805 BHF327803:BHF327805 BRB327803:BRB327805 CAX327803:CAX327805 CKT327803:CKT327805 CUP327803:CUP327805 DEL327803:DEL327805 DOH327803:DOH327805 DYD327803:DYD327805 EHZ327803:EHZ327805 ERV327803:ERV327805 FBR327803:FBR327805 FLN327803:FLN327805 FVJ327803:FVJ327805 GFF327803:GFF327805 GPB327803:GPB327805 GYX327803:GYX327805 HIT327803:HIT327805 HSP327803:HSP327805 ICL327803:ICL327805 IMH327803:IMH327805 IWD327803:IWD327805 JFZ327803:JFZ327805 JPV327803:JPV327805 JZR327803:JZR327805 KJN327803:KJN327805 KTJ327803:KTJ327805 LDF327803:LDF327805 LNB327803:LNB327805 LWX327803:LWX327805 MGT327803:MGT327805 MQP327803:MQP327805 NAL327803:NAL327805 NKH327803:NKH327805 NUD327803:NUD327805 ODZ327803:ODZ327805 ONV327803:ONV327805 OXR327803:OXR327805 PHN327803:PHN327805 PRJ327803:PRJ327805 QBF327803:QBF327805 QLB327803:QLB327805 QUX327803:QUX327805 RET327803:RET327805 ROP327803:ROP327805 RYL327803:RYL327805 SIH327803:SIH327805 SSD327803:SSD327805 TBZ327803:TBZ327805 TLV327803:TLV327805 TVR327803:TVR327805 UFN327803:UFN327805 UPJ327803:UPJ327805 UZF327803:UZF327805 VJB327803:VJB327805 VSX327803:VSX327805 WCT327803:WCT327805 WMP327803:WMP327805 WWL327803:WWL327805 AD393339:AD393341 JZ393339:JZ393341 TV393339:TV393341 ADR393339:ADR393341 ANN393339:ANN393341 AXJ393339:AXJ393341 BHF393339:BHF393341 BRB393339:BRB393341 CAX393339:CAX393341 CKT393339:CKT393341 CUP393339:CUP393341 DEL393339:DEL393341 DOH393339:DOH393341 DYD393339:DYD393341 EHZ393339:EHZ393341 ERV393339:ERV393341 FBR393339:FBR393341 FLN393339:FLN393341 FVJ393339:FVJ393341 GFF393339:GFF393341 GPB393339:GPB393341 GYX393339:GYX393341 HIT393339:HIT393341 HSP393339:HSP393341 ICL393339:ICL393341 IMH393339:IMH393341 IWD393339:IWD393341 JFZ393339:JFZ393341 JPV393339:JPV393341 JZR393339:JZR393341 KJN393339:KJN393341 KTJ393339:KTJ393341 LDF393339:LDF393341 LNB393339:LNB393341 LWX393339:LWX393341 MGT393339:MGT393341 MQP393339:MQP393341 NAL393339:NAL393341 NKH393339:NKH393341 NUD393339:NUD393341 ODZ393339:ODZ393341 ONV393339:ONV393341 OXR393339:OXR393341 PHN393339:PHN393341 PRJ393339:PRJ393341 QBF393339:QBF393341 QLB393339:QLB393341 QUX393339:QUX393341 RET393339:RET393341 ROP393339:ROP393341 RYL393339:RYL393341 SIH393339:SIH393341 SSD393339:SSD393341 TBZ393339:TBZ393341 TLV393339:TLV393341 TVR393339:TVR393341 UFN393339:UFN393341 UPJ393339:UPJ393341 UZF393339:UZF393341 VJB393339:VJB393341 VSX393339:VSX393341 WCT393339:WCT393341 WMP393339:WMP393341 WWL393339:WWL393341 AD458875:AD458877 JZ458875:JZ458877 TV458875:TV458877 ADR458875:ADR458877 ANN458875:ANN458877 AXJ458875:AXJ458877 BHF458875:BHF458877 BRB458875:BRB458877 CAX458875:CAX458877 CKT458875:CKT458877 CUP458875:CUP458877 DEL458875:DEL458877 DOH458875:DOH458877 DYD458875:DYD458877 EHZ458875:EHZ458877 ERV458875:ERV458877 FBR458875:FBR458877 FLN458875:FLN458877 FVJ458875:FVJ458877 GFF458875:GFF458877 GPB458875:GPB458877 GYX458875:GYX458877 HIT458875:HIT458877 HSP458875:HSP458877 ICL458875:ICL458877 IMH458875:IMH458877 IWD458875:IWD458877 JFZ458875:JFZ458877 JPV458875:JPV458877 JZR458875:JZR458877 KJN458875:KJN458877 KTJ458875:KTJ458877 LDF458875:LDF458877 LNB458875:LNB458877 LWX458875:LWX458877 MGT458875:MGT458877 MQP458875:MQP458877 NAL458875:NAL458877 NKH458875:NKH458877 NUD458875:NUD458877 ODZ458875:ODZ458877 ONV458875:ONV458877 OXR458875:OXR458877 PHN458875:PHN458877 PRJ458875:PRJ458877 QBF458875:QBF458877 QLB458875:QLB458877 QUX458875:QUX458877 RET458875:RET458877 ROP458875:ROP458877 RYL458875:RYL458877 SIH458875:SIH458877 SSD458875:SSD458877 TBZ458875:TBZ458877 TLV458875:TLV458877 TVR458875:TVR458877 UFN458875:UFN458877 UPJ458875:UPJ458877 UZF458875:UZF458877 VJB458875:VJB458877 VSX458875:VSX458877 WCT458875:WCT458877 WMP458875:WMP458877 WWL458875:WWL458877 AD524411:AD524413 JZ524411:JZ524413 TV524411:TV524413 ADR524411:ADR524413 ANN524411:ANN524413 AXJ524411:AXJ524413 BHF524411:BHF524413 BRB524411:BRB524413 CAX524411:CAX524413 CKT524411:CKT524413 CUP524411:CUP524413 DEL524411:DEL524413 DOH524411:DOH524413 DYD524411:DYD524413 EHZ524411:EHZ524413 ERV524411:ERV524413 FBR524411:FBR524413 FLN524411:FLN524413 FVJ524411:FVJ524413 GFF524411:GFF524413 GPB524411:GPB524413 GYX524411:GYX524413 HIT524411:HIT524413 HSP524411:HSP524413 ICL524411:ICL524413 IMH524411:IMH524413 IWD524411:IWD524413 JFZ524411:JFZ524413 JPV524411:JPV524413 JZR524411:JZR524413 KJN524411:KJN524413 KTJ524411:KTJ524413 LDF524411:LDF524413 LNB524411:LNB524413 LWX524411:LWX524413 MGT524411:MGT524413 MQP524411:MQP524413 NAL524411:NAL524413 NKH524411:NKH524413 NUD524411:NUD524413 ODZ524411:ODZ524413 ONV524411:ONV524413 OXR524411:OXR524413 PHN524411:PHN524413 PRJ524411:PRJ524413 QBF524411:QBF524413 QLB524411:QLB524413 QUX524411:QUX524413 RET524411:RET524413 ROP524411:ROP524413 RYL524411:RYL524413 SIH524411:SIH524413 SSD524411:SSD524413 TBZ524411:TBZ524413 TLV524411:TLV524413 TVR524411:TVR524413 UFN524411:UFN524413 UPJ524411:UPJ524413 UZF524411:UZF524413 VJB524411:VJB524413 VSX524411:VSX524413 WCT524411:WCT524413 WMP524411:WMP524413 WWL524411:WWL524413 AD589947:AD589949 JZ589947:JZ589949 TV589947:TV589949 ADR589947:ADR589949 ANN589947:ANN589949 AXJ589947:AXJ589949 BHF589947:BHF589949 BRB589947:BRB589949 CAX589947:CAX589949 CKT589947:CKT589949 CUP589947:CUP589949 DEL589947:DEL589949 DOH589947:DOH589949 DYD589947:DYD589949 EHZ589947:EHZ589949 ERV589947:ERV589949 FBR589947:FBR589949 FLN589947:FLN589949 FVJ589947:FVJ589949 GFF589947:GFF589949 GPB589947:GPB589949 GYX589947:GYX589949 HIT589947:HIT589949 HSP589947:HSP589949 ICL589947:ICL589949 IMH589947:IMH589949 IWD589947:IWD589949 JFZ589947:JFZ589949 JPV589947:JPV589949 JZR589947:JZR589949 KJN589947:KJN589949 KTJ589947:KTJ589949 LDF589947:LDF589949 LNB589947:LNB589949 LWX589947:LWX589949 MGT589947:MGT589949 MQP589947:MQP589949 NAL589947:NAL589949 NKH589947:NKH589949 NUD589947:NUD589949 ODZ589947:ODZ589949 ONV589947:ONV589949 OXR589947:OXR589949 PHN589947:PHN589949 PRJ589947:PRJ589949 QBF589947:QBF589949 QLB589947:QLB589949 QUX589947:QUX589949 RET589947:RET589949 ROP589947:ROP589949 RYL589947:RYL589949 SIH589947:SIH589949 SSD589947:SSD589949 TBZ589947:TBZ589949 TLV589947:TLV589949 TVR589947:TVR589949 UFN589947:UFN589949 UPJ589947:UPJ589949 UZF589947:UZF589949 VJB589947:VJB589949 VSX589947:VSX589949 WCT589947:WCT589949 WMP589947:WMP589949 WWL589947:WWL589949 AD655483:AD655485 JZ655483:JZ655485 TV655483:TV655485 ADR655483:ADR655485 ANN655483:ANN655485 AXJ655483:AXJ655485 BHF655483:BHF655485 BRB655483:BRB655485 CAX655483:CAX655485 CKT655483:CKT655485 CUP655483:CUP655485 DEL655483:DEL655485 DOH655483:DOH655485 DYD655483:DYD655485 EHZ655483:EHZ655485 ERV655483:ERV655485 FBR655483:FBR655485 FLN655483:FLN655485 FVJ655483:FVJ655485 GFF655483:GFF655485 GPB655483:GPB655485 GYX655483:GYX655485 HIT655483:HIT655485 HSP655483:HSP655485 ICL655483:ICL655485 IMH655483:IMH655485 IWD655483:IWD655485 JFZ655483:JFZ655485 JPV655483:JPV655485 JZR655483:JZR655485 KJN655483:KJN655485 KTJ655483:KTJ655485 LDF655483:LDF655485 LNB655483:LNB655485 LWX655483:LWX655485 MGT655483:MGT655485 MQP655483:MQP655485 NAL655483:NAL655485 NKH655483:NKH655485 NUD655483:NUD655485 ODZ655483:ODZ655485 ONV655483:ONV655485 OXR655483:OXR655485 PHN655483:PHN655485 PRJ655483:PRJ655485 QBF655483:QBF655485 QLB655483:QLB655485 QUX655483:QUX655485 RET655483:RET655485 ROP655483:ROP655485 RYL655483:RYL655485 SIH655483:SIH655485 SSD655483:SSD655485 TBZ655483:TBZ655485 TLV655483:TLV655485 TVR655483:TVR655485 UFN655483:UFN655485 UPJ655483:UPJ655485 UZF655483:UZF655485 VJB655483:VJB655485 VSX655483:VSX655485 WCT655483:WCT655485 WMP655483:WMP655485 WWL655483:WWL655485 AD721019:AD721021 JZ721019:JZ721021 TV721019:TV721021 ADR721019:ADR721021 ANN721019:ANN721021 AXJ721019:AXJ721021 BHF721019:BHF721021 BRB721019:BRB721021 CAX721019:CAX721021 CKT721019:CKT721021 CUP721019:CUP721021 DEL721019:DEL721021 DOH721019:DOH721021 DYD721019:DYD721021 EHZ721019:EHZ721021 ERV721019:ERV721021 FBR721019:FBR721021 FLN721019:FLN721021 FVJ721019:FVJ721021 GFF721019:GFF721021 GPB721019:GPB721021 GYX721019:GYX721021 HIT721019:HIT721021 HSP721019:HSP721021 ICL721019:ICL721021 IMH721019:IMH721021 IWD721019:IWD721021 JFZ721019:JFZ721021 JPV721019:JPV721021 JZR721019:JZR721021 KJN721019:KJN721021 KTJ721019:KTJ721021 LDF721019:LDF721021 LNB721019:LNB721021 LWX721019:LWX721021 MGT721019:MGT721021 MQP721019:MQP721021 NAL721019:NAL721021 NKH721019:NKH721021 NUD721019:NUD721021 ODZ721019:ODZ721021 ONV721019:ONV721021 OXR721019:OXR721021 PHN721019:PHN721021 PRJ721019:PRJ721021 QBF721019:QBF721021 QLB721019:QLB721021 QUX721019:QUX721021 RET721019:RET721021 ROP721019:ROP721021 RYL721019:RYL721021 SIH721019:SIH721021 SSD721019:SSD721021 TBZ721019:TBZ721021 TLV721019:TLV721021 TVR721019:TVR721021 UFN721019:UFN721021 UPJ721019:UPJ721021 UZF721019:UZF721021 VJB721019:VJB721021 VSX721019:VSX721021 WCT721019:WCT721021 WMP721019:WMP721021 WWL721019:WWL721021 AD786555:AD786557 JZ786555:JZ786557 TV786555:TV786557 ADR786555:ADR786557 ANN786555:ANN786557 AXJ786555:AXJ786557 BHF786555:BHF786557 BRB786555:BRB786557 CAX786555:CAX786557 CKT786555:CKT786557 CUP786555:CUP786557 DEL786555:DEL786557 DOH786555:DOH786557 DYD786555:DYD786557 EHZ786555:EHZ786557 ERV786555:ERV786557 FBR786555:FBR786557 FLN786555:FLN786557 FVJ786555:FVJ786557 GFF786555:GFF786557 GPB786555:GPB786557 GYX786555:GYX786557 HIT786555:HIT786557 HSP786555:HSP786557 ICL786555:ICL786557 IMH786555:IMH786557 IWD786555:IWD786557 JFZ786555:JFZ786557 JPV786555:JPV786557 JZR786555:JZR786557 KJN786555:KJN786557 KTJ786555:KTJ786557 LDF786555:LDF786557 LNB786555:LNB786557 LWX786555:LWX786557 MGT786555:MGT786557 MQP786555:MQP786557 NAL786555:NAL786557 NKH786555:NKH786557 NUD786555:NUD786557 ODZ786555:ODZ786557 ONV786555:ONV786557 OXR786555:OXR786557 PHN786555:PHN786557 PRJ786555:PRJ786557 QBF786555:QBF786557 QLB786555:QLB786557 QUX786555:QUX786557 RET786555:RET786557 ROP786555:ROP786557 RYL786555:RYL786557 SIH786555:SIH786557 SSD786555:SSD786557 TBZ786555:TBZ786557 TLV786555:TLV786557 TVR786555:TVR786557 UFN786555:UFN786557 UPJ786555:UPJ786557 UZF786555:UZF786557 VJB786555:VJB786557 VSX786555:VSX786557 WCT786555:WCT786557 WMP786555:WMP786557 WWL786555:WWL786557 AD852091:AD852093 JZ852091:JZ852093 TV852091:TV852093 ADR852091:ADR852093 ANN852091:ANN852093 AXJ852091:AXJ852093 BHF852091:BHF852093 BRB852091:BRB852093 CAX852091:CAX852093 CKT852091:CKT852093 CUP852091:CUP852093 DEL852091:DEL852093 DOH852091:DOH852093 DYD852091:DYD852093 EHZ852091:EHZ852093 ERV852091:ERV852093 FBR852091:FBR852093 FLN852091:FLN852093 FVJ852091:FVJ852093 GFF852091:GFF852093 GPB852091:GPB852093 GYX852091:GYX852093 HIT852091:HIT852093 HSP852091:HSP852093 ICL852091:ICL852093 IMH852091:IMH852093 IWD852091:IWD852093 JFZ852091:JFZ852093 JPV852091:JPV852093 JZR852091:JZR852093 KJN852091:KJN852093 KTJ852091:KTJ852093 LDF852091:LDF852093 LNB852091:LNB852093 LWX852091:LWX852093 MGT852091:MGT852093 MQP852091:MQP852093 NAL852091:NAL852093 NKH852091:NKH852093 NUD852091:NUD852093 ODZ852091:ODZ852093 ONV852091:ONV852093 OXR852091:OXR852093 PHN852091:PHN852093 PRJ852091:PRJ852093 QBF852091:QBF852093 QLB852091:QLB852093 QUX852091:QUX852093 RET852091:RET852093 ROP852091:ROP852093 RYL852091:RYL852093 SIH852091:SIH852093 SSD852091:SSD852093 TBZ852091:TBZ852093 TLV852091:TLV852093 TVR852091:TVR852093 UFN852091:UFN852093 UPJ852091:UPJ852093 UZF852091:UZF852093 VJB852091:VJB852093 VSX852091:VSX852093 WCT852091:WCT852093 WMP852091:WMP852093 WWL852091:WWL852093 AD917627:AD917629 JZ917627:JZ917629 TV917627:TV917629 ADR917627:ADR917629 ANN917627:ANN917629 AXJ917627:AXJ917629 BHF917627:BHF917629 BRB917627:BRB917629 CAX917627:CAX917629 CKT917627:CKT917629 CUP917627:CUP917629 DEL917627:DEL917629 DOH917627:DOH917629 DYD917627:DYD917629 EHZ917627:EHZ917629 ERV917627:ERV917629 FBR917627:FBR917629 FLN917627:FLN917629 FVJ917627:FVJ917629 GFF917627:GFF917629 GPB917627:GPB917629 GYX917627:GYX917629 HIT917627:HIT917629 HSP917627:HSP917629 ICL917627:ICL917629 IMH917627:IMH917629 IWD917627:IWD917629 JFZ917627:JFZ917629 JPV917627:JPV917629 JZR917627:JZR917629 KJN917627:KJN917629 KTJ917627:KTJ917629 LDF917627:LDF917629 LNB917627:LNB917629 LWX917627:LWX917629 MGT917627:MGT917629 MQP917627:MQP917629 NAL917627:NAL917629 NKH917627:NKH917629 NUD917627:NUD917629 ODZ917627:ODZ917629 ONV917627:ONV917629 OXR917627:OXR917629 PHN917627:PHN917629 PRJ917627:PRJ917629 QBF917627:QBF917629 QLB917627:QLB917629 QUX917627:QUX917629 RET917627:RET917629 ROP917627:ROP917629 RYL917627:RYL917629 SIH917627:SIH917629 SSD917627:SSD917629 TBZ917627:TBZ917629 TLV917627:TLV917629 TVR917627:TVR917629 UFN917627:UFN917629 UPJ917627:UPJ917629 UZF917627:UZF917629 VJB917627:VJB917629 VSX917627:VSX917629 WCT917627:WCT917629 WMP917627:WMP917629 WWL917627:WWL917629 AD983163:AD983165 JZ983163:JZ983165 TV983163:TV983165 ADR983163:ADR983165 ANN983163:ANN983165 AXJ983163:AXJ983165 BHF983163:BHF983165 BRB983163:BRB983165 CAX983163:CAX983165 CKT983163:CKT983165 CUP983163:CUP983165 DEL983163:DEL983165 DOH983163:DOH983165 DYD983163:DYD983165 EHZ983163:EHZ983165 ERV983163:ERV983165 FBR983163:FBR983165 FLN983163:FLN983165 FVJ983163:FVJ983165 GFF983163:GFF983165 GPB983163:GPB983165 GYX983163:GYX983165 HIT983163:HIT983165 HSP983163:HSP983165 ICL983163:ICL983165 IMH983163:IMH983165 IWD983163:IWD983165 JFZ983163:JFZ983165 JPV983163:JPV983165 JZR983163:JZR983165 KJN983163:KJN983165 KTJ983163:KTJ983165 LDF983163:LDF983165 LNB983163:LNB983165 LWX983163:LWX983165 MGT983163:MGT983165 MQP983163:MQP983165 NAL983163:NAL983165 NKH983163:NKH983165 NUD983163:NUD983165 ODZ983163:ODZ983165 ONV983163:ONV983165 OXR983163:OXR983165 PHN983163:PHN983165 PRJ983163:PRJ983165 QBF983163:QBF983165 QLB983163:QLB983165 QUX983163:QUX983165 RET983163:RET983165 ROP983163:ROP983165 RYL983163:RYL983165 SIH983163:SIH983165 SSD983163:SSD983165 TBZ983163:TBZ983165 TLV983163:TLV983165 TVR983163:TVR983165 UFN983163:UFN983165 UPJ983163:UPJ983165 UZF983163:UZF983165 VJB983163:VJB983165 VSX983163:VSX983165 WCT983163:WCT983165 WMP983163:WMP983165 WWL983163:WWL983165 AD104:AD118 JZ104:JZ118 TV104:TV118 ADR104:ADR118 ANN104:ANN118 AXJ104:AXJ118 BHF104:BHF118 BRB104:BRB118 CAX104:CAX118 CKT104:CKT118 CUP104:CUP118 DEL104:DEL118 DOH104:DOH118 DYD104:DYD118 EHZ104:EHZ118 ERV104:ERV118 FBR104:FBR118 FLN104:FLN118 FVJ104:FVJ118 GFF104:GFF118 GPB104:GPB118 GYX104:GYX118 HIT104:HIT118 HSP104:HSP118 ICL104:ICL118 IMH104:IMH118 IWD104:IWD118 JFZ104:JFZ118 JPV104:JPV118 JZR104:JZR118 KJN104:KJN118 KTJ104:KTJ118 LDF104:LDF118 LNB104:LNB118 LWX104:LWX118 MGT104:MGT118 MQP104:MQP118 NAL104:NAL118 NKH104:NKH118 NUD104:NUD118 ODZ104:ODZ118 ONV104:ONV118 OXR104:OXR118 PHN104:PHN118 PRJ104:PRJ118 QBF104:QBF118 QLB104:QLB118 QUX104:QUX118 RET104:RET118 ROP104:ROP118 RYL104:RYL118 SIH104:SIH118 SSD104:SSD118 TBZ104:TBZ118 TLV104:TLV118 TVR104:TVR118 UFN104:UFN118 UPJ104:UPJ118 UZF104:UZF118 VJB104:VJB118 VSX104:VSX118 WCT104:WCT118 WMP104:WMP118 WWL104:WWL118 AD65641:AD65655 JZ65641:JZ65655 TV65641:TV65655 ADR65641:ADR65655 ANN65641:ANN65655 AXJ65641:AXJ65655 BHF65641:BHF65655 BRB65641:BRB65655 CAX65641:CAX65655 CKT65641:CKT65655 CUP65641:CUP65655 DEL65641:DEL65655 DOH65641:DOH65655 DYD65641:DYD65655 EHZ65641:EHZ65655 ERV65641:ERV65655 FBR65641:FBR65655 FLN65641:FLN65655 FVJ65641:FVJ65655 GFF65641:GFF65655 GPB65641:GPB65655 GYX65641:GYX65655 HIT65641:HIT65655 HSP65641:HSP65655 ICL65641:ICL65655 IMH65641:IMH65655 IWD65641:IWD65655 JFZ65641:JFZ65655 JPV65641:JPV65655 JZR65641:JZR65655 KJN65641:KJN65655 KTJ65641:KTJ65655 LDF65641:LDF65655 LNB65641:LNB65655 LWX65641:LWX65655 MGT65641:MGT65655 MQP65641:MQP65655 NAL65641:NAL65655 NKH65641:NKH65655 NUD65641:NUD65655 ODZ65641:ODZ65655 ONV65641:ONV65655 OXR65641:OXR65655 PHN65641:PHN65655 PRJ65641:PRJ65655 QBF65641:QBF65655 QLB65641:QLB65655 QUX65641:QUX65655 RET65641:RET65655 ROP65641:ROP65655 RYL65641:RYL65655 SIH65641:SIH65655 SSD65641:SSD65655 TBZ65641:TBZ65655 TLV65641:TLV65655 TVR65641:TVR65655 UFN65641:UFN65655 UPJ65641:UPJ65655 UZF65641:UZF65655 VJB65641:VJB65655 VSX65641:VSX65655 WCT65641:WCT65655 WMP65641:WMP65655 WWL65641:WWL65655 AD131177:AD131191 JZ131177:JZ131191 TV131177:TV131191 ADR131177:ADR131191 ANN131177:ANN131191 AXJ131177:AXJ131191 BHF131177:BHF131191 BRB131177:BRB131191 CAX131177:CAX131191 CKT131177:CKT131191 CUP131177:CUP131191 DEL131177:DEL131191 DOH131177:DOH131191 DYD131177:DYD131191 EHZ131177:EHZ131191 ERV131177:ERV131191 FBR131177:FBR131191 FLN131177:FLN131191 FVJ131177:FVJ131191 GFF131177:GFF131191 GPB131177:GPB131191 GYX131177:GYX131191 HIT131177:HIT131191 HSP131177:HSP131191 ICL131177:ICL131191 IMH131177:IMH131191 IWD131177:IWD131191 JFZ131177:JFZ131191 JPV131177:JPV131191 JZR131177:JZR131191 KJN131177:KJN131191 KTJ131177:KTJ131191 LDF131177:LDF131191 LNB131177:LNB131191 LWX131177:LWX131191 MGT131177:MGT131191 MQP131177:MQP131191 NAL131177:NAL131191 NKH131177:NKH131191 NUD131177:NUD131191 ODZ131177:ODZ131191 ONV131177:ONV131191 OXR131177:OXR131191 PHN131177:PHN131191 PRJ131177:PRJ131191 QBF131177:QBF131191 QLB131177:QLB131191 QUX131177:QUX131191 RET131177:RET131191 ROP131177:ROP131191 RYL131177:RYL131191 SIH131177:SIH131191 SSD131177:SSD131191 TBZ131177:TBZ131191 TLV131177:TLV131191 TVR131177:TVR131191 UFN131177:UFN131191 UPJ131177:UPJ131191 UZF131177:UZF131191 VJB131177:VJB131191 VSX131177:VSX131191 WCT131177:WCT131191 WMP131177:WMP131191 WWL131177:WWL131191 AD196713:AD196727 JZ196713:JZ196727 TV196713:TV196727 ADR196713:ADR196727 ANN196713:ANN196727 AXJ196713:AXJ196727 BHF196713:BHF196727 BRB196713:BRB196727 CAX196713:CAX196727 CKT196713:CKT196727 CUP196713:CUP196727 DEL196713:DEL196727 DOH196713:DOH196727 DYD196713:DYD196727 EHZ196713:EHZ196727 ERV196713:ERV196727 FBR196713:FBR196727 FLN196713:FLN196727 FVJ196713:FVJ196727 GFF196713:GFF196727 GPB196713:GPB196727 GYX196713:GYX196727 HIT196713:HIT196727 HSP196713:HSP196727 ICL196713:ICL196727 IMH196713:IMH196727 IWD196713:IWD196727 JFZ196713:JFZ196727 JPV196713:JPV196727 JZR196713:JZR196727 KJN196713:KJN196727 KTJ196713:KTJ196727 LDF196713:LDF196727 LNB196713:LNB196727 LWX196713:LWX196727 MGT196713:MGT196727 MQP196713:MQP196727 NAL196713:NAL196727 NKH196713:NKH196727 NUD196713:NUD196727 ODZ196713:ODZ196727 ONV196713:ONV196727 OXR196713:OXR196727 PHN196713:PHN196727 PRJ196713:PRJ196727 QBF196713:QBF196727 QLB196713:QLB196727 QUX196713:QUX196727 RET196713:RET196727 ROP196713:ROP196727 RYL196713:RYL196727 SIH196713:SIH196727 SSD196713:SSD196727 TBZ196713:TBZ196727 TLV196713:TLV196727 TVR196713:TVR196727 UFN196713:UFN196727 UPJ196713:UPJ196727 UZF196713:UZF196727 VJB196713:VJB196727 VSX196713:VSX196727 WCT196713:WCT196727 WMP196713:WMP196727 WWL196713:WWL196727 AD262249:AD262263 JZ262249:JZ262263 TV262249:TV262263 ADR262249:ADR262263 ANN262249:ANN262263 AXJ262249:AXJ262263 BHF262249:BHF262263 BRB262249:BRB262263 CAX262249:CAX262263 CKT262249:CKT262263 CUP262249:CUP262263 DEL262249:DEL262263 DOH262249:DOH262263 DYD262249:DYD262263 EHZ262249:EHZ262263 ERV262249:ERV262263 FBR262249:FBR262263 FLN262249:FLN262263 FVJ262249:FVJ262263 GFF262249:GFF262263 GPB262249:GPB262263 GYX262249:GYX262263 HIT262249:HIT262263 HSP262249:HSP262263 ICL262249:ICL262263 IMH262249:IMH262263 IWD262249:IWD262263 JFZ262249:JFZ262263 JPV262249:JPV262263 JZR262249:JZR262263 KJN262249:KJN262263 KTJ262249:KTJ262263 LDF262249:LDF262263 LNB262249:LNB262263 LWX262249:LWX262263 MGT262249:MGT262263 MQP262249:MQP262263 NAL262249:NAL262263 NKH262249:NKH262263 NUD262249:NUD262263 ODZ262249:ODZ262263 ONV262249:ONV262263 OXR262249:OXR262263 PHN262249:PHN262263 PRJ262249:PRJ262263 QBF262249:QBF262263 QLB262249:QLB262263 QUX262249:QUX262263 RET262249:RET262263 ROP262249:ROP262263 RYL262249:RYL262263 SIH262249:SIH262263 SSD262249:SSD262263 TBZ262249:TBZ262263 TLV262249:TLV262263 TVR262249:TVR262263 UFN262249:UFN262263 UPJ262249:UPJ262263 UZF262249:UZF262263 VJB262249:VJB262263 VSX262249:VSX262263 WCT262249:WCT262263 WMP262249:WMP262263 WWL262249:WWL262263 AD327785:AD327799 JZ327785:JZ327799 TV327785:TV327799 ADR327785:ADR327799 ANN327785:ANN327799 AXJ327785:AXJ327799 BHF327785:BHF327799 BRB327785:BRB327799 CAX327785:CAX327799 CKT327785:CKT327799 CUP327785:CUP327799 DEL327785:DEL327799 DOH327785:DOH327799 DYD327785:DYD327799 EHZ327785:EHZ327799 ERV327785:ERV327799 FBR327785:FBR327799 FLN327785:FLN327799 FVJ327785:FVJ327799 GFF327785:GFF327799 GPB327785:GPB327799 GYX327785:GYX327799 HIT327785:HIT327799 HSP327785:HSP327799 ICL327785:ICL327799 IMH327785:IMH327799 IWD327785:IWD327799 JFZ327785:JFZ327799 JPV327785:JPV327799 JZR327785:JZR327799 KJN327785:KJN327799 KTJ327785:KTJ327799 LDF327785:LDF327799 LNB327785:LNB327799 LWX327785:LWX327799 MGT327785:MGT327799 MQP327785:MQP327799 NAL327785:NAL327799 NKH327785:NKH327799 NUD327785:NUD327799 ODZ327785:ODZ327799 ONV327785:ONV327799 OXR327785:OXR327799 PHN327785:PHN327799 PRJ327785:PRJ327799 QBF327785:QBF327799 QLB327785:QLB327799 QUX327785:QUX327799 RET327785:RET327799 ROP327785:ROP327799 RYL327785:RYL327799 SIH327785:SIH327799 SSD327785:SSD327799 TBZ327785:TBZ327799 TLV327785:TLV327799 TVR327785:TVR327799 UFN327785:UFN327799 UPJ327785:UPJ327799 UZF327785:UZF327799 VJB327785:VJB327799 VSX327785:VSX327799 WCT327785:WCT327799 WMP327785:WMP327799 WWL327785:WWL327799 AD393321:AD393335 JZ393321:JZ393335 TV393321:TV393335 ADR393321:ADR393335 ANN393321:ANN393335 AXJ393321:AXJ393335 BHF393321:BHF393335 BRB393321:BRB393335 CAX393321:CAX393335 CKT393321:CKT393335 CUP393321:CUP393335 DEL393321:DEL393335 DOH393321:DOH393335 DYD393321:DYD393335 EHZ393321:EHZ393335 ERV393321:ERV393335 FBR393321:FBR393335 FLN393321:FLN393335 FVJ393321:FVJ393335 GFF393321:GFF393335 GPB393321:GPB393335 GYX393321:GYX393335 HIT393321:HIT393335 HSP393321:HSP393335 ICL393321:ICL393335 IMH393321:IMH393335 IWD393321:IWD393335 JFZ393321:JFZ393335 JPV393321:JPV393335 JZR393321:JZR393335 KJN393321:KJN393335 KTJ393321:KTJ393335 LDF393321:LDF393335 LNB393321:LNB393335 LWX393321:LWX393335 MGT393321:MGT393335 MQP393321:MQP393335 NAL393321:NAL393335 NKH393321:NKH393335 NUD393321:NUD393335 ODZ393321:ODZ393335 ONV393321:ONV393335 OXR393321:OXR393335 PHN393321:PHN393335 PRJ393321:PRJ393335 QBF393321:QBF393335 QLB393321:QLB393335 QUX393321:QUX393335 RET393321:RET393335 ROP393321:ROP393335 RYL393321:RYL393335 SIH393321:SIH393335 SSD393321:SSD393335 TBZ393321:TBZ393335 TLV393321:TLV393335 TVR393321:TVR393335 UFN393321:UFN393335 UPJ393321:UPJ393335 UZF393321:UZF393335 VJB393321:VJB393335 VSX393321:VSX393335 WCT393321:WCT393335 WMP393321:WMP393335 WWL393321:WWL393335 AD458857:AD458871 JZ458857:JZ458871 TV458857:TV458871 ADR458857:ADR458871 ANN458857:ANN458871 AXJ458857:AXJ458871 BHF458857:BHF458871 BRB458857:BRB458871 CAX458857:CAX458871 CKT458857:CKT458871 CUP458857:CUP458871 DEL458857:DEL458871 DOH458857:DOH458871 DYD458857:DYD458871 EHZ458857:EHZ458871 ERV458857:ERV458871 FBR458857:FBR458871 FLN458857:FLN458871 FVJ458857:FVJ458871 GFF458857:GFF458871 GPB458857:GPB458871 GYX458857:GYX458871 HIT458857:HIT458871 HSP458857:HSP458871 ICL458857:ICL458871 IMH458857:IMH458871 IWD458857:IWD458871 JFZ458857:JFZ458871 JPV458857:JPV458871 JZR458857:JZR458871 KJN458857:KJN458871 KTJ458857:KTJ458871 LDF458857:LDF458871 LNB458857:LNB458871 LWX458857:LWX458871 MGT458857:MGT458871 MQP458857:MQP458871 NAL458857:NAL458871 NKH458857:NKH458871 NUD458857:NUD458871 ODZ458857:ODZ458871 ONV458857:ONV458871 OXR458857:OXR458871 PHN458857:PHN458871 PRJ458857:PRJ458871 QBF458857:QBF458871 QLB458857:QLB458871 QUX458857:QUX458871 RET458857:RET458871 ROP458857:ROP458871 RYL458857:RYL458871 SIH458857:SIH458871 SSD458857:SSD458871 TBZ458857:TBZ458871 TLV458857:TLV458871 TVR458857:TVR458871 UFN458857:UFN458871 UPJ458857:UPJ458871 UZF458857:UZF458871 VJB458857:VJB458871 VSX458857:VSX458871 WCT458857:WCT458871 WMP458857:WMP458871 WWL458857:WWL458871 AD524393:AD524407 JZ524393:JZ524407 TV524393:TV524407 ADR524393:ADR524407 ANN524393:ANN524407 AXJ524393:AXJ524407 BHF524393:BHF524407 BRB524393:BRB524407 CAX524393:CAX524407 CKT524393:CKT524407 CUP524393:CUP524407 DEL524393:DEL524407 DOH524393:DOH524407 DYD524393:DYD524407 EHZ524393:EHZ524407 ERV524393:ERV524407 FBR524393:FBR524407 FLN524393:FLN524407 FVJ524393:FVJ524407 GFF524393:GFF524407 GPB524393:GPB524407 GYX524393:GYX524407 HIT524393:HIT524407 HSP524393:HSP524407 ICL524393:ICL524407 IMH524393:IMH524407 IWD524393:IWD524407 JFZ524393:JFZ524407 JPV524393:JPV524407 JZR524393:JZR524407 KJN524393:KJN524407 KTJ524393:KTJ524407 LDF524393:LDF524407 LNB524393:LNB524407 LWX524393:LWX524407 MGT524393:MGT524407 MQP524393:MQP524407 NAL524393:NAL524407 NKH524393:NKH524407 NUD524393:NUD524407 ODZ524393:ODZ524407 ONV524393:ONV524407 OXR524393:OXR524407 PHN524393:PHN524407 PRJ524393:PRJ524407 QBF524393:QBF524407 QLB524393:QLB524407 QUX524393:QUX524407 RET524393:RET524407 ROP524393:ROP524407 RYL524393:RYL524407 SIH524393:SIH524407 SSD524393:SSD524407 TBZ524393:TBZ524407 TLV524393:TLV524407 TVR524393:TVR524407 UFN524393:UFN524407 UPJ524393:UPJ524407 UZF524393:UZF524407 VJB524393:VJB524407 VSX524393:VSX524407 WCT524393:WCT524407 WMP524393:WMP524407 WWL524393:WWL524407 AD589929:AD589943 JZ589929:JZ589943 TV589929:TV589943 ADR589929:ADR589943 ANN589929:ANN589943 AXJ589929:AXJ589943 BHF589929:BHF589943 BRB589929:BRB589943 CAX589929:CAX589943 CKT589929:CKT589943 CUP589929:CUP589943 DEL589929:DEL589943 DOH589929:DOH589943 DYD589929:DYD589943 EHZ589929:EHZ589943 ERV589929:ERV589943 FBR589929:FBR589943 FLN589929:FLN589943 FVJ589929:FVJ589943 GFF589929:GFF589943 GPB589929:GPB589943 GYX589929:GYX589943 HIT589929:HIT589943 HSP589929:HSP589943 ICL589929:ICL589943 IMH589929:IMH589943 IWD589929:IWD589943 JFZ589929:JFZ589943 JPV589929:JPV589943 JZR589929:JZR589943 KJN589929:KJN589943 KTJ589929:KTJ589943 LDF589929:LDF589943 LNB589929:LNB589943 LWX589929:LWX589943 MGT589929:MGT589943 MQP589929:MQP589943 NAL589929:NAL589943 NKH589929:NKH589943 NUD589929:NUD589943 ODZ589929:ODZ589943 ONV589929:ONV589943 OXR589929:OXR589943 PHN589929:PHN589943 PRJ589929:PRJ589943 QBF589929:QBF589943 QLB589929:QLB589943 QUX589929:QUX589943 RET589929:RET589943 ROP589929:ROP589943 RYL589929:RYL589943 SIH589929:SIH589943 SSD589929:SSD589943 TBZ589929:TBZ589943 TLV589929:TLV589943 TVR589929:TVR589943 UFN589929:UFN589943 UPJ589929:UPJ589943 UZF589929:UZF589943 VJB589929:VJB589943 VSX589929:VSX589943 WCT589929:WCT589943 WMP589929:WMP589943 WWL589929:WWL589943 AD655465:AD655479 JZ655465:JZ655479 TV655465:TV655479 ADR655465:ADR655479 ANN655465:ANN655479 AXJ655465:AXJ655479 BHF655465:BHF655479 BRB655465:BRB655479 CAX655465:CAX655479 CKT655465:CKT655479 CUP655465:CUP655479 DEL655465:DEL655479 DOH655465:DOH655479 DYD655465:DYD655479 EHZ655465:EHZ655479 ERV655465:ERV655479 FBR655465:FBR655479 FLN655465:FLN655479 FVJ655465:FVJ655479 GFF655465:GFF655479 GPB655465:GPB655479 GYX655465:GYX655479 HIT655465:HIT655479 HSP655465:HSP655479 ICL655465:ICL655479 IMH655465:IMH655479 IWD655465:IWD655479 JFZ655465:JFZ655479 JPV655465:JPV655479 JZR655465:JZR655479 KJN655465:KJN655479 KTJ655465:KTJ655479 LDF655465:LDF655479 LNB655465:LNB655479 LWX655465:LWX655479 MGT655465:MGT655479 MQP655465:MQP655479 NAL655465:NAL655479 NKH655465:NKH655479 NUD655465:NUD655479 ODZ655465:ODZ655479 ONV655465:ONV655479 OXR655465:OXR655479 PHN655465:PHN655479 PRJ655465:PRJ655479 QBF655465:QBF655479 QLB655465:QLB655479 QUX655465:QUX655479 RET655465:RET655479 ROP655465:ROP655479 RYL655465:RYL655479 SIH655465:SIH655479 SSD655465:SSD655479 TBZ655465:TBZ655479 TLV655465:TLV655479 TVR655465:TVR655479 UFN655465:UFN655479 UPJ655465:UPJ655479 UZF655465:UZF655479 VJB655465:VJB655479 VSX655465:VSX655479 WCT655465:WCT655479 WMP655465:WMP655479 WWL655465:WWL655479 AD721001:AD721015 JZ721001:JZ721015 TV721001:TV721015 ADR721001:ADR721015 ANN721001:ANN721015 AXJ721001:AXJ721015 BHF721001:BHF721015 BRB721001:BRB721015 CAX721001:CAX721015 CKT721001:CKT721015 CUP721001:CUP721015 DEL721001:DEL721015 DOH721001:DOH721015 DYD721001:DYD721015 EHZ721001:EHZ721015 ERV721001:ERV721015 FBR721001:FBR721015 FLN721001:FLN721015 FVJ721001:FVJ721015 GFF721001:GFF721015 GPB721001:GPB721015 GYX721001:GYX721015 HIT721001:HIT721015 HSP721001:HSP721015 ICL721001:ICL721015 IMH721001:IMH721015 IWD721001:IWD721015 JFZ721001:JFZ721015 JPV721001:JPV721015 JZR721001:JZR721015 KJN721001:KJN721015 KTJ721001:KTJ721015 LDF721001:LDF721015 LNB721001:LNB721015 LWX721001:LWX721015 MGT721001:MGT721015 MQP721001:MQP721015 NAL721001:NAL721015 NKH721001:NKH721015 NUD721001:NUD721015 ODZ721001:ODZ721015 ONV721001:ONV721015 OXR721001:OXR721015 PHN721001:PHN721015 PRJ721001:PRJ721015 QBF721001:QBF721015 QLB721001:QLB721015 QUX721001:QUX721015 RET721001:RET721015 ROP721001:ROP721015 RYL721001:RYL721015 SIH721001:SIH721015 SSD721001:SSD721015 TBZ721001:TBZ721015 TLV721001:TLV721015 TVR721001:TVR721015 UFN721001:UFN721015 UPJ721001:UPJ721015 UZF721001:UZF721015 VJB721001:VJB721015 VSX721001:VSX721015 WCT721001:WCT721015 WMP721001:WMP721015 WWL721001:WWL721015 AD786537:AD786551 JZ786537:JZ786551 TV786537:TV786551 ADR786537:ADR786551 ANN786537:ANN786551 AXJ786537:AXJ786551 BHF786537:BHF786551 BRB786537:BRB786551 CAX786537:CAX786551 CKT786537:CKT786551 CUP786537:CUP786551 DEL786537:DEL786551 DOH786537:DOH786551 DYD786537:DYD786551 EHZ786537:EHZ786551 ERV786537:ERV786551 FBR786537:FBR786551 FLN786537:FLN786551 FVJ786537:FVJ786551 GFF786537:GFF786551 GPB786537:GPB786551 GYX786537:GYX786551 HIT786537:HIT786551 HSP786537:HSP786551 ICL786537:ICL786551 IMH786537:IMH786551 IWD786537:IWD786551 JFZ786537:JFZ786551 JPV786537:JPV786551 JZR786537:JZR786551 KJN786537:KJN786551 KTJ786537:KTJ786551 LDF786537:LDF786551 LNB786537:LNB786551 LWX786537:LWX786551 MGT786537:MGT786551 MQP786537:MQP786551 NAL786537:NAL786551 NKH786537:NKH786551 NUD786537:NUD786551 ODZ786537:ODZ786551 ONV786537:ONV786551 OXR786537:OXR786551 PHN786537:PHN786551 PRJ786537:PRJ786551 QBF786537:QBF786551 QLB786537:QLB786551 QUX786537:QUX786551 RET786537:RET786551 ROP786537:ROP786551 RYL786537:RYL786551 SIH786537:SIH786551 SSD786537:SSD786551 TBZ786537:TBZ786551 TLV786537:TLV786551 TVR786537:TVR786551 UFN786537:UFN786551 UPJ786537:UPJ786551 UZF786537:UZF786551 VJB786537:VJB786551 VSX786537:VSX786551 WCT786537:WCT786551 WMP786537:WMP786551 WWL786537:WWL786551 AD852073:AD852087 JZ852073:JZ852087 TV852073:TV852087 ADR852073:ADR852087 ANN852073:ANN852087 AXJ852073:AXJ852087 BHF852073:BHF852087 BRB852073:BRB852087 CAX852073:CAX852087 CKT852073:CKT852087 CUP852073:CUP852087 DEL852073:DEL852087 DOH852073:DOH852087 DYD852073:DYD852087 EHZ852073:EHZ852087 ERV852073:ERV852087 FBR852073:FBR852087 FLN852073:FLN852087 FVJ852073:FVJ852087 GFF852073:GFF852087 GPB852073:GPB852087 GYX852073:GYX852087 HIT852073:HIT852087 HSP852073:HSP852087 ICL852073:ICL852087 IMH852073:IMH852087 IWD852073:IWD852087 JFZ852073:JFZ852087 JPV852073:JPV852087 JZR852073:JZR852087 KJN852073:KJN852087 KTJ852073:KTJ852087 LDF852073:LDF852087 LNB852073:LNB852087 LWX852073:LWX852087 MGT852073:MGT852087 MQP852073:MQP852087 NAL852073:NAL852087 NKH852073:NKH852087 NUD852073:NUD852087 ODZ852073:ODZ852087 ONV852073:ONV852087 OXR852073:OXR852087 PHN852073:PHN852087 PRJ852073:PRJ852087 QBF852073:QBF852087 QLB852073:QLB852087 QUX852073:QUX852087 RET852073:RET852087 ROP852073:ROP852087 RYL852073:RYL852087 SIH852073:SIH852087 SSD852073:SSD852087 TBZ852073:TBZ852087 TLV852073:TLV852087 TVR852073:TVR852087 UFN852073:UFN852087 UPJ852073:UPJ852087 UZF852073:UZF852087 VJB852073:VJB852087 VSX852073:VSX852087 WCT852073:WCT852087 WMP852073:WMP852087 WWL852073:WWL852087 AD917609:AD917623 JZ917609:JZ917623 TV917609:TV917623 ADR917609:ADR917623 ANN917609:ANN917623 AXJ917609:AXJ917623 BHF917609:BHF917623 BRB917609:BRB917623 CAX917609:CAX917623 CKT917609:CKT917623 CUP917609:CUP917623 DEL917609:DEL917623 DOH917609:DOH917623 DYD917609:DYD917623 EHZ917609:EHZ917623 ERV917609:ERV917623 FBR917609:FBR917623 FLN917609:FLN917623 FVJ917609:FVJ917623 GFF917609:GFF917623 GPB917609:GPB917623 GYX917609:GYX917623 HIT917609:HIT917623 HSP917609:HSP917623 ICL917609:ICL917623 IMH917609:IMH917623 IWD917609:IWD917623 JFZ917609:JFZ917623 JPV917609:JPV917623 JZR917609:JZR917623 KJN917609:KJN917623 KTJ917609:KTJ917623 LDF917609:LDF917623 LNB917609:LNB917623 LWX917609:LWX917623 MGT917609:MGT917623 MQP917609:MQP917623 NAL917609:NAL917623 NKH917609:NKH917623 NUD917609:NUD917623 ODZ917609:ODZ917623 ONV917609:ONV917623 OXR917609:OXR917623 PHN917609:PHN917623 PRJ917609:PRJ917623 QBF917609:QBF917623 QLB917609:QLB917623 QUX917609:QUX917623 RET917609:RET917623 ROP917609:ROP917623 RYL917609:RYL917623 SIH917609:SIH917623 SSD917609:SSD917623 TBZ917609:TBZ917623 TLV917609:TLV917623 TVR917609:TVR917623 UFN917609:UFN917623 UPJ917609:UPJ917623 UZF917609:UZF917623 VJB917609:VJB917623 VSX917609:VSX917623 WCT917609:WCT917623 WMP917609:WMP917623 WWL917609:WWL917623 AD983145:AD983159 JZ983145:JZ983159 TV983145:TV983159 ADR983145:ADR983159 ANN983145:ANN983159 AXJ983145:AXJ983159 BHF983145:BHF983159 BRB983145:BRB983159 CAX983145:CAX983159 CKT983145:CKT983159 CUP983145:CUP983159 DEL983145:DEL983159 DOH983145:DOH983159 DYD983145:DYD983159 EHZ983145:EHZ983159 ERV983145:ERV983159 FBR983145:FBR983159 FLN983145:FLN983159 FVJ983145:FVJ983159 GFF983145:GFF983159 GPB983145:GPB983159 GYX983145:GYX983159 HIT983145:HIT983159 HSP983145:HSP983159 ICL983145:ICL983159 IMH983145:IMH983159 IWD983145:IWD983159 JFZ983145:JFZ983159 JPV983145:JPV983159 JZR983145:JZR983159 KJN983145:KJN983159 KTJ983145:KTJ983159 LDF983145:LDF983159 LNB983145:LNB983159 LWX983145:LWX983159 MGT983145:MGT983159 MQP983145:MQP983159 NAL983145:NAL983159 NKH983145:NKH983159 NUD983145:NUD983159 ODZ983145:ODZ983159 ONV983145:ONV983159 OXR983145:OXR983159 PHN983145:PHN983159 PRJ983145:PRJ983159 QBF983145:QBF983159 QLB983145:QLB983159 QUX983145:QUX983159 RET983145:RET983159 ROP983145:ROP983159 RYL983145:RYL983159 SIH983145:SIH983159 SSD983145:SSD983159 TBZ983145:TBZ983159 TLV983145:TLV983159 TVR983145:TVR983159 UFN983145:UFN983159 UPJ983145:UPJ983159 UZF983145:UZF983159 VJB983145:VJB983159 VSX983145:VSX983159 WCT983145:WCT983159 WMP983145:WMP983159 WWL983145:WWL983159 AD100:AD102 JZ100:JZ102 TV100:TV102 ADR100:ADR102 ANN100:ANN102 AXJ100:AXJ102 BHF100:BHF102 BRB100:BRB102 CAX100:CAX102 CKT100:CKT102 CUP100:CUP102 DEL100:DEL102 DOH100:DOH102 DYD100:DYD102 EHZ100:EHZ102 ERV100:ERV102 FBR100:FBR102 FLN100:FLN102 FVJ100:FVJ102 GFF100:GFF102 GPB100:GPB102 GYX100:GYX102 HIT100:HIT102 HSP100:HSP102 ICL100:ICL102 IMH100:IMH102 IWD100:IWD102 JFZ100:JFZ102 JPV100:JPV102 JZR100:JZR102 KJN100:KJN102 KTJ100:KTJ102 LDF100:LDF102 LNB100:LNB102 LWX100:LWX102 MGT100:MGT102 MQP100:MQP102 NAL100:NAL102 NKH100:NKH102 NUD100:NUD102 ODZ100:ODZ102 ONV100:ONV102 OXR100:OXR102 PHN100:PHN102 PRJ100:PRJ102 QBF100:QBF102 QLB100:QLB102 QUX100:QUX102 RET100:RET102 ROP100:ROP102 RYL100:RYL102 SIH100:SIH102 SSD100:SSD102 TBZ100:TBZ102 TLV100:TLV102 TVR100:TVR102 UFN100:UFN102 UPJ100:UPJ102 UZF100:UZF102 VJB100:VJB102 VSX100:VSX102 WCT100:WCT102 WMP100:WMP102 WWL100:WWL102 AD65637:AD65639 JZ65637:JZ65639 TV65637:TV65639 ADR65637:ADR65639 ANN65637:ANN65639 AXJ65637:AXJ65639 BHF65637:BHF65639 BRB65637:BRB65639 CAX65637:CAX65639 CKT65637:CKT65639 CUP65637:CUP65639 DEL65637:DEL65639 DOH65637:DOH65639 DYD65637:DYD65639 EHZ65637:EHZ65639 ERV65637:ERV65639 FBR65637:FBR65639 FLN65637:FLN65639 FVJ65637:FVJ65639 GFF65637:GFF65639 GPB65637:GPB65639 GYX65637:GYX65639 HIT65637:HIT65639 HSP65637:HSP65639 ICL65637:ICL65639 IMH65637:IMH65639 IWD65637:IWD65639 JFZ65637:JFZ65639 JPV65637:JPV65639 JZR65637:JZR65639 KJN65637:KJN65639 KTJ65637:KTJ65639 LDF65637:LDF65639 LNB65637:LNB65639 LWX65637:LWX65639 MGT65637:MGT65639 MQP65637:MQP65639 NAL65637:NAL65639 NKH65637:NKH65639 NUD65637:NUD65639 ODZ65637:ODZ65639 ONV65637:ONV65639 OXR65637:OXR65639 PHN65637:PHN65639 PRJ65637:PRJ65639 QBF65637:QBF65639 QLB65637:QLB65639 QUX65637:QUX65639 RET65637:RET65639 ROP65637:ROP65639 RYL65637:RYL65639 SIH65637:SIH65639 SSD65637:SSD65639 TBZ65637:TBZ65639 TLV65637:TLV65639 TVR65637:TVR65639 UFN65637:UFN65639 UPJ65637:UPJ65639 UZF65637:UZF65639 VJB65637:VJB65639 VSX65637:VSX65639 WCT65637:WCT65639 WMP65637:WMP65639 WWL65637:WWL65639 AD131173:AD131175 JZ131173:JZ131175 TV131173:TV131175 ADR131173:ADR131175 ANN131173:ANN131175 AXJ131173:AXJ131175 BHF131173:BHF131175 BRB131173:BRB131175 CAX131173:CAX131175 CKT131173:CKT131175 CUP131173:CUP131175 DEL131173:DEL131175 DOH131173:DOH131175 DYD131173:DYD131175 EHZ131173:EHZ131175 ERV131173:ERV131175 FBR131173:FBR131175 FLN131173:FLN131175 FVJ131173:FVJ131175 GFF131173:GFF131175 GPB131173:GPB131175 GYX131173:GYX131175 HIT131173:HIT131175 HSP131173:HSP131175 ICL131173:ICL131175 IMH131173:IMH131175 IWD131173:IWD131175 JFZ131173:JFZ131175 JPV131173:JPV131175 JZR131173:JZR131175 KJN131173:KJN131175 KTJ131173:KTJ131175 LDF131173:LDF131175 LNB131173:LNB131175 LWX131173:LWX131175 MGT131173:MGT131175 MQP131173:MQP131175 NAL131173:NAL131175 NKH131173:NKH131175 NUD131173:NUD131175 ODZ131173:ODZ131175 ONV131173:ONV131175 OXR131173:OXR131175 PHN131173:PHN131175 PRJ131173:PRJ131175 QBF131173:QBF131175 QLB131173:QLB131175 QUX131173:QUX131175 RET131173:RET131175 ROP131173:ROP131175 RYL131173:RYL131175 SIH131173:SIH131175 SSD131173:SSD131175 TBZ131173:TBZ131175 TLV131173:TLV131175 TVR131173:TVR131175 UFN131173:UFN131175 UPJ131173:UPJ131175 UZF131173:UZF131175 VJB131173:VJB131175 VSX131173:VSX131175 WCT131173:WCT131175 WMP131173:WMP131175 WWL131173:WWL131175 AD196709:AD196711 JZ196709:JZ196711 TV196709:TV196711 ADR196709:ADR196711 ANN196709:ANN196711 AXJ196709:AXJ196711 BHF196709:BHF196711 BRB196709:BRB196711 CAX196709:CAX196711 CKT196709:CKT196711 CUP196709:CUP196711 DEL196709:DEL196711 DOH196709:DOH196711 DYD196709:DYD196711 EHZ196709:EHZ196711 ERV196709:ERV196711 FBR196709:FBR196711 FLN196709:FLN196711 FVJ196709:FVJ196711 GFF196709:GFF196711 GPB196709:GPB196711 GYX196709:GYX196711 HIT196709:HIT196711 HSP196709:HSP196711 ICL196709:ICL196711 IMH196709:IMH196711 IWD196709:IWD196711 JFZ196709:JFZ196711 JPV196709:JPV196711 JZR196709:JZR196711 KJN196709:KJN196711 KTJ196709:KTJ196711 LDF196709:LDF196711 LNB196709:LNB196711 LWX196709:LWX196711 MGT196709:MGT196711 MQP196709:MQP196711 NAL196709:NAL196711 NKH196709:NKH196711 NUD196709:NUD196711 ODZ196709:ODZ196711 ONV196709:ONV196711 OXR196709:OXR196711 PHN196709:PHN196711 PRJ196709:PRJ196711 QBF196709:QBF196711 QLB196709:QLB196711 QUX196709:QUX196711 RET196709:RET196711 ROP196709:ROP196711 RYL196709:RYL196711 SIH196709:SIH196711 SSD196709:SSD196711 TBZ196709:TBZ196711 TLV196709:TLV196711 TVR196709:TVR196711 UFN196709:UFN196711 UPJ196709:UPJ196711 UZF196709:UZF196711 VJB196709:VJB196711 VSX196709:VSX196711 WCT196709:WCT196711 WMP196709:WMP196711 WWL196709:WWL196711 AD262245:AD262247 JZ262245:JZ262247 TV262245:TV262247 ADR262245:ADR262247 ANN262245:ANN262247 AXJ262245:AXJ262247 BHF262245:BHF262247 BRB262245:BRB262247 CAX262245:CAX262247 CKT262245:CKT262247 CUP262245:CUP262247 DEL262245:DEL262247 DOH262245:DOH262247 DYD262245:DYD262247 EHZ262245:EHZ262247 ERV262245:ERV262247 FBR262245:FBR262247 FLN262245:FLN262247 FVJ262245:FVJ262247 GFF262245:GFF262247 GPB262245:GPB262247 GYX262245:GYX262247 HIT262245:HIT262247 HSP262245:HSP262247 ICL262245:ICL262247 IMH262245:IMH262247 IWD262245:IWD262247 JFZ262245:JFZ262247 JPV262245:JPV262247 JZR262245:JZR262247 KJN262245:KJN262247 KTJ262245:KTJ262247 LDF262245:LDF262247 LNB262245:LNB262247 LWX262245:LWX262247 MGT262245:MGT262247 MQP262245:MQP262247 NAL262245:NAL262247 NKH262245:NKH262247 NUD262245:NUD262247 ODZ262245:ODZ262247 ONV262245:ONV262247 OXR262245:OXR262247 PHN262245:PHN262247 PRJ262245:PRJ262247 QBF262245:QBF262247 QLB262245:QLB262247 QUX262245:QUX262247 RET262245:RET262247 ROP262245:ROP262247 RYL262245:RYL262247 SIH262245:SIH262247 SSD262245:SSD262247 TBZ262245:TBZ262247 TLV262245:TLV262247 TVR262245:TVR262247 UFN262245:UFN262247 UPJ262245:UPJ262247 UZF262245:UZF262247 VJB262245:VJB262247 VSX262245:VSX262247 WCT262245:WCT262247 WMP262245:WMP262247 WWL262245:WWL262247 AD327781:AD327783 JZ327781:JZ327783 TV327781:TV327783 ADR327781:ADR327783 ANN327781:ANN327783 AXJ327781:AXJ327783 BHF327781:BHF327783 BRB327781:BRB327783 CAX327781:CAX327783 CKT327781:CKT327783 CUP327781:CUP327783 DEL327781:DEL327783 DOH327781:DOH327783 DYD327781:DYD327783 EHZ327781:EHZ327783 ERV327781:ERV327783 FBR327781:FBR327783 FLN327781:FLN327783 FVJ327781:FVJ327783 GFF327781:GFF327783 GPB327781:GPB327783 GYX327781:GYX327783 HIT327781:HIT327783 HSP327781:HSP327783 ICL327781:ICL327783 IMH327781:IMH327783 IWD327781:IWD327783 JFZ327781:JFZ327783 JPV327781:JPV327783 JZR327781:JZR327783 KJN327781:KJN327783 KTJ327781:KTJ327783 LDF327781:LDF327783 LNB327781:LNB327783 LWX327781:LWX327783 MGT327781:MGT327783 MQP327781:MQP327783 NAL327781:NAL327783 NKH327781:NKH327783 NUD327781:NUD327783 ODZ327781:ODZ327783 ONV327781:ONV327783 OXR327781:OXR327783 PHN327781:PHN327783 PRJ327781:PRJ327783 QBF327781:QBF327783 QLB327781:QLB327783 QUX327781:QUX327783 RET327781:RET327783 ROP327781:ROP327783 RYL327781:RYL327783 SIH327781:SIH327783 SSD327781:SSD327783 TBZ327781:TBZ327783 TLV327781:TLV327783 TVR327781:TVR327783 UFN327781:UFN327783 UPJ327781:UPJ327783 UZF327781:UZF327783 VJB327781:VJB327783 VSX327781:VSX327783 WCT327781:WCT327783 WMP327781:WMP327783 WWL327781:WWL327783 AD393317:AD393319 JZ393317:JZ393319 TV393317:TV393319 ADR393317:ADR393319 ANN393317:ANN393319 AXJ393317:AXJ393319 BHF393317:BHF393319 BRB393317:BRB393319 CAX393317:CAX393319 CKT393317:CKT393319 CUP393317:CUP393319 DEL393317:DEL393319 DOH393317:DOH393319 DYD393317:DYD393319 EHZ393317:EHZ393319 ERV393317:ERV393319 FBR393317:FBR393319 FLN393317:FLN393319 FVJ393317:FVJ393319 GFF393317:GFF393319 GPB393317:GPB393319 GYX393317:GYX393319 HIT393317:HIT393319 HSP393317:HSP393319 ICL393317:ICL393319 IMH393317:IMH393319 IWD393317:IWD393319 JFZ393317:JFZ393319 JPV393317:JPV393319 JZR393317:JZR393319 KJN393317:KJN393319 KTJ393317:KTJ393319 LDF393317:LDF393319 LNB393317:LNB393319 LWX393317:LWX393319 MGT393317:MGT393319 MQP393317:MQP393319 NAL393317:NAL393319 NKH393317:NKH393319 NUD393317:NUD393319 ODZ393317:ODZ393319 ONV393317:ONV393319 OXR393317:OXR393319 PHN393317:PHN393319 PRJ393317:PRJ393319 QBF393317:QBF393319 QLB393317:QLB393319 QUX393317:QUX393319 RET393317:RET393319 ROP393317:ROP393319 RYL393317:RYL393319 SIH393317:SIH393319 SSD393317:SSD393319 TBZ393317:TBZ393319 TLV393317:TLV393319 TVR393317:TVR393319 UFN393317:UFN393319 UPJ393317:UPJ393319 UZF393317:UZF393319 VJB393317:VJB393319 VSX393317:VSX393319 WCT393317:WCT393319 WMP393317:WMP393319 WWL393317:WWL393319 AD458853:AD458855 JZ458853:JZ458855 TV458853:TV458855 ADR458853:ADR458855 ANN458853:ANN458855 AXJ458853:AXJ458855 BHF458853:BHF458855 BRB458853:BRB458855 CAX458853:CAX458855 CKT458853:CKT458855 CUP458853:CUP458855 DEL458853:DEL458855 DOH458853:DOH458855 DYD458853:DYD458855 EHZ458853:EHZ458855 ERV458853:ERV458855 FBR458853:FBR458855 FLN458853:FLN458855 FVJ458853:FVJ458855 GFF458853:GFF458855 GPB458853:GPB458855 GYX458853:GYX458855 HIT458853:HIT458855 HSP458853:HSP458855 ICL458853:ICL458855 IMH458853:IMH458855 IWD458853:IWD458855 JFZ458853:JFZ458855 JPV458853:JPV458855 JZR458853:JZR458855 KJN458853:KJN458855 KTJ458853:KTJ458855 LDF458853:LDF458855 LNB458853:LNB458855 LWX458853:LWX458855 MGT458853:MGT458855 MQP458853:MQP458855 NAL458853:NAL458855 NKH458853:NKH458855 NUD458853:NUD458855 ODZ458853:ODZ458855 ONV458853:ONV458855 OXR458853:OXR458855 PHN458853:PHN458855 PRJ458853:PRJ458855 QBF458853:QBF458855 QLB458853:QLB458855 QUX458853:QUX458855 RET458853:RET458855 ROP458853:ROP458855 RYL458853:RYL458855 SIH458853:SIH458855 SSD458853:SSD458855 TBZ458853:TBZ458855 TLV458853:TLV458855 TVR458853:TVR458855 UFN458853:UFN458855 UPJ458853:UPJ458855 UZF458853:UZF458855 VJB458853:VJB458855 VSX458853:VSX458855 WCT458853:WCT458855 WMP458853:WMP458855 WWL458853:WWL458855 AD524389:AD524391 JZ524389:JZ524391 TV524389:TV524391 ADR524389:ADR524391 ANN524389:ANN524391 AXJ524389:AXJ524391 BHF524389:BHF524391 BRB524389:BRB524391 CAX524389:CAX524391 CKT524389:CKT524391 CUP524389:CUP524391 DEL524389:DEL524391 DOH524389:DOH524391 DYD524389:DYD524391 EHZ524389:EHZ524391 ERV524389:ERV524391 FBR524389:FBR524391 FLN524389:FLN524391 FVJ524389:FVJ524391 GFF524389:GFF524391 GPB524389:GPB524391 GYX524389:GYX524391 HIT524389:HIT524391 HSP524389:HSP524391 ICL524389:ICL524391 IMH524389:IMH524391 IWD524389:IWD524391 JFZ524389:JFZ524391 JPV524389:JPV524391 JZR524389:JZR524391 KJN524389:KJN524391 KTJ524389:KTJ524391 LDF524389:LDF524391 LNB524389:LNB524391 LWX524389:LWX524391 MGT524389:MGT524391 MQP524389:MQP524391 NAL524389:NAL524391 NKH524389:NKH524391 NUD524389:NUD524391 ODZ524389:ODZ524391 ONV524389:ONV524391 OXR524389:OXR524391 PHN524389:PHN524391 PRJ524389:PRJ524391 QBF524389:QBF524391 QLB524389:QLB524391 QUX524389:QUX524391 RET524389:RET524391 ROP524389:ROP524391 RYL524389:RYL524391 SIH524389:SIH524391 SSD524389:SSD524391 TBZ524389:TBZ524391 TLV524389:TLV524391 TVR524389:TVR524391 UFN524389:UFN524391 UPJ524389:UPJ524391 UZF524389:UZF524391 VJB524389:VJB524391 VSX524389:VSX524391 WCT524389:WCT524391 WMP524389:WMP524391 WWL524389:WWL524391 AD589925:AD589927 JZ589925:JZ589927 TV589925:TV589927 ADR589925:ADR589927 ANN589925:ANN589927 AXJ589925:AXJ589927 BHF589925:BHF589927 BRB589925:BRB589927 CAX589925:CAX589927 CKT589925:CKT589927 CUP589925:CUP589927 DEL589925:DEL589927 DOH589925:DOH589927 DYD589925:DYD589927 EHZ589925:EHZ589927 ERV589925:ERV589927 FBR589925:FBR589927 FLN589925:FLN589927 FVJ589925:FVJ589927 GFF589925:GFF589927 GPB589925:GPB589927 GYX589925:GYX589927 HIT589925:HIT589927 HSP589925:HSP589927 ICL589925:ICL589927 IMH589925:IMH589927 IWD589925:IWD589927 JFZ589925:JFZ589927 JPV589925:JPV589927 JZR589925:JZR589927 KJN589925:KJN589927 KTJ589925:KTJ589927 LDF589925:LDF589927 LNB589925:LNB589927 LWX589925:LWX589927 MGT589925:MGT589927 MQP589925:MQP589927 NAL589925:NAL589927 NKH589925:NKH589927 NUD589925:NUD589927 ODZ589925:ODZ589927 ONV589925:ONV589927 OXR589925:OXR589927 PHN589925:PHN589927 PRJ589925:PRJ589927 QBF589925:QBF589927 QLB589925:QLB589927 QUX589925:QUX589927 RET589925:RET589927 ROP589925:ROP589927 RYL589925:RYL589927 SIH589925:SIH589927 SSD589925:SSD589927 TBZ589925:TBZ589927 TLV589925:TLV589927 TVR589925:TVR589927 UFN589925:UFN589927 UPJ589925:UPJ589927 UZF589925:UZF589927 VJB589925:VJB589927 VSX589925:VSX589927 WCT589925:WCT589927 WMP589925:WMP589927 WWL589925:WWL589927 AD655461:AD655463 JZ655461:JZ655463 TV655461:TV655463 ADR655461:ADR655463 ANN655461:ANN655463 AXJ655461:AXJ655463 BHF655461:BHF655463 BRB655461:BRB655463 CAX655461:CAX655463 CKT655461:CKT655463 CUP655461:CUP655463 DEL655461:DEL655463 DOH655461:DOH655463 DYD655461:DYD655463 EHZ655461:EHZ655463 ERV655461:ERV655463 FBR655461:FBR655463 FLN655461:FLN655463 FVJ655461:FVJ655463 GFF655461:GFF655463 GPB655461:GPB655463 GYX655461:GYX655463 HIT655461:HIT655463 HSP655461:HSP655463 ICL655461:ICL655463 IMH655461:IMH655463 IWD655461:IWD655463 JFZ655461:JFZ655463 JPV655461:JPV655463 JZR655461:JZR655463 KJN655461:KJN655463 KTJ655461:KTJ655463 LDF655461:LDF655463 LNB655461:LNB655463 LWX655461:LWX655463 MGT655461:MGT655463 MQP655461:MQP655463 NAL655461:NAL655463 NKH655461:NKH655463 NUD655461:NUD655463 ODZ655461:ODZ655463 ONV655461:ONV655463 OXR655461:OXR655463 PHN655461:PHN655463 PRJ655461:PRJ655463 QBF655461:QBF655463 QLB655461:QLB655463 QUX655461:QUX655463 RET655461:RET655463 ROP655461:ROP655463 RYL655461:RYL655463 SIH655461:SIH655463 SSD655461:SSD655463 TBZ655461:TBZ655463 TLV655461:TLV655463 TVR655461:TVR655463 UFN655461:UFN655463 UPJ655461:UPJ655463 UZF655461:UZF655463 VJB655461:VJB655463 VSX655461:VSX655463 WCT655461:WCT655463 WMP655461:WMP655463 WWL655461:WWL655463 AD720997:AD720999 JZ720997:JZ720999 TV720997:TV720999 ADR720997:ADR720999 ANN720997:ANN720999 AXJ720997:AXJ720999 BHF720997:BHF720999 BRB720997:BRB720999 CAX720997:CAX720999 CKT720997:CKT720999 CUP720997:CUP720999 DEL720997:DEL720999 DOH720997:DOH720999 DYD720997:DYD720999 EHZ720997:EHZ720999 ERV720997:ERV720999 FBR720997:FBR720999 FLN720997:FLN720999 FVJ720997:FVJ720999 GFF720997:GFF720999 GPB720997:GPB720999 GYX720997:GYX720999 HIT720997:HIT720999 HSP720997:HSP720999 ICL720997:ICL720999 IMH720997:IMH720999 IWD720997:IWD720999 JFZ720997:JFZ720999 JPV720997:JPV720999 JZR720997:JZR720999 KJN720997:KJN720999 KTJ720997:KTJ720999 LDF720997:LDF720999 LNB720997:LNB720999 LWX720997:LWX720999 MGT720997:MGT720999 MQP720997:MQP720999 NAL720997:NAL720999 NKH720997:NKH720999 NUD720997:NUD720999 ODZ720997:ODZ720999 ONV720997:ONV720999 OXR720997:OXR720999 PHN720997:PHN720999 PRJ720997:PRJ720999 QBF720997:QBF720999 QLB720997:QLB720999 QUX720997:QUX720999 RET720997:RET720999 ROP720997:ROP720999 RYL720997:RYL720999 SIH720997:SIH720999 SSD720997:SSD720999 TBZ720997:TBZ720999 TLV720997:TLV720999 TVR720997:TVR720999 UFN720997:UFN720999 UPJ720997:UPJ720999 UZF720997:UZF720999 VJB720997:VJB720999 VSX720997:VSX720999 WCT720997:WCT720999 WMP720997:WMP720999 WWL720997:WWL720999 AD786533:AD786535 JZ786533:JZ786535 TV786533:TV786535 ADR786533:ADR786535 ANN786533:ANN786535 AXJ786533:AXJ786535 BHF786533:BHF786535 BRB786533:BRB786535 CAX786533:CAX786535 CKT786533:CKT786535 CUP786533:CUP786535 DEL786533:DEL786535 DOH786533:DOH786535 DYD786533:DYD786535 EHZ786533:EHZ786535 ERV786533:ERV786535 FBR786533:FBR786535 FLN786533:FLN786535 FVJ786533:FVJ786535 GFF786533:GFF786535 GPB786533:GPB786535 GYX786533:GYX786535 HIT786533:HIT786535 HSP786533:HSP786535 ICL786533:ICL786535 IMH786533:IMH786535 IWD786533:IWD786535 JFZ786533:JFZ786535 JPV786533:JPV786535 JZR786533:JZR786535 KJN786533:KJN786535 KTJ786533:KTJ786535 LDF786533:LDF786535 LNB786533:LNB786535 LWX786533:LWX786535 MGT786533:MGT786535 MQP786533:MQP786535 NAL786533:NAL786535 NKH786533:NKH786535 NUD786533:NUD786535 ODZ786533:ODZ786535 ONV786533:ONV786535 OXR786533:OXR786535 PHN786533:PHN786535 PRJ786533:PRJ786535 QBF786533:QBF786535 QLB786533:QLB786535 QUX786533:QUX786535 RET786533:RET786535 ROP786533:ROP786535 RYL786533:RYL786535 SIH786533:SIH786535 SSD786533:SSD786535 TBZ786533:TBZ786535 TLV786533:TLV786535 TVR786533:TVR786535 UFN786533:UFN786535 UPJ786533:UPJ786535 UZF786533:UZF786535 VJB786533:VJB786535 VSX786533:VSX786535 WCT786533:WCT786535 WMP786533:WMP786535 WWL786533:WWL786535 AD852069:AD852071 JZ852069:JZ852071 TV852069:TV852071 ADR852069:ADR852071 ANN852069:ANN852071 AXJ852069:AXJ852071 BHF852069:BHF852071 BRB852069:BRB852071 CAX852069:CAX852071 CKT852069:CKT852071 CUP852069:CUP852071 DEL852069:DEL852071 DOH852069:DOH852071 DYD852069:DYD852071 EHZ852069:EHZ852071 ERV852069:ERV852071 FBR852069:FBR852071 FLN852069:FLN852071 FVJ852069:FVJ852071 GFF852069:GFF852071 GPB852069:GPB852071 GYX852069:GYX852071 HIT852069:HIT852071 HSP852069:HSP852071 ICL852069:ICL852071 IMH852069:IMH852071 IWD852069:IWD852071 JFZ852069:JFZ852071 JPV852069:JPV852071 JZR852069:JZR852071 KJN852069:KJN852071 KTJ852069:KTJ852071 LDF852069:LDF852071 LNB852069:LNB852071 LWX852069:LWX852071 MGT852069:MGT852071 MQP852069:MQP852071 NAL852069:NAL852071 NKH852069:NKH852071 NUD852069:NUD852071 ODZ852069:ODZ852071 ONV852069:ONV852071 OXR852069:OXR852071 PHN852069:PHN852071 PRJ852069:PRJ852071 QBF852069:QBF852071 QLB852069:QLB852071 QUX852069:QUX852071 RET852069:RET852071 ROP852069:ROP852071 RYL852069:RYL852071 SIH852069:SIH852071 SSD852069:SSD852071 TBZ852069:TBZ852071 TLV852069:TLV852071 TVR852069:TVR852071 UFN852069:UFN852071 UPJ852069:UPJ852071 UZF852069:UZF852071 VJB852069:VJB852071 VSX852069:VSX852071 WCT852069:WCT852071 WMP852069:WMP852071 WWL852069:WWL852071 AD917605:AD917607 JZ917605:JZ917607 TV917605:TV917607 ADR917605:ADR917607 ANN917605:ANN917607 AXJ917605:AXJ917607 BHF917605:BHF917607 BRB917605:BRB917607 CAX917605:CAX917607 CKT917605:CKT917607 CUP917605:CUP917607 DEL917605:DEL917607 DOH917605:DOH917607 DYD917605:DYD917607 EHZ917605:EHZ917607 ERV917605:ERV917607 FBR917605:FBR917607 FLN917605:FLN917607 FVJ917605:FVJ917607 GFF917605:GFF917607 GPB917605:GPB917607 GYX917605:GYX917607 HIT917605:HIT917607 HSP917605:HSP917607 ICL917605:ICL917607 IMH917605:IMH917607 IWD917605:IWD917607 JFZ917605:JFZ917607 JPV917605:JPV917607 JZR917605:JZR917607 KJN917605:KJN917607 KTJ917605:KTJ917607 LDF917605:LDF917607 LNB917605:LNB917607 LWX917605:LWX917607 MGT917605:MGT917607 MQP917605:MQP917607 NAL917605:NAL917607 NKH917605:NKH917607 NUD917605:NUD917607 ODZ917605:ODZ917607 ONV917605:ONV917607 OXR917605:OXR917607 PHN917605:PHN917607 PRJ917605:PRJ917607 QBF917605:QBF917607 QLB917605:QLB917607 QUX917605:QUX917607 RET917605:RET917607 ROP917605:ROP917607 RYL917605:RYL917607 SIH917605:SIH917607 SSD917605:SSD917607 TBZ917605:TBZ917607 TLV917605:TLV917607 TVR917605:TVR917607 UFN917605:UFN917607 UPJ917605:UPJ917607 UZF917605:UZF917607 VJB917605:VJB917607 VSX917605:VSX917607 WCT917605:WCT917607 WMP917605:WMP917607 WWL917605:WWL917607 AD983141:AD983143 JZ983141:JZ983143 TV983141:TV983143 ADR983141:ADR983143 ANN983141:ANN983143 AXJ983141:AXJ983143 BHF983141:BHF983143 BRB983141:BRB983143 CAX983141:CAX983143 CKT983141:CKT983143 CUP983141:CUP983143 DEL983141:DEL983143 DOH983141:DOH983143 DYD983141:DYD983143 EHZ983141:EHZ983143 ERV983141:ERV983143 FBR983141:FBR983143 FLN983141:FLN983143 FVJ983141:FVJ983143 GFF983141:GFF983143 GPB983141:GPB983143 GYX983141:GYX983143 HIT983141:HIT983143 HSP983141:HSP983143 ICL983141:ICL983143 IMH983141:IMH983143 IWD983141:IWD983143 JFZ983141:JFZ983143 JPV983141:JPV983143 JZR983141:JZR983143 KJN983141:KJN983143 KTJ983141:KTJ983143 LDF983141:LDF983143 LNB983141:LNB983143 LWX983141:LWX983143 MGT983141:MGT983143 MQP983141:MQP983143 NAL983141:NAL983143 NKH983141:NKH983143 NUD983141:NUD983143 ODZ983141:ODZ983143 ONV983141:ONV983143 OXR983141:OXR983143 PHN983141:PHN983143 PRJ983141:PRJ983143 QBF983141:QBF983143 QLB983141:QLB983143 QUX983141:QUX983143 RET983141:RET983143 ROP983141:ROP983143 RYL983141:RYL983143 SIH983141:SIH983143 SSD983141:SSD983143 TBZ983141:TBZ983143 TLV983141:TLV983143 TVR983141:TVR983143 UFN983141:UFN983143 UPJ983141:UPJ983143 UZF983141:UZF983143 VJB983141:VJB983143 VSX983141:VSX983143 WCT983141:WCT983143 WMP983141:WMP983143 WWL983141:WWL983143 AD137:AD139 AD141:AD151 AD65632:AD65635 JZ65632:JZ65635 TV65632:TV65635 ADR65632:ADR65635 ANN65632:ANN65635 AXJ65632:AXJ65635 BHF65632:BHF65635 BRB65632:BRB65635 CAX65632:CAX65635 CKT65632:CKT65635 CUP65632:CUP65635 DEL65632:DEL65635 DOH65632:DOH65635 DYD65632:DYD65635 EHZ65632:EHZ65635 ERV65632:ERV65635 FBR65632:FBR65635 FLN65632:FLN65635 FVJ65632:FVJ65635 GFF65632:GFF65635 GPB65632:GPB65635 GYX65632:GYX65635 HIT65632:HIT65635 HSP65632:HSP65635 ICL65632:ICL65635 IMH65632:IMH65635 IWD65632:IWD65635 JFZ65632:JFZ65635 JPV65632:JPV65635 JZR65632:JZR65635 KJN65632:KJN65635 KTJ65632:KTJ65635 LDF65632:LDF65635 LNB65632:LNB65635 LWX65632:LWX65635 MGT65632:MGT65635 MQP65632:MQP65635 NAL65632:NAL65635 NKH65632:NKH65635 NUD65632:NUD65635 ODZ65632:ODZ65635 ONV65632:ONV65635 OXR65632:OXR65635 PHN65632:PHN65635 PRJ65632:PRJ65635 QBF65632:QBF65635 QLB65632:QLB65635 QUX65632:QUX65635 RET65632:RET65635 ROP65632:ROP65635 RYL65632:RYL65635 SIH65632:SIH65635 SSD65632:SSD65635 TBZ65632:TBZ65635 TLV65632:TLV65635 TVR65632:TVR65635 UFN65632:UFN65635 UPJ65632:UPJ65635 UZF65632:UZF65635 VJB65632:VJB65635 VSX65632:VSX65635 WCT65632:WCT65635 WMP65632:WMP65635 WWL65632:WWL65635 AD131168:AD131171 JZ131168:JZ131171 TV131168:TV131171 ADR131168:ADR131171 ANN131168:ANN131171 AXJ131168:AXJ131171 BHF131168:BHF131171 BRB131168:BRB131171 CAX131168:CAX131171 CKT131168:CKT131171 CUP131168:CUP131171 DEL131168:DEL131171 DOH131168:DOH131171 DYD131168:DYD131171 EHZ131168:EHZ131171 ERV131168:ERV131171 FBR131168:FBR131171 FLN131168:FLN131171 FVJ131168:FVJ131171 GFF131168:GFF131171 GPB131168:GPB131171 GYX131168:GYX131171 HIT131168:HIT131171 HSP131168:HSP131171 ICL131168:ICL131171 IMH131168:IMH131171 IWD131168:IWD131171 JFZ131168:JFZ131171 JPV131168:JPV131171 JZR131168:JZR131171 KJN131168:KJN131171 KTJ131168:KTJ131171 LDF131168:LDF131171 LNB131168:LNB131171 LWX131168:LWX131171 MGT131168:MGT131171 MQP131168:MQP131171 NAL131168:NAL131171 NKH131168:NKH131171 NUD131168:NUD131171 ODZ131168:ODZ131171 ONV131168:ONV131171 OXR131168:OXR131171 PHN131168:PHN131171 PRJ131168:PRJ131171 QBF131168:QBF131171 QLB131168:QLB131171 QUX131168:QUX131171 RET131168:RET131171 ROP131168:ROP131171 RYL131168:RYL131171 SIH131168:SIH131171 SSD131168:SSD131171 TBZ131168:TBZ131171 TLV131168:TLV131171 TVR131168:TVR131171 UFN131168:UFN131171 UPJ131168:UPJ131171 UZF131168:UZF131171 VJB131168:VJB131171 VSX131168:VSX131171 WCT131168:WCT131171 WMP131168:WMP131171 WWL131168:WWL131171 AD196704:AD196707 JZ196704:JZ196707 TV196704:TV196707 ADR196704:ADR196707 ANN196704:ANN196707 AXJ196704:AXJ196707 BHF196704:BHF196707 BRB196704:BRB196707 CAX196704:CAX196707 CKT196704:CKT196707 CUP196704:CUP196707 DEL196704:DEL196707 DOH196704:DOH196707 DYD196704:DYD196707 EHZ196704:EHZ196707 ERV196704:ERV196707 FBR196704:FBR196707 FLN196704:FLN196707 FVJ196704:FVJ196707 GFF196704:GFF196707 GPB196704:GPB196707 GYX196704:GYX196707 HIT196704:HIT196707 HSP196704:HSP196707 ICL196704:ICL196707 IMH196704:IMH196707 IWD196704:IWD196707 JFZ196704:JFZ196707 JPV196704:JPV196707 JZR196704:JZR196707 KJN196704:KJN196707 KTJ196704:KTJ196707 LDF196704:LDF196707 LNB196704:LNB196707 LWX196704:LWX196707 MGT196704:MGT196707 MQP196704:MQP196707 NAL196704:NAL196707 NKH196704:NKH196707 NUD196704:NUD196707 ODZ196704:ODZ196707 ONV196704:ONV196707 OXR196704:OXR196707 PHN196704:PHN196707 PRJ196704:PRJ196707 QBF196704:QBF196707 QLB196704:QLB196707 QUX196704:QUX196707 RET196704:RET196707 ROP196704:ROP196707 RYL196704:RYL196707 SIH196704:SIH196707 SSD196704:SSD196707 TBZ196704:TBZ196707 TLV196704:TLV196707 TVR196704:TVR196707 UFN196704:UFN196707 UPJ196704:UPJ196707 UZF196704:UZF196707 VJB196704:VJB196707 VSX196704:VSX196707 WCT196704:WCT196707 WMP196704:WMP196707 WWL196704:WWL196707 AD262240:AD262243 JZ262240:JZ262243 TV262240:TV262243 ADR262240:ADR262243 ANN262240:ANN262243 AXJ262240:AXJ262243 BHF262240:BHF262243 BRB262240:BRB262243 CAX262240:CAX262243 CKT262240:CKT262243 CUP262240:CUP262243 DEL262240:DEL262243 DOH262240:DOH262243 DYD262240:DYD262243 EHZ262240:EHZ262243 ERV262240:ERV262243 FBR262240:FBR262243 FLN262240:FLN262243 FVJ262240:FVJ262243 GFF262240:GFF262243 GPB262240:GPB262243 GYX262240:GYX262243 HIT262240:HIT262243 HSP262240:HSP262243 ICL262240:ICL262243 IMH262240:IMH262243 IWD262240:IWD262243 JFZ262240:JFZ262243 JPV262240:JPV262243 JZR262240:JZR262243 KJN262240:KJN262243 KTJ262240:KTJ262243 LDF262240:LDF262243 LNB262240:LNB262243 LWX262240:LWX262243 MGT262240:MGT262243 MQP262240:MQP262243 NAL262240:NAL262243 NKH262240:NKH262243 NUD262240:NUD262243 ODZ262240:ODZ262243 ONV262240:ONV262243 OXR262240:OXR262243 PHN262240:PHN262243 PRJ262240:PRJ262243 QBF262240:QBF262243 QLB262240:QLB262243 QUX262240:QUX262243 RET262240:RET262243 ROP262240:ROP262243 RYL262240:RYL262243 SIH262240:SIH262243 SSD262240:SSD262243 TBZ262240:TBZ262243 TLV262240:TLV262243 TVR262240:TVR262243 UFN262240:UFN262243 UPJ262240:UPJ262243 UZF262240:UZF262243 VJB262240:VJB262243 VSX262240:VSX262243 WCT262240:WCT262243 WMP262240:WMP262243 WWL262240:WWL262243 AD327776:AD327779 JZ327776:JZ327779 TV327776:TV327779 ADR327776:ADR327779 ANN327776:ANN327779 AXJ327776:AXJ327779 BHF327776:BHF327779 BRB327776:BRB327779 CAX327776:CAX327779 CKT327776:CKT327779 CUP327776:CUP327779 DEL327776:DEL327779 DOH327776:DOH327779 DYD327776:DYD327779 EHZ327776:EHZ327779 ERV327776:ERV327779 FBR327776:FBR327779 FLN327776:FLN327779 FVJ327776:FVJ327779 GFF327776:GFF327779 GPB327776:GPB327779 GYX327776:GYX327779 HIT327776:HIT327779 HSP327776:HSP327779 ICL327776:ICL327779 IMH327776:IMH327779 IWD327776:IWD327779 JFZ327776:JFZ327779 JPV327776:JPV327779 JZR327776:JZR327779 KJN327776:KJN327779 KTJ327776:KTJ327779 LDF327776:LDF327779 LNB327776:LNB327779 LWX327776:LWX327779 MGT327776:MGT327779 MQP327776:MQP327779 NAL327776:NAL327779 NKH327776:NKH327779 NUD327776:NUD327779 ODZ327776:ODZ327779 ONV327776:ONV327779 OXR327776:OXR327779 PHN327776:PHN327779 PRJ327776:PRJ327779 QBF327776:QBF327779 QLB327776:QLB327779 QUX327776:QUX327779 RET327776:RET327779 ROP327776:ROP327779 RYL327776:RYL327779 SIH327776:SIH327779 SSD327776:SSD327779 TBZ327776:TBZ327779 TLV327776:TLV327779 TVR327776:TVR327779 UFN327776:UFN327779 UPJ327776:UPJ327779 UZF327776:UZF327779 VJB327776:VJB327779 VSX327776:VSX327779 WCT327776:WCT327779 WMP327776:WMP327779 WWL327776:WWL327779 AD393312:AD393315 JZ393312:JZ393315 TV393312:TV393315 ADR393312:ADR393315 ANN393312:ANN393315 AXJ393312:AXJ393315 BHF393312:BHF393315 BRB393312:BRB393315 CAX393312:CAX393315 CKT393312:CKT393315 CUP393312:CUP393315 DEL393312:DEL393315 DOH393312:DOH393315 DYD393312:DYD393315 EHZ393312:EHZ393315 ERV393312:ERV393315 FBR393312:FBR393315 FLN393312:FLN393315 FVJ393312:FVJ393315 GFF393312:GFF393315 GPB393312:GPB393315 GYX393312:GYX393315 HIT393312:HIT393315 HSP393312:HSP393315 ICL393312:ICL393315 IMH393312:IMH393315 IWD393312:IWD393315 JFZ393312:JFZ393315 JPV393312:JPV393315 JZR393312:JZR393315 KJN393312:KJN393315 KTJ393312:KTJ393315 LDF393312:LDF393315 LNB393312:LNB393315 LWX393312:LWX393315 MGT393312:MGT393315 MQP393312:MQP393315 NAL393312:NAL393315 NKH393312:NKH393315 NUD393312:NUD393315 ODZ393312:ODZ393315 ONV393312:ONV393315 OXR393312:OXR393315 PHN393312:PHN393315 PRJ393312:PRJ393315 QBF393312:QBF393315 QLB393312:QLB393315 QUX393312:QUX393315 RET393312:RET393315 ROP393312:ROP393315 RYL393312:RYL393315 SIH393312:SIH393315 SSD393312:SSD393315 TBZ393312:TBZ393315 TLV393312:TLV393315 TVR393312:TVR393315 UFN393312:UFN393315 UPJ393312:UPJ393315 UZF393312:UZF393315 VJB393312:VJB393315 VSX393312:VSX393315 WCT393312:WCT393315 WMP393312:WMP393315 WWL393312:WWL393315 AD458848:AD458851 JZ458848:JZ458851 TV458848:TV458851 ADR458848:ADR458851 ANN458848:ANN458851 AXJ458848:AXJ458851 BHF458848:BHF458851 BRB458848:BRB458851 CAX458848:CAX458851 CKT458848:CKT458851 CUP458848:CUP458851 DEL458848:DEL458851 DOH458848:DOH458851 DYD458848:DYD458851 EHZ458848:EHZ458851 ERV458848:ERV458851 FBR458848:FBR458851 FLN458848:FLN458851 FVJ458848:FVJ458851 GFF458848:GFF458851 GPB458848:GPB458851 GYX458848:GYX458851 HIT458848:HIT458851 HSP458848:HSP458851 ICL458848:ICL458851 IMH458848:IMH458851 IWD458848:IWD458851 JFZ458848:JFZ458851 JPV458848:JPV458851 JZR458848:JZR458851 KJN458848:KJN458851 KTJ458848:KTJ458851 LDF458848:LDF458851 LNB458848:LNB458851 LWX458848:LWX458851 MGT458848:MGT458851 MQP458848:MQP458851 NAL458848:NAL458851 NKH458848:NKH458851 NUD458848:NUD458851 ODZ458848:ODZ458851 ONV458848:ONV458851 OXR458848:OXR458851 PHN458848:PHN458851 PRJ458848:PRJ458851 QBF458848:QBF458851 QLB458848:QLB458851 QUX458848:QUX458851 RET458848:RET458851 ROP458848:ROP458851 RYL458848:RYL458851 SIH458848:SIH458851 SSD458848:SSD458851 TBZ458848:TBZ458851 TLV458848:TLV458851 TVR458848:TVR458851 UFN458848:UFN458851 UPJ458848:UPJ458851 UZF458848:UZF458851 VJB458848:VJB458851 VSX458848:VSX458851 WCT458848:WCT458851 WMP458848:WMP458851 WWL458848:WWL458851 AD524384:AD524387 JZ524384:JZ524387 TV524384:TV524387 ADR524384:ADR524387 ANN524384:ANN524387 AXJ524384:AXJ524387 BHF524384:BHF524387 BRB524384:BRB524387 CAX524384:CAX524387 CKT524384:CKT524387 CUP524384:CUP524387 DEL524384:DEL524387 DOH524384:DOH524387 DYD524384:DYD524387 EHZ524384:EHZ524387 ERV524384:ERV524387 FBR524384:FBR524387 FLN524384:FLN524387 FVJ524384:FVJ524387 GFF524384:GFF524387 GPB524384:GPB524387 GYX524384:GYX524387 HIT524384:HIT524387 HSP524384:HSP524387 ICL524384:ICL524387 IMH524384:IMH524387 IWD524384:IWD524387 JFZ524384:JFZ524387 JPV524384:JPV524387 JZR524384:JZR524387 KJN524384:KJN524387 KTJ524384:KTJ524387 LDF524384:LDF524387 LNB524384:LNB524387 LWX524384:LWX524387 MGT524384:MGT524387 MQP524384:MQP524387 NAL524384:NAL524387 NKH524384:NKH524387 NUD524384:NUD524387 ODZ524384:ODZ524387 ONV524384:ONV524387 OXR524384:OXR524387 PHN524384:PHN524387 PRJ524384:PRJ524387 QBF524384:QBF524387 QLB524384:QLB524387 QUX524384:QUX524387 RET524384:RET524387 ROP524384:ROP524387 RYL524384:RYL524387 SIH524384:SIH524387 SSD524384:SSD524387 TBZ524384:TBZ524387 TLV524384:TLV524387 TVR524384:TVR524387 UFN524384:UFN524387 UPJ524384:UPJ524387 UZF524384:UZF524387 VJB524384:VJB524387 VSX524384:VSX524387 WCT524384:WCT524387 WMP524384:WMP524387 WWL524384:WWL524387 AD589920:AD589923 JZ589920:JZ589923 TV589920:TV589923 ADR589920:ADR589923 ANN589920:ANN589923 AXJ589920:AXJ589923 BHF589920:BHF589923 BRB589920:BRB589923 CAX589920:CAX589923 CKT589920:CKT589923 CUP589920:CUP589923 DEL589920:DEL589923 DOH589920:DOH589923 DYD589920:DYD589923 EHZ589920:EHZ589923 ERV589920:ERV589923 FBR589920:FBR589923 FLN589920:FLN589923 FVJ589920:FVJ589923 GFF589920:GFF589923 GPB589920:GPB589923 GYX589920:GYX589923 HIT589920:HIT589923 HSP589920:HSP589923 ICL589920:ICL589923 IMH589920:IMH589923 IWD589920:IWD589923 JFZ589920:JFZ589923 JPV589920:JPV589923 JZR589920:JZR589923 KJN589920:KJN589923 KTJ589920:KTJ589923 LDF589920:LDF589923 LNB589920:LNB589923 LWX589920:LWX589923 MGT589920:MGT589923 MQP589920:MQP589923 NAL589920:NAL589923 NKH589920:NKH589923 NUD589920:NUD589923 ODZ589920:ODZ589923 ONV589920:ONV589923 OXR589920:OXR589923 PHN589920:PHN589923 PRJ589920:PRJ589923 QBF589920:QBF589923 QLB589920:QLB589923 QUX589920:QUX589923 RET589920:RET589923 ROP589920:ROP589923 RYL589920:RYL589923 SIH589920:SIH589923 SSD589920:SSD589923 TBZ589920:TBZ589923 TLV589920:TLV589923 TVR589920:TVR589923 UFN589920:UFN589923 UPJ589920:UPJ589923 UZF589920:UZF589923 VJB589920:VJB589923 VSX589920:VSX589923 WCT589920:WCT589923 WMP589920:WMP589923 WWL589920:WWL589923 AD655456:AD655459 JZ655456:JZ655459 TV655456:TV655459 ADR655456:ADR655459 ANN655456:ANN655459 AXJ655456:AXJ655459 BHF655456:BHF655459 BRB655456:BRB655459 CAX655456:CAX655459 CKT655456:CKT655459 CUP655456:CUP655459 DEL655456:DEL655459 DOH655456:DOH655459 DYD655456:DYD655459 EHZ655456:EHZ655459 ERV655456:ERV655459 FBR655456:FBR655459 FLN655456:FLN655459 FVJ655456:FVJ655459 GFF655456:GFF655459 GPB655456:GPB655459 GYX655456:GYX655459 HIT655456:HIT655459 HSP655456:HSP655459 ICL655456:ICL655459 IMH655456:IMH655459 IWD655456:IWD655459 JFZ655456:JFZ655459 JPV655456:JPV655459 JZR655456:JZR655459 KJN655456:KJN655459 KTJ655456:KTJ655459 LDF655456:LDF655459 LNB655456:LNB655459 LWX655456:LWX655459 MGT655456:MGT655459 MQP655456:MQP655459 NAL655456:NAL655459 NKH655456:NKH655459 NUD655456:NUD655459 ODZ655456:ODZ655459 ONV655456:ONV655459 OXR655456:OXR655459 PHN655456:PHN655459 PRJ655456:PRJ655459 QBF655456:QBF655459 QLB655456:QLB655459 QUX655456:QUX655459 RET655456:RET655459 ROP655456:ROP655459 RYL655456:RYL655459 SIH655456:SIH655459 SSD655456:SSD655459 TBZ655456:TBZ655459 TLV655456:TLV655459 TVR655456:TVR655459 UFN655456:UFN655459 UPJ655456:UPJ655459 UZF655456:UZF655459 VJB655456:VJB655459 VSX655456:VSX655459 WCT655456:WCT655459 WMP655456:WMP655459 WWL655456:WWL655459 AD720992:AD720995 JZ720992:JZ720995 TV720992:TV720995 ADR720992:ADR720995 ANN720992:ANN720995 AXJ720992:AXJ720995 BHF720992:BHF720995 BRB720992:BRB720995 CAX720992:CAX720995 CKT720992:CKT720995 CUP720992:CUP720995 DEL720992:DEL720995 DOH720992:DOH720995 DYD720992:DYD720995 EHZ720992:EHZ720995 ERV720992:ERV720995 FBR720992:FBR720995 FLN720992:FLN720995 FVJ720992:FVJ720995 GFF720992:GFF720995 GPB720992:GPB720995 GYX720992:GYX720995 HIT720992:HIT720995 HSP720992:HSP720995 ICL720992:ICL720995 IMH720992:IMH720995 IWD720992:IWD720995 JFZ720992:JFZ720995 JPV720992:JPV720995 JZR720992:JZR720995 KJN720992:KJN720995 KTJ720992:KTJ720995 LDF720992:LDF720995 LNB720992:LNB720995 LWX720992:LWX720995 MGT720992:MGT720995 MQP720992:MQP720995 NAL720992:NAL720995 NKH720992:NKH720995 NUD720992:NUD720995 ODZ720992:ODZ720995 ONV720992:ONV720995 OXR720992:OXR720995 PHN720992:PHN720995 PRJ720992:PRJ720995 QBF720992:QBF720995 QLB720992:QLB720995 QUX720992:QUX720995 RET720992:RET720995 ROP720992:ROP720995 RYL720992:RYL720995 SIH720992:SIH720995 SSD720992:SSD720995 TBZ720992:TBZ720995 TLV720992:TLV720995 TVR720992:TVR720995 UFN720992:UFN720995 UPJ720992:UPJ720995 UZF720992:UZF720995 VJB720992:VJB720995 VSX720992:VSX720995 WCT720992:WCT720995 WMP720992:WMP720995 WWL720992:WWL720995 AD786528:AD786531 JZ786528:JZ786531 TV786528:TV786531 ADR786528:ADR786531 ANN786528:ANN786531 AXJ786528:AXJ786531 BHF786528:BHF786531 BRB786528:BRB786531 CAX786528:CAX786531 CKT786528:CKT786531 CUP786528:CUP786531 DEL786528:DEL786531 DOH786528:DOH786531 DYD786528:DYD786531 EHZ786528:EHZ786531 ERV786528:ERV786531 FBR786528:FBR786531 FLN786528:FLN786531 FVJ786528:FVJ786531 GFF786528:GFF786531 GPB786528:GPB786531 GYX786528:GYX786531 HIT786528:HIT786531 HSP786528:HSP786531 ICL786528:ICL786531 IMH786528:IMH786531 IWD786528:IWD786531 JFZ786528:JFZ786531 JPV786528:JPV786531 JZR786528:JZR786531 KJN786528:KJN786531 KTJ786528:KTJ786531 LDF786528:LDF786531 LNB786528:LNB786531 LWX786528:LWX786531 MGT786528:MGT786531 MQP786528:MQP786531 NAL786528:NAL786531 NKH786528:NKH786531 NUD786528:NUD786531 ODZ786528:ODZ786531 ONV786528:ONV786531 OXR786528:OXR786531 PHN786528:PHN786531 PRJ786528:PRJ786531 QBF786528:QBF786531 QLB786528:QLB786531 QUX786528:QUX786531 RET786528:RET786531 ROP786528:ROP786531 RYL786528:RYL786531 SIH786528:SIH786531 SSD786528:SSD786531 TBZ786528:TBZ786531 TLV786528:TLV786531 TVR786528:TVR786531 UFN786528:UFN786531 UPJ786528:UPJ786531 UZF786528:UZF786531 VJB786528:VJB786531 VSX786528:VSX786531 WCT786528:WCT786531 WMP786528:WMP786531 WWL786528:WWL786531 AD852064:AD852067 JZ852064:JZ852067 TV852064:TV852067 ADR852064:ADR852067 ANN852064:ANN852067 AXJ852064:AXJ852067 BHF852064:BHF852067 BRB852064:BRB852067 CAX852064:CAX852067 CKT852064:CKT852067 CUP852064:CUP852067 DEL852064:DEL852067 DOH852064:DOH852067 DYD852064:DYD852067 EHZ852064:EHZ852067 ERV852064:ERV852067 FBR852064:FBR852067 FLN852064:FLN852067 FVJ852064:FVJ852067 GFF852064:GFF852067 GPB852064:GPB852067 GYX852064:GYX852067 HIT852064:HIT852067 HSP852064:HSP852067 ICL852064:ICL852067 IMH852064:IMH852067 IWD852064:IWD852067 JFZ852064:JFZ852067 JPV852064:JPV852067 JZR852064:JZR852067 KJN852064:KJN852067 KTJ852064:KTJ852067 LDF852064:LDF852067 LNB852064:LNB852067 LWX852064:LWX852067 MGT852064:MGT852067 MQP852064:MQP852067 NAL852064:NAL852067 NKH852064:NKH852067 NUD852064:NUD852067 ODZ852064:ODZ852067 ONV852064:ONV852067 OXR852064:OXR852067 PHN852064:PHN852067 PRJ852064:PRJ852067 QBF852064:QBF852067 QLB852064:QLB852067 QUX852064:QUX852067 RET852064:RET852067 ROP852064:ROP852067 RYL852064:RYL852067 SIH852064:SIH852067 SSD852064:SSD852067 TBZ852064:TBZ852067 TLV852064:TLV852067 TVR852064:TVR852067 UFN852064:UFN852067 UPJ852064:UPJ852067 UZF852064:UZF852067 VJB852064:VJB852067 VSX852064:VSX852067 WCT852064:WCT852067 WMP852064:WMP852067 WWL852064:WWL852067 AD917600:AD917603 JZ917600:JZ917603 TV917600:TV917603 ADR917600:ADR917603 ANN917600:ANN917603 AXJ917600:AXJ917603 BHF917600:BHF917603 BRB917600:BRB917603 CAX917600:CAX917603 CKT917600:CKT917603 CUP917600:CUP917603 DEL917600:DEL917603 DOH917600:DOH917603 DYD917600:DYD917603 EHZ917600:EHZ917603 ERV917600:ERV917603 FBR917600:FBR917603 FLN917600:FLN917603 FVJ917600:FVJ917603 GFF917600:GFF917603 GPB917600:GPB917603 GYX917600:GYX917603 HIT917600:HIT917603 HSP917600:HSP917603 ICL917600:ICL917603 IMH917600:IMH917603 IWD917600:IWD917603 JFZ917600:JFZ917603 JPV917600:JPV917603 JZR917600:JZR917603 KJN917600:KJN917603 KTJ917600:KTJ917603 LDF917600:LDF917603 LNB917600:LNB917603 LWX917600:LWX917603 MGT917600:MGT917603 MQP917600:MQP917603 NAL917600:NAL917603 NKH917600:NKH917603 NUD917600:NUD917603 ODZ917600:ODZ917603 ONV917600:ONV917603 OXR917600:OXR917603 PHN917600:PHN917603 PRJ917600:PRJ917603 QBF917600:QBF917603 QLB917600:QLB917603 QUX917600:QUX917603 RET917600:RET917603 ROP917600:ROP917603 RYL917600:RYL917603 SIH917600:SIH917603 SSD917600:SSD917603 TBZ917600:TBZ917603 TLV917600:TLV917603 TVR917600:TVR917603 UFN917600:UFN917603 UPJ917600:UPJ917603 UZF917600:UZF917603 VJB917600:VJB917603 VSX917600:VSX917603 WCT917600:WCT917603 WMP917600:WMP917603 WWL917600:WWL917603 AD983136:AD983139 JZ983136:JZ983139 TV983136:TV983139 ADR983136:ADR983139 ANN983136:ANN983139 AXJ983136:AXJ983139 BHF983136:BHF983139 BRB983136:BRB983139 CAX983136:CAX983139 CKT983136:CKT983139 CUP983136:CUP983139 DEL983136:DEL983139 DOH983136:DOH983139 DYD983136:DYD983139 EHZ983136:EHZ983139 ERV983136:ERV983139 FBR983136:FBR983139 FLN983136:FLN983139 FVJ983136:FVJ983139 GFF983136:GFF983139 GPB983136:GPB983139 GYX983136:GYX983139 HIT983136:HIT983139 HSP983136:HSP983139 ICL983136:ICL983139 IMH983136:IMH983139 IWD983136:IWD983139 JFZ983136:JFZ983139 JPV983136:JPV983139 JZR983136:JZR983139 KJN983136:KJN983139 KTJ983136:KTJ983139 LDF983136:LDF983139 LNB983136:LNB983139 LWX983136:LWX983139 MGT983136:MGT983139 MQP983136:MQP983139 NAL983136:NAL983139 NKH983136:NKH983139 NUD983136:NUD983139 ODZ983136:ODZ983139 ONV983136:ONV983139 OXR983136:OXR983139 PHN983136:PHN983139 PRJ983136:PRJ983139 QBF983136:QBF983139 QLB983136:QLB983139 QUX983136:QUX983139 RET983136:RET983139 ROP983136:ROP983139 RYL983136:RYL983139 SIH983136:SIH983139 SSD983136:SSD983139 TBZ983136:TBZ983139 TLV983136:TLV983139 TVR983136:TVR983139 UFN983136:UFN983139 UPJ983136:UPJ983139 UZF983136:UZF983139 VJB983136:VJB983139 VSX983136:VSX983139 WCT983136:WCT983139 WMP983136:WMP983139 WWL983136:WWL983139 AD90:AD92 JZ90:JZ92 TV90:TV92 ADR90:ADR92 ANN90:ANN92 AXJ90:AXJ92 BHF90:BHF92 BRB90:BRB92 CAX90:CAX92 CKT90:CKT92 CUP90:CUP92 DEL90:DEL92 DOH90:DOH92 DYD90:DYD92 EHZ90:EHZ92 ERV90:ERV92 FBR90:FBR92 FLN90:FLN92 FVJ90:FVJ92 GFF90:GFF92 GPB90:GPB92 GYX90:GYX92 HIT90:HIT92 HSP90:HSP92 ICL90:ICL92 IMH90:IMH92 IWD90:IWD92 JFZ90:JFZ92 JPV90:JPV92 JZR90:JZR92 KJN90:KJN92 KTJ90:KTJ92 LDF90:LDF92 LNB90:LNB92 LWX90:LWX92 MGT90:MGT92 MQP90:MQP92 NAL90:NAL92 NKH90:NKH92 NUD90:NUD92 ODZ90:ODZ92 ONV90:ONV92 OXR90:OXR92 PHN90:PHN92 PRJ90:PRJ92 QBF90:QBF92 QLB90:QLB92 QUX90:QUX92 RET90:RET92 ROP90:ROP92 RYL90:RYL92 SIH90:SIH92 SSD90:SSD92 TBZ90:TBZ92 TLV90:TLV92 TVR90:TVR92 UFN90:UFN92 UPJ90:UPJ92 UZF90:UZF92 VJB90:VJB92 VSX90:VSX92 WCT90:WCT92 WMP90:WMP92 WWL90:WWL92 AD65628:AD65630 JZ65628:JZ65630 TV65628:TV65630 ADR65628:ADR65630 ANN65628:ANN65630 AXJ65628:AXJ65630 BHF65628:BHF65630 BRB65628:BRB65630 CAX65628:CAX65630 CKT65628:CKT65630 CUP65628:CUP65630 DEL65628:DEL65630 DOH65628:DOH65630 DYD65628:DYD65630 EHZ65628:EHZ65630 ERV65628:ERV65630 FBR65628:FBR65630 FLN65628:FLN65630 FVJ65628:FVJ65630 GFF65628:GFF65630 GPB65628:GPB65630 GYX65628:GYX65630 HIT65628:HIT65630 HSP65628:HSP65630 ICL65628:ICL65630 IMH65628:IMH65630 IWD65628:IWD65630 JFZ65628:JFZ65630 JPV65628:JPV65630 JZR65628:JZR65630 KJN65628:KJN65630 KTJ65628:KTJ65630 LDF65628:LDF65630 LNB65628:LNB65630 LWX65628:LWX65630 MGT65628:MGT65630 MQP65628:MQP65630 NAL65628:NAL65630 NKH65628:NKH65630 NUD65628:NUD65630 ODZ65628:ODZ65630 ONV65628:ONV65630 OXR65628:OXR65630 PHN65628:PHN65630 PRJ65628:PRJ65630 QBF65628:QBF65630 QLB65628:QLB65630 QUX65628:QUX65630 RET65628:RET65630 ROP65628:ROP65630 RYL65628:RYL65630 SIH65628:SIH65630 SSD65628:SSD65630 TBZ65628:TBZ65630 TLV65628:TLV65630 TVR65628:TVR65630 UFN65628:UFN65630 UPJ65628:UPJ65630 UZF65628:UZF65630 VJB65628:VJB65630 VSX65628:VSX65630 WCT65628:WCT65630 WMP65628:WMP65630 WWL65628:WWL65630 AD131164:AD131166 JZ131164:JZ131166 TV131164:TV131166 ADR131164:ADR131166 ANN131164:ANN131166 AXJ131164:AXJ131166 BHF131164:BHF131166 BRB131164:BRB131166 CAX131164:CAX131166 CKT131164:CKT131166 CUP131164:CUP131166 DEL131164:DEL131166 DOH131164:DOH131166 DYD131164:DYD131166 EHZ131164:EHZ131166 ERV131164:ERV131166 FBR131164:FBR131166 FLN131164:FLN131166 FVJ131164:FVJ131166 GFF131164:GFF131166 GPB131164:GPB131166 GYX131164:GYX131166 HIT131164:HIT131166 HSP131164:HSP131166 ICL131164:ICL131166 IMH131164:IMH131166 IWD131164:IWD131166 JFZ131164:JFZ131166 JPV131164:JPV131166 JZR131164:JZR131166 KJN131164:KJN131166 KTJ131164:KTJ131166 LDF131164:LDF131166 LNB131164:LNB131166 LWX131164:LWX131166 MGT131164:MGT131166 MQP131164:MQP131166 NAL131164:NAL131166 NKH131164:NKH131166 NUD131164:NUD131166 ODZ131164:ODZ131166 ONV131164:ONV131166 OXR131164:OXR131166 PHN131164:PHN131166 PRJ131164:PRJ131166 QBF131164:QBF131166 QLB131164:QLB131166 QUX131164:QUX131166 RET131164:RET131166 ROP131164:ROP131166 RYL131164:RYL131166 SIH131164:SIH131166 SSD131164:SSD131166 TBZ131164:TBZ131166 TLV131164:TLV131166 TVR131164:TVR131166 UFN131164:UFN131166 UPJ131164:UPJ131166 UZF131164:UZF131166 VJB131164:VJB131166 VSX131164:VSX131166 WCT131164:WCT131166 WMP131164:WMP131166 WWL131164:WWL131166 AD196700:AD196702 JZ196700:JZ196702 TV196700:TV196702 ADR196700:ADR196702 ANN196700:ANN196702 AXJ196700:AXJ196702 BHF196700:BHF196702 BRB196700:BRB196702 CAX196700:CAX196702 CKT196700:CKT196702 CUP196700:CUP196702 DEL196700:DEL196702 DOH196700:DOH196702 DYD196700:DYD196702 EHZ196700:EHZ196702 ERV196700:ERV196702 FBR196700:FBR196702 FLN196700:FLN196702 FVJ196700:FVJ196702 GFF196700:GFF196702 GPB196700:GPB196702 GYX196700:GYX196702 HIT196700:HIT196702 HSP196700:HSP196702 ICL196700:ICL196702 IMH196700:IMH196702 IWD196700:IWD196702 JFZ196700:JFZ196702 JPV196700:JPV196702 JZR196700:JZR196702 KJN196700:KJN196702 KTJ196700:KTJ196702 LDF196700:LDF196702 LNB196700:LNB196702 LWX196700:LWX196702 MGT196700:MGT196702 MQP196700:MQP196702 NAL196700:NAL196702 NKH196700:NKH196702 NUD196700:NUD196702 ODZ196700:ODZ196702 ONV196700:ONV196702 OXR196700:OXR196702 PHN196700:PHN196702 PRJ196700:PRJ196702 QBF196700:QBF196702 QLB196700:QLB196702 QUX196700:QUX196702 RET196700:RET196702 ROP196700:ROP196702 RYL196700:RYL196702 SIH196700:SIH196702 SSD196700:SSD196702 TBZ196700:TBZ196702 TLV196700:TLV196702 TVR196700:TVR196702 UFN196700:UFN196702 UPJ196700:UPJ196702 UZF196700:UZF196702 VJB196700:VJB196702 VSX196700:VSX196702 WCT196700:WCT196702 WMP196700:WMP196702 WWL196700:WWL196702 AD262236:AD262238 JZ262236:JZ262238 TV262236:TV262238 ADR262236:ADR262238 ANN262236:ANN262238 AXJ262236:AXJ262238 BHF262236:BHF262238 BRB262236:BRB262238 CAX262236:CAX262238 CKT262236:CKT262238 CUP262236:CUP262238 DEL262236:DEL262238 DOH262236:DOH262238 DYD262236:DYD262238 EHZ262236:EHZ262238 ERV262236:ERV262238 FBR262236:FBR262238 FLN262236:FLN262238 FVJ262236:FVJ262238 GFF262236:GFF262238 GPB262236:GPB262238 GYX262236:GYX262238 HIT262236:HIT262238 HSP262236:HSP262238 ICL262236:ICL262238 IMH262236:IMH262238 IWD262236:IWD262238 JFZ262236:JFZ262238 JPV262236:JPV262238 JZR262236:JZR262238 KJN262236:KJN262238 KTJ262236:KTJ262238 LDF262236:LDF262238 LNB262236:LNB262238 LWX262236:LWX262238 MGT262236:MGT262238 MQP262236:MQP262238 NAL262236:NAL262238 NKH262236:NKH262238 NUD262236:NUD262238 ODZ262236:ODZ262238 ONV262236:ONV262238 OXR262236:OXR262238 PHN262236:PHN262238 PRJ262236:PRJ262238 QBF262236:QBF262238 QLB262236:QLB262238 QUX262236:QUX262238 RET262236:RET262238 ROP262236:ROP262238 RYL262236:RYL262238 SIH262236:SIH262238 SSD262236:SSD262238 TBZ262236:TBZ262238 TLV262236:TLV262238 TVR262236:TVR262238 UFN262236:UFN262238 UPJ262236:UPJ262238 UZF262236:UZF262238 VJB262236:VJB262238 VSX262236:VSX262238 WCT262236:WCT262238 WMP262236:WMP262238 WWL262236:WWL262238 AD327772:AD327774 JZ327772:JZ327774 TV327772:TV327774 ADR327772:ADR327774 ANN327772:ANN327774 AXJ327772:AXJ327774 BHF327772:BHF327774 BRB327772:BRB327774 CAX327772:CAX327774 CKT327772:CKT327774 CUP327772:CUP327774 DEL327772:DEL327774 DOH327772:DOH327774 DYD327772:DYD327774 EHZ327772:EHZ327774 ERV327772:ERV327774 FBR327772:FBR327774 FLN327772:FLN327774 FVJ327772:FVJ327774 GFF327772:GFF327774 GPB327772:GPB327774 GYX327772:GYX327774 HIT327772:HIT327774 HSP327772:HSP327774 ICL327772:ICL327774 IMH327772:IMH327774 IWD327772:IWD327774 JFZ327772:JFZ327774 JPV327772:JPV327774 JZR327772:JZR327774 KJN327772:KJN327774 KTJ327772:KTJ327774 LDF327772:LDF327774 LNB327772:LNB327774 LWX327772:LWX327774 MGT327772:MGT327774 MQP327772:MQP327774 NAL327772:NAL327774 NKH327772:NKH327774 NUD327772:NUD327774 ODZ327772:ODZ327774 ONV327772:ONV327774 OXR327772:OXR327774 PHN327772:PHN327774 PRJ327772:PRJ327774 QBF327772:QBF327774 QLB327772:QLB327774 QUX327772:QUX327774 RET327772:RET327774 ROP327772:ROP327774 RYL327772:RYL327774 SIH327772:SIH327774 SSD327772:SSD327774 TBZ327772:TBZ327774 TLV327772:TLV327774 TVR327772:TVR327774 UFN327772:UFN327774 UPJ327772:UPJ327774 UZF327772:UZF327774 VJB327772:VJB327774 VSX327772:VSX327774 WCT327772:WCT327774 WMP327772:WMP327774 WWL327772:WWL327774 AD393308:AD393310 JZ393308:JZ393310 TV393308:TV393310 ADR393308:ADR393310 ANN393308:ANN393310 AXJ393308:AXJ393310 BHF393308:BHF393310 BRB393308:BRB393310 CAX393308:CAX393310 CKT393308:CKT393310 CUP393308:CUP393310 DEL393308:DEL393310 DOH393308:DOH393310 DYD393308:DYD393310 EHZ393308:EHZ393310 ERV393308:ERV393310 FBR393308:FBR393310 FLN393308:FLN393310 FVJ393308:FVJ393310 GFF393308:GFF393310 GPB393308:GPB393310 GYX393308:GYX393310 HIT393308:HIT393310 HSP393308:HSP393310 ICL393308:ICL393310 IMH393308:IMH393310 IWD393308:IWD393310 JFZ393308:JFZ393310 JPV393308:JPV393310 JZR393308:JZR393310 KJN393308:KJN393310 KTJ393308:KTJ393310 LDF393308:LDF393310 LNB393308:LNB393310 LWX393308:LWX393310 MGT393308:MGT393310 MQP393308:MQP393310 NAL393308:NAL393310 NKH393308:NKH393310 NUD393308:NUD393310 ODZ393308:ODZ393310 ONV393308:ONV393310 OXR393308:OXR393310 PHN393308:PHN393310 PRJ393308:PRJ393310 QBF393308:QBF393310 QLB393308:QLB393310 QUX393308:QUX393310 RET393308:RET393310 ROP393308:ROP393310 RYL393308:RYL393310 SIH393308:SIH393310 SSD393308:SSD393310 TBZ393308:TBZ393310 TLV393308:TLV393310 TVR393308:TVR393310 UFN393308:UFN393310 UPJ393308:UPJ393310 UZF393308:UZF393310 VJB393308:VJB393310 VSX393308:VSX393310 WCT393308:WCT393310 WMP393308:WMP393310 WWL393308:WWL393310 AD458844:AD458846 JZ458844:JZ458846 TV458844:TV458846 ADR458844:ADR458846 ANN458844:ANN458846 AXJ458844:AXJ458846 BHF458844:BHF458846 BRB458844:BRB458846 CAX458844:CAX458846 CKT458844:CKT458846 CUP458844:CUP458846 DEL458844:DEL458846 DOH458844:DOH458846 DYD458844:DYD458846 EHZ458844:EHZ458846 ERV458844:ERV458846 FBR458844:FBR458846 FLN458844:FLN458846 FVJ458844:FVJ458846 GFF458844:GFF458846 GPB458844:GPB458846 GYX458844:GYX458846 HIT458844:HIT458846 HSP458844:HSP458846 ICL458844:ICL458846 IMH458844:IMH458846 IWD458844:IWD458846 JFZ458844:JFZ458846 JPV458844:JPV458846 JZR458844:JZR458846 KJN458844:KJN458846 KTJ458844:KTJ458846 LDF458844:LDF458846 LNB458844:LNB458846 LWX458844:LWX458846 MGT458844:MGT458846 MQP458844:MQP458846 NAL458844:NAL458846 NKH458844:NKH458846 NUD458844:NUD458846 ODZ458844:ODZ458846 ONV458844:ONV458846 OXR458844:OXR458846 PHN458844:PHN458846 PRJ458844:PRJ458846 QBF458844:QBF458846 QLB458844:QLB458846 QUX458844:QUX458846 RET458844:RET458846 ROP458844:ROP458846 RYL458844:RYL458846 SIH458844:SIH458846 SSD458844:SSD458846 TBZ458844:TBZ458846 TLV458844:TLV458846 TVR458844:TVR458846 UFN458844:UFN458846 UPJ458844:UPJ458846 UZF458844:UZF458846 VJB458844:VJB458846 VSX458844:VSX458846 WCT458844:WCT458846 WMP458844:WMP458846 WWL458844:WWL458846 AD524380:AD524382 JZ524380:JZ524382 TV524380:TV524382 ADR524380:ADR524382 ANN524380:ANN524382 AXJ524380:AXJ524382 BHF524380:BHF524382 BRB524380:BRB524382 CAX524380:CAX524382 CKT524380:CKT524382 CUP524380:CUP524382 DEL524380:DEL524382 DOH524380:DOH524382 DYD524380:DYD524382 EHZ524380:EHZ524382 ERV524380:ERV524382 FBR524380:FBR524382 FLN524380:FLN524382 FVJ524380:FVJ524382 GFF524380:GFF524382 GPB524380:GPB524382 GYX524380:GYX524382 HIT524380:HIT524382 HSP524380:HSP524382 ICL524380:ICL524382 IMH524380:IMH524382 IWD524380:IWD524382 JFZ524380:JFZ524382 JPV524380:JPV524382 JZR524380:JZR524382 KJN524380:KJN524382 KTJ524380:KTJ524382 LDF524380:LDF524382 LNB524380:LNB524382 LWX524380:LWX524382 MGT524380:MGT524382 MQP524380:MQP524382 NAL524380:NAL524382 NKH524380:NKH524382 NUD524380:NUD524382 ODZ524380:ODZ524382 ONV524380:ONV524382 OXR524380:OXR524382 PHN524380:PHN524382 PRJ524380:PRJ524382 QBF524380:QBF524382 QLB524380:QLB524382 QUX524380:QUX524382 RET524380:RET524382 ROP524380:ROP524382 RYL524380:RYL524382 SIH524380:SIH524382 SSD524380:SSD524382 TBZ524380:TBZ524382 TLV524380:TLV524382 TVR524380:TVR524382 UFN524380:UFN524382 UPJ524380:UPJ524382 UZF524380:UZF524382 VJB524380:VJB524382 VSX524380:VSX524382 WCT524380:WCT524382 WMP524380:WMP524382 WWL524380:WWL524382 AD589916:AD589918 JZ589916:JZ589918 TV589916:TV589918 ADR589916:ADR589918 ANN589916:ANN589918 AXJ589916:AXJ589918 BHF589916:BHF589918 BRB589916:BRB589918 CAX589916:CAX589918 CKT589916:CKT589918 CUP589916:CUP589918 DEL589916:DEL589918 DOH589916:DOH589918 DYD589916:DYD589918 EHZ589916:EHZ589918 ERV589916:ERV589918 FBR589916:FBR589918 FLN589916:FLN589918 FVJ589916:FVJ589918 GFF589916:GFF589918 GPB589916:GPB589918 GYX589916:GYX589918 HIT589916:HIT589918 HSP589916:HSP589918 ICL589916:ICL589918 IMH589916:IMH589918 IWD589916:IWD589918 JFZ589916:JFZ589918 JPV589916:JPV589918 JZR589916:JZR589918 KJN589916:KJN589918 KTJ589916:KTJ589918 LDF589916:LDF589918 LNB589916:LNB589918 LWX589916:LWX589918 MGT589916:MGT589918 MQP589916:MQP589918 NAL589916:NAL589918 NKH589916:NKH589918 NUD589916:NUD589918 ODZ589916:ODZ589918 ONV589916:ONV589918 OXR589916:OXR589918 PHN589916:PHN589918 PRJ589916:PRJ589918 QBF589916:QBF589918 QLB589916:QLB589918 QUX589916:QUX589918 RET589916:RET589918 ROP589916:ROP589918 RYL589916:RYL589918 SIH589916:SIH589918 SSD589916:SSD589918 TBZ589916:TBZ589918 TLV589916:TLV589918 TVR589916:TVR589918 UFN589916:UFN589918 UPJ589916:UPJ589918 UZF589916:UZF589918 VJB589916:VJB589918 VSX589916:VSX589918 WCT589916:WCT589918 WMP589916:WMP589918 WWL589916:WWL589918 AD655452:AD655454 JZ655452:JZ655454 TV655452:TV655454 ADR655452:ADR655454 ANN655452:ANN655454 AXJ655452:AXJ655454 BHF655452:BHF655454 BRB655452:BRB655454 CAX655452:CAX655454 CKT655452:CKT655454 CUP655452:CUP655454 DEL655452:DEL655454 DOH655452:DOH655454 DYD655452:DYD655454 EHZ655452:EHZ655454 ERV655452:ERV655454 FBR655452:FBR655454 FLN655452:FLN655454 FVJ655452:FVJ655454 GFF655452:GFF655454 GPB655452:GPB655454 GYX655452:GYX655454 HIT655452:HIT655454 HSP655452:HSP655454 ICL655452:ICL655454 IMH655452:IMH655454 IWD655452:IWD655454 JFZ655452:JFZ655454 JPV655452:JPV655454 JZR655452:JZR655454 KJN655452:KJN655454 KTJ655452:KTJ655454 LDF655452:LDF655454 LNB655452:LNB655454 LWX655452:LWX655454 MGT655452:MGT655454 MQP655452:MQP655454 NAL655452:NAL655454 NKH655452:NKH655454 NUD655452:NUD655454 ODZ655452:ODZ655454 ONV655452:ONV655454 OXR655452:OXR655454 PHN655452:PHN655454 PRJ655452:PRJ655454 QBF655452:QBF655454 QLB655452:QLB655454 QUX655452:QUX655454 RET655452:RET655454 ROP655452:ROP655454 RYL655452:RYL655454 SIH655452:SIH655454 SSD655452:SSD655454 TBZ655452:TBZ655454 TLV655452:TLV655454 TVR655452:TVR655454 UFN655452:UFN655454 UPJ655452:UPJ655454 UZF655452:UZF655454 VJB655452:VJB655454 VSX655452:VSX655454 WCT655452:WCT655454 WMP655452:WMP655454 WWL655452:WWL655454 AD720988:AD720990 JZ720988:JZ720990 TV720988:TV720990 ADR720988:ADR720990 ANN720988:ANN720990 AXJ720988:AXJ720990 BHF720988:BHF720990 BRB720988:BRB720990 CAX720988:CAX720990 CKT720988:CKT720990 CUP720988:CUP720990 DEL720988:DEL720990 DOH720988:DOH720990 DYD720988:DYD720990 EHZ720988:EHZ720990 ERV720988:ERV720990 FBR720988:FBR720990 FLN720988:FLN720990 FVJ720988:FVJ720990 GFF720988:GFF720990 GPB720988:GPB720990 GYX720988:GYX720990 HIT720988:HIT720990 HSP720988:HSP720990 ICL720988:ICL720990 IMH720988:IMH720990 IWD720988:IWD720990 JFZ720988:JFZ720990 JPV720988:JPV720990 JZR720988:JZR720990 KJN720988:KJN720990 KTJ720988:KTJ720990 LDF720988:LDF720990 LNB720988:LNB720990 LWX720988:LWX720990 MGT720988:MGT720990 MQP720988:MQP720990 NAL720988:NAL720990 NKH720988:NKH720990 NUD720988:NUD720990 ODZ720988:ODZ720990 ONV720988:ONV720990 OXR720988:OXR720990 PHN720988:PHN720990 PRJ720988:PRJ720990 QBF720988:QBF720990 QLB720988:QLB720990 QUX720988:QUX720990 RET720988:RET720990 ROP720988:ROP720990 RYL720988:RYL720990 SIH720988:SIH720990 SSD720988:SSD720990 TBZ720988:TBZ720990 TLV720988:TLV720990 TVR720988:TVR720990 UFN720988:UFN720990 UPJ720988:UPJ720990 UZF720988:UZF720990 VJB720988:VJB720990 VSX720988:VSX720990 WCT720988:WCT720990 WMP720988:WMP720990 WWL720988:WWL720990 AD786524:AD786526 JZ786524:JZ786526 TV786524:TV786526 ADR786524:ADR786526 ANN786524:ANN786526 AXJ786524:AXJ786526 BHF786524:BHF786526 BRB786524:BRB786526 CAX786524:CAX786526 CKT786524:CKT786526 CUP786524:CUP786526 DEL786524:DEL786526 DOH786524:DOH786526 DYD786524:DYD786526 EHZ786524:EHZ786526 ERV786524:ERV786526 FBR786524:FBR786526 FLN786524:FLN786526 FVJ786524:FVJ786526 GFF786524:GFF786526 GPB786524:GPB786526 GYX786524:GYX786526 HIT786524:HIT786526 HSP786524:HSP786526 ICL786524:ICL786526 IMH786524:IMH786526 IWD786524:IWD786526 JFZ786524:JFZ786526 JPV786524:JPV786526 JZR786524:JZR786526 KJN786524:KJN786526 KTJ786524:KTJ786526 LDF786524:LDF786526 LNB786524:LNB786526 LWX786524:LWX786526 MGT786524:MGT786526 MQP786524:MQP786526 NAL786524:NAL786526 NKH786524:NKH786526 NUD786524:NUD786526 ODZ786524:ODZ786526 ONV786524:ONV786526 OXR786524:OXR786526 PHN786524:PHN786526 PRJ786524:PRJ786526 QBF786524:QBF786526 QLB786524:QLB786526 QUX786524:QUX786526 RET786524:RET786526 ROP786524:ROP786526 RYL786524:RYL786526 SIH786524:SIH786526 SSD786524:SSD786526 TBZ786524:TBZ786526 TLV786524:TLV786526 TVR786524:TVR786526 UFN786524:UFN786526 UPJ786524:UPJ786526 UZF786524:UZF786526 VJB786524:VJB786526 VSX786524:VSX786526 WCT786524:WCT786526 WMP786524:WMP786526 WWL786524:WWL786526 AD852060:AD852062 JZ852060:JZ852062 TV852060:TV852062 ADR852060:ADR852062 ANN852060:ANN852062 AXJ852060:AXJ852062 BHF852060:BHF852062 BRB852060:BRB852062 CAX852060:CAX852062 CKT852060:CKT852062 CUP852060:CUP852062 DEL852060:DEL852062 DOH852060:DOH852062 DYD852060:DYD852062 EHZ852060:EHZ852062 ERV852060:ERV852062 FBR852060:FBR852062 FLN852060:FLN852062 FVJ852060:FVJ852062 GFF852060:GFF852062 GPB852060:GPB852062 GYX852060:GYX852062 HIT852060:HIT852062 HSP852060:HSP852062 ICL852060:ICL852062 IMH852060:IMH852062 IWD852060:IWD852062 JFZ852060:JFZ852062 JPV852060:JPV852062 JZR852060:JZR852062 KJN852060:KJN852062 KTJ852060:KTJ852062 LDF852060:LDF852062 LNB852060:LNB852062 LWX852060:LWX852062 MGT852060:MGT852062 MQP852060:MQP852062 NAL852060:NAL852062 NKH852060:NKH852062 NUD852060:NUD852062 ODZ852060:ODZ852062 ONV852060:ONV852062 OXR852060:OXR852062 PHN852060:PHN852062 PRJ852060:PRJ852062 QBF852060:QBF852062 QLB852060:QLB852062 QUX852060:QUX852062 RET852060:RET852062 ROP852060:ROP852062 RYL852060:RYL852062 SIH852060:SIH852062 SSD852060:SSD852062 TBZ852060:TBZ852062 TLV852060:TLV852062 TVR852060:TVR852062 UFN852060:UFN852062 UPJ852060:UPJ852062 UZF852060:UZF852062 VJB852060:VJB852062 VSX852060:VSX852062 WCT852060:WCT852062 WMP852060:WMP852062 WWL852060:WWL852062 AD917596:AD917598 JZ917596:JZ917598 TV917596:TV917598 ADR917596:ADR917598 ANN917596:ANN917598 AXJ917596:AXJ917598 BHF917596:BHF917598 BRB917596:BRB917598 CAX917596:CAX917598 CKT917596:CKT917598 CUP917596:CUP917598 DEL917596:DEL917598 DOH917596:DOH917598 DYD917596:DYD917598 EHZ917596:EHZ917598 ERV917596:ERV917598 FBR917596:FBR917598 FLN917596:FLN917598 FVJ917596:FVJ917598 GFF917596:GFF917598 GPB917596:GPB917598 GYX917596:GYX917598 HIT917596:HIT917598 HSP917596:HSP917598 ICL917596:ICL917598 IMH917596:IMH917598 IWD917596:IWD917598 JFZ917596:JFZ917598 JPV917596:JPV917598 JZR917596:JZR917598 KJN917596:KJN917598 KTJ917596:KTJ917598 LDF917596:LDF917598 LNB917596:LNB917598 LWX917596:LWX917598 MGT917596:MGT917598 MQP917596:MQP917598 NAL917596:NAL917598 NKH917596:NKH917598 NUD917596:NUD917598 ODZ917596:ODZ917598 ONV917596:ONV917598 OXR917596:OXR917598 PHN917596:PHN917598 PRJ917596:PRJ917598 QBF917596:QBF917598 QLB917596:QLB917598 QUX917596:QUX917598 RET917596:RET917598 ROP917596:ROP917598 RYL917596:RYL917598 SIH917596:SIH917598 SSD917596:SSD917598 TBZ917596:TBZ917598 TLV917596:TLV917598 TVR917596:TVR917598 UFN917596:UFN917598 UPJ917596:UPJ917598 UZF917596:UZF917598 VJB917596:VJB917598 VSX917596:VSX917598 WCT917596:WCT917598 WMP917596:WMP917598 WWL917596:WWL917598 AD983132:AD983134 JZ983132:JZ983134 TV983132:TV983134 ADR983132:ADR983134 ANN983132:ANN983134 AXJ983132:AXJ983134 BHF983132:BHF983134 BRB983132:BRB983134 CAX983132:CAX983134 CKT983132:CKT983134 CUP983132:CUP983134 DEL983132:DEL983134 DOH983132:DOH983134 DYD983132:DYD983134 EHZ983132:EHZ983134 ERV983132:ERV983134 FBR983132:FBR983134 FLN983132:FLN983134 FVJ983132:FVJ983134 GFF983132:GFF983134 GPB983132:GPB983134 GYX983132:GYX983134 HIT983132:HIT983134 HSP983132:HSP983134 ICL983132:ICL983134 IMH983132:IMH983134 IWD983132:IWD983134 JFZ983132:JFZ983134 JPV983132:JPV983134 JZR983132:JZR983134 KJN983132:KJN983134 KTJ983132:KTJ983134 LDF983132:LDF983134 LNB983132:LNB983134 LWX983132:LWX983134 MGT983132:MGT983134 MQP983132:MQP983134 NAL983132:NAL983134 NKH983132:NKH983134 NUD983132:NUD983134 ODZ983132:ODZ983134 ONV983132:ONV983134 OXR983132:OXR983134 PHN983132:PHN983134 PRJ983132:PRJ983134 QBF983132:QBF983134 QLB983132:QLB983134 QUX983132:QUX983134 RET983132:RET983134 ROP983132:ROP983134 RYL983132:RYL983134 SIH983132:SIH983134 SSD983132:SSD983134 TBZ983132:TBZ983134 TLV983132:TLV983134 TVR983132:TVR983134 UFN983132:UFN983134 UPJ983132:UPJ983134 UZF983132:UZF983134 VJB983132:VJB983134 VSX983132:VSX983134 WCT983132:WCT983134 WMP983132:WMP983134 WWL983132:WWL983134 AD5:AD62 JZ76:JZ85 TV76:TV85 ADR76:ADR85 ANN76:ANN85 AXJ76:AXJ85 BHF76:BHF85 BRB76:BRB85 CAX76:CAX85 CKT76:CKT85 CUP76:CUP85 DEL76:DEL85 DOH76:DOH85 DYD76:DYD85 EHZ76:EHZ85 ERV76:ERV85 FBR76:FBR85 FLN76:FLN85 FVJ76:FVJ85 GFF76:GFF85 GPB76:GPB85 GYX76:GYX85 HIT76:HIT85 HSP76:HSP85 ICL76:ICL85 IMH76:IMH85 IWD76:IWD85 JFZ76:JFZ85 JPV76:JPV85 JZR76:JZR85 KJN76:KJN85 KTJ76:KTJ85 LDF76:LDF85 LNB76:LNB85 LWX76:LWX85 MGT76:MGT85 MQP76:MQP85 NAL76:NAL85 NKH76:NKH85 NUD76:NUD85 ODZ76:ODZ85 ONV76:ONV85 OXR76:OXR85 PHN76:PHN85 PRJ76:PRJ85 QBF76:QBF85 QLB76:QLB85 QUX76:QUX85 RET76:RET85 ROP76:ROP85 RYL76:RYL85 SIH76:SIH85 SSD76:SSD85 TBZ76:TBZ85 TLV76:TLV85 TVR76:TVR85 UFN76:UFN85 UPJ76:UPJ85 UZF76:UZF85 VJB76:VJB85 VSX76:VSX85 WCT76:WCT85 WMP76:WMP85 WWL76:WWL85 AD65614:AD65623 JZ65614:JZ65623 TV65614:TV65623 ADR65614:ADR65623 ANN65614:ANN65623 AXJ65614:AXJ65623 BHF65614:BHF65623 BRB65614:BRB65623 CAX65614:CAX65623 CKT65614:CKT65623 CUP65614:CUP65623 DEL65614:DEL65623 DOH65614:DOH65623 DYD65614:DYD65623 EHZ65614:EHZ65623 ERV65614:ERV65623 FBR65614:FBR65623 FLN65614:FLN65623 FVJ65614:FVJ65623 GFF65614:GFF65623 GPB65614:GPB65623 GYX65614:GYX65623 HIT65614:HIT65623 HSP65614:HSP65623 ICL65614:ICL65623 IMH65614:IMH65623 IWD65614:IWD65623 JFZ65614:JFZ65623 JPV65614:JPV65623 JZR65614:JZR65623 KJN65614:KJN65623 KTJ65614:KTJ65623 LDF65614:LDF65623 LNB65614:LNB65623 LWX65614:LWX65623 MGT65614:MGT65623 MQP65614:MQP65623 NAL65614:NAL65623 NKH65614:NKH65623 NUD65614:NUD65623 ODZ65614:ODZ65623 ONV65614:ONV65623 OXR65614:OXR65623 PHN65614:PHN65623 PRJ65614:PRJ65623 QBF65614:QBF65623 QLB65614:QLB65623 QUX65614:QUX65623 RET65614:RET65623 ROP65614:ROP65623 RYL65614:RYL65623 SIH65614:SIH65623 SSD65614:SSD65623 TBZ65614:TBZ65623 TLV65614:TLV65623 TVR65614:TVR65623 UFN65614:UFN65623 UPJ65614:UPJ65623 UZF65614:UZF65623 VJB65614:VJB65623 VSX65614:VSX65623 WCT65614:WCT65623 WMP65614:WMP65623 WWL65614:WWL65623 AD131150:AD131159 JZ131150:JZ131159 TV131150:TV131159 ADR131150:ADR131159 ANN131150:ANN131159 AXJ131150:AXJ131159 BHF131150:BHF131159 BRB131150:BRB131159 CAX131150:CAX131159 CKT131150:CKT131159 CUP131150:CUP131159 DEL131150:DEL131159 DOH131150:DOH131159 DYD131150:DYD131159 EHZ131150:EHZ131159 ERV131150:ERV131159 FBR131150:FBR131159 FLN131150:FLN131159 FVJ131150:FVJ131159 GFF131150:GFF131159 GPB131150:GPB131159 GYX131150:GYX131159 HIT131150:HIT131159 HSP131150:HSP131159 ICL131150:ICL131159 IMH131150:IMH131159 IWD131150:IWD131159 JFZ131150:JFZ131159 JPV131150:JPV131159 JZR131150:JZR131159 KJN131150:KJN131159 KTJ131150:KTJ131159 LDF131150:LDF131159 LNB131150:LNB131159 LWX131150:LWX131159 MGT131150:MGT131159 MQP131150:MQP131159 NAL131150:NAL131159 NKH131150:NKH131159 NUD131150:NUD131159 ODZ131150:ODZ131159 ONV131150:ONV131159 OXR131150:OXR131159 PHN131150:PHN131159 PRJ131150:PRJ131159 QBF131150:QBF131159 QLB131150:QLB131159 QUX131150:QUX131159 RET131150:RET131159 ROP131150:ROP131159 RYL131150:RYL131159 SIH131150:SIH131159 SSD131150:SSD131159 TBZ131150:TBZ131159 TLV131150:TLV131159 TVR131150:TVR131159 UFN131150:UFN131159 UPJ131150:UPJ131159 UZF131150:UZF131159 VJB131150:VJB131159 VSX131150:VSX131159 WCT131150:WCT131159 WMP131150:WMP131159 WWL131150:WWL131159 AD196686:AD196695 JZ196686:JZ196695 TV196686:TV196695 ADR196686:ADR196695 ANN196686:ANN196695 AXJ196686:AXJ196695 BHF196686:BHF196695 BRB196686:BRB196695 CAX196686:CAX196695 CKT196686:CKT196695 CUP196686:CUP196695 DEL196686:DEL196695 DOH196686:DOH196695 DYD196686:DYD196695 EHZ196686:EHZ196695 ERV196686:ERV196695 FBR196686:FBR196695 FLN196686:FLN196695 FVJ196686:FVJ196695 GFF196686:GFF196695 GPB196686:GPB196695 GYX196686:GYX196695 HIT196686:HIT196695 HSP196686:HSP196695 ICL196686:ICL196695 IMH196686:IMH196695 IWD196686:IWD196695 JFZ196686:JFZ196695 JPV196686:JPV196695 JZR196686:JZR196695 KJN196686:KJN196695 KTJ196686:KTJ196695 LDF196686:LDF196695 LNB196686:LNB196695 LWX196686:LWX196695 MGT196686:MGT196695 MQP196686:MQP196695 NAL196686:NAL196695 NKH196686:NKH196695 NUD196686:NUD196695 ODZ196686:ODZ196695 ONV196686:ONV196695 OXR196686:OXR196695 PHN196686:PHN196695 PRJ196686:PRJ196695 QBF196686:QBF196695 QLB196686:QLB196695 QUX196686:QUX196695 RET196686:RET196695 ROP196686:ROP196695 RYL196686:RYL196695 SIH196686:SIH196695 SSD196686:SSD196695 TBZ196686:TBZ196695 TLV196686:TLV196695 TVR196686:TVR196695 UFN196686:UFN196695 UPJ196686:UPJ196695 UZF196686:UZF196695 VJB196686:VJB196695 VSX196686:VSX196695 WCT196686:WCT196695 WMP196686:WMP196695 WWL196686:WWL196695 AD262222:AD262231 JZ262222:JZ262231 TV262222:TV262231 ADR262222:ADR262231 ANN262222:ANN262231 AXJ262222:AXJ262231 BHF262222:BHF262231 BRB262222:BRB262231 CAX262222:CAX262231 CKT262222:CKT262231 CUP262222:CUP262231 DEL262222:DEL262231 DOH262222:DOH262231 DYD262222:DYD262231 EHZ262222:EHZ262231 ERV262222:ERV262231 FBR262222:FBR262231 FLN262222:FLN262231 FVJ262222:FVJ262231 GFF262222:GFF262231 GPB262222:GPB262231 GYX262222:GYX262231 HIT262222:HIT262231 HSP262222:HSP262231 ICL262222:ICL262231 IMH262222:IMH262231 IWD262222:IWD262231 JFZ262222:JFZ262231 JPV262222:JPV262231 JZR262222:JZR262231 KJN262222:KJN262231 KTJ262222:KTJ262231 LDF262222:LDF262231 LNB262222:LNB262231 LWX262222:LWX262231 MGT262222:MGT262231 MQP262222:MQP262231 NAL262222:NAL262231 NKH262222:NKH262231 NUD262222:NUD262231 ODZ262222:ODZ262231 ONV262222:ONV262231 OXR262222:OXR262231 PHN262222:PHN262231 PRJ262222:PRJ262231 QBF262222:QBF262231 QLB262222:QLB262231 QUX262222:QUX262231 RET262222:RET262231 ROP262222:ROP262231 RYL262222:RYL262231 SIH262222:SIH262231 SSD262222:SSD262231 TBZ262222:TBZ262231 TLV262222:TLV262231 TVR262222:TVR262231 UFN262222:UFN262231 UPJ262222:UPJ262231 UZF262222:UZF262231 VJB262222:VJB262231 VSX262222:VSX262231 WCT262222:WCT262231 WMP262222:WMP262231 WWL262222:WWL262231 AD327758:AD327767 JZ327758:JZ327767 TV327758:TV327767 ADR327758:ADR327767 ANN327758:ANN327767 AXJ327758:AXJ327767 BHF327758:BHF327767 BRB327758:BRB327767 CAX327758:CAX327767 CKT327758:CKT327767 CUP327758:CUP327767 DEL327758:DEL327767 DOH327758:DOH327767 DYD327758:DYD327767 EHZ327758:EHZ327767 ERV327758:ERV327767 FBR327758:FBR327767 FLN327758:FLN327767 FVJ327758:FVJ327767 GFF327758:GFF327767 GPB327758:GPB327767 GYX327758:GYX327767 HIT327758:HIT327767 HSP327758:HSP327767 ICL327758:ICL327767 IMH327758:IMH327767 IWD327758:IWD327767 JFZ327758:JFZ327767 JPV327758:JPV327767 JZR327758:JZR327767 KJN327758:KJN327767 KTJ327758:KTJ327767 LDF327758:LDF327767 LNB327758:LNB327767 LWX327758:LWX327767 MGT327758:MGT327767 MQP327758:MQP327767 NAL327758:NAL327767 NKH327758:NKH327767 NUD327758:NUD327767 ODZ327758:ODZ327767 ONV327758:ONV327767 OXR327758:OXR327767 PHN327758:PHN327767 PRJ327758:PRJ327767 QBF327758:QBF327767 QLB327758:QLB327767 QUX327758:QUX327767 RET327758:RET327767 ROP327758:ROP327767 RYL327758:RYL327767 SIH327758:SIH327767 SSD327758:SSD327767 TBZ327758:TBZ327767 TLV327758:TLV327767 TVR327758:TVR327767 UFN327758:UFN327767 UPJ327758:UPJ327767 UZF327758:UZF327767 VJB327758:VJB327767 VSX327758:VSX327767 WCT327758:WCT327767 WMP327758:WMP327767 WWL327758:WWL327767 AD393294:AD393303 JZ393294:JZ393303 TV393294:TV393303 ADR393294:ADR393303 ANN393294:ANN393303 AXJ393294:AXJ393303 BHF393294:BHF393303 BRB393294:BRB393303 CAX393294:CAX393303 CKT393294:CKT393303 CUP393294:CUP393303 DEL393294:DEL393303 DOH393294:DOH393303 DYD393294:DYD393303 EHZ393294:EHZ393303 ERV393294:ERV393303 FBR393294:FBR393303 FLN393294:FLN393303 FVJ393294:FVJ393303 GFF393294:GFF393303 GPB393294:GPB393303 GYX393294:GYX393303 HIT393294:HIT393303 HSP393294:HSP393303 ICL393294:ICL393303 IMH393294:IMH393303 IWD393294:IWD393303 JFZ393294:JFZ393303 JPV393294:JPV393303 JZR393294:JZR393303 KJN393294:KJN393303 KTJ393294:KTJ393303 LDF393294:LDF393303 LNB393294:LNB393303 LWX393294:LWX393303 MGT393294:MGT393303 MQP393294:MQP393303 NAL393294:NAL393303 NKH393294:NKH393303 NUD393294:NUD393303 ODZ393294:ODZ393303 ONV393294:ONV393303 OXR393294:OXR393303 PHN393294:PHN393303 PRJ393294:PRJ393303 QBF393294:QBF393303 QLB393294:QLB393303 QUX393294:QUX393303 RET393294:RET393303 ROP393294:ROP393303 RYL393294:RYL393303 SIH393294:SIH393303 SSD393294:SSD393303 TBZ393294:TBZ393303 TLV393294:TLV393303 TVR393294:TVR393303 UFN393294:UFN393303 UPJ393294:UPJ393303 UZF393294:UZF393303 VJB393294:VJB393303 VSX393294:VSX393303 WCT393294:WCT393303 WMP393294:WMP393303 WWL393294:WWL393303 AD458830:AD458839 JZ458830:JZ458839 TV458830:TV458839 ADR458830:ADR458839 ANN458830:ANN458839 AXJ458830:AXJ458839 BHF458830:BHF458839 BRB458830:BRB458839 CAX458830:CAX458839 CKT458830:CKT458839 CUP458830:CUP458839 DEL458830:DEL458839 DOH458830:DOH458839 DYD458830:DYD458839 EHZ458830:EHZ458839 ERV458830:ERV458839 FBR458830:FBR458839 FLN458830:FLN458839 FVJ458830:FVJ458839 GFF458830:GFF458839 GPB458830:GPB458839 GYX458830:GYX458839 HIT458830:HIT458839 HSP458830:HSP458839 ICL458830:ICL458839 IMH458830:IMH458839 IWD458830:IWD458839 JFZ458830:JFZ458839 JPV458830:JPV458839 JZR458830:JZR458839 KJN458830:KJN458839 KTJ458830:KTJ458839 LDF458830:LDF458839 LNB458830:LNB458839 LWX458830:LWX458839 MGT458830:MGT458839 MQP458830:MQP458839 NAL458830:NAL458839 NKH458830:NKH458839 NUD458830:NUD458839 ODZ458830:ODZ458839 ONV458830:ONV458839 OXR458830:OXR458839 PHN458830:PHN458839 PRJ458830:PRJ458839 QBF458830:QBF458839 QLB458830:QLB458839 QUX458830:QUX458839 RET458830:RET458839 ROP458830:ROP458839 RYL458830:RYL458839 SIH458830:SIH458839 SSD458830:SSD458839 TBZ458830:TBZ458839 TLV458830:TLV458839 TVR458830:TVR458839 UFN458830:UFN458839 UPJ458830:UPJ458839 UZF458830:UZF458839 VJB458830:VJB458839 VSX458830:VSX458839 WCT458830:WCT458839 WMP458830:WMP458839 WWL458830:WWL458839 AD524366:AD524375 JZ524366:JZ524375 TV524366:TV524375 ADR524366:ADR524375 ANN524366:ANN524375 AXJ524366:AXJ524375 BHF524366:BHF524375 BRB524366:BRB524375 CAX524366:CAX524375 CKT524366:CKT524375 CUP524366:CUP524375 DEL524366:DEL524375 DOH524366:DOH524375 DYD524366:DYD524375 EHZ524366:EHZ524375 ERV524366:ERV524375 FBR524366:FBR524375 FLN524366:FLN524375 FVJ524366:FVJ524375 GFF524366:GFF524375 GPB524366:GPB524375 GYX524366:GYX524375 HIT524366:HIT524375 HSP524366:HSP524375 ICL524366:ICL524375 IMH524366:IMH524375 IWD524366:IWD524375 JFZ524366:JFZ524375 JPV524366:JPV524375 JZR524366:JZR524375 KJN524366:KJN524375 KTJ524366:KTJ524375 LDF524366:LDF524375 LNB524366:LNB524375 LWX524366:LWX524375 MGT524366:MGT524375 MQP524366:MQP524375 NAL524366:NAL524375 NKH524366:NKH524375 NUD524366:NUD524375 ODZ524366:ODZ524375 ONV524366:ONV524375 OXR524366:OXR524375 PHN524366:PHN524375 PRJ524366:PRJ524375 QBF524366:QBF524375 QLB524366:QLB524375 QUX524366:QUX524375 RET524366:RET524375 ROP524366:ROP524375 RYL524366:RYL524375 SIH524366:SIH524375 SSD524366:SSD524375 TBZ524366:TBZ524375 TLV524366:TLV524375 TVR524366:TVR524375 UFN524366:UFN524375 UPJ524366:UPJ524375 UZF524366:UZF524375 VJB524366:VJB524375 VSX524366:VSX524375 WCT524366:WCT524375 WMP524366:WMP524375 WWL524366:WWL524375 AD589902:AD589911 JZ589902:JZ589911 TV589902:TV589911 ADR589902:ADR589911 ANN589902:ANN589911 AXJ589902:AXJ589911 BHF589902:BHF589911 BRB589902:BRB589911 CAX589902:CAX589911 CKT589902:CKT589911 CUP589902:CUP589911 DEL589902:DEL589911 DOH589902:DOH589911 DYD589902:DYD589911 EHZ589902:EHZ589911 ERV589902:ERV589911 FBR589902:FBR589911 FLN589902:FLN589911 FVJ589902:FVJ589911 GFF589902:GFF589911 GPB589902:GPB589911 GYX589902:GYX589911 HIT589902:HIT589911 HSP589902:HSP589911 ICL589902:ICL589911 IMH589902:IMH589911 IWD589902:IWD589911 JFZ589902:JFZ589911 JPV589902:JPV589911 JZR589902:JZR589911 KJN589902:KJN589911 KTJ589902:KTJ589911 LDF589902:LDF589911 LNB589902:LNB589911 LWX589902:LWX589911 MGT589902:MGT589911 MQP589902:MQP589911 NAL589902:NAL589911 NKH589902:NKH589911 NUD589902:NUD589911 ODZ589902:ODZ589911 ONV589902:ONV589911 OXR589902:OXR589911 PHN589902:PHN589911 PRJ589902:PRJ589911 QBF589902:QBF589911 QLB589902:QLB589911 QUX589902:QUX589911 RET589902:RET589911 ROP589902:ROP589911 RYL589902:RYL589911 SIH589902:SIH589911 SSD589902:SSD589911 TBZ589902:TBZ589911 TLV589902:TLV589911 TVR589902:TVR589911 UFN589902:UFN589911 UPJ589902:UPJ589911 UZF589902:UZF589911 VJB589902:VJB589911 VSX589902:VSX589911 WCT589902:WCT589911 WMP589902:WMP589911 WWL589902:WWL589911 AD655438:AD655447 JZ655438:JZ655447 TV655438:TV655447 ADR655438:ADR655447 ANN655438:ANN655447 AXJ655438:AXJ655447 BHF655438:BHF655447 BRB655438:BRB655447 CAX655438:CAX655447 CKT655438:CKT655447 CUP655438:CUP655447 DEL655438:DEL655447 DOH655438:DOH655447 DYD655438:DYD655447 EHZ655438:EHZ655447 ERV655438:ERV655447 FBR655438:FBR655447 FLN655438:FLN655447 FVJ655438:FVJ655447 GFF655438:GFF655447 GPB655438:GPB655447 GYX655438:GYX655447 HIT655438:HIT655447 HSP655438:HSP655447 ICL655438:ICL655447 IMH655438:IMH655447 IWD655438:IWD655447 JFZ655438:JFZ655447 JPV655438:JPV655447 JZR655438:JZR655447 KJN655438:KJN655447 KTJ655438:KTJ655447 LDF655438:LDF655447 LNB655438:LNB655447 LWX655438:LWX655447 MGT655438:MGT655447 MQP655438:MQP655447 NAL655438:NAL655447 NKH655438:NKH655447 NUD655438:NUD655447 ODZ655438:ODZ655447 ONV655438:ONV655447 OXR655438:OXR655447 PHN655438:PHN655447 PRJ655438:PRJ655447 QBF655438:QBF655447 QLB655438:QLB655447 QUX655438:QUX655447 RET655438:RET655447 ROP655438:ROP655447 RYL655438:RYL655447 SIH655438:SIH655447 SSD655438:SSD655447 TBZ655438:TBZ655447 TLV655438:TLV655447 TVR655438:TVR655447 UFN655438:UFN655447 UPJ655438:UPJ655447 UZF655438:UZF655447 VJB655438:VJB655447 VSX655438:VSX655447 WCT655438:WCT655447 WMP655438:WMP655447 WWL655438:WWL655447 AD720974:AD720983 JZ720974:JZ720983 TV720974:TV720983 ADR720974:ADR720983 ANN720974:ANN720983 AXJ720974:AXJ720983 BHF720974:BHF720983 BRB720974:BRB720983 CAX720974:CAX720983 CKT720974:CKT720983 CUP720974:CUP720983 DEL720974:DEL720983 DOH720974:DOH720983 DYD720974:DYD720983 EHZ720974:EHZ720983 ERV720974:ERV720983 FBR720974:FBR720983 FLN720974:FLN720983 FVJ720974:FVJ720983 GFF720974:GFF720983 GPB720974:GPB720983 GYX720974:GYX720983 HIT720974:HIT720983 HSP720974:HSP720983 ICL720974:ICL720983 IMH720974:IMH720983 IWD720974:IWD720983 JFZ720974:JFZ720983 JPV720974:JPV720983 JZR720974:JZR720983 KJN720974:KJN720983 KTJ720974:KTJ720983 LDF720974:LDF720983 LNB720974:LNB720983 LWX720974:LWX720983 MGT720974:MGT720983 MQP720974:MQP720983 NAL720974:NAL720983 NKH720974:NKH720983 NUD720974:NUD720983 ODZ720974:ODZ720983 ONV720974:ONV720983 OXR720974:OXR720983 PHN720974:PHN720983 PRJ720974:PRJ720983 QBF720974:QBF720983 QLB720974:QLB720983 QUX720974:QUX720983 RET720974:RET720983 ROP720974:ROP720983 RYL720974:RYL720983 SIH720974:SIH720983 SSD720974:SSD720983 TBZ720974:TBZ720983 TLV720974:TLV720983 TVR720974:TVR720983 UFN720974:UFN720983 UPJ720974:UPJ720983 UZF720974:UZF720983 VJB720974:VJB720983 VSX720974:VSX720983 WCT720974:WCT720983 WMP720974:WMP720983 WWL720974:WWL720983 AD786510:AD786519 JZ786510:JZ786519 TV786510:TV786519 ADR786510:ADR786519 ANN786510:ANN786519 AXJ786510:AXJ786519 BHF786510:BHF786519 BRB786510:BRB786519 CAX786510:CAX786519 CKT786510:CKT786519 CUP786510:CUP786519 DEL786510:DEL786519 DOH786510:DOH786519 DYD786510:DYD786519 EHZ786510:EHZ786519 ERV786510:ERV786519 FBR786510:FBR786519 FLN786510:FLN786519 FVJ786510:FVJ786519 GFF786510:GFF786519 GPB786510:GPB786519 GYX786510:GYX786519 HIT786510:HIT786519 HSP786510:HSP786519 ICL786510:ICL786519 IMH786510:IMH786519 IWD786510:IWD786519 JFZ786510:JFZ786519 JPV786510:JPV786519 JZR786510:JZR786519 KJN786510:KJN786519 KTJ786510:KTJ786519 LDF786510:LDF786519 LNB786510:LNB786519 LWX786510:LWX786519 MGT786510:MGT786519 MQP786510:MQP786519 NAL786510:NAL786519 NKH786510:NKH786519 NUD786510:NUD786519 ODZ786510:ODZ786519 ONV786510:ONV786519 OXR786510:OXR786519 PHN786510:PHN786519 PRJ786510:PRJ786519 QBF786510:QBF786519 QLB786510:QLB786519 QUX786510:QUX786519 RET786510:RET786519 ROP786510:ROP786519 RYL786510:RYL786519 SIH786510:SIH786519 SSD786510:SSD786519 TBZ786510:TBZ786519 TLV786510:TLV786519 TVR786510:TVR786519 UFN786510:UFN786519 UPJ786510:UPJ786519 UZF786510:UZF786519 VJB786510:VJB786519 VSX786510:VSX786519 WCT786510:WCT786519 WMP786510:WMP786519 WWL786510:WWL786519 AD852046:AD852055 JZ852046:JZ852055 TV852046:TV852055 ADR852046:ADR852055 ANN852046:ANN852055 AXJ852046:AXJ852055 BHF852046:BHF852055 BRB852046:BRB852055 CAX852046:CAX852055 CKT852046:CKT852055 CUP852046:CUP852055 DEL852046:DEL852055 DOH852046:DOH852055 DYD852046:DYD852055 EHZ852046:EHZ852055 ERV852046:ERV852055 FBR852046:FBR852055 FLN852046:FLN852055 FVJ852046:FVJ852055 GFF852046:GFF852055 GPB852046:GPB852055 GYX852046:GYX852055 HIT852046:HIT852055 HSP852046:HSP852055 ICL852046:ICL852055 IMH852046:IMH852055 IWD852046:IWD852055 JFZ852046:JFZ852055 JPV852046:JPV852055 JZR852046:JZR852055 KJN852046:KJN852055 KTJ852046:KTJ852055 LDF852046:LDF852055 LNB852046:LNB852055 LWX852046:LWX852055 MGT852046:MGT852055 MQP852046:MQP852055 NAL852046:NAL852055 NKH852046:NKH852055 NUD852046:NUD852055 ODZ852046:ODZ852055 ONV852046:ONV852055 OXR852046:OXR852055 PHN852046:PHN852055 PRJ852046:PRJ852055 QBF852046:QBF852055 QLB852046:QLB852055 QUX852046:QUX852055 RET852046:RET852055 ROP852046:ROP852055 RYL852046:RYL852055 SIH852046:SIH852055 SSD852046:SSD852055 TBZ852046:TBZ852055 TLV852046:TLV852055 TVR852046:TVR852055 UFN852046:UFN852055 UPJ852046:UPJ852055 UZF852046:UZF852055 VJB852046:VJB852055 VSX852046:VSX852055 WCT852046:WCT852055 WMP852046:WMP852055 WWL852046:WWL852055 AD917582:AD917591 JZ917582:JZ917591 TV917582:TV917591 ADR917582:ADR917591 ANN917582:ANN917591 AXJ917582:AXJ917591 BHF917582:BHF917591 BRB917582:BRB917591 CAX917582:CAX917591 CKT917582:CKT917591 CUP917582:CUP917591 DEL917582:DEL917591 DOH917582:DOH917591 DYD917582:DYD917591 EHZ917582:EHZ917591 ERV917582:ERV917591 FBR917582:FBR917591 FLN917582:FLN917591 FVJ917582:FVJ917591 GFF917582:GFF917591 GPB917582:GPB917591 GYX917582:GYX917591 HIT917582:HIT917591 HSP917582:HSP917591 ICL917582:ICL917591 IMH917582:IMH917591 IWD917582:IWD917591 JFZ917582:JFZ917591 JPV917582:JPV917591 JZR917582:JZR917591 KJN917582:KJN917591 KTJ917582:KTJ917591 LDF917582:LDF917591 LNB917582:LNB917591 LWX917582:LWX917591 MGT917582:MGT917591 MQP917582:MQP917591 NAL917582:NAL917591 NKH917582:NKH917591 NUD917582:NUD917591 ODZ917582:ODZ917591 ONV917582:ONV917591 OXR917582:OXR917591 PHN917582:PHN917591 PRJ917582:PRJ917591 QBF917582:QBF917591 QLB917582:QLB917591 QUX917582:QUX917591 RET917582:RET917591 ROP917582:ROP917591 RYL917582:RYL917591 SIH917582:SIH917591 SSD917582:SSD917591 TBZ917582:TBZ917591 TLV917582:TLV917591 TVR917582:TVR917591 UFN917582:UFN917591 UPJ917582:UPJ917591 UZF917582:UZF917591 VJB917582:VJB917591 VSX917582:VSX917591 WCT917582:WCT917591 WMP917582:WMP917591 WWL917582:WWL917591 AD983118:AD983127 JZ983118:JZ983127 TV983118:TV983127 ADR983118:ADR983127 ANN983118:ANN983127 AXJ983118:AXJ983127 BHF983118:BHF983127 BRB983118:BRB983127 CAX983118:CAX983127 CKT983118:CKT983127 CUP983118:CUP983127 DEL983118:DEL983127 DOH983118:DOH983127 DYD983118:DYD983127 EHZ983118:EHZ983127 ERV983118:ERV983127 FBR983118:FBR983127 FLN983118:FLN983127 FVJ983118:FVJ983127 GFF983118:GFF983127 GPB983118:GPB983127 GYX983118:GYX983127 HIT983118:HIT983127 HSP983118:HSP983127 ICL983118:ICL983127 IMH983118:IMH983127 IWD983118:IWD983127 JFZ983118:JFZ983127 JPV983118:JPV983127 JZR983118:JZR983127 KJN983118:KJN983127 KTJ983118:KTJ983127 LDF983118:LDF983127 LNB983118:LNB983127 LWX983118:LWX983127 MGT983118:MGT983127 MQP983118:MQP983127 NAL983118:NAL983127 NKH983118:NKH983127 NUD983118:NUD983127 ODZ983118:ODZ983127 ONV983118:ONV983127 OXR983118:OXR983127 PHN983118:PHN983127 PRJ983118:PRJ983127 QBF983118:QBF983127 QLB983118:QLB983127 QUX983118:QUX983127 RET983118:RET983127 ROP983118:ROP983127 RYL983118:RYL983127 SIH983118:SIH983127 SSD983118:SSD983127 TBZ983118:TBZ983127 TLV983118:TLV983127 TVR983118:TVR983127 UFN983118:UFN983127 UPJ983118:UPJ983127 UZF983118:UZF983127 VJB983118:VJB983127 VSX983118:VSX983127 WCT983118:WCT983127 WMP983118:WMP983127 WWL983118:WWL983127 WWL983049:WWL983104 AD65545:AD65600 JZ65545:JZ65600 TV65545:TV65600 ADR65545:ADR65600 ANN65545:ANN65600 AXJ65545:AXJ65600 BHF65545:BHF65600 BRB65545:BRB65600 CAX65545:CAX65600 CKT65545:CKT65600 CUP65545:CUP65600 DEL65545:DEL65600 DOH65545:DOH65600 DYD65545:DYD65600 EHZ65545:EHZ65600 ERV65545:ERV65600 FBR65545:FBR65600 FLN65545:FLN65600 FVJ65545:FVJ65600 GFF65545:GFF65600 GPB65545:GPB65600 GYX65545:GYX65600 HIT65545:HIT65600 HSP65545:HSP65600 ICL65545:ICL65600 IMH65545:IMH65600 IWD65545:IWD65600 JFZ65545:JFZ65600 JPV65545:JPV65600 JZR65545:JZR65600 KJN65545:KJN65600 KTJ65545:KTJ65600 LDF65545:LDF65600 LNB65545:LNB65600 LWX65545:LWX65600 MGT65545:MGT65600 MQP65545:MQP65600 NAL65545:NAL65600 NKH65545:NKH65600 NUD65545:NUD65600 ODZ65545:ODZ65600 ONV65545:ONV65600 OXR65545:OXR65600 PHN65545:PHN65600 PRJ65545:PRJ65600 QBF65545:QBF65600 QLB65545:QLB65600 QUX65545:QUX65600 RET65545:RET65600 ROP65545:ROP65600 RYL65545:RYL65600 SIH65545:SIH65600 SSD65545:SSD65600 TBZ65545:TBZ65600 TLV65545:TLV65600 TVR65545:TVR65600 UFN65545:UFN65600 UPJ65545:UPJ65600 UZF65545:UZF65600 VJB65545:VJB65600 VSX65545:VSX65600 WCT65545:WCT65600 WMP65545:WMP65600 WWL65545:WWL65600 AD131081:AD131136 JZ131081:JZ131136 TV131081:TV131136 ADR131081:ADR131136 ANN131081:ANN131136 AXJ131081:AXJ131136 BHF131081:BHF131136 BRB131081:BRB131136 CAX131081:CAX131136 CKT131081:CKT131136 CUP131081:CUP131136 DEL131081:DEL131136 DOH131081:DOH131136 DYD131081:DYD131136 EHZ131081:EHZ131136 ERV131081:ERV131136 FBR131081:FBR131136 FLN131081:FLN131136 FVJ131081:FVJ131136 GFF131081:GFF131136 GPB131081:GPB131136 GYX131081:GYX131136 HIT131081:HIT131136 HSP131081:HSP131136 ICL131081:ICL131136 IMH131081:IMH131136 IWD131081:IWD131136 JFZ131081:JFZ131136 JPV131081:JPV131136 JZR131081:JZR131136 KJN131081:KJN131136 KTJ131081:KTJ131136 LDF131081:LDF131136 LNB131081:LNB131136 LWX131081:LWX131136 MGT131081:MGT131136 MQP131081:MQP131136 NAL131081:NAL131136 NKH131081:NKH131136 NUD131081:NUD131136 ODZ131081:ODZ131136 ONV131081:ONV131136 OXR131081:OXR131136 PHN131081:PHN131136 PRJ131081:PRJ131136 QBF131081:QBF131136 QLB131081:QLB131136 QUX131081:QUX131136 RET131081:RET131136 ROP131081:ROP131136 RYL131081:RYL131136 SIH131081:SIH131136 SSD131081:SSD131136 TBZ131081:TBZ131136 TLV131081:TLV131136 TVR131081:TVR131136 UFN131081:UFN131136 UPJ131081:UPJ131136 UZF131081:UZF131136 VJB131081:VJB131136 VSX131081:VSX131136 WCT131081:WCT131136 WMP131081:WMP131136 WWL131081:WWL131136 AD196617:AD196672 JZ196617:JZ196672 TV196617:TV196672 ADR196617:ADR196672 ANN196617:ANN196672 AXJ196617:AXJ196672 BHF196617:BHF196672 BRB196617:BRB196672 CAX196617:CAX196672 CKT196617:CKT196672 CUP196617:CUP196672 DEL196617:DEL196672 DOH196617:DOH196672 DYD196617:DYD196672 EHZ196617:EHZ196672 ERV196617:ERV196672 FBR196617:FBR196672 FLN196617:FLN196672 FVJ196617:FVJ196672 GFF196617:GFF196672 GPB196617:GPB196672 GYX196617:GYX196672 HIT196617:HIT196672 HSP196617:HSP196672 ICL196617:ICL196672 IMH196617:IMH196672 IWD196617:IWD196672 JFZ196617:JFZ196672 JPV196617:JPV196672 JZR196617:JZR196672 KJN196617:KJN196672 KTJ196617:KTJ196672 LDF196617:LDF196672 LNB196617:LNB196672 LWX196617:LWX196672 MGT196617:MGT196672 MQP196617:MQP196672 NAL196617:NAL196672 NKH196617:NKH196672 NUD196617:NUD196672 ODZ196617:ODZ196672 ONV196617:ONV196672 OXR196617:OXR196672 PHN196617:PHN196672 PRJ196617:PRJ196672 QBF196617:QBF196672 QLB196617:QLB196672 QUX196617:QUX196672 RET196617:RET196672 ROP196617:ROP196672 RYL196617:RYL196672 SIH196617:SIH196672 SSD196617:SSD196672 TBZ196617:TBZ196672 TLV196617:TLV196672 TVR196617:TVR196672 UFN196617:UFN196672 UPJ196617:UPJ196672 UZF196617:UZF196672 VJB196617:VJB196672 VSX196617:VSX196672 WCT196617:WCT196672 WMP196617:WMP196672 WWL196617:WWL196672 AD262153:AD262208 JZ262153:JZ262208 TV262153:TV262208 ADR262153:ADR262208 ANN262153:ANN262208 AXJ262153:AXJ262208 BHF262153:BHF262208 BRB262153:BRB262208 CAX262153:CAX262208 CKT262153:CKT262208 CUP262153:CUP262208 DEL262153:DEL262208 DOH262153:DOH262208 DYD262153:DYD262208 EHZ262153:EHZ262208 ERV262153:ERV262208 FBR262153:FBR262208 FLN262153:FLN262208 FVJ262153:FVJ262208 GFF262153:GFF262208 GPB262153:GPB262208 GYX262153:GYX262208 HIT262153:HIT262208 HSP262153:HSP262208 ICL262153:ICL262208 IMH262153:IMH262208 IWD262153:IWD262208 JFZ262153:JFZ262208 JPV262153:JPV262208 JZR262153:JZR262208 KJN262153:KJN262208 KTJ262153:KTJ262208 LDF262153:LDF262208 LNB262153:LNB262208 LWX262153:LWX262208 MGT262153:MGT262208 MQP262153:MQP262208 NAL262153:NAL262208 NKH262153:NKH262208 NUD262153:NUD262208 ODZ262153:ODZ262208 ONV262153:ONV262208 OXR262153:OXR262208 PHN262153:PHN262208 PRJ262153:PRJ262208 QBF262153:QBF262208 QLB262153:QLB262208 QUX262153:QUX262208 RET262153:RET262208 ROP262153:ROP262208 RYL262153:RYL262208 SIH262153:SIH262208 SSD262153:SSD262208 TBZ262153:TBZ262208 TLV262153:TLV262208 TVR262153:TVR262208 UFN262153:UFN262208 UPJ262153:UPJ262208 UZF262153:UZF262208 VJB262153:VJB262208 VSX262153:VSX262208 WCT262153:WCT262208 WMP262153:WMP262208 WWL262153:WWL262208 AD327689:AD327744 JZ327689:JZ327744 TV327689:TV327744 ADR327689:ADR327744 ANN327689:ANN327744 AXJ327689:AXJ327744 BHF327689:BHF327744 BRB327689:BRB327744 CAX327689:CAX327744 CKT327689:CKT327744 CUP327689:CUP327744 DEL327689:DEL327744 DOH327689:DOH327744 DYD327689:DYD327744 EHZ327689:EHZ327744 ERV327689:ERV327744 FBR327689:FBR327744 FLN327689:FLN327744 FVJ327689:FVJ327744 GFF327689:GFF327744 GPB327689:GPB327744 GYX327689:GYX327744 HIT327689:HIT327744 HSP327689:HSP327744 ICL327689:ICL327744 IMH327689:IMH327744 IWD327689:IWD327744 JFZ327689:JFZ327744 JPV327689:JPV327744 JZR327689:JZR327744 KJN327689:KJN327744 KTJ327689:KTJ327744 LDF327689:LDF327744 LNB327689:LNB327744 LWX327689:LWX327744 MGT327689:MGT327744 MQP327689:MQP327744 NAL327689:NAL327744 NKH327689:NKH327744 NUD327689:NUD327744 ODZ327689:ODZ327744 ONV327689:ONV327744 OXR327689:OXR327744 PHN327689:PHN327744 PRJ327689:PRJ327744 QBF327689:QBF327744 QLB327689:QLB327744 QUX327689:QUX327744 RET327689:RET327744 ROP327689:ROP327744 RYL327689:RYL327744 SIH327689:SIH327744 SSD327689:SSD327744 TBZ327689:TBZ327744 TLV327689:TLV327744 TVR327689:TVR327744 UFN327689:UFN327744 UPJ327689:UPJ327744 UZF327689:UZF327744 VJB327689:VJB327744 VSX327689:VSX327744 WCT327689:WCT327744 WMP327689:WMP327744 WWL327689:WWL327744 AD393225:AD393280 JZ393225:JZ393280 TV393225:TV393280 ADR393225:ADR393280 ANN393225:ANN393280 AXJ393225:AXJ393280 BHF393225:BHF393280 BRB393225:BRB393280 CAX393225:CAX393280 CKT393225:CKT393280 CUP393225:CUP393280 DEL393225:DEL393280 DOH393225:DOH393280 DYD393225:DYD393280 EHZ393225:EHZ393280 ERV393225:ERV393280 FBR393225:FBR393280 FLN393225:FLN393280 FVJ393225:FVJ393280 GFF393225:GFF393280 GPB393225:GPB393280 GYX393225:GYX393280 HIT393225:HIT393280 HSP393225:HSP393280 ICL393225:ICL393280 IMH393225:IMH393280 IWD393225:IWD393280 JFZ393225:JFZ393280 JPV393225:JPV393280 JZR393225:JZR393280 KJN393225:KJN393280 KTJ393225:KTJ393280 LDF393225:LDF393280 LNB393225:LNB393280 LWX393225:LWX393280 MGT393225:MGT393280 MQP393225:MQP393280 NAL393225:NAL393280 NKH393225:NKH393280 NUD393225:NUD393280 ODZ393225:ODZ393280 ONV393225:ONV393280 OXR393225:OXR393280 PHN393225:PHN393280 PRJ393225:PRJ393280 QBF393225:QBF393280 QLB393225:QLB393280 QUX393225:QUX393280 RET393225:RET393280 ROP393225:ROP393280 RYL393225:RYL393280 SIH393225:SIH393280 SSD393225:SSD393280 TBZ393225:TBZ393280 TLV393225:TLV393280 TVR393225:TVR393280 UFN393225:UFN393280 UPJ393225:UPJ393280 UZF393225:UZF393280 VJB393225:VJB393280 VSX393225:VSX393280 WCT393225:WCT393280 WMP393225:WMP393280 WWL393225:WWL393280 AD458761:AD458816 JZ458761:JZ458816 TV458761:TV458816 ADR458761:ADR458816 ANN458761:ANN458816 AXJ458761:AXJ458816 BHF458761:BHF458816 BRB458761:BRB458816 CAX458761:CAX458816 CKT458761:CKT458816 CUP458761:CUP458816 DEL458761:DEL458816 DOH458761:DOH458816 DYD458761:DYD458816 EHZ458761:EHZ458816 ERV458761:ERV458816 FBR458761:FBR458816 FLN458761:FLN458816 FVJ458761:FVJ458816 GFF458761:GFF458816 GPB458761:GPB458816 GYX458761:GYX458816 HIT458761:HIT458816 HSP458761:HSP458816 ICL458761:ICL458816 IMH458761:IMH458816 IWD458761:IWD458816 JFZ458761:JFZ458816 JPV458761:JPV458816 JZR458761:JZR458816 KJN458761:KJN458816 KTJ458761:KTJ458816 LDF458761:LDF458816 LNB458761:LNB458816 LWX458761:LWX458816 MGT458761:MGT458816 MQP458761:MQP458816 NAL458761:NAL458816 NKH458761:NKH458816 NUD458761:NUD458816 ODZ458761:ODZ458816 ONV458761:ONV458816 OXR458761:OXR458816 PHN458761:PHN458816 PRJ458761:PRJ458816 QBF458761:QBF458816 QLB458761:QLB458816 QUX458761:QUX458816 RET458761:RET458816 ROP458761:ROP458816 RYL458761:RYL458816 SIH458761:SIH458816 SSD458761:SSD458816 TBZ458761:TBZ458816 TLV458761:TLV458816 TVR458761:TVR458816 UFN458761:UFN458816 UPJ458761:UPJ458816 UZF458761:UZF458816 VJB458761:VJB458816 VSX458761:VSX458816 WCT458761:WCT458816 WMP458761:WMP458816 WWL458761:WWL458816 AD524297:AD524352 JZ524297:JZ524352 TV524297:TV524352 ADR524297:ADR524352 ANN524297:ANN524352 AXJ524297:AXJ524352 BHF524297:BHF524352 BRB524297:BRB524352 CAX524297:CAX524352 CKT524297:CKT524352 CUP524297:CUP524352 DEL524297:DEL524352 DOH524297:DOH524352 DYD524297:DYD524352 EHZ524297:EHZ524352 ERV524297:ERV524352 FBR524297:FBR524352 FLN524297:FLN524352 FVJ524297:FVJ524352 GFF524297:GFF524352 GPB524297:GPB524352 GYX524297:GYX524352 HIT524297:HIT524352 HSP524297:HSP524352 ICL524297:ICL524352 IMH524297:IMH524352 IWD524297:IWD524352 JFZ524297:JFZ524352 JPV524297:JPV524352 JZR524297:JZR524352 KJN524297:KJN524352 KTJ524297:KTJ524352 LDF524297:LDF524352 LNB524297:LNB524352 LWX524297:LWX524352 MGT524297:MGT524352 MQP524297:MQP524352 NAL524297:NAL524352 NKH524297:NKH524352 NUD524297:NUD524352 ODZ524297:ODZ524352 ONV524297:ONV524352 OXR524297:OXR524352 PHN524297:PHN524352 PRJ524297:PRJ524352 QBF524297:QBF524352 QLB524297:QLB524352 QUX524297:QUX524352 RET524297:RET524352 ROP524297:ROP524352 RYL524297:RYL524352 SIH524297:SIH524352 SSD524297:SSD524352 TBZ524297:TBZ524352 TLV524297:TLV524352 TVR524297:TVR524352 UFN524297:UFN524352 UPJ524297:UPJ524352 UZF524297:UZF524352 VJB524297:VJB524352 VSX524297:VSX524352 WCT524297:WCT524352 WMP524297:WMP524352 WWL524297:WWL524352 AD589833:AD589888 JZ589833:JZ589888 TV589833:TV589888 ADR589833:ADR589888 ANN589833:ANN589888 AXJ589833:AXJ589888 BHF589833:BHF589888 BRB589833:BRB589888 CAX589833:CAX589888 CKT589833:CKT589888 CUP589833:CUP589888 DEL589833:DEL589888 DOH589833:DOH589888 DYD589833:DYD589888 EHZ589833:EHZ589888 ERV589833:ERV589888 FBR589833:FBR589888 FLN589833:FLN589888 FVJ589833:FVJ589888 GFF589833:GFF589888 GPB589833:GPB589888 GYX589833:GYX589888 HIT589833:HIT589888 HSP589833:HSP589888 ICL589833:ICL589888 IMH589833:IMH589888 IWD589833:IWD589888 JFZ589833:JFZ589888 JPV589833:JPV589888 JZR589833:JZR589888 KJN589833:KJN589888 KTJ589833:KTJ589888 LDF589833:LDF589888 LNB589833:LNB589888 LWX589833:LWX589888 MGT589833:MGT589888 MQP589833:MQP589888 NAL589833:NAL589888 NKH589833:NKH589888 NUD589833:NUD589888 ODZ589833:ODZ589888 ONV589833:ONV589888 OXR589833:OXR589888 PHN589833:PHN589888 PRJ589833:PRJ589888 QBF589833:QBF589888 QLB589833:QLB589888 QUX589833:QUX589888 RET589833:RET589888 ROP589833:ROP589888 RYL589833:RYL589888 SIH589833:SIH589888 SSD589833:SSD589888 TBZ589833:TBZ589888 TLV589833:TLV589888 TVR589833:TVR589888 UFN589833:UFN589888 UPJ589833:UPJ589888 UZF589833:UZF589888 VJB589833:VJB589888 VSX589833:VSX589888 WCT589833:WCT589888 WMP589833:WMP589888 WWL589833:WWL589888 AD655369:AD655424 JZ655369:JZ655424 TV655369:TV655424 ADR655369:ADR655424 ANN655369:ANN655424 AXJ655369:AXJ655424 BHF655369:BHF655424 BRB655369:BRB655424 CAX655369:CAX655424 CKT655369:CKT655424 CUP655369:CUP655424 DEL655369:DEL655424 DOH655369:DOH655424 DYD655369:DYD655424 EHZ655369:EHZ655424 ERV655369:ERV655424 FBR655369:FBR655424 FLN655369:FLN655424 FVJ655369:FVJ655424 GFF655369:GFF655424 GPB655369:GPB655424 GYX655369:GYX655424 HIT655369:HIT655424 HSP655369:HSP655424 ICL655369:ICL655424 IMH655369:IMH655424 IWD655369:IWD655424 JFZ655369:JFZ655424 JPV655369:JPV655424 JZR655369:JZR655424 KJN655369:KJN655424 KTJ655369:KTJ655424 LDF655369:LDF655424 LNB655369:LNB655424 LWX655369:LWX655424 MGT655369:MGT655424 MQP655369:MQP655424 NAL655369:NAL655424 NKH655369:NKH655424 NUD655369:NUD655424 ODZ655369:ODZ655424 ONV655369:ONV655424 OXR655369:OXR655424 PHN655369:PHN655424 PRJ655369:PRJ655424 QBF655369:QBF655424 QLB655369:QLB655424 QUX655369:QUX655424 RET655369:RET655424 ROP655369:ROP655424 RYL655369:RYL655424 SIH655369:SIH655424 SSD655369:SSD655424 TBZ655369:TBZ655424 TLV655369:TLV655424 TVR655369:TVR655424 UFN655369:UFN655424 UPJ655369:UPJ655424 UZF655369:UZF655424 VJB655369:VJB655424 VSX655369:VSX655424 WCT655369:WCT655424 WMP655369:WMP655424 WWL655369:WWL655424 AD720905:AD720960 JZ720905:JZ720960 TV720905:TV720960 ADR720905:ADR720960 ANN720905:ANN720960 AXJ720905:AXJ720960 BHF720905:BHF720960 BRB720905:BRB720960 CAX720905:CAX720960 CKT720905:CKT720960 CUP720905:CUP720960 DEL720905:DEL720960 DOH720905:DOH720960 DYD720905:DYD720960 EHZ720905:EHZ720960 ERV720905:ERV720960 FBR720905:FBR720960 FLN720905:FLN720960 FVJ720905:FVJ720960 GFF720905:GFF720960 GPB720905:GPB720960 GYX720905:GYX720960 HIT720905:HIT720960 HSP720905:HSP720960 ICL720905:ICL720960 IMH720905:IMH720960 IWD720905:IWD720960 JFZ720905:JFZ720960 JPV720905:JPV720960 JZR720905:JZR720960 KJN720905:KJN720960 KTJ720905:KTJ720960 LDF720905:LDF720960 LNB720905:LNB720960 LWX720905:LWX720960 MGT720905:MGT720960 MQP720905:MQP720960 NAL720905:NAL720960 NKH720905:NKH720960 NUD720905:NUD720960 ODZ720905:ODZ720960 ONV720905:ONV720960 OXR720905:OXR720960 PHN720905:PHN720960 PRJ720905:PRJ720960 QBF720905:QBF720960 QLB720905:QLB720960 QUX720905:QUX720960 RET720905:RET720960 ROP720905:ROP720960 RYL720905:RYL720960 SIH720905:SIH720960 SSD720905:SSD720960 TBZ720905:TBZ720960 TLV720905:TLV720960 TVR720905:TVR720960 UFN720905:UFN720960 UPJ720905:UPJ720960 UZF720905:UZF720960 VJB720905:VJB720960 VSX720905:VSX720960 WCT720905:WCT720960 WMP720905:WMP720960 WWL720905:WWL720960 AD786441:AD786496 JZ786441:JZ786496 TV786441:TV786496 ADR786441:ADR786496 ANN786441:ANN786496 AXJ786441:AXJ786496 BHF786441:BHF786496 BRB786441:BRB786496 CAX786441:CAX786496 CKT786441:CKT786496 CUP786441:CUP786496 DEL786441:DEL786496 DOH786441:DOH786496 DYD786441:DYD786496 EHZ786441:EHZ786496 ERV786441:ERV786496 FBR786441:FBR786496 FLN786441:FLN786496 FVJ786441:FVJ786496 GFF786441:GFF786496 GPB786441:GPB786496 GYX786441:GYX786496 HIT786441:HIT786496 HSP786441:HSP786496 ICL786441:ICL786496 IMH786441:IMH786496 IWD786441:IWD786496 JFZ786441:JFZ786496 JPV786441:JPV786496 JZR786441:JZR786496 KJN786441:KJN786496 KTJ786441:KTJ786496 LDF786441:LDF786496 LNB786441:LNB786496 LWX786441:LWX786496 MGT786441:MGT786496 MQP786441:MQP786496 NAL786441:NAL786496 NKH786441:NKH786496 NUD786441:NUD786496 ODZ786441:ODZ786496 ONV786441:ONV786496 OXR786441:OXR786496 PHN786441:PHN786496 PRJ786441:PRJ786496 QBF786441:QBF786496 QLB786441:QLB786496 QUX786441:QUX786496 RET786441:RET786496 ROP786441:ROP786496 RYL786441:RYL786496 SIH786441:SIH786496 SSD786441:SSD786496 TBZ786441:TBZ786496 TLV786441:TLV786496 TVR786441:TVR786496 UFN786441:UFN786496 UPJ786441:UPJ786496 UZF786441:UZF786496 VJB786441:VJB786496 VSX786441:VSX786496 WCT786441:WCT786496 WMP786441:WMP786496 WWL786441:WWL786496 AD851977:AD852032 JZ851977:JZ852032 TV851977:TV852032 ADR851977:ADR852032 ANN851977:ANN852032 AXJ851977:AXJ852032 BHF851977:BHF852032 BRB851977:BRB852032 CAX851977:CAX852032 CKT851977:CKT852032 CUP851977:CUP852032 DEL851977:DEL852032 DOH851977:DOH852032 DYD851977:DYD852032 EHZ851977:EHZ852032 ERV851977:ERV852032 FBR851977:FBR852032 FLN851977:FLN852032 FVJ851977:FVJ852032 GFF851977:GFF852032 GPB851977:GPB852032 GYX851977:GYX852032 HIT851977:HIT852032 HSP851977:HSP852032 ICL851977:ICL852032 IMH851977:IMH852032 IWD851977:IWD852032 JFZ851977:JFZ852032 JPV851977:JPV852032 JZR851977:JZR852032 KJN851977:KJN852032 KTJ851977:KTJ852032 LDF851977:LDF852032 LNB851977:LNB852032 LWX851977:LWX852032 MGT851977:MGT852032 MQP851977:MQP852032 NAL851977:NAL852032 NKH851977:NKH852032 NUD851977:NUD852032 ODZ851977:ODZ852032 ONV851977:ONV852032 OXR851977:OXR852032 PHN851977:PHN852032 PRJ851977:PRJ852032 QBF851977:QBF852032 QLB851977:QLB852032 QUX851977:QUX852032 RET851977:RET852032 ROP851977:ROP852032 RYL851977:RYL852032 SIH851977:SIH852032 SSD851977:SSD852032 TBZ851977:TBZ852032 TLV851977:TLV852032 TVR851977:TVR852032 UFN851977:UFN852032 UPJ851977:UPJ852032 UZF851977:UZF852032 VJB851977:VJB852032 VSX851977:VSX852032 WCT851977:WCT852032 WMP851977:WMP852032 WWL851977:WWL852032 AD917513:AD917568 JZ917513:JZ917568 TV917513:TV917568 ADR917513:ADR917568 ANN917513:ANN917568 AXJ917513:AXJ917568 BHF917513:BHF917568 BRB917513:BRB917568 CAX917513:CAX917568 CKT917513:CKT917568 CUP917513:CUP917568 DEL917513:DEL917568 DOH917513:DOH917568 DYD917513:DYD917568 EHZ917513:EHZ917568 ERV917513:ERV917568 FBR917513:FBR917568 FLN917513:FLN917568 FVJ917513:FVJ917568 GFF917513:GFF917568 GPB917513:GPB917568 GYX917513:GYX917568 HIT917513:HIT917568 HSP917513:HSP917568 ICL917513:ICL917568 IMH917513:IMH917568 IWD917513:IWD917568 JFZ917513:JFZ917568 JPV917513:JPV917568 JZR917513:JZR917568 KJN917513:KJN917568 KTJ917513:KTJ917568 LDF917513:LDF917568 LNB917513:LNB917568 LWX917513:LWX917568 MGT917513:MGT917568 MQP917513:MQP917568 NAL917513:NAL917568 NKH917513:NKH917568 NUD917513:NUD917568 ODZ917513:ODZ917568 ONV917513:ONV917568 OXR917513:OXR917568 PHN917513:PHN917568 PRJ917513:PRJ917568 QBF917513:QBF917568 QLB917513:QLB917568 QUX917513:QUX917568 RET917513:RET917568 ROP917513:ROP917568 RYL917513:RYL917568 SIH917513:SIH917568 SSD917513:SSD917568 TBZ917513:TBZ917568 TLV917513:TLV917568 TVR917513:TVR917568 UFN917513:UFN917568 UPJ917513:UPJ917568 UZF917513:UZF917568 VJB917513:VJB917568 VSX917513:VSX917568 WCT917513:WCT917568 WMP917513:WMP917568 WWL917513:WWL917568 AD983049:AD983104 JZ983049:JZ983104 TV983049:TV983104 ADR983049:ADR983104 ANN983049:ANN983104 AXJ983049:AXJ983104 BHF983049:BHF983104 BRB983049:BRB983104 CAX983049:CAX983104 CKT983049:CKT983104 CUP983049:CUP983104 DEL983049:DEL983104 DOH983049:DOH983104 DYD983049:DYD983104 EHZ983049:EHZ983104 ERV983049:ERV983104 FBR983049:FBR983104 FLN983049:FLN983104 FVJ983049:FVJ983104 GFF983049:GFF983104 GPB983049:GPB983104 GYX983049:GYX983104 HIT983049:HIT983104 HSP983049:HSP983104 ICL983049:ICL983104 IMH983049:IMH983104 IWD983049:IWD983104 JFZ983049:JFZ983104 JPV983049:JPV983104 JZR983049:JZR983104 KJN983049:KJN983104 KTJ983049:KTJ983104 LDF983049:LDF983104 LNB983049:LNB983104 LWX983049:LWX983104 MGT983049:MGT983104 MQP983049:MQP983104 NAL983049:NAL983104 NKH983049:NKH983104 NUD983049:NUD983104 ODZ983049:ODZ983104 ONV983049:ONV983104 OXR983049:OXR983104 PHN983049:PHN983104 PRJ983049:PRJ983104 QBF983049:QBF983104 QLB983049:QLB983104 QUX983049:QUX983104 RET983049:RET983104 ROP983049:ROP983104 RYL983049:RYL983104 SIH983049:SIH983104 SSD983049:SSD983104 TBZ983049:TBZ983104 TLV983049:TLV983104 TVR983049:TVR983104 UFN983049:UFN983104 UPJ983049:UPJ983104 UZF983049:UZF983104 VJB983049:VJB983104 VSX983049:VSX983104 WCT983049:WCT983104 WMP983049:WMP983104 JZ94:JZ98 TV94:TV98 ADR94:ADR98 ANN94:ANN98 AXJ94:AXJ98 BHF94:BHF98 BRB94:BRB98 CAX94:CAX98 CKT94:CKT98 CUP94:CUP98 DEL94:DEL98 DOH94:DOH98 DYD94:DYD98 EHZ94:EHZ98 ERV94:ERV98 FBR94:FBR98 FLN94:FLN98 FVJ94:FVJ98 GFF94:GFF98 GPB94:GPB98 GYX94:GYX98 HIT94:HIT98 HSP94:HSP98 ICL94:ICL98 IMH94:IMH98 IWD94:IWD98 JFZ94:JFZ98 JPV94:JPV98 JZR94:JZR98 KJN94:KJN98 KTJ94:KTJ98 LDF94:LDF98 LNB94:LNB98 LWX94:LWX98 MGT94:MGT98 MQP94:MQP98 NAL94:NAL98 NKH94:NKH98 NUD94:NUD98 ODZ94:ODZ98 ONV94:ONV98 OXR94:OXR98 PHN94:PHN98 PRJ94:PRJ98 QBF94:QBF98 QLB94:QLB98 QUX94:QUX98 RET94:RET98 ROP94:ROP98 RYL94:RYL98 SIH94:SIH98 SSD94:SSD98 TBZ94:TBZ98 TLV94:TLV98 TVR94:TVR98 UFN94:UFN98 UPJ94:UPJ98 UZF94:UZF98 VJB94:VJB98 VSX94:VSX98 WCT94:WCT98 WMP94:WMP98 WWL94:WWL98 AD94:AD98 TV66:TV74</xm:sqref>
        </x14:dataValidation>
        <x14:dataValidation type="list" allowBlank="1" showInputMessage="1" showErrorMessage="1">
          <x14:formula1>
            <xm:f>$C$210:$C$218</xm:f>
          </x14:formula1>
          <xm:sqref>AF66:AF74 AF76:AF87 TX5:TX62 ADT5:ADT62 ANP5:ANP62 AXL5:AXL62 BHH5:BHH62 BRD5:BRD62 CAZ5:CAZ62 CKV5:CKV62 CUR5:CUR62 DEN5:DEN62 DOJ5:DOJ62 DYF5:DYF62 EIB5:EIB62 ERX5:ERX62 FBT5:FBT62 FLP5:FLP62 FVL5:FVL62 GFH5:GFH62 GPD5:GPD62 GYZ5:GYZ62 HIV5:HIV62 HSR5:HSR62 ICN5:ICN62 IMJ5:IMJ62 IWF5:IWF62 JGB5:JGB62 JPX5:JPX62 JZT5:JZT62 KJP5:KJP62 KTL5:KTL62 LDH5:LDH62 LND5:LND62 LWZ5:LWZ62 MGV5:MGV62 MQR5:MQR62 NAN5:NAN62 NKJ5:NKJ62 NUF5:NUF62 OEB5:OEB62 ONX5:ONX62 OXT5:OXT62 PHP5:PHP62 PRL5:PRL62 QBH5:QBH62 QLD5:QLD62 QUZ5:QUZ62 REV5:REV62 ROR5:ROR62 RYN5:RYN62 SIJ5:SIJ62 SSF5:SSF62 TCB5:TCB62 TLX5:TLX62 TVT5:TVT62 UFP5:UFP62 UPL5:UPL62 UZH5:UZH62 VJD5:VJD62 VSZ5:VSZ62 WCV5:WCV62 WMR5:WMR62 WWN5:WWN62 KB5:KB62 ADT66:ADT74 ANP66:ANP74 AXL66:AXL74 BHH66:BHH74 BRD66:BRD74 CAZ66:CAZ74 CKV66:CKV74 CUR66:CUR74 DEN66:DEN74 DOJ66:DOJ74 DYF66:DYF74 EIB66:EIB74 ERX66:ERX74 FBT66:FBT74 FLP66:FLP74 FVL66:FVL74 GFH66:GFH74 GPD66:GPD74 GYZ66:GYZ74 HIV66:HIV74 HSR66:HSR74 ICN66:ICN74 IMJ66:IMJ74 IWF66:IWF74 JGB66:JGB74 JPX66:JPX74 JZT66:JZT74 KJP66:KJP74 KTL66:KTL74 LDH66:LDH74 LND66:LND74 LWZ66:LWZ74 MGV66:MGV74 MQR66:MQR74 NAN66:NAN74 NKJ66:NKJ74 NUF66:NUF74 OEB66:OEB74 ONX66:ONX74 OXT66:OXT74 PHP66:PHP74 PRL66:PRL74 QBH66:QBH74 QLD66:QLD74 QUZ66:QUZ74 REV66:REV74 ROR66:ROR74 RYN66:RYN74 SIJ66:SIJ74 SSF66:SSF74 TCB66:TCB74 TLX66:TLX74 TVT66:TVT74 UFP66:UFP74 UPL66:UPL74 UZH66:UZH74 VJD66:VJD74 VSZ66:VSZ74 WCV66:WCV74 WMR66:WMR74 WWN66:WWN74 AF65604:AF65612 KB65604:KB65612 TX65604:TX65612 ADT65604:ADT65612 ANP65604:ANP65612 AXL65604:AXL65612 BHH65604:BHH65612 BRD65604:BRD65612 CAZ65604:CAZ65612 CKV65604:CKV65612 CUR65604:CUR65612 DEN65604:DEN65612 DOJ65604:DOJ65612 DYF65604:DYF65612 EIB65604:EIB65612 ERX65604:ERX65612 FBT65604:FBT65612 FLP65604:FLP65612 FVL65604:FVL65612 GFH65604:GFH65612 GPD65604:GPD65612 GYZ65604:GYZ65612 HIV65604:HIV65612 HSR65604:HSR65612 ICN65604:ICN65612 IMJ65604:IMJ65612 IWF65604:IWF65612 JGB65604:JGB65612 JPX65604:JPX65612 JZT65604:JZT65612 KJP65604:KJP65612 KTL65604:KTL65612 LDH65604:LDH65612 LND65604:LND65612 LWZ65604:LWZ65612 MGV65604:MGV65612 MQR65604:MQR65612 NAN65604:NAN65612 NKJ65604:NKJ65612 NUF65604:NUF65612 OEB65604:OEB65612 ONX65604:ONX65612 OXT65604:OXT65612 PHP65604:PHP65612 PRL65604:PRL65612 QBH65604:QBH65612 QLD65604:QLD65612 QUZ65604:QUZ65612 REV65604:REV65612 ROR65604:ROR65612 RYN65604:RYN65612 SIJ65604:SIJ65612 SSF65604:SSF65612 TCB65604:TCB65612 TLX65604:TLX65612 TVT65604:TVT65612 UFP65604:UFP65612 UPL65604:UPL65612 UZH65604:UZH65612 VJD65604:VJD65612 VSZ65604:VSZ65612 WCV65604:WCV65612 WMR65604:WMR65612 WWN65604:WWN65612 AF131140:AF131148 KB131140:KB131148 TX131140:TX131148 ADT131140:ADT131148 ANP131140:ANP131148 AXL131140:AXL131148 BHH131140:BHH131148 BRD131140:BRD131148 CAZ131140:CAZ131148 CKV131140:CKV131148 CUR131140:CUR131148 DEN131140:DEN131148 DOJ131140:DOJ131148 DYF131140:DYF131148 EIB131140:EIB131148 ERX131140:ERX131148 FBT131140:FBT131148 FLP131140:FLP131148 FVL131140:FVL131148 GFH131140:GFH131148 GPD131140:GPD131148 GYZ131140:GYZ131148 HIV131140:HIV131148 HSR131140:HSR131148 ICN131140:ICN131148 IMJ131140:IMJ131148 IWF131140:IWF131148 JGB131140:JGB131148 JPX131140:JPX131148 JZT131140:JZT131148 KJP131140:KJP131148 KTL131140:KTL131148 LDH131140:LDH131148 LND131140:LND131148 LWZ131140:LWZ131148 MGV131140:MGV131148 MQR131140:MQR131148 NAN131140:NAN131148 NKJ131140:NKJ131148 NUF131140:NUF131148 OEB131140:OEB131148 ONX131140:ONX131148 OXT131140:OXT131148 PHP131140:PHP131148 PRL131140:PRL131148 QBH131140:QBH131148 QLD131140:QLD131148 QUZ131140:QUZ131148 REV131140:REV131148 ROR131140:ROR131148 RYN131140:RYN131148 SIJ131140:SIJ131148 SSF131140:SSF131148 TCB131140:TCB131148 TLX131140:TLX131148 TVT131140:TVT131148 UFP131140:UFP131148 UPL131140:UPL131148 UZH131140:UZH131148 VJD131140:VJD131148 VSZ131140:VSZ131148 WCV131140:WCV131148 WMR131140:WMR131148 WWN131140:WWN131148 AF196676:AF196684 KB196676:KB196684 TX196676:TX196684 ADT196676:ADT196684 ANP196676:ANP196684 AXL196676:AXL196684 BHH196676:BHH196684 BRD196676:BRD196684 CAZ196676:CAZ196684 CKV196676:CKV196684 CUR196676:CUR196684 DEN196676:DEN196684 DOJ196676:DOJ196684 DYF196676:DYF196684 EIB196676:EIB196684 ERX196676:ERX196684 FBT196676:FBT196684 FLP196676:FLP196684 FVL196676:FVL196684 GFH196676:GFH196684 GPD196676:GPD196684 GYZ196676:GYZ196684 HIV196676:HIV196684 HSR196676:HSR196684 ICN196676:ICN196684 IMJ196676:IMJ196684 IWF196676:IWF196684 JGB196676:JGB196684 JPX196676:JPX196684 JZT196676:JZT196684 KJP196676:KJP196684 KTL196676:KTL196684 LDH196676:LDH196684 LND196676:LND196684 LWZ196676:LWZ196684 MGV196676:MGV196684 MQR196676:MQR196684 NAN196676:NAN196684 NKJ196676:NKJ196684 NUF196676:NUF196684 OEB196676:OEB196684 ONX196676:ONX196684 OXT196676:OXT196684 PHP196676:PHP196684 PRL196676:PRL196684 QBH196676:QBH196684 QLD196676:QLD196684 QUZ196676:QUZ196684 REV196676:REV196684 ROR196676:ROR196684 RYN196676:RYN196684 SIJ196676:SIJ196684 SSF196676:SSF196684 TCB196676:TCB196684 TLX196676:TLX196684 TVT196676:TVT196684 UFP196676:UFP196684 UPL196676:UPL196684 UZH196676:UZH196684 VJD196676:VJD196684 VSZ196676:VSZ196684 WCV196676:WCV196684 WMR196676:WMR196684 WWN196676:WWN196684 AF262212:AF262220 KB262212:KB262220 TX262212:TX262220 ADT262212:ADT262220 ANP262212:ANP262220 AXL262212:AXL262220 BHH262212:BHH262220 BRD262212:BRD262220 CAZ262212:CAZ262220 CKV262212:CKV262220 CUR262212:CUR262220 DEN262212:DEN262220 DOJ262212:DOJ262220 DYF262212:DYF262220 EIB262212:EIB262220 ERX262212:ERX262220 FBT262212:FBT262220 FLP262212:FLP262220 FVL262212:FVL262220 GFH262212:GFH262220 GPD262212:GPD262220 GYZ262212:GYZ262220 HIV262212:HIV262220 HSR262212:HSR262220 ICN262212:ICN262220 IMJ262212:IMJ262220 IWF262212:IWF262220 JGB262212:JGB262220 JPX262212:JPX262220 JZT262212:JZT262220 KJP262212:KJP262220 KTL262212:KTL262220 LDH262212:LDH262220 LND262212:LND262220 LWZ262212:LWZ262220 MGV262212:MGV262220 MQR262212:MQR262220 NAN262212:NAN262220 NKJ262212:NKJ262220 NUF262212:NUF262220 OEB262212:OEB262220 ONX262212:ONX262220 OXT262212:OXT262220 PHP262212:PHP262220 PRL262212:PRL262220 QBH262212:QBH262220 QLD262212:QLD262220 QUZ262212:QUZ262220 REV262212:REV262220 ROR262212:ROR262220 RYN262212:RYN262220 SIJ262212:SIJ262220 SSF262212:SSF262220 TCB262212:TCB262220 TLX262212:TLX262220 TVT262212:TVT262220 UFP262212:UFP262220 UPL262212:UPL262220 UZH262212:UZH262220 VJD262212:VJD262220 VSZ262212:VSZ262220 WCV262212:WCV262220 WMR262212:WMR262220 WWN262212:WWN262220 AF327748:AF327756 KB327748:KB327756 TX327748:TX327756 ADT327748:ADT327756 ANP327748:ANP327756 AXL327748:AXL327756 BHH327748:BHH327756 BRD327748:BRD327756 CAZ327748:CAZ327756 CKV327748:CKV327756 CUR327748:CUR327756 DEN327748:DEN327756 DOJ327748:DOJ327756 DYF327748:DYF327756 EIB327748:EIB327756 ERX327748:ERX327756 FBT327748:FBT327756 FLP327748:FLP327756 FVL327748:FVL327756 GFH327748:GFH327756 GPD327748:GPD327756 GYZ327748:GYZ327756 HIV327748:HIV327756 HSR327748:HSR327756 ICN327748:ICN327756 IMJ327748:IMJ327756 IWF327748:IWF327756 JGB327748:JGB327756 JPX327748:JPX327756 JZT327748:JZT327756 KJP327748:KJP327756 KTL327748:KTL327756 LDH327748:LDH327756 LND327748:LND327756 LWZ327748:LWZ327756 MGV327748:MGV327756 MQR327748:MQR327756 NAN327748:NAN327756 NKJ327748:NKJ327756 NUF327748:NUF327756 OEB327748:OEB327756 ONX327748:ONX327756 OXT327748:OXT327756 PHP327748:PHP327756 PRL327748:PRL327756 QBH327748:QBH327756 QLD327748:QLD327756 QUZ327748:QUZ327756 REV327748:REV327756 ROR327748:ROR327756 RYN327748:RYN327756 SIJ327748:SIJ327756 SSF327748:SSF327756 TCB327748:TCB327756 TLX327748:TLX327756 TVT327748:TVT327756 UFP327748:UFP327756 UPL327748:UPL327756 UZH327748:UZH327756 VJD327748:VJD327756 VSZ327748:VSZ327756 WCV327748:WCV327756 WMR327748:WMR327756 WWN327748:WWN327756 AF393284:AF393292 KB393284:KB393292 TX393284:TX393292 ADT393284:ADT393292 ANP393284:ANP393292 AXL393284:AXL393292 BHH393284:BHH393292 BRD393284:BRD393292 CAZ393284:CAZ393292 CKV393284:CKV393292 CUR393284:CUR393292 DEN393284:DEN393292 DOJ393284:DOJ393292 DYF393284:DYF393292 EIB393284:EIB393292 ERX393284:ERX393292 FBT393284:FBT393292 FLP393284:FLP393292 FVL393284:FVL393292 GFH393284:GFH393292 GPD393284:GPD393292 GYZ393284:GYZ393292 HIV393284:HIV393292 HSR393284:HSR393292 ICN393284:ICN393292 IMJ393284:IMJ393292 IWF393284:IWF393292 JGB393284:JGB393292 JPX393284:JPX393292 JZT393284:JZT393292 KJP393284:KJP393292 KTL393284:KTL393292 LDH393284:LDH393292 LND393284:LND393292 LWZ393284:LWZ393292 MGV393284:MGV393292 MQR393284:MQR393292 NAN393284:NAN393292 NKJ393284:NKJ393292 NUF393284:NUF393292 OEB393284:OEB393292 ONX393284:ONX393292 OXT393284:OXT393292 PHP393284:PHP393292 PRL393284:PRL393292 QBH393284:QBH393292 QLD393284:QLD393292 QUZ393284:QUZ393292 REV393284:REV393292 ROR393284:ROR393292 RYN393284:RYN393292 SIJ393284:SIJ393292 SSF393284:SSF393292 TCB393284:TCB393292 TLX393284:TLX393292 TVT393284:TVT393292 UFP393284:UFP393292 UPL393284:UPL393292 UZH393284:UZH393292 VJD393284:VJD393292 VSZ393284:VSZ393292 WCV393284:WCV393292 WMR393284:WMR393292 WWN393284:WWN393292 AF458820:AF458828 KB458820:KB458828 TX458820:TX458828 ADT458820:ADT458828 ANP458820:ANP458828 AXL458820:AXL458828 BHH458820:BHH458828 BRD458820:BRD458828 CAZ458820:CAZ458828 CKV458820:CKV458828 CUR458820:CUR458828 DEN458820:DEN458828 DOJ458820:DOJ458828 DYF458820:DYF458828 EIB458820:EIB458828 ERX458820:ERX458828 FBT458820:FBT458828 FLP458820:FLP458828 FVL458820:FVL458828 GFH458820:GFH458828 GPD458820:GPD458828 GYZ458820:GYZ458828 HIV458820:HIV458828 HSR458820:HSR458828 ICN458820:ICN458828 IMJ458820:IMJ458828 IWF458820:IWF458828 JGB458820:JGB458828 JPX458820:JPX458828 JZT458820:JZT458828 KJP458820:KJP458828 KTL458820:KTL458828 LDH458820:LDH458828 LND458820:LND458828 LWZ458820:LWZ458828 MGV458820:MGV458828 MQR458820:MQR458828 NAN458820:NAN458828 NKJ458820:NKJ458828 NUF458820:NUF458828 OEB458820:OEB458828 ONX458820:ONX458828 OXT458820:OXT458828 PHP458820:PHP458828 PRL458820:PRL458828 QBH458820:QBH458828 QLD458820:QLD458828 QUZ458820:QUZ458828 REV458820:REV458828 ROR458820:ROR458828 RYN458820:RYN458828 SIJ458820:SIJ458828 SSF458820:SSF458828 TCB458820:TCB458828 TLX458820:TLX458828 TVT458820:TVT458828 UFP458820:UFP458828 UPL458820:UPL458828 UZH458820:UZH458828 VJD458820:VJD458828 VSZ458820:VSZ458828 WCV458820:WCV458828 WMR458820:WMR458828 WWN458820:WWN458828 AF524356:AF524364 KB524356:KB524364 TX524356:TX524364 ADT524356:ADT524364 ANP524356:ANP524364 AXL524356:AXL524364 BHH524356:BHH524364 BRD524356:BRD524364 CAZ524356:CAZ524364 CKV524356:CKV524364 CUR524356:CUR524364 DEN524356:DEN524364 DOJ524356:DOJ524364 DYF524356:DYF524364 EIB524356:EIB524364 ERX524356:ERX524364 FBT524356:FBT524364 FLP524356:FLP524364 FVL524356:FVL524364 GFH524356:GFH524364 GPD524356:GPD524364 GYZ524356:GYZ524364 HIV524356:HIV524364 HSR524356:HSR524364 ICN524356:ICN524364 IMJ524356:IMJ524364 IWF524356:IWF524364 JGB524356:JGB524364 JPX524356:JPX524364 JZT524356:JZT524364 KJP524356:KJP524364 KTL524356:KTL524364 LDH524356:LDH524364 LND524356:LND524364 LWZ524356:LWZ524364 MGV524356:MGV524364 MQR524356:MQR524364 NAN524356:NAN524364 NKJ524356:NKJ524364 NUF524356:NUF524364 OEB524356:OEB524364 ONX524356:ONX524364 OXT524356:OXT524364 PHP524356:PHP524364 PRL524356:PRL524364 QBH524356:QBH524364 QLD524356:QLD524364 QUZ524356:QUZ524364 REV524356:REV524364 ROR524356:ROR524364 RYN524356:RYN524364 SIJ524356:SIJ524364 SSF524356:SSF524364 TCB524356:TCB524364 TLX524356:TLX524364 TVT524356:TVT524364 UFP524356:UFP524364 UPL524356:UPL524364 UZH524356:UZH524364 VJD524356:VJD524364 VSZ524356:VSZ524364 WCV524356:WCV524364 WMR524356:WMR524364 WWN524356:WWN524364 AF589892:AF589900 KB589892:KB589900 TX589892:TX589900 ADT589892:ADT589900 ANP589892:ANP589900 AXL589892:AXL589900 BHH589892:BHH589900 BRD589892:BRD589900 CAZ589892:CAZ589900 CKV589892:CKV589900 CUR589892:CUR589900 DEN589892:DEN589900 DOJ589892:DOJ589900 DYF589892:DYF589900 EIB589892:EIB589900 ERX589892:ERX589900 FBT589892:FBT589900 FLP589892:FLP589900 FVL589892:FVL589900 GFH589892:GFH589900 GPD589892:GPD589900 GYZ589892:GYZ589900 HIV589892:HIV589900 HSR589892:HSR589900 ICN589892:ICN589900 IMJ589892:IMJ589900 IWF589892:IWF589900 JGB589892:JGB589900 JPX589892:JPX589900 JZT589892:JZT589900 KJP589892:KJP589900 KTL589892:KTL589900 LDH589892:LDH589900 LND589892:LND589900 LWZ589892:LWZ589900 MGV589892:MGV589900 MQR589892:MQR589900 NAN589892:NAN589900 NKJ589892:NKJ589900 NUF589892:NUF589900 OEB589892:OEB589900 ONX589892:ONX589900 OXT589892:OXT589900 PHP589892:PHP589900 PRL589892:PRL589900 QBH589892:QBH589900 QLD589892:QLD589900 QUZ589892:QUZ589900 REV589892:REV589900 ROR589892:ROR589900 RYN589892:RYN589900 SIJ589892:SIJ589900 SSF589892:SSF589900 TCB589892:TCB589900 TLX589892:TLX589900 TVT589892:TVT589900 UFP589892:UFP589900 UPL589892:UPL589900 UZH589892:UZH589900 VJD589892:VJD589900 VSZ589892:VSZ589900 WCV589892:WCV589900 WMR589892:WMR589900 WWN589892:WWN589900 AF655428:AF655436 KB655428:KB655436 TX655428:TX655436 ADT655428:ADT655436 ANP655428:ANP655436 AXL655428:AXL655436 BHH655428:BHH655436 BRD655428:BRD655436 CAZ655428:CAZ655436 CKV655428:CKV655436 CUR655428:CUR655436 DEN655428:DEN655436 DOJ655428:DOJ655436 DYF655428:DYF655436 EIB655428:EIB655436 ERX655428:ERX655436 FBT655428:FBT655436 FLP655428:FLP655436 FVL655428:FVL655436 GFH655428:GFH655436 GPD655428:GPD655436 GYZ655428:GYZ655436 HIV655428:HIV655436 HSR655428:HSR655436 ICN655428:ICN655436 IMJ655428:IMJ655436 IWF655428:IWF655436 JGB655428:JGB655436 JPX655428:JPX655436 JZT655428:JZT655436 KJP655428:KJP655436 KTL655428:KTL655436 LDH655428:LDH655436 LND655428:LND655436 LWZ655428:LWZ655436 MGV655428:MGV655436 MQR655428:MQR655436 NAN655428:NAN655436 NKJ655428:NKJ655436 NUF655428:NUF655436 OEB655428:OEB655436 ONX655428:ONX655436 OXT655428:OXT655436 PHP655428:PHP655436 PRL655428:PRL655436 QBH655428:QBH655436 QLD655428:QLD655436 QUZ655428:QUZ655436 REV655428:REV655436 ROR655428:ROR655436 RYN655428:RYN655436 SIJ655428:SIJ655436 SSF655428:SSF655436 TCB655428:TCB655436 TLX655428:TLX655436 TVT655428:TVT655436 UFP655428:UFP655436 UPL655428:UPL655436 UZH655428:UZH655436 VJD655428:VJD655436 VSZ655428:VSZ655436 WCV655428:WCV655436 WMR655428:WMR655436 WWN655428:WWN655436 AF720964:AF720972 KB720964:KB720972 TX720964:TX720972 ADT720964:ADT720972 ANP720964:ANP720972 AXL720964:AXL720972 BHH720964:BHH720972 BRD720964:BRD720972 CAZ720964:CAZ720972 CKV720964:CKV720972 CUR720964:CUR720972 DEN720964:DEN720972 DOJ720964:DOJ720972 DYF720964:DYF720972 EIB720964:EIB720972 ERX720964:ERX720972 FBT720964:FBT720972 FLP720964:FLP720972 FVL720964:FVL720972 GFH720964:GFH720972 GPD720964:GPD720972 GYZ720964:GYZ720972 HIV720964:HIV720972 HSR720964:HSR720972 ICN720964:ICN720972 IMJ720964:IMJ720972 IWF720964:IWF720972 JGB720964:JGB720972 JPX720964:JPX720972 JZT720964:JZT720972 KJP720964:KJP720972 KTL720964:KTL720972 LDH720964:LDH720972 LND720964:LND720972 LWZ720964:LWZ720972 MGV720964:MGV720972 MQR720964:MQR720972 NAN720964:NAN720972 NKJ720964:NKJ720972 NUF720964:NUF720972 OEB720964:OEB720972 ONX720964:ONX720972 OXT720964:OXT720972 PHP720964:PHP720972 PRL720964:PRL720972 QBH720964:QBH720972 QLD720964:QLD720972 QUZ720964:QUZ720972 REV720964:REV720972 ROR720964:ROR720972 RYN720964:RYN720972 SIJ720964:SIJ720972 SSF720964:SSF720972 TCB720964:TCB720972 TLX720964:TLX720972 TVT720964:TVT720972 UFP720964:UFP720972 UPL720964:UPL720972 UZH720964:UZH720972 VJD720964:VJD720972 VSZ720964:VSZ720972 WCV720964:WCV720972 WMR720964:WMR720972 WWN720964:WWN720972 AF786500:AF786508 KB786500:KB786508 TX786500:TX786508 ADT786500:ADT786508 ANP786500:ANP786508 AXL786500:AXL786508 BHH786500:BHH786508 BRD786500:BRD786508 CAZ786500:CAZ786508 CKV786500:CKV786508 CUR786500:CUR786508 DEN786500:DEN786508 DOJ786500:DOJ786508 DYF786500:DYF786508 EIB786500:EIB786508 ERX786500:ERX786508 FBT786500:FBT786508 FLP786500:FLP786508 FVL786500:FVL786508 GFH786500:GFH786508 GPD786500:GPD786508 GYZ786500:GYZ786508 HIV786500:HIV786508 HSR786500:HSR786508 ICN786500:ICN786508 IMJ786500:IMJ786508 IWF786500:IWF786508 JGB786500:JGB786508 JPX786500:JPX786508 JZT786500:JZT786508 KJP786500:KJP786508 KTL786500:KTL786508 LDH786500:LDH786508 LND786500:LND786508 LWZ786500:LWZ786508 MGV786500:MGV786508 MQR786500:MQR786508 NAN786500:NAN786508 NKJ786500:NKJ786508 NUF786500:NUF786508 OEB786500:OEB786508 ONX786500:ONX786508 OXT786500:OXT786508 PHP786500:PHP786508 PRL786500:PRL786508 QBH786500:QBH786508 QLD786500:QLD786508 QUZ786500:QUZ786508 REV786500:REV786508 ROR786500:ROR786508 RYN786500:RYN786508 SIJ786500:SIJ786508 SSF786500:SSF786508 TCB786500:TCB786508 TLX786500:TLX786508 TVT786500:TVT786508 UFP786500:UFP786508 UPL786500:UPL786508 UZH786500:UZH786508 VJD786500:VJD786508 VSZ786500:VSZ786508 WCV786500:WCV786508 WMR786500:WMR786508 WWN786500:WWN786508 AF852036:AF852044 KB852036:KB852044 TX852036:TX852044 ADT852036:ADT852044 ANP852036:ANP852044 AXL852036:AXL852044 BHH852036:BHH852044 BRD852036:BRD852044 CAZ852036:CAZ852044 CKV852036:CKV852044 CUR852036:CUR852044 DEN852036:DEN852044 DOJ852036:DOJ852044 DYF852036:DYF852044 EIB852036:EIB852044 ERX852036:ERX852044 FBT852036:FBT852044 FLP852036:FLP852044 FVL852036:FVL852044 GFH852036:GFH852044 GPD852036:GPD852044 GYZ852036:GYZ852044 HIV852036:HIV852044 HSR852036:HSR852044 ICN852036:ICN852044 IMJ852036:IMJ852044 IWF852036:IWF852044 JGB852036:JGB852044 JPX852036:JPX852044 JZT852036:JZT852044 KJP852036:KJP852044 KTL852036:KTL852044 LDH852036:LDH852044 LND852036:LND852044 LWZ852036:LWZ852044 MGV852036:MGV852044 MQR852036:MQR852044 NAN852036:NAN852044 NKJ852036:NKJ852044 NUF852036:NUF852044 OEB852036:OEB852044 ONX852036:ONX852044 OXT852036:OXT852044 PHP852036:PHP852044 PRL852036:PRL852044 QBH852036:QBH852044 QLD852036:QLD852044 QUZ852036:QUZ852044 REV852036:REV852044 ROR852036:ROR852044 RYN852036:RYN852044 SIJ852036:SIJ852044 SSF852036:SSF852044 TCB852036:TCB852044 TLX852036:TLX852044 TVT852036:TVT852044 UFP852036:UFP852044 UPL852036:UPL852044 UZH852036:UZH852044 VJD852036:VJD852044 VSZ852036:VSZ852044 WCV852036:WCV852044 WMR852036:WMR852044 WWN852036:WWN852044 AF917572:AF917580 KB917572:KB917580 TX917572:TX917580 ADT917572:ADT917580 ANP917572:ANP917580 AXL917572:AXL917580 BHH917572:BHH917580 BRD917572:BRD917580 CAZ917572:CAZ917580 CKV917572:CKV917580 CUR917572:CUR917580 DEN917572:DEN917580 DOJ917572:DOJ917580 DYF917572:DYF917580 EIB917572:EIB917580 ERX917572:ERX917580 FBT917572:FBT917580 FLP917572:FLP917580 FVL917572:FVL917580 GFH917572:GFH917580 GPD917572:GPD917580 GYZ917572:GYZ917580 HIV917572:HIV917580 HSR917572:HSR917580 ICN917572:ICN917580 IMJ917572:IMJ917580 IWF917572:IWF917580 JGB917572:JGB917580 JPX917572:JPX917580 JZT917572:JZT917580 KJP917572:KJP917580 KTL917572:KTL917580 LDH917572:LDH917580 LND917572:LND917580 LWZ917572:LWZ917580 MGV917572:MGV917580 MQR917572:MQR917580 NAN917572:NAN917580 NKJ917572:NKJ917580 NUF917572:NUF917580 OEB917572:OEB917580 ONX917572:ONX917580 OXT917572:OXT917580 PHP917572:PHP917580 PRL917572:PRL917580 QBH917572:QBH917580 QLD917572:QLD917580 QUZ917572:QUZ917580 REV917572:REV917580 ROR917572:ROR917580 RYN917572:RYN917580 SIJ917572:SIJ917580 SSF917572:SSF917580 TCB917572:TCB917580 TLX917572:TLX917580 TVT917572:TVT917580 UFP917572:UFP917580 UPL917572:UPL917580 UZH917572:UZH917580 VJD917572:VJD917580 VSZ917572:VSZ917580 WCV917572:WCV917580 WMR917572:WMR917580 WWN917572:WWN917580 AF983108:AF983116 KB983108:KB983116 TX983108:TX983116 ADT983108:ADT983116 ANP983108:ANP983116 AXL983108:AXL983116 BHH983108:BHH983116 BRD983108:BRD983116 CAZ983108:CAZ983116 CKV983108:CKV983116 CUR983108:CUR983116 DEN983108:DEN983116 DOJ983108:DOJ983116 DYF983108:DYF983116 EIB983108:EIB983116 ERX983108:ERX983116 FBT983108:FBT983116 FLP983108:FLP983116 FVL983108:FVL983116 GFH983108:GFH983116 GPD983108:GPD983116 GYZ983108:GYZ983116 HIV983108:HIV983116 HSR983108:HSR983116 ICN983108:ICN983116 IMJ983108:IMJ983116 IWF983108:IWF983116 JGB983108:JGB983116 JPX983108:JPX983116 JZT983108:JZT983116 KJP983108:KJP983116 KTL983108:KTL983116 LDH983108:LDH983116 LND983108:LND983116 LWZ983108:LWZ983116 MGV983108:MGV983116 MQR983108:MQR983116 NAN983108:NAN983116 NKJ983108:NKJ983116 NUF983108:NUF983116 OEB983108:OEB983116 ONX983108:ONX983116 OXT983108:OXT983116 PHP983108:PHP983116 PRL983108:PRL983116 QBH983108:QBH983116 QLD983108:QLD983116 QUZ983108:QUZ983116 REV983108:REV983116 ROR983108:ROR983116 RYN983108:RYN983116 SIJ983108:SIJ983116 SSF983108:SSF983116 TCB983108:TCB983116 TLX983108:TLX983116 TVT983108:TVT983116 UFP983108:UFP983116 UPL983108:UPL983116 UZH983108:UZH983116 VJD983108:VJD983116 VSZ983108:VSZ983116 WCV983108:WCV983116 WMR983108:WMR983116 WWN983108:WWN983116 AF179:AF186 KB179:KB186 TX179:TX186 ADT179:ADT186 ANP179:ANP186 AXL179:AXL186 BHH179:BHH186 BRD179:BRD186 CAZ179:CAZ186 CKV179:CKV186 CUR179:CUR186 DEN179:DEN186 DOJ179:DOJ186 DYF179:DYF186 EIB179:EIB186 ERX179:ERX186 FBT179:FBT186 FLP179:FLP186 FVL179:FVL186 GFH179:GFH186 GPD179:GPD186 GYZ179:GYZ186 HIV179:HIV186 HSR179:HSR186 ICN179:ICN186 IMJ179:IMJ186 IWF179:IWF186 JGB179:JGB186 JPX179:JPX186 JZT179:JZT186 KJP179:KJP186 KTL179:KTL186 LDH179:LDH186 LND179:LND186 LWZ179:LWZ186 MGV179:MGV186 MQR179:MQR186 NAN179:NAN186 NKJ179:NKJ186 NUF179:NUF186 OEB179:OEB186 ONX179:ONX186 OXT179:OXT186 PHP179:PHP186 PRL179:PRL186 QBH179:QBH186 QLD179:QLD186 QUZ179:QUZ186 REV179:REV186 ROR179:ROR186 RYN179:RYN186 SIJ179:SIJ186 SSF179:SSF186 TCB179:TCB186 TLX179:TLX186 TVT179:TVT186 UFP179:UFP186 UPL179:UPL186 UZH179:UZH186 VJD179:VJD186 VSZ179:VSZ186 WCV179:WCV186 WMR179:WMR186 WWN179:WWN186 AF65715:AF65722 KB65715:KB65722 TX65715:TX65722 ADT65715:ADT65722 ANP65715:ANP65722 AXL65715:AXL65722 BHH65715:BHH65722 BRD65715:BRD65722 CAZ65715:CAZ65722 CKV65715:CKV65722 CUR65715:CUR65722 DEN65715:DEN65722 DOJ65715:DOJ65722 DYF65715:DYF65722 EIB65715:EIB65722 ERX65715:ERX65722 FBT65715:FBT65722 FLP65715:FLP65722 FVL65715:FVL65722 GFH65715:GFH65722 GPD65715:GPD65722 GYZ65715:GYZ65722 HIV65715:HIV65722 HSR65715:HSR65722 ICN65715:ICN65722 IMJ65715:IMJ65722 IWF65715:IWF65722 JGB65715:JGB65722 JPX65715:JPX65722 JZT65715:JZT65722 KJP65715:KJP65722 KTL65715:KTL65722 LDH65715:LDH65722 LND65715:LND65722 LWZ65715:LWZ65722 MGV65715:MGV65722 MQR65715:MQR65722 NAN65715:NAN65722 NKJ65715:NKJ65722 NUF65715:NUF65722 OEB65715:OEB65722 ONX65715:ONX65722 OXT65715:OXT65722 PHP65715:PHP65722 PRL65715:PRL65722 QBH65715:QBH65722 QLD65715:QLD65722 QUZ65715:QUZ65722 REV65715:REV65722 ROR65715:ROR65722 RYN65715:RYN65722 SIJ65715:SIJ65722 SSF65715:SSF65722 TCB65715:TCB65722 TLX65715:TLX65722 TVT65715:TVT65722 UFP65715:UFP65722 UPL65715:UPL65722 UZH65715:UZH65722 VJD65715:VJD65722 VSZ65715:VSZ65722 WCV65715:WCV65722 WMR65715:WMR65722 WWN65715:WWN65722 AF131251:AF131258 KB131251:KB131258 TX131251:TX131258 ADT131251:ADT131258 ANP131251:ANP131258 AXL131251:AXL131258 BHH131251:BHH131258 BRD131251:BRD131258 CAZ131251:CAZ131258 CKV131251:CKV131258 CUR131251:CUR131258 DEN131251:DEN131258 DOJ131251:DOJ131258 DYF131251:DYF131258 EIB131251:EIB131258 ERX131251:ERX131258 FBT131251:FBT131258 FLP131251:FLP131258 FVL131251:FVL131258 GFH131251:GFH131258 GPD131251:GPD131258 GYZ131251:GYZ131258 HIV131251:HIV131258 HSR131251:HSR131258 ICN131251:ICN131258 IMJ131251:IMJ131258 IWF131251:IWF131258 JGB131251:JGB131258 JPX131251:JPX131258 JZT131251:JZT131258 KJP131251:KJP131258 KTL131251:KTL131258 LDH131251:LDH131258 LND131251:LND131258 LWZ131251:LWZ131258 MGV131251:MGV131258 MQR131251:MQR131258 NAN131251:NAN131258 NKJ131251:NKJ131258 NUF131251:NUF131258 OEB131251:OEB131258 ONX131251:ONX131258 OXT131251:OXT131258 PHP131251:PHP131258 PRL131251:PRL131258 QBH131251:QBH131258 QLD131251:QLD131258 QUZ131251:QUZ131258 REV131251:REV131258 ROR131251:ROR131258 RYN131251:RYN131258 SIJ131251:SIJ131258 SSF131251:SSF131258 TCB131251:TCB131258 TLX131251:TLX131258 TVT131251:TVT131258 UFP131251:UFP131258 UPL131251:UPL131258 UZH131251:UZH131258 VJD131251:VJD131258 VSZ131251:VSZ131258 WCV131251:WCV131258 WMR131251:WMR131258 WWN131251:WWN131258 AF196787:AF196794 KB196787:KB196794 TX196787:TX196794 ADT196787:ADT196794 ANP196787:ANP196794 AXL196787:AXL196794 BHH196787:BHH196794 BRD196787:BRD196794 CAZ196787:CAZ196794 CKV196787:CKV196794 CUR196787:CUR196794 DEN196787:DEN196794 DOJ196787:DOJ196794 DYF196787:DYF196794 EIB196787:EIB196794 ERX196787:ERX196794 FBT196787:FBT196794 FLP196787:FLP196794 FVL196787:FVL196794 GFH196787:GFH196794 GPD196787:GPD196794 GYZ196787:GYZ196794 HIV196787:HIV196794 HSR196787:HSR196794 ICN196787:ICN196794 IMJ196787:IMJ196794 IWF196787:IWF196794 JGB196787:JGB196794 JPX196787:JPX196794 JZT196787:JZT196794 KJP196787:KJP196794 KTL196787:KTL196794 LDH196787:LDH196794 LND196787:LND196794 LWZ196787:LWZ196794 MGV196787:MGV196794 MQR196787:MQR196794 NAN196787:NAN196794 NKJ196787:NKJ196794 NUF196787:NUF196794 OEB196787:OEB196794 ONX196787:ONX196794 OXT196787:OXT196794 PHP196787:PHP196794 PRL196787:PRL196794 QBH196787:QBH196794 QLD196787:QLD196794 QUZ196787:QUZ196794 REV196787:REV196794 ROR196787:ROR196794 RYN196787:RYN196794 SIJ196787:SIJ196794 SSF196787:SSF196794 TCB196787:TCB196794 TLX196787:TLX196794 TVT196787:TVT196794 UFP196787:UFP196794 UPL196787:UPL196794 UZH196787:UZH196794 VJD196787:VJD196794 VSZ196787:VSZ196794 WCV196787:WCV196794 WMR196787:WMR196794 WWN196787:WWN196794 AF262323:AF262330 KB262323:KB262330 TX262323:TX262330 ADT262323:ADT262330 ANP262323:ANP262330 AXL262323:AXL262330 BHH262323:BHH262330 BRD262323:BRD262330 CAZ262323:CAZ262330 CKV262323:CKV262330 CUR262323:CUR262330 DEN262323:DEN262330 DOJ262323:DOJ262330 DYF262323:DYF262330 EIB262323:EIB262330 ERX262323:ERX262330 FBT262323:FBT262330 FLP262323:FLP262330 FVL262323:FVL262330 GFH262323:GFH262330 GPD262323:GPD262330 GYZ262323:GYZ262330 HIV262323:HIV262330 HSR262323:HSR262330 ICN262323:ICN262330 IMJ262323:IMJ262330 IWF262323:IWF262330 JGB262323:JGB262330 JPX262323:JPX262330 JZT262323:JZT262330 KJP262323:KJP262330 KTL262323:KTL262330 LDH262323:LDH262330 LND262323:LND262330 LWZ262323:LWZ262330 MGV262323:MGV262330 MQR262323:MQR262330 NAN262323:NAN262330 NKJ262323:NKJ262330 NUF262323:NUF262330 OEB262323:OEB262330 ONX262323:ONX262330 OXT262323:OXT262330 PHP262323:PHP262330 PRL262323:PRL262330 QBH262323:QBH262330 QLD262323:QLD262330 QUZ262323:QUZ262330 REV262323:REV262330 ROR262323:ROR262330 RYN262323:RYN262330 SIJ262323:SIJ262330 SSF262323:SSF262330 TCB262323:TCB262330 TLX262323:TLX262330 TVT262323:TVT262330 UFP262323:UFP262330 UPL262323:UPL262330 UZH262323:UZH262330 VJD262323:VJD262330 VSZ262323:VSZ262330 WCV262323:WCV262330 WMR262323:WMR262330 WWN262323:WWN262330 AF327859:AF327866 KB327859:KB327866 TX327859:TX327866 ADT327859:ADT327866 ANP327859:ANP327866 AXL327859:AXL327866 BHH327859:BHH327866 BRD327859:BRD327866 CAZ327859:CAZ327866 CKV327859:CKV327866 CUR327859:CUR327866 DEN327859:DEN327866 DOJ327859:DOJ327866 DYF327859:DYF327866 EIB327859:EIB327866 ERX327859:ERX327866 FBT327859:FBT327866 FLP327859:FLP327866 FVL327859:FVL327866 GFH327859:GFH327866 GPD327859:GPD327866 GYZ327859:GYZ327866 HIV327859:HIV327866 HSR327859:HSR327866 ICN327859:ICN327866 IMJ327859:IMJ327866 IWF327859:IWF327866 JGB327859:JGB327866 JPX327859:JPX327866 JZT327859:JZT327866 KJP327859:KJP327866 KTL327859:KTL327866 LDH327859:LDH327866 LND327859:LND327866 LWZ327859:LWZ327866 MGV327859:MGV327866 MQR327859:MQR327866 NAN327859:NAN327866 NKJ327859:NKJ327866 NUF327859:NUF327866 OEB327859:OEB327866 ONX327859:ONX327866 OXT327859:OXT327866 PHP327859:PHP327866 PRL327859:PRL327866 QBH327859:QBH327866 QLD327859:QLD327866 QUZ327859:QUZ327866 REV327859:REV327866 ROR327859:ROR327866 RYN327859:RYN327866 SIJ327859:SIJ327866 SSF327859:SSF327866 TCB327859:TCB327866 TLX327859:TLX327866 TVT327859:TVT327866 UFP327859:UFP327866 UPL327859:UPL327866 UZH327859:UZH327866 VJD327859:VJD327866 VSZ327859:VSZ327866 WCV327859:WCV327866 WMR327859:WMR327866 WWN327859:WWN327866 AF393395:AF393402 KB393395:KB393402 TX393395:TX393402 ADT393395:ADT393402 ANP393395:ANP393402 AXL393395:AXL393402 BHH393395:BHH393402 BRD393395:BRD393402 CAZ393395:CAZ393402 CKV393395:CKV393402 CUR393395:CUR393402 DEN393395:DEN393402 DOJ393395:DOJ393402 DYF393395:DYF393402 EIB393395:EIB393402 ERX393395:ERX393402 FBT393395:FBT393402 FLP393395:FLP393402 FVL393395:FVL393402 GFH393395:GFH393402 GPD393395:GPD393402 GYZ393395:GYZ393402 HIV393395:HIV393402 HSR393395:HSR393402 ICN393395:ICN393402 IMJ393395:IMJ393402 IWF393395:IWF393402 JGB393395:JGB393402 JPX393395:JPX393402 JZT393395:JZT393402 KJP393395:KJP393402 KTL393395:KTL393402 LDH393395:LDH393402 LND393395:LND393402 LWZ393395:LWZ393402 MGV393395:MGV393402 MQR393395:MQR393402 NAN393395:NAN393402 NKJ393395:NKJ393402 NUF393395:NUF393402 OEB393395:OEB393402 ONX393395:ONX393402 OXT393395:OXT393402 PHP393395:PHP393402 PRL393395:PRL393402 QBH393395:QBH393402 QLD393395:QLD393402 QUZ393395:QUZ393402 REV393395:REV393402 ROR393395:ROR393402 RYN393395:RYN393402 SIJ393395:SIJ393402 SSF393395:SSF393402 TCB393395:TCB393402 TLX393395:TLX393402 TVT393395:TVT393402 UFP393395:UFP393402 UPL393395:UPL393402 UZH393395:UZH393402 VJD393395:VJD393402 VSZ393395:VSZ393402 WCV393395:WCV393402 WMR393395:WMR393402 WWN393395:WWN393402 AF458931:AF458938 KB458931:KB458938 TX458931:TX458938 ADT458931:ADT458938 ANP458931:ANP458938 AXL458931:AXL458938 BHH458931:BHH458938 BRD458931:BRD458938 CAZ458931:CAZ458938 CKV458931:CKV458938 CUR458931:CUR458938 DEN458931:DEN458938 DOJ458931:DOJ458938 DYF458931:DYF458938 EIB458931:EIB458938 ERX458931:ERX458938 FBT458931:FBT458938 FLP458931:FLP458938 FVL458931:FVL458938 GFH458931:GFH458938 GPD458931:GPD458938 GYZ458931:GYZ458938 HIV458931:HIV458938 HSR458931:HSR458938 ICN458931:ICN458938 IMJ458931:IMJ458938 IWF458931:IWF458938 JGB458931:JGB458938 JPX458931:JPX458938 JZT458931:JZT458938 KJP458931:KJP458938 KTL458931:KTL458938 LDH458931:LDH458938 LND458931:LND458938 LWZ458931:LWZ458938 MGV458931:MGV458938 MQR458931:MQR458938 NAN458931:NAN458938 NKJ458931:NKJ458938 NUF458931:NUF458938 OEB458931:OEB458938 ONX458931:ONX458938 OXT458931:OXT458938 PHP458931:PHP458938 PRL458931:PRL458938 QBH458931:QBH458938 QLD458931:QLD458938 QUZ458931:QUZ458938 REV458931:REV458938 ROR458931:ROR458938 RYN458931:RYN458938 SIJ458931:SIJ458938 SSF458931:SSF458938 TCB458931:TCB458938 TLX458931:TLX458938 TVT458931:TVT458938 UFP458931:UFP458938 UPL458931:UPL458938 UZH458931:UZH458938 VJD458931:VJD458938 VSZ458931:VSZ458938 WCV458931:WCV458938 WMR458931:WMR458938 WWN458931:WWN458938 AF524467:AF524474 KB524467:KB524474 TX524467:TX524474 ADT524467:ADT524474 ANP524467:ANP524474 AXL524467:AXL524474 BHH524467:BHH524474 BRD524467:BRD524474 CAZ524467:CAZ524474 CKV524467:CKV524474 CUR524467:CUR524474 DEN524467:DEN524474 DOJ524467:DOJ524474 DYF524467:DYF524474 EIB524467:EIB524474 ERX524467:ERX524474 FBT524467:FBT524474 FLP524467:FLP524474 FVL524467:FVL524474 GFH524467:GFH524474 GPD524467:GPD524474 GYZ524467:GYZ524474 HIV524467:HIV524474 HSR524467:HSR524474 ICN524467:ICN524474 IMJ524467:IMJ524474 IWF524467:IWF524474 JGB524467:JGB524474 JPX524467:JPX524474 JZT524467:JZT524474 KJP524467:KJP524474 KTL524467:KTL524474 LDH524467:LDH524474 LND524467:LND524474 LWZ524467:LWZ524474 MGV524467:MGV524474 MQR524467:MQR524474 NAN524467:NAN524474 NKJ524467:NKJ524474 NUF524467:NUF524474 OEB524467:OEB524474 ONX524467:ONX524474 OXT524467:OXT524474 PHP524467:PHP524474 PRL524467:PRL524474 QBH524467:QBH524474 QLD524467:QLD524474 QUZ524467:QUZ524474 REV524467:REV524474 ROR524467:ROR524474 RYN524467:RYN524474 SIJ524467:SIJ524474 SSF524467:SSF524474 TCB524467:TCB524474 TLX524467:TLX524474 TVT524467:TVT524474 UFP524467:UFP524474 UPL524467:UPL524474 UZH524467:UZH524474 VJD524467:VJD524474 VSZ524467:VSZ524474 WCV524467:WCV524474 WMR524467:WMR524474 WWN524467:WWN524474 AF590003:AF590010 KB590003:KB590010 TX590003:TX590010 ADT590003:ADT590010 ANP590003:ANP590010 AXL590003:AXL590010 BHH590003:BHH590010 BRD590003:BRD590010 CAZ590003:CAZ590010 CKV590003:CKV590010 CUR590003:CUR590010 DEN590003:DEN590010 DOJ590003:DOJ590010 DYF590003:DYF590010 EIB590003:EIB590010 ERX590003:ERX590010 FBT590003:FBT590010 FLP590003:FLP590010 FVL590003:FVL590010 GFH590003:GFH590010 GPD590003:GPD590010 GYZ590003:GYZ590010 HIV590003:HIV590010 HSR590003:HSR590010 ICN590003:ICN590010 IMJ590003:IMJ590010 IWF590003:IWF590010 JGB590003:JGB590010 JPX590003:JPX590010 JZT590003:JZT590010 KJP590003:KJP590010 KTL590003:KTL590010 LDH590003:LDH590010 LND590003:LND590010 LWZ590003:LWZ590010 MGV590003:MGV590010 MQR590003:MQR590010 NAN590003:NAN590010 NKJ590003:NKJ590010 NUF590003:NUF590010 OEB590003:OEB590010 ONX590003:ONX590010 OXT590003:OXT590010 PHP590003:PHP590010 PRL590003:PRL590010 QBH590003:QBH590010 QLD590003:QLD590010 QUZ590003:QUZ590010 REV590003:REV590010 ROR590003:ROR590010 RYN590003:RYN590010 SIJ590003:SIJ590010 SSF590003:SSF590010 TCB590003:TCB590010 TLX590003:TLX590010 TVT590003:TVT590010 UFP590003:UFP590010 UPL590003:UPL590010 UZH590003:UZH590010 VJD590003:VJD590010 VSZ590003:VSZ590010 WCV590003:WCV590010 WMR590003:WMR590010 WWN590003:WWN590010 AF655539:AF655546 KB655539:KB655546 TX655539:TX655546 ADT655539:ADT655546 ANP655539:ANP655546 AXL655539:AXL655546 BHH655539:BHH655546 BRD655539:BRD655546 CAZ655539:CAZ655546 CKV655539:CKV655546 CUR655539:CUR655546 DEN655539:DEN655546 DOJ655539:DOJ655546 DYF655539:DYF655546 EIB655539:EIB655546 ERX655539:ERX655546 FBT655539:FBT655546 FLP655539:FLP655546 FVL655539:FVL655546 GFH655539:GFH655546 GPD655539:GPD655546 GYZ655539:GYZ655546 HIV655539:HIV655546 HSR655539:HSR655546 ICN655539:ICN655546 IMJ655539:IMJ655546 IWF655539:IWF655546 JGB655539:JGB655546 JPX655539:JPX655546 JZT655539:JZT655546 KJP655539:KJP655546 KTL655539:KTL655546 LDH655539:LDH655546 LND655539:LND655546 LWZ655539:LWZ655546 MGV655539:MGV655546 MQR655539:MQR655546 NAN655539:NAN655546 NKJ655539:NKJ655546 NUF655539:NUF655546 OEB655539:OEB655546 ONX655539:ONX655546 OXT655539:OXT655546 PHP655539:PHP655546 PRL655539:PRL655546 QBH655539:QBH655546 QLD655539:QLD655546 QUZ655539:QUZ655546 REV655539:REV655546 ROR655539:ROR655546 RYN655539:RYN655546 SIJ655539:SIJ655546 SSF655539:SSF655546 TCB655539:TCB655546 TLX655539:TLX655546 TVT655539:TVT655546 UFP655539:UFP655546 UPL655539:UPL655546 UZH655539:UZH655546 VJD655539:VJD655546 VSZ655539:VSZ655546 WCV655539:WCV655546 WMR655539:WMR655546 WWN655539:WWN655546 AF721075:AF721082 KB721075:KB721082 TX721075:TX721082 ADT721075:ADT721082 ANP721075:ANP721082 AXL721075:AXL721082 BHH721075:BHH721082 BRD721075:BRD721082 CAZ721075:CAZ721082 CKV721075:CKV721082 CUR721075:CUR721082 DEN721075:DEN721082 DOJ721075:DOJ721082 DYF721075:DYF721082 EIB721075:EIB721082 ERX721075:ERX721082 FBT721075:FBT721082 FLP721075:FLP721082 FVL721075:FVL721082 GFH721075:GFH721082 GPD721075:GPD721082 GYZ721075:GYZ721082 HIV721075:HIV721082 HSR721075:HSR721082 ICN721075:ICN721082 IMJ721075:IMJ721082 IWF721075:IWF721082 JGB721075:JGB721082 JPX721075:JPX721082 JZT721075:JZT721082 KJP721075:KJP721082 KTL721075:KTL721082 LDH721075:LDH721082 LND721075:LND721082 LWZ721075:LWZ721082 MGV721075:MGV721082 MQR721075:MQR721082 NAN721075:NAN721082 NKJ721075:NKJ721082 NUF721075:NUF721082 OEB721075:OEB721082 ONX721075:ONX721082 OXT721075:OXT721082 PHP721075:PHP721082 PRL721075:PRL721082 QBH721075:QBH721082 QLD721075:QLD721082 QUZ721075:QUZ721082 REV721075:REV721082 ROR721075:ROR721082 RYN721075:RYN721082 SIJ721075:SIJ721082 SSF721075:SSF721082 TCB721075:TCB721082 TLX721075:TLX721082 TVT721075:TVT721082 UFP721075:UFP721082 UPL721075:UPL721082 UZH721075:UZH721082 VJD721075:VJD721082 VSZ721075:VSZ721082 WCV721075:WCV721082 WMR721075:WMR721082 WWN721075:WWN721082 AF786611:AF786618 KB786611:KB786618 TX786611:TX786618 ADT786611:ADT786618 ANP786611:ANP786618 AXL786611:AXL786618 BHH786611:BHH786618 BRD786611:BRD786618 CAZ786611:CAZ786618 CKV786611:CKV786618 CUR786611:CUR786618 DEN786611:DEN786618 DOJ786611:DOJ786618 DYF786611:DYF786618 EIB786611:EIB786618 ERX786611:ERX786618 FBT786611:FBT786618 FLP786611:FLP786618 FVL786611:FVL786618 GFH786611:GFH786618 GPD786611:GPD786618 GYZ786611:GYZ786618 HIV786611:HIV786618 HSR786611:HSR786618 ICN786611:ICN786618 IMJ786611:IMJ786618 IWF786611:IWF786618 JGB786611:JGB786618 JPX786611:JPX786618 JZT786611:JZT786618 KJP786611:KJP786618 KTL786611:KTL786618 LDH786611:LDH786618 LND786611:LND786618 LWZ786611:LWZ786618 MGV786611:MGV786618 MQR786611:MQR786618 NAN786611:NAN786618 NKJ786611:NKJ786618 NUF786611:NUF786618 OEB786611:OEB786618 ONX786611:ONX786618 OXT786611:OXT786618 PHP786611:PHP786618 PRL786611:PRL786618 QBH786611:QBH786618 QLD786611:QLD786618 QUZ786611:QUZ786618 REV786611:REV786618 ROR786611:ROR786618 RYN786611:RYN786618 SIJ786611:SIJ786618 SSF786611:SSF786618 TCB786611:TCB786618 TLX786611:TLX786618 TVT786611:TVT786618 UFP786611:UFP786618 UPL786611:UPL786618 UZH786611:UZH786618 VJD786611:VJD786618 VSZ786611:VSZ786618 WCV786611:WCV786618 WMR786611:WMR786618 WWN786611:WWN786618 AF852147:AF852154 KB852147:KB852154 TX852147:TX852154 ADT852147:ADT852154 ANP852147:ANP852154 AXL852147:AXL852154 BHH852147:BHH852154 BRD852147:BRD852154 CAZ852147:CAZ852154 CKV852147:CKV852154 CUR852147:CUR852154 DEN852147:DEN852154 DOJ852147:DOJ852154 DYF852147:DYF852154 EIB852147:EIB852154 ERX852147:ERX852154 FBT852147:FBT852154 FLP852147:FLP852154 FVL852147:FVL852154 GFH852147:GFH852154 GPD852147:GPD852154 GYZ852147:GYZ852154 HIV852147:HIV852154 HSR852147:HSR852154 ICN852147:ICN852154 IMJ852147:IMJ852154 IWF852147:IWF852154 JGB852147:JGB852154 JPX852147:JPX852154 JZT852147:JZT852154 KJP852147:KJP852154 KTL852147:KTL852154 LDH852147:LDH852154 LND852147:LND852154 LWZ852147:LWZ852154 MGV852147:MGV852154 MQR852147:MQR852154 NAN852147:NAN852154 NKJ852147:NKJ852154 NUF852147:NUF852154 OEB852147:OEB852154 ONX852147:ONX852154 OXT852147:OXT852154 PHP852147:PHP852154 PRL852147:PRL852154 QBH852147:QBH852154 QLD852147:QLD852154 QUZ852147:QUZ852154 REV852147:REV852154 ROR852147:ROR852154 RYN852147:RYN852154 SIJ852147:SIJ852154 SSF852147:SSF852154 TCB852147:TCB852154 TLX852147:TLX852154 TVT852147:TVT852154 UFP852147:UFP852154 UPL852147:UPL852154 UZH852147:UZH852154 VJD852147:VJD852154 VSZ852147:VSZ852154 WCV852147:WCV852154 WMR852147:WMR852154 WWN852147:WWN852154 AF917683:AF917690 KB917683:KB917690 TX917683:TX917690 ADT917683:ADT917690 ANP917683:ANP917690 AXL917683:AXL917690 BHH917683:BHH917690 BRD917683:BRD917690 CAZ917683:CAZ917690 CKV917683:CKV917690 CUR917683:CUR917690 DEN917683:DEN917690 DOJ917683:DOJ917690 DYF917683:DYF917690 EIB917683:EIB917690 ERX917683:ERX917690 FBT917683:FBT917690 FLP917683:FLP917690 FVL917683:FVL917690 GFH917683:GFH917690 GPD917683:GPD917690 GYZ917683:GYZ917690 HIV917683:HIV917690 HSR917683:HSR917690 ICN917683:ICN917690 IMJ917683:IMJ917690 IWF917683:IWF917690 JGB917683:JGB917690 JPX917683:JPX917690 JZT917683:JZT917690 KJP917683:KJP917690 KTL917683:KTL917690 LDH917683:LDH917690 LND917683:LND917690 LWZ917683:LWZ917690 MGV917683:MGV917690 MQR917683:MQR917690 NAN917683:NAN917690 NKJ917683:NKJ917690 NUF917683:NUF917690 OEB917683:OEB917690 ONX917683:ONX917690 OXT917683:OXT917690 PHP917683:PHP917690 PRL917683:PRL917690 QBH917683:QBH917690 QLD917683:QLD917690 QUZ917683:QUZ917690 REV917683:REV917690 ROR917683:ROR917690 RYN917683:RYN917690 SIJ917683:SIJ917690 SSF917683:SSF917690 TCB917683:TCB917690 TLX917683:TLX917690 TVT917683:TVT917690 UFP917683:UFP917690 UPL917683:UPL917690 UZH917683:UZH917690 VJD917683:VJD917690 VSZ917683:VSZ917690 WCV917683:WCV917690 WMR917683:WMR917690 WWN917683:WWN917690 AF983219:AF983226 KB983219:KB983226 TX983219:TX983226 ADT983219:ADT983226 ANP983219:ANP983226 AXL983219:AXL983226 BHH983219:BHH983226 BRD983219:BRD983226 CAZ983219:CAZ983226 CKV983219:CKV983226 CUR983219:CUR983226 DEN983219:DEN983226 DOJ983219:DOJ983226 DYF983219:DYF983226 EIB983219:EIB983226 ERX983219:ERX983226 FBT983219:FBT983226 FLP983219:FLP983226 FVL983219:FVL983226 GFH983219:GFH983226 GPD983219:GPD983226 GYZ983219:GYZ983226 HIV983219:HIV983226 HSR983219:HSR983226 ICN983219:ICN983226 IMJ983219:IMJ983226 IWF983219:IWF983226 JGB983219:JGB983226 JPX983219:JPX983226 JZT983219:JZT983226 KJP983219:KJP983226 KTL983219:KTL983226 LDH983219:LDH983226 LND983219:LND983226 LWZ983219:LWZ983226 MGV983219:MGV983226 MQR983219:MQR983226 NAN983219:NAN983226 NKJ983219:NKJ983226 NUF983219:NUF983226 OEB983219:OEB983226 ONX983219:ONX983226 OXT983219:OXT983226 PHP983219:PHP983226 PRL983219:PRL983226 QBH983219:QBH983226 QLD983219:QLD983226 QUZ983219:QUZ983226 REV983219:REV983226 ROR983219:ROR983226 RYN983219:RYN983226 SIJ983219:SIJ983226 SSF983219:SSF983226 TCB983219:TCB983226 TLX983219:TLX983226 TVT983219:TVT983226 UFP983219:UFP983226 UPL983219:UPL983226 UZH983219:UZH983226 VJD983219:VJD983226 VSZ983219:VSZ983226 WCV983219:WCV983226 WMR983219:WMR983226 WWN983219:WWN983226 AF175:AF177 KB175:KB177 TX175:TX177 ADT175:ADT177 ANP175:ANP177 AXL175:AXL177 BHH175:BHH177 BRD175:BRD177 CAZ175:CAZ177 CKV175:CKV177 CUR175:CUR177 DEN175:DEN177 DOJ175:DOJ177 DYF175:DYF177 EIB175:EIB177 ERX175:ERX177 FBT175:FBT177 FLP175:FLP177 FVL175:FVL177 GFH175:GFH177 GPD175:GPD177 GYZ175:GYZ177 HIV175:HIV177 HSR175:HSR177 ICN175:ICN177 IMJ175:IMJ177 IWF175:IWF177 JGB175:JGB177 JPX175:JPX177 JZT175:JZT177 KJP175:KJP177 KTL175:KTL177 LDH175:LDH177 LND175:LND177 LWZ175:LWZ177 MGV175:MGV177 MQR175:MQR177 NAN175:NAN177 NKJ175:NKJ177 NUF175:NUF177 OEB175:OEB177 ONX175:ONX177 OXT175:OXT177 PHP175:PHP177 PRL175:PRL177 QBH175:QBH177 QLD175:QLD177 QUZ175:QUZ177 REV175:REV177 ROR175:ROR177 RYN175:RYN177 SIJ175:SIJ177 SSF175:SSF177 TCB175:TCB177 TLX175:TLX177 TVT175:TVT177 UFP175:UFP177 UPL175:UPL177 UZH175:UZH177 VJD175:VJD177 VSZ175:VSZ177 WCV175:WCV177 WMR175:WMR177 WWN175:WWN177 AF65711:AF65713 KB65711:KB65713 TX65711:TX65713 ADT65711:ADT65713 ANP65711:ANP65713 AXL65711:AXL65713 BHH65711:BHH65713 BRD65711:BRD65713 CAZ65711:CAZ65713 CKV65711:CKV65713 CUR65711:CUR65713 DEN65711:DEN65713 DOJ65711:DOJ65713 DYF65711:DYF65713 EIB65711:EIB65713 ERX65711:ERX65713 FBT65711:FBT65713 FLP65711:FLP65713 FVL65711:FVL65713 GFH65711:GFH65713 GPD65711:GPD65713 GYZ65711:GYZ65713 HIV65711:HIV65713 HSR65711:HSR65713 ICN65711:ICN65713 IMJ65711:IMJ65713 IWF65711:IWF65713 JGB65711:JGB65713 JPX65711:JPX65713 JZT65711:JZT65713 KJP65711:KJP65713 KTL65711:KTL65713 LDH65711:LDH65713 LND65711:LND65713 LWZ65711:LWZ65713 MGV65711:MGV65713 MQR65711:MQR65713 NAN65711:NAN65713 NKJ65711:NKJ65713 NUF65711:NUF65713 OEB65711:OEB65713 ONX65711:ONX65713 OXT65711:OXT65713 PHP65711:PHP65713 PRL65711:PRL65713 QBH65711:QBH65713 QLD65711:QLD65713 QUZ65711:QUZ65713 REV65711:REV65713 ROR65711:ROR65713 RYN65711:RYN65713 SIJ65711:SIJ65713 SSF65711:SSF65713 TCB65711:TCB65713 TLX65711:TLX65713 TVT65711:TVT65713 UFP65711:UFP65713 UPL65711:UPL65713 UZH65711:UZH65713 VJD65711:VJD65713 VSZ65711:VSZ65713 WCV65711:WCV65713 WMR65711:WMR65713 WWN65711:WWN65713 AF131247:AF131249 KB131247:KB131249 TX131247:TX131249 ADT131247:ADT131249 ANP131247:ANP131249 AXL131247:AXL131249 BHH131247:BHH131249 BRD131247:BRD131249 CAZ131247:CAZ131249 CKV131247:CKV131249 CUR131247:CUR131249 DEN131247:DEN131249 DOJ131247:DOJ131249 DYF131247:DYF131249 EIB131247:EIB131249 ERX131247:ERX131249 FBT131247:FBT131249 FLP131247:FLP131249 FVL131247:FVL131249 GFH131247:GFH131249 GPD131247:GPD131249 GYZ131247:GYZ131249 HIV131247:HIV131249 HSR131247:HSR131249 ICN131247:ICN131249 IMJ131247:IMJ131249 IWF131247:IWF131249 JGB131247:JGB131249 JPX131247:JPX131249 JZT131247:JZT131249 KJP131247:KJP131249 KTL131247:KTL131249 LDH131247:LDH131249 LND131247:LND131249 LWZ131247:LWZ131249 MGV131247:MGV131249 MQR131247:MQR131249 NAN131247:NAN131249 NKJ131247:NKJ131249 NUF131247:NUF131249 OEB131247:OEB131249 ONX131247:ONX131249 OXT131247:OXT131249 PHP131247:PHP131249 PRL131247:PRL131249 QBH131247:QBH131249 QLD131247:QLD131249 QUZ131247:QUZ131249 REV131247:REV131249 ROR131247:ROR131249 RYN131247:RYN131249 SIJ131247:SIJ131249 SSF131247:SSF131249 TCB131247:TCB131249 TLX131247:TLX131249 TVT131247:TVT131249 UFP131247:UFP131249 UPL131247:UPL131249 UZH131247:UZH131249 VJD131247:VJD131249 VSZ131247:VSZ131249 WCV131247:WCV131249 WMR131247:WMR131249 WWN131247:WWN131249 AF196783:AF196785 KB196783:KB196785 TX196783:TX196785 ADT196783:ADT196785 ANP196783:ANP196785 AXL196783:AXL196785 BHH196783:BHH196785 BRD196783:BRD196785 CAZ196783:CAZ196785 CKV196783:CKV196785 CUR196783:CUR196785 DEN196783:DEN196785 DOJ196783:DOJ196785 DYF196783:DYF196785 EIB196783:EIB196785 ERX196783:ERX196785 FBT196783:FBT196785 FLP196783:FLP196785 FVL196783:FVL196785 GFH196783:GFH196785 GPD196783:GPD196785 GYZ196783:GYZ196785 HIV196783:HIV196785 HSR196783:HSR196785 ICN196783:ICN196785 IMJ196783:IMJ196785 IWF196783:IWF196785 JGB196783:JGB196785 JPX196783:JPX196785 JZT196783:JZT196785 KJP196783:KJP196785 KTL196783:KTL196785 LDH196783:LDH196785 LND196783:LND196785 LWZ196783:LWZ196785 MGV196783:MGV196785 MQR196783:MQR196785 NAN196783:NAN196785 NKJ196783:NKJ196785 NUF196783:NUF196785 OEB196783:OEB196785 ONX196783:ONX196785 OXT196783:OXT196785 PHP196783:PHP196785 PRL196783:PRL196785 QBH196783:QBH196785 QLD196783:QLD196785 QUZ196783:QUZ196785 REV196783:REV196785 ROR196783:ROR196785 RYN196783:RYN196785 SIJ196783:SIJ196785 SSF196783:SSF196785 TCB196783:TCB196785 TLX196783:TLX196785 TVT196783:TVT196785 UFP196783:UFP196785 UPL196783:UPL196785 UZH196783:UZH196785 VJD196783:VJD196785 VSZ196783:VSZ196785 WCV196783:WCV196785 WMR196783:WMR196785 WWN196783:WWN196785 AF262319:AF262321 KB262319:KB262321 TX262319:TX262321 ADT262319:ADT262321 ANP262319:ANP262321 AXL262319:AXL262321 BHH262319:BHH262321 BRD262319:BRD262321 CAZ262319:CAZ262321 CKV262319:CKV262321 CUR262319:CUR262321 DEN262319:DEN262321 DOJ262319:DOJ262321 DYF262319:DYF262321 EIB262319:EIB262321 ERX262319:ERX262321 FBT262319:FBT262321 FLP262319:FLP262321 FVL262319:FVL262321 GFH262319:GFH262321 GPD262319:GPD262321 GYZ262319:GYZ262321 HIV262319:HIV262321 HSR262319:HSR262321 ICN262319:ICN262321 IMJ262319:IMJ262321 IWF262319:IWF262321 JGB262319:JGB262321 JPX262319:JPX262321 JZT262319:JZT262321 KJP262319:KJP262321 KTL262319:KTL262321 LDH262319:LDH262321 LND262319:LND262321 LWZ262319:LWZ262321 MGV262319:MGV262321 MQR262319:MQR262321 NAN262319:NAN262321 NKJ262319:NKJ262321 NUF262319:NUF262321 OEB262319:OEB262321 ONX262319:ONX262321 OXT262319:OXT262321 PHP262319:PHP262321 PRL262319:PRL262321 QBH262319:QBH262321 QLD262319:QLD262321 QUZ262319:QUZ262321 REV262319:REV262321 ROR262319:ROR262321 RYN262319:RYN262321 SIJ262319:SIJ262321 SSF262319:SSF262321 TCB262319:TCB262321 TLX262319:TLX262321 TVT262319:TVT262321 UFP262319:UFP262321 UPL262319:UPL262321 UZH262319:UZH262321 VJD262319:VJD262321 VSZ262319:VSZ262321 WCV262319:WCV262321 WMR262319:WMR262321 WWN262319:WWN262321 AF327855:AF327857 KB327855:KB327857 TX327855:TX327857 ADT327855:ADT327857 ANP327855:ANP327857 AXL327855:AXL327857 BHH327855:BHH327857 BRD327855:BRD327857 CAZ327855:CAZ327857 CKV327855:CKV327857 CUR327855:CUR327857 DEN327855:DEN327857 DOJ327855:DOJ327857 DYF327855:DYF327857 EIB327855:EIB327857 ERX327855:ERX327857 FBT327855:FBT327857 FLP327855:FLP327857 FVL327855:FVL327857 GFH327855:GFH327857 GPD327855:GPD327857 GYZ327855:GYZ327857 HIV327855:HIV327857 HSR327855:HSR327857 ICN327855:ICN327857 IMJ327855:IMJ327857 IWF327855:IWF327857 JGB327855:JGB327857 JPX327855:JPX327857 JZT327855:JZT327857 KJP327855:KJP327857 KTL327855:KTL327857 LDH327855:LDH327857 LND327855:LND327857 LWZ327855:LWZ327857 MGV327855:MGV327857 MQR327855:MQR327857 NAN327855:NAN327857 NKJ327855:NKJ327857 NUF327855:NUF327857 OEB327855:OEB327857 ONX327855:ONX327857 OXT327855:OXT327857 PHP327855:PHP327857 PRL327855:PRL327857 QBH327855:QBH327857 QLD327855:QLD327857 QUZ327855:QUZ327857 REV327855:REV327857 ROR327855:ROR327857 RYN327855:RYN327857 SIJ327855:SIJ327857 SSF327855:SSF327857 TCB327855:TCB327857 TLX327855:TLX327857 TVT327855:TVT327857 UFP327855:UFP327857 UPL327855:UPL327857 UZH327855:UZH327857 VJD327855:VJD327857 VSZ327855:VSZ327857 WCV327855:WCV327857 WMR327855:WMR327857 WWN327855:WWN327857 AF393391:AF393393 KB393391:KB393393 TX393391:TX393393 ADT393391:ADT393393 ANP393391:ANP393393 AXL393391:AXL393393 BHH393391:BHH393393 BRD393391:BRD393393 CAZ393391:CAZ393393 CKV393391:CKV393393 CUR393391:CUR393393 DEN393391:DEN393393 DOJ393391:DOJ393393 DYF393391:DYF393393 EIB393391:EIB393393 ERX393391:ERX393393 FBT393391:FBT393393 FLP393391:FLP393393 FVL393391:FVL393393 GFH393391:GFH393393 GPD393391:GPD393393 GYZ393391:GYZ393393 HIV393391:HIV393393 HSR393391:HSR393393 ICN393391:ICN393393 IMJ393391:IMJ393393 IWF393391:IWF393393 JGB393391:JGB393393 JPX393391:JPX393393 JZT393391:JZT393393 KJP393391:KJP393393 KTL393391:KTL393393 LDH393391:LDH393393 LND393391:LND393393 LWZ393391:LWZ393393 MGV393391:MGV393393 MQR393391:MQR393393 NAN393391:NAN393393 NKJ393391:NKJ393393 NUF393391:NUF393393 OEB393391:OEB393393 ONX393391:ONX393393 OXT393391:OXT393393 PHP393391:PHP393393 PRL393391:PRL393393 QBH393391:QBH393393 QLD393391:QLD393393 QUZ393391:QUZ393393 REV393391:REV393393 ROR393391:ROR393393 RYN393391:RYN393393 SIJ393391:SIJ393393 SSF393391:SSF393393 TCB393391:TCB393393 TLX393391:TLX393393 TVT393391:TVT393393 UFP393391:UFP393393 UPL393391:UPL393393 UZH393391:UZH393393 VJD393391:VJD393393 VSZ393391:VSZ393393 WCV393391:WCV393393 WMR393391:WMR393393 WWN393391:WWN393393 AF458927:AF458929 KB458927:KB458929 TX458927:TX458929 ADT458927:ADT458929 ANP458927:ANP458929 AXL458927:AXL458929 BHH458927:BHH458929 BRD458927:BRD458929 CAZ458927:CAZ458929 CKV458927:CKV458929 CUR458927:CUR458929 DEN458927:DEN458929 DOJ458927:DOJ458929 DYF458927:DYF458929 EIB458927:EIB458929 ERX458927:ERX458929 FBT458927:FBT458929 FLP458927:FLP458929 FVL458927:FVL458929 GFH458927:GFH458929 GPD458927:GPD458929 GYZ458927:GYZ458929 HIV458927:HIV458929 HSR458927:HSR458929 ICN458927:ICN458929 IMJ458927:IMJ458929 IWF458927:IWF458929 JGB458927:JGB458929 JPX458927:JPX458929 JZT458927:JZT458929 KJP458927:KJP458929 KTL458927:KTL458929 LDH458927:LDH458929 LND458927:LND458929 LWZ458927:LWZ458929 MGV458927:MGV458929 MQR458927:MQR458929 NAN458927:NAN458929 NKJ458927:NKJ458929 NUF458927:NUF458929 OEB458927:OEB458929 ONX458927:ONX458929 OXT458927:OXT458929 PHP458927:PHP458929 PRL458927:PRL458929 QBH458927:QBH458929 QLD458927:QLD458929 QUZ458927:QUZ458929 REV458927:REV458929 ROR458927:ROR458929 RYN458927:RYN458929 SIJ458927:SIJ458929 SSF458927:SSF458929 TCB458927:TCB458929 TLX458927:TLX458929 TVT458927:TVT458929 UFP458927:UFP458929 UPL458927:UPL458929 UZH458927:UZH458929 VJD458927:VJD458929 VSZ458927:VSZ458929 WCV458927:WCV458929 WMR458927:WMR458929 WWN458927:WWN458929 AF524463:AF524465 KB524463:KB524465 TX524463:TX524465 ADT524463:ADT524465 ANP524463:ANP524465 AXL524463:AXL524465 BHH524463:BHH524465 BRD524463:BRD524465 CAZ524463:CAZ524465 CKV524463:CKV524465 CUR524463:CUR524465 DEN524463:DEN524465 DOJ524463:DOJ524465 DYF524463:DYF524465 EIB524463:EIB524465 ERX524463:ERX524465 FBT524463:FBT524465 FLP524463:FLP524465 FVL524463:FVL524465 GFH524463:GFH524465 GPD524463:GPD524465 GYZ524463:GYZ524465 HIV524463:HIV524465 HSR524463:HSR524465 ICN524463:ICN524465 IMJ524463:IMJ524465 IWF524463:IWF524465 JGB524463:JGB524465 JPX524463:JPX524465 JZT524463:JZT524465 KJP524463:KJP524465 KTL524463:KTL524465 LDH524463:LDH524465 LND524463:LND524465 LWZ524463:LWZ524465 MGV524463:MGV524465 MQR524463:MQR524465 NAN524463:NAN524465 NKJ524463:NKJ524465 NUF524463:NUF524465 OEB524463:OEB524465 ONX524463:ONX524465 OXT524463:OXT524465 PHP524463:PHP524465 PRL524463:PRL524465 QBH524463:QBH524465 QLD524463:QLD524465 QUZ524463:QUZ524465 REV524463:REV524465 ROR524463:ROR524465 RYN524463:RYN524465 SIJ524463:SIJ524465 SSF524463:SSF524465 TCB524463:TCB524465 TLX524463:TLX524465 TVT524463:TVT524465 UFP524463:UFP524465 UPL524463:UPL524465 UZH524463:UZH524465 VJD524463:VJD524465 VSZ524463:VSZ524465 WCV524463:WCV524465 WMR524463:WMR524465 WWN524463:WWN524465 AF589999:AF590001 KB589999:KB590001 TX589999:TX590001 ADT589999:ADT590001 ANP589999:ANP590001 AXL589999:AXL590001 BHH589999:BHH590001 BRD589999:BRD590001 CAZ589999:CAZ590001 CKV589999:CKV590001 CUR589999:CUR590001 DEN589999:DEN590001 DOJ589999:DOJ590001 DYF589999:DYF590001 EIB589999:EIB590001 ERX589999:ERX590001 FBT589999:FBT590001 FLP589999:FLP590001 FVL589999:FVL590001 GFH589999:GFH590001 GPD589999:GPD590001 GYZ589999:GYZ590001 HIV589999:HIV590001 HSR589999:HSR590001 ICN589999:ICN590001 IMJ589999:IMJ590001 IWF589999:IWF590001 JGB589999:JGB590001 JPX589999:JPX590001 JZT589999:JZT590001 KJP589999:KJP590001 KTL589999:KTL590001 LDH589999:LDH590001 LND589999:LND590001 LWZ589999:LWZ590001 MGV589999:MGV590001 MQR589999:MQR590001 NAN589999:NAN590001 NKJ589999:NKJ590001 NUF589999:NUF590001 OEB589999:OEB590001 ONX589999:ONX590001 OXT589999:OXT590001 PHP589999:PHP590001 PRL589999:PRL590001 QBH589999:QBH590001 QLD589999:QLD590001 QUZ589999:QUZ590001 REV589999:REV590001 ROR589999:ROR590001 RYN589999:RYN590001 SIJ589999:SIJ590001 SSF589999:SSF590001 TCB589999:TCB590001 TLX589999:TLX590001 TVT589999:TVT590001 UFP589999:UFP590001 UPL589999:UPL590001 UZH589999:UZH590001 VJD589999:VJD590001 VSZ589999:VSZ590001 WCV589999:WCV590001 WMR589999:WMR590001 WWN589999:WWN590001 AF655535:AF655537 KB655535:KB655537 TX655535:TX655537 ADT655535:ADT655537 ANP655535:ANP655537 AXL655535:AXL655537 BHH655535:BHH655537 BRD655535:BRD655537 CAZ655535:CAZ655537 CKV655535:CKV655537 CUR655535:CUR655537 DEN655535:DEN655537 DOJ655535:DOJ655537 DYF655535:DYF655537 EIB655535:EIB655537 ERX655535:ERX655537 FBT655535:FBT655537 FLP655535:FLP655537 FVL655535:FVL655537 GFH655535:GFH655537 GPD655535:GPD655537 GYZ655535:GYZ655537 HIV655535:HIV655537 HSR655535:HSR655537 ICN655535:ICN655537 IMJ655535:IMJ655537 IWF655535:IWF655537 JGB655535:JGB655537 JPX655535:JPX655537 JZT655535:JZT655537 KJP655535:KJP655537 KTL655535:KTL655537 LDH655535:LDH655537 LND655535:LND655537 LWZ655535:LWZ655537 MGV655535:MGV655537 MQR655535:MQR655537 NAN655535:NAN655537 NKJ655535:NKJ655537 NUF655535:NUF655537 OEB655535:OEB655537 ONX655535:ONX655537 OXT655535:OXT655537 PHP655535:PHP655537 PRL655535:PRL655537 QBH655535:QBH655537 QLD655535:QLD655537 QUZ655535:QUZ655537 REV655535:REV655537 ROR655535:ROR655537 RYN655535:RYN655537 SIJ655535:SIJ655537 SSF655535:SSF655537 TCB655535:TCB655537 TLX655535:TLX655537 TVT655535:TVT655537 UFP655535:UFP655537 UPL655535:UPL655537 UZH655535:UZH655537 VJD655535:VJD655537 VSZ655535:VSZ655537 WCV655535:WCV655537 WMR655535:WMR655537 WWN655535:WWN655537 AF721071:AF721073 KB721071:KB721073 TX721071:TX721073 ADT721071:ADT721073 ANP721071:ANP721073 AXL721071:AXL721073 BHH721071:BHH721073 BRD721071:BRD721073 CAZ721071:CAZ721073 CKV721071:CKV721073 CUR721071:CUR721073 DEN721071:DEN721073 DOJ721071:DOJ721073 DYF721071:DYF721073 EIB721071:EIB721073 ERX721071:ERX721073 FBT721071:FBT721073 FLP721071:FLP721073 FVL721071:FVL721073 GFH721071:GFH721073 GPD721071:GPD721073 GYZ721071:GYZ721073 HIV721071:HIV721073 HSR721071:HSR721073 ICN721071:ICN721073 IMJ721071:IMJ721073 IWF721071:IWF721073 JGB721071:JGB721073 JPX721071:JPX721073 JZT721071:JZT721073 KJP721071:KJP721073 KTL721071:KTL721073 LDH721071:LDH721073 LND721071:LND721073 LWZ721071:LWZ721073 MGV721071:MGV721073 MQR721071:MQR721073 NAN721071:NAN721073 NKJ721071:NKJ721073 NUF721071:NUF721073 OEB721071:OEB721073 ONX721071:ONX721073 OXT721071:OXT721073 PHP721071:PHP721073 PRL721071:PRL721073 QBH721071:QBH721073 QLD721071:QLD721073 QUZ721071:QUZ721073 REV721071:REV721073 ROR721071:ROR721073 RYN721071:RYN721073 SIJ721071:SIJ721073 SSF721071:SSF721073 TCB721071:TCB721073 TLX721071:TLX721073 TVT721071:TVT721073 UFP721071:UFP721073 UPL721071:UPL721073 UZH721071:UZH721073 VJD721071:VJD721073 VSZ721071:VSZ721073 WCV721071:WCV721073 WMR721071:WMR721073 WWN721071:WWN721073 AF786607:AF786609 KB786607:KB786609 TX786607:TX786609 ADT786607:ADT786609 ANP786607:ANP786609 AXL786607:AXL786609 BHH786607:BHH786609 BRD786607:BRD786609 CAZ786607:CAZ786609 CKV786607:CKV786609 CUR786607:CUR786609 DEN786607:DEN786609 DOJ786607:DOJ786609 DYF786607:DYF786609 EIB786607:EIB786609 ERX786607:ERX786609 FBT786607:FBT786609 FLP786607:FLP786609 FVL786607:FVL786609 GFH786607:GFH786609 GPD786607:GPD786609 GYZ786607:GYZ786609 HIV786607:HIV786609 HSR786607:HSR786609 ICN786607:ICN786609 IMJ786607:IMJ786609 IWF786607:IWF786609 JGB786607:JGB786609 JPX786607:JPX786609 JZT786607:JZT786609 KJP786607:KJP786609 KTL786607:KTL786609 LDH786607:LDH786609 LND786607:LND786609 LWZ786607:LWZ786609 MGV786607:MGV786609 MQR786607:MQR786609 NAN786607:NAN786609 NKJ786607:NKJ786609 NUF786607:NUF786609 OEB786607:OEB786609 ONX786607:ONX786609 OXT786607:OXT786609 PHP786607:PHP786609 PRL786607:PRL786609 QBH786607:QBH786609 QLD786607:QLD786609 QUZ786607:QUZ786609 REV786607:REV786609 ROR786607:ROR786609 RYN786607:RYN786609 SIJ786607:SIJ786609 SSF786607:SSF786609 TCB786607:TCB786609 TLX786607:TLX786609 TVT786607:TVT786609 UFP786607:UFP786609 UPL786607:UPL786609 UZH786607:UZH786609 VJD786607:VJD786609 VSZ786607:VSZ786609 WCV786607:WCV786609 WMR786607:WMR786609 WWN786607:WWN786609 AF852143:AF852145 KB852143:KB852145 TX852143:TX852145 ADT852143:ADT852145 ANP852143:ANP852145 AXL852143:AXL852145 BHH852143:BHH852145 BRD852143:BRD852145 CAZ852143:CAZ852145 CKV852143:CKV852145 CUR852143:CUR852145 DEN852143:DEN852145 DOJ852143:DOJ852145 DYF852143:DYF852145 EIB852143:EIB852145 ERX852143:ERX852145 FBT852143:FBT852145 FLP852143:FLP852145 FVL852143:FVL852145 GFH852143:GFH852145 GPD852143:GPD852145 GYZ852143:GYZ852145 HIV852143:HIV852145 HSR852143:HSR852145 ICN852143:ICN852145 IMJ852143:IMJ852145 IWF852143:IWF852145 JGB852143:JGB852145 JPX852143:JPX852145 JZT852143:JZT852145 KJP852143:KJP852145 KTL852143:KTL852145 LDH852143:LDH852145 LND852143:LND852145 LWZ852143:LWZ852145 MGV852143:MGV852145 MQR852143:MQR852145 NAN852143:NAN852145 NKJ852143:NKJ852145 NUF852143:NUF852145 OEB852143:OEB852145 ONX852143:ONX852145 OXT852143:OXT852145 PHP852143:PHP852145 PRL852143:PRL852145 QBH852143:QBH852145 QLD852143:QLD852145 QUZ852143:QUZ852145 REV852143:REV852145 ROR852143:ROR852145 RYN852143:RYN852145 SIJ852143:SIJ852145 SSF852143:SSF852145 TCB852143:TCB852145 TLX852143:TLX852145 TVT852143:TVT852145 UFP852143:UFP852145 UPL852143:UPL852145 UZH852143:UZH852145 VJD852143:VJD852145 VSZ852143:VSZ852145 WCV852143:WCV852145 WMR852143:WMR852145 WWN852143:WWN852145 AF917679:AF917681 KB917679:KB917681 TX917679:TX917681 ADT917679:ADT917681 ANP917679:ANP917681 AXL917679:AXL917681 BHH917679:BHH917681 BRD917679:BRD917681 CAZ917679:CAZ917681 CKV917679:CKV917681 CUR917679:CUR917681 DEN917679:DEN917681 DOJ917679:DOJ917681 DYF917679:DYF917681 EIB917679:EIB917681 ERX917679:ERX917681 FBT917679:FBT917681 FLP917679:FLP917681 FVL917679:FVL917681 GFH917679:GFH917681 GPD917679:GPD917681 GYZ917679:GYZ917681 HIV917679:HIV917681 HSR917679:HSR917681 ICN917679:ICN917681 IMJ917679:IMJ917681 IWF917679:IWF917681 JGB917679:JGB917681 JPX917679:JPX917681 JZT917679:JZT917681 KJP917679:KJP917681 KTL917679:KTL917681 LDH917679:LDH917681 LND917679:LND917681 LWZ917679:LWZ917681 MGV917679:MGV917681 MQR917679:MQR917681 NAN917679:NAN917681 NKJ917679:NKJ917681 NUF917679:NUF917681 OEB917679:OEB917681 ONX917679:ONX917681 OXT917679:OXT917681 PHP917679:PHP917681 PRL917679:PRL917681 QBH917679:QBH917681 QLD917679:QLD917681 QUZ917679:QUZ917681 REV917679:REV917681 ROR917679:ROR917681 RYN917679:RYN917681 SIJ917679:SIJ917681 SSF917679:SSF917681 TCB917679:TCB917681 TLX917679:TLX917681 TVT917679:TVT917681 UFP917679:UFP917681 UPL917679:UPL917681 UZH917679:UZH917681 VJD917679:VJD917681 VSZ917679:VSZ917681 WCV917679:WCV917681 WMR917679:WMR917681 WWN917679:WWN917681 AF983215:AF983217 KB983215:KB983217 TX983215:TX983217 ADT983215:ADT983217 ANP983215:ANP983217 AXL983215:AXL983217 BHH983215:BHH983217 BRD983215:BRD983217 CAZ983215:CAZ983217 CKV983215:CKV983217 CUR983215:CUR983217 DEN983215:DEN983217 DOJ983215:DOJ983217 DYF983215:DYF983217 EIB983215:EIB983217 ERX983215:ERX983217 FBT983215:FBT983217 FLP983215:FLP983217 FVL983215:FVL983217 GFH983215:GFH983217 GPD983215:GPD983217 GYZ983215:GYZ983217 HIV983215:HIV983217 HSR983215:HSR983217 ICN983215:ICN983217 IMJ983215:IMJ983217 IWF983215:IWF983217 JGB983215:JGB983217 JPX983215:JPX983217 JZT983215:JZT983217 KJP983215:KJP983217 KTL983215:KTL983217 LDH983215:LDH983217 LND983215:LND983217 LWZ983215:LWZ983217 MGV983215:MGV983217 MQR983215:MQR983217 NAN983215:NAN983217 NKJ983215:NKJ983217 NUF983215:NUF983217 OEB983215:OEB983217 ONX983215:ONX983217 OXT983215:OXT983217 PHP983215:PHP983217 PRL983215:PRL983217 QBH983215:QBH983217 QLD983215:QLD983217 QUZ983215:QUZ983217 REV983215:REV983217 ROR983215:ROR983217 RYN983215:RYN983217 SIJ983215:SIJ983217 SSF983215:SSF983217 TCB983215:TCB983217 TLX983215:TLX983217 TVT983215:TVT983217 UFP983215:UFP983217 UPL983215:UPL983217 UZH983215:UZH983217 VJD983215:VJD983217 VSZ983215:VSZ983217 WCV983215:WCV983217 WMR983215:WMR983217 WWN983215:WWN983217 TX66:TX74 KB170:KB173 TX170:TX173 ADT170:ADT173 ANP170:ANP173 AXL170:AXL173 BHH170:BHH173 BRD170:BRD173 CAZ170:CAZ173 CKV170:CKV173 CUR170:CUR173 DEN170:DEN173 DOJ170:DOJ173 DYF170:DYF173 EIB170:EIB173 ERX170:ERX173 FBT170:FBT173 FLP170:FLP173 FVL170:FVL173 GFH170:GFH173 GPD170:GPD173 GYZ170:GYZ173 HIV170:HIV173 HSR170:HSR173 ICN170:ICN173 IMJ170:IMJ173 IWF170:IWF173 JGB170:JGB173 JPX170:JPX173 JZT170:JZT173 KJP170:KJP173 KTL170:KTL173 LDH170:LDH173 LND170:LND173 LWZ170:LWZ173 MGV170:MGV173 MQR170:MQR173 NAN170:NAN173 NKJ170:NKJ173 NUF170:NUF173 OEB170:OEB173 ONX170:ONX173 OXT170:OXT173 PHP170:PHP173 PRL170:PRL173 QBH170:QBH173 QLD170:QLD173 QUZ170:QUZ173 REV170:REV173 ROR170:ROR173 RYN170:RYN173 SIJ170:SIJ173 SSF170:SSF173 TCB170:TCB173 TLX170:TLX173 TVT170:TVT173 UFP170:UFP173 UPL170:UPL173 UZH170:UZH173 VJD170:VJD173 VSZ170:VSZ173 WCV170:WCV173 WMR170:WMR173 WWN170:WWN173 AF65707:AF65709 KB65707:KB65709 TX65707:TX65709 ADT65707:ADT65709 ANP65707:ANP65709 AXL65707:AXL65709 BHH65707:BHH65709 BRD65707:BRD65709 CAZ65707:CAZ65709 CKV65707:CKV65709 CUR65707:CUR65709 DEN65707:DEN65709 DOJ65707:DOJ65709 DYF65707:DYF65709 EIB65707:EIB65709 ERX65707:ERX65709 FBT65707:FBT65709 FLP65707:FLP65709 FVL65707:FVL65709 GFH65707:GFH65709 GPD65707:GPD65709 GYZ65707:GYZ65709 HIV65707:HIV65709 HSR65707:HSR65709 ICN65707:ICN65709 IMJ65707:IMJ65709 IWF65707:IWF65709 JGB65707:JGB65709 JPX65707:JPX65709 JZT65707:JZT65709 KJP65707:KJP65709 KTL65707:KTL65709 LDH65707:LDH65709 LND65707:LND65709 LWZ65707:LWZ65709 MGV65707:MGV65709 MQR65707:MQR65709 NAN65707:NAN65709 NKJ65707:NKJ65709 NUF65707:NUF65709 OEB65707:OEB65709 ONX65707:ONX65709 OXT65707:OXT65709 PHP65707:PHP65709 PRL65707:PRL65709 QBH65707:QBH65709 QLD65707:QLD65709 QUZ65707:QUZ65709 REV65707:REV65709 ROR65707:ROR65709 RYN65707:RYN65709 SIJ65707:SIJ65709 SSF65707:SSF65709 TCB65707:TCB65709 TLX65707:TLX65709 TVT65707:TVT65709 UFP65707:UFP65709 UPL65707:UPL65709 UZH65707:UZH65709 VJD65707:VJD65709 VSZ65707:VSZ65709 WCV65707:WCV65709 WMR65707:WMR65709 WWN65707:WWN65709 AF131243:AF131245 KB131243:KB131245 TX131243:TX131245 ADT131243:ADT131245 ANP131243:ANP131245 AXL131243:AXL131245 BHH131243:BHH131245 BRD131243:BRD131245 CAZ131243:CAZ131245 CKV131243:CKV131245 CUR131243:CUR131245 DEN131243:DEN131245 DOJ131243:DOJ131245 DYF131243:DYF131245 EIB131243:EIB131245 ERX131243:ERX131245 FBT131243:FBT131245 FLP131243:FLP131245 FVL131243:FVL131245 GFH131243:GFH131245 GPD131243:GPD131245 GYZ131243:GYZ131245 HIV131243:HIV131245 HSR131243:HSR131245 ICN131243:ICN131245 IMJ131243:IMJ131245 IWF131243:IWF131245 JGB131243:JGB131245 JPX131243:JPX131245 JZT131243:JZT131245 KJP131243:KJP131245 KTL131243:KTL131245 LDH131243:LDH131245 LND131243:LND131245 LWZ131243:LWZ131245 MGV131243:MGV131245 MQR131243:MQR131245 NAN131243:NAN131245 NKJ131243:NKJ131245 NUF131243:NUF131245 OEB131243:OEB131245 ONX131243:ONX131245 OXT131243:OXT131245 PHP131243:PHP131245 PRL131243:PRL131245 QBH131243:QBH131245 QLD131243:QLD131245 QUZ131243:QUZ131245 REV131243:REV131245 ROR131243:ROR131245 RYN131243:RYN131245 SIJ131243:SIJ131245 SSF131243:SSF131245 TCB131243:TCB131245 TLX131243:TLX131245 TVT131243:TVT131245 UFP131243:UFP131245 UPL131243:UPL131245 UZH131243:UZH131245 VJD131243:VJD131245 VSZ131243:VSZ131245 WCV131243:WCV131245 WMR131243:WMR131245 WWN131243:WWN131245 AF196779:AF196781 KB196779:KB196781 TX196779:TX196781 ADT196779:ADT196781 ANP196779:ANP196781 AXL196779:AXL196781 BHH196779:BHH196781 BRD196779:BRD196781 CAZ196779:CAZ196781 CKV196779:CKV196781 CUR196779:CUR196781 DEN196779:DEN196781 DOJ196779:DOJ196781 DYF196779:DYF196781 EIB196779:EIB196781 ERX196779:ERX196781 FBT196779:FBT196781 FLP196779:FLP196781 FVL196779:FVL196781 GFH196779:GFH196781 GPD196779:GPD196781 GYZ196779:GYZ196781 HIV196779:HIV196781 HSR196779:HSR196781 ICN196779:ICN196781 IMJ196779:IMJ196781 IWF196779:IWF196781 JGB196779:JGB196781 JPX196779:JPX196781 JZT196779:JZT196781 KJP196779:KJP196781 KTL196779:KTL196781 LDH196779:LDH196781 LND196779:LND196781 LWZ196779:LWZ196781 MGV196779:MGV196781 MQR196779:MQR196781 NAN196779:NAN196781 NKJ196779:NKJ196781 NUF196779:NUF196781 OEB196779:OEB196781 ONX196779:ONX196781 OXT196779:OXT196781 PHP196779:PHP196781 PRL196779:PRL196781 QBH196779:QBH196781 QLD196779:QLD196781 QUZ196779:QUZ196781 REV196779:REV196781 ROR196779:ROR196781 RYN196779:RYN196781 SIJ196779:SIJ196781 SSF196779:SSF196781 TCB196779:TCB196781 TLX196779:TLX196781 TVT196779:TVT196781 UFP196779:UFP196781 UPL196779:UPL196781 UZH196779:UZH196781 VJD196779:VJD196781 VSZ196779:VSZ196781 WCV196779:WCV196781 WMR196779:WMR196781 WWN196779:WWN196781 AF262315:AF262317 KB262315:KB262317 TX262315:TX262317 ADT262315:ADT262317 ANP262315:ANP262317 AXL262315:AXL262317 BHH262315:BHH262317 BRD262315:BRD262317 CAZ262315:CAZ262317 CKV262315:CKV262317 CUR262315:CUR262317 DEN262315:DEN262317 DOJ262315:DOJ262317 DYF262315:DYF262317 EIB262315:EIB262317 ERX262315:ERX262317 FBT262315:FBT262317 FLP262315:FLP262317 FVL262315:FVL262317 GFH262315:GFH262317 GPD262315:GPD262317 GYZ262315:GYZ262317 HIV262315:HIV262317 HSR262315:HSR262317 ICN262315:ICN262317 IMJ262315:IMJ262317 IWF262315:IWF262317 JGB262315:JGB262317 JPX262315:JPX262317 JZT262315:JZT262317 KJP262315:KJP262317 KTL262315:KTL262317 LDH262315:LDH262317 LND262315:LND262317 LWZ262315:LWZ262317 MGV262315:MGV262317 MQR262315:MQR262317 NAN262315:NAN262317 NKJ262315:NKJ262317 NUF262315:NUF262317 OEB262315:OEB262317 ONX262315:ONX262317 OXT262315:OXT262317 PHP262315:PHP262317 PRL262315:PRL262317 QBH262315:QBH262317 QLD262315:QLD262317 QUZ262315:QUZ262317 REV262315:REV262317 ROR262315:ROR262317 RYN262315:RYN262317 SIJ262315:SIJ262317 SSF262315:SSF262317 TCB262315:TCB262317 TLX262315:TLX262317 TVT262315:TVT262317 UFP262315:UFP262317 UPL262315:UPL262317 UZH262315:UZH262317 VJD262315:VJD262317 VSZ262315:VSZ262317 WCV262315:WCV262317 WMR262315:WMR262317 WWN262315:WWN262317 AF327851:AF327853 KB327851:KB327853 TX327851:TX327853 ADT327851:ADT327853 ANP327851:ANP327853 AXL327851:AXL327853 BHH327851:BHH327853 BRD327851:BRD327853 CAZ327851:CAZ327853 CKV327851:CKV327853 CUR327851:CUR327853 DEN327851:DEN327853 DOJ327851:DOJ327853 DYF327851:DYF327853 EIB327851:EIB327853 ERX327851:ERX327853 FBT327851:FBT327853 FLP327851:FLP327853 FVL327851:FVL327853 GFH327851:GFH327853 GPD327851:GPD327853 GYZ327851:GYZ327853 HIV327851:HIV327853 HSR327851:HSR327853 ICN327851:ICN327853 IMJ327851:IMJ327853 IWF327851:IWF327853 JGB327851:JGB327853 JPX327851:JPX327853 JZT327851:JZT327853 KJP327851:KJP327853 KTL327851:KTL327853 LDH327851:LDH327853 LND327851:LND327853 LWZ327851:LWZ327853 MGV327851:MGV327853 MQR327851:MQR327853 NAN327851:NAN327853 NKJ327851:NKJ327853 NUF327851:NUF327853 OEB327851:OEB327853 ONX327851:ONX327853 OXT327851:OXT327853 PHP327851:PHP327853 PRL327851:PRL327853 QBH327851:QBH327853 QLD327851:QLD327853 QUZ327851:QUZ327853 REV327851:REV327853 ROR327851:ROR327853 RYN327851:RYN327853 SIJ327851:SIJ327853 SSF327851:SSF327853 TCB327851:TCB327853 TLX327851:TLX327853 TVT327851:TVT327853 UFP327851:UFP327853 UPL327851:UPL327853 UZH327851:UZH327853 VJD327851:VJD327853 VSZ327851:VSZ327853 WCV327851:WCV327853 WMR327851:WMR327853 WWN327851:WWN327853 AF393387:AF393389 KB393387:KB393389 TX393387:TX393389 ADT393387:ADT393389 ANP393387:ANP393389 AXL393387:AXL393389 BHH393387:BHH393389 BRD393387:BRD393389 CAZ393387:CAZ393389 CKV393387:CKV393389 CUR393387:CUR393389 DEN393387:DEN393389 DOJ393387:DOJ393389 DYF393387:DYF393389 EIB393387:EIB393389 ERX393387:ERX393389 FBT393387:FBT393389 FLP393387:FLP393389 FVL393387:FVL393389 GFH393387:GFH393389 GPD393387:GPD393389 GYZ393387:GYZ393389 HIV393387:HIV393389 HSR393387:HSR393389 ICN393387:ICN393389 IMJ393387:IMJ393389 IWF393387:IWF393389 JGB393387:JGB393389 JPX393387:JPX393389 JZT393387:JZT393389 KJP393387:KJP393389 KTL393387:KTL393389 LDH393387:LDH393389 LND393387:LND393389 LWZ393387:LWZ393389 MGV393387:MGV393389 MQR393387:MQR393389 NAN393387:NAN393389 NKJ393387:NKJ393389 NUF393387:NUF393389 OEB393387:OEB393389 ONX393387:ONX393389 OXT393387:OXT393389 PHP393387:PHP393389 PRL393387:PRL393389 QBH393387:QBH393389 QLD393387:QLD393389 QUZ393387:QUZ393389 REV393387:REV393389 ROR393387:ROR393389 RYN393387:RYN393389 SIJ393387:SIJ393389 SSF393387:SSF393389 TCB393387:TCB393389 TLX393387:TLX393389 TVT393387:TVT393389 UFP393387:UFP393389 UPL393387:UPL393389 UZH393387:UZH393389 VJD393387:VJD393389 VSZ393387:VSZ393389 WCV393387:WCV393389 WMR393387:WMR393389 WWN393387:WWN393389 AF458923:AF458925 KB458923:KB458925 TX458923:TX458925 ADT458923:ADT458925 ANP458923:ANP458925 AXL458923:AXL458925 BHH458923:BHH458925 BRD458923:BRD458925 CAZ458923:CAZ458925 CKV458923:CKV458925 CUR458923:CUR458925 DEN458923:DEN458925 DOJ458923:DOJ458925 DYF458923:DYF458925 EIB458923:EIB458925 ERX458923:ERX458925 FBT458923:FBT458925 FLP458923:FLP458925 FVL458923:FVL458925 GFH458923:GFH458925 GPD458923:GPD458925 GYZ458923:GYZ458925 HIV458923:HIV458925 HSR458923:HSR458925 ICN458923:ICN458925 IMJ458923:IMJ458925 IWF458923:IWF458925 JGB458923:JGB458925 JPX458923:JPX458925 JZT458923:JZT458925 KJP458923:KJP458925 KTL458923:KTL458925 LDH458923:LDH458925 LND458923:LND458925 LWZ458923:LWZ458925 MGV458923:MGV458925 MQR458923:MQR458925 NAN458923:NAN458925 NKJ458923:NKJ458925 NUF458923:NUF458925 OEB458923:OEB458925 ONX458923:ONX458925 OXT458923:OXT458925 PHP458923:PHP458925 PRL458923:PRL458925 QBH458923:QBH458925 QLD458923:QLD458925 QUZ458923:QUZ458925 REV458923:REV458925 ROR458923:ROR458925 RYN458923:RYN458925 SIJ458923:SIJ458925 SSF458923:SSF458925 TCB458923:TCB458925 TLX458923:TLX458925 TVT458923:TVT458925 UFP458923:UFP458925 UPL458923:UPL458925 UZH458923:UZH458925 VJD458923:VJD458925 VSZ458923:VSZ458925 WCV458923:WCV458925 WMR458923:WMR458925 WWN458923:WWN458925 AF524459:AF524461 KB524459:KB524461 TX524459:TX524461 ADT524459:ADT524461 ANP524459:ANP524461 AXL524459:AXL524461 BHH524459:BHH524461 BRD524459:BRD524461 CAZ524459:CAZ524461 CKV524459:CKV524461 CUR524459:CUR524461 DEN524459:DEN524461 DOJ524459:DOJ524461 DYF524459:DYF524461 EIB524459:EIB524461 ERX524459:ERX524461 FBT524459:FBT524461 FLP524459:FLP524461 FVL524459:FVL524461 GFH524459:GFH524461 GPD524459:GPD524461 GYZ524459:GYZ524461 HIV524459:HIV524461 HSR524459:HSR524461 ICN524459:ICN524461 IMJ524459:IMJ524461 IWF524459:IWF524461 JGB524459:JGB524461 JPX524459:JPX524461 JZT524459:JZT524461 KJP524459:KJP524461 KTL524459:KTL524461 LDH524459:LDH524461 LND524459:LND524461 LWZ524459:LWZ524461 MGV524459:MGV524461 MQR524459:MQR524461 NAN524459:NAN524461 NKJ524459:NKJ524461 NUF524459:NUF524461 OEB524459:OEB524461 ONX524459:ONX524461 OXT524459:OXT524461 PHP524459:PHP524461 PRL524459:PRL524461 QBH524459:QBH524461 QLD524459:QLD524461 QUZ524459:QUZ524461 REV524459:REV524461 ROR524459:ROR524461 RYN524459:RYN524461 SIJ524459:SIJ524461 SSF524459:SSF524461 TCB524459:TCB524461 TLX524459:TLX524461 TVT524459:TVT524461 UFP524459:UFP524461 UPL524459:UPL524461 UZH524459:UZH524461 VJD524459:VJD524461 VSZ524459:VSZ524461 WCV524459:WCV524461 WMR524459:WMR524461 WWN524459:WWN524461 AF589995:AF589997 KB589995:KB589997 TX589995:TX589997 ADT589995:ADT589997 ANP589995:ANP589997 AXL589995:AXL589997 BHH589995:BHH589997 BRD589995:BRD589997 CAZ589995:CAZ589997 CKV589995:CKV589997 CUR589995:CUR589997 DEN589995:DEN589997 DOJ589995:DOJ589997 DYF589995:DYF589997 EIB589995:EIB589997 ERX589995:ERX589997 FBT589995:FBT589997 FLP589995:FLP589997 FVL589995:FVL589997 GFH589995:GFH589997 GPD589995:GPD589997 GYZ589995:GYZ589997 HIV589995:HIV589997 HSR589995:HSR589997 ICN589995:ICN589997 IMJ589995:IMJ589997 IWF589995:IWF589997 JGB589995:JGB589997 JPX589995:JPX589997 JZT589995:JZT589997 KJP589995:KJP589997 KTL589995:KTL589997 LDH589995:LDH589997 LND589995:LND589997 LWZ589995:LWZ589997 MGV589995:MGV589997 MQR589995:MQR589997 NAN589995:NAN589997 NKJ589995:NKJ589997 NUF589995:NUF589997 OEB589995:OEB589997 ONX589995:ONX589997 OXT589995:OXT589997 PHP589995:PHP589997 PRL589995:PRL589997 QBH589995:QBH589997 QLD589995:QLD589997 QUZ589995:QUZ589997 REV589995:REV589997 ROR589995:ROR589997 RYN589995:RYN589997 SIJ589995:SIJ589997 SSF589995:SSF589997 TCB589995:TCB589997 TLX589995:TLX589997 TVT589995:TVT589997 UFP589995:UFP589997 UPL589995:UPL589997 UZH589995:UZH589997 VJD589995:VJD589997 VSZ589995:VSZ589997 WCV589995:WCV589997 WMR589995:WMR589997 WWN589995:WWN589997 AF655531:AF655533 KB655531:KB655533 TX655531:TX655533 ADT655531:ADT655533 ANP655531:ANP655533 AXL655531:AXL655533 BHH655531:BHH655533 BRD655531:BRD655533 CAZ655531:CAZ655533 CKV655531:CKV655533 CUR655531:CUR655533 DEN655531:DEN655533 DOJ655531:DOJ655533 DYF655531:DYF655533 EIB655531:EIB655533 ERX655531:ERX655533 FBT655531:FBT655533 FLP655531:FLP655533 FVL655531:FVL655533 GFH655531:GFH655533 GPD655531:GPD655533 GYZ655531:GYZ655533 HIV655531:HIV655533 HSR655531:HSR655533 ICN655531:ICN655533 IMJ655531:IMJ655533 IWF655531:IWF655533 JGB655531:JGB655533 JPX655531:JPX655533 JZT655531:JZT655533 KJP655531:KJP655533 KTL655531:KTL655533 LDH655531:LDH655533 LND655531:LND655533 LWZ655531:LWZ655533 MGV655531:MGV655533 MQR655531:MQR655533 NAN655531:NAN655533 NKJ655531:NKJ655533 NUF655531:NUF655533 OEB655531:OEB655533 ONX655531:ONX655533 OXT655531:OXT655533 PHP655531:PHP655533 PRL655531:PRL655533 QBH655531:QBH655533 QLD655531:QLD655533 QUZ655531:QUZ655533 REV655531:REV655533 ROR655531:ROR655533 RYN655531:RYN655533 SIJ655531:SIJ655533 SSF655531:SSF655533 TCB655531:TCB655533 TLX655531:TLX655533 TVT655531:TVT655533 UFP655531:UFP655533 UPL655531:UPL655533 UZH655531:UZH655533 VJD655531:VJD655533 VSZ655531:VSZ655533 WCV655531:WCV655533 WMR655531:WMR655533 WWN655531:WWN655533 AF721067:AF721069 KB721067:KB721069 TX721067:TX721069 ADT721067:ADT721069 ANP721067:ANP721069 AXL721067:AXL721069 BHH721067:BHH721069 BRD721067:BRD721069 CAZ721067:CAZ721069 CKV721067:CKV721069 CUR721067:CUR721069 DEN721067:DEN721069 DOJ721067:DOJ721069 DYF721067:DYF721069 EIB721067:EIB721069 ERX721067:ERX721069 FBT721067:FBT721069 FLP721067:FLP721069 FVL721067:FVL721069 GFH721067:GFH721069 GPD721067:GPD721069 GYZ721067:GYZ721069 HIV721067:HIV721069 HSR721067:HSR721069 ICN721067:ICN721069 IMJ721067:IMJ721069 IWF721067:IWF721069 JGB721067:JGB721069 JPX721067:JPX721069 JZT721067:JZT721069 KJP721067:KJP721069 KTL721067:KTL721069 LDH721067:LDH721069 LND721067:LND721069 LWZ721067:LWZ721069 MGV721067:MGV721069 MQR721067:MQR721069 NAN721067:NAN721069 NKJ721067:NKJ721069 NUF721067:NUF721069 OEB721067:OEB721069 ONX721067:ONX721069 OXT721067:OXT721069 PHP721067:PHP721069 PRL721067:PRL721069 QBH721067:QBH721069 QLD721067:QLD721069 QUZ721067:QUZ721069 REV721067:REV721069 ROR721067:ROR721069 RYN721067:RYN721069 SIJ721067:SIJ721069 SSF721067:SSF721069 TCB721067:TCB721069 TLX721067:TLX721069 TVT721067:TVT721069 UFP721067:UFP721069 UPL721067:UPL721069 UZH721067:UZH721069 VJD721067:VJD721069 VSZ721067:VSZ721069 WCV721067:WCV721069 WMR721067:WMR721069 WWN721067:WWN721069 AF786603:AF786605 KB786603:KB786605 TX786603:TX786605 ADT786603:ADT786605 ANP786603:ANP786605 AXL786603:AXL786605 BHH786603:BHH786605 BRD786603:BRD786605 CAZ786603:CAZ786605 CKV786603:CKV786605 CUR786603:CUR786605 DEN786603:DEN786605 DOJ786603:DOJ786605 DYF786603:DYF786605 EIB786603:EIB786605 ERX786603:ERX786605 FBT786603:FBT786605 FLP786603:FLP786605 FVL786603:FVL786605 GFH786603:GFH786605 GPD786603:GPD786605 GYZ786603:GYZ786605 HIV786603:HIV786605 HSR786603:HSR786605 ICN786603:ICN786605 IMJ786603:IMJ786605 IWF786603:IWF786605 JGB786603:JGB786605 JPX786603:JPX786605 JZT786603:JZT786605 KJP786603:KJP786605 KTL786603:KTL786605 LDH786603:LDH786605 LND786603:LND786605 LWZ786603:LWZ786605 MGV786603:MGV786605 MQR786603:MQR786605 NAN786603:NAN786605 NKJ786603:NKJ786605 NUF786603:NUF786605 OEB786603:OEB786605 ONX786603:ONX786605 OXT786603:OXT786605 PHP786603:PHP786605 PRL786603:PRL786605 QBH786603:QBH786605 QLD786603:QLD786605 QUZ786603:QUZ786605 REV786603:REV786605 ROR786603:ROR786605 RYN786603:RYN786605 SIJ786603:SIJ786605 SSF786603:SSF786605 TCB786603:TCB786605 TLX786603:TLX786605 TVT786603:TVT786605 UFP786603:UFP786605 UPL786603:UPL786605 UZH786603:UZH786605 VJD786603:VJD786605 VSZ786603:VSZ786605 WCV786603:WCV786605 WMR786603:WMR786605 WWN786603:WWN786605 AF852139:AF852141 KB852139:KB852141 TX852139:TX852141 ADT852139:ADT852141 ANP852139:ANP852141 AXL852139:AXL852141 BHH852139:BHH852141 BRD852139:BRD852141 CAZ852139:CAZ852141 CKV852139:CKV852141 CUR852139:CUR852141 DEN852139:DEN852141 DOJ852139:DOJ852141 DYF852139:DYF852141 EIB852139:EIB852141 ERX852139:ERX852141 FBT852139:FBT852141 FLP852139:FLP852141 FVL852139:FVL852141 GFH852139:GFH852141 GPD852139:GPD852141 GYZ852139:GYZ852141 HIV852139:HIV852141 HSR852139:HSR852141 ICN852139:ICN852141 IMJ852139:IMJ852141 IWF852139:IWF852141 JGB852139:JGB852141 JPX852139:JPX852141 JZT852139:JZT852141 KJP852139:KJP852141 KTL852139:KTL852141 LDH852139:LDH852141 LND852139:LND852141 LWZ852139:LWZ852141 MGV852139:MGV852141 MQR852139:MQR852141 NAN852139:NAN852141 NKJ852139:NKJ852141 NUF852139:NUF852141 OEB852139:OEB852141 ONX852139:ONX852141 OXT852139:OXT852141 PHP852139:PHP852141 PRL852139:PRL852141 QBH852139:QBH852141 QLD852139:QLD852141 QUZ852139:QUZ852141 REV852139:REV852141 ROR852139:ROR852141 RYN852139:RYN852141 SIJ852139:SIJ852141 SSF852139:SSF852141 TCB852139:TCB852141 TLX852139:TLX852141 TVT852139:TVT852141 UFP852139:UFP852141 UPL852139:UPL852141 UZH852139:UZH852141 VJD852139:VJD852141 VSZ852139:VSZ852141 WCV852139:WCV852141 WMR852139:WMR852141 WWN852139:WWN852141 AF917675:AF917677 KB917675:KB917677 TX917675:TX917677 ADT917675:ADT917677 ANP917675:ANP917677 AXL917675:AXL917677 BHH917675:BHH917677 BRD917675:BRD917677 CAZ917675:CAZ917677 CKV917675:CKV917677 CUR917675:CUR917677 DEN917675:DEN917677 DOJ917675:DOJ917677 DYF917675:DYF917677 EIB917675:EIB917677 ERX917675:ERX917677 FBT917675:FBT917677 FLP917675:FLP917677 FVL917675:FVL917677 GFH917675:GFH917677 GPD917675:GPD917677 GYZ917675:GYZ917677 HIV917675:HIV917677 HSR917675:HSR917677 ICN917675:ICN917677 IMJ917675:IMJ917677 IWF917675:IWF917677 JGB917675:JGB917677 JPX917675:JPX917677 JZT917675:JZT917677 KJP917675:KJP917677 KTL917675:KTL917677 LDH917675:LDH917677 LND917675:LND917677 LWZ917675:LWZ917677 MGV917675:MGV917677 MQR917675:MQR917677 NAN917675:NAN917677 NKJ917675:NKJ917677 NUF917675:NUF917677 OEB917675:OEB917677 ONX917675:ONX917677 OXT917675:OXT917677 PHP917675:PHP917677 PRL917675:PRL917677 QBH917675:QBH917677 QLD917675:QLD917677 QUZ917675:QUZ917677 REV917675:REV917677 ROR917675:ROR917677 RYN917675:RYN917677 SIJ917675:SIJ917677 SSF917675:SSF917677 TCB917675:TCB917677 TLX917675:TLX917677 TVT917675:TVT917677 UFP917675:UFP917677 UPL917675:UPL917677 UZH917675:UZH917677 VJD917675:VJD917677 VSZ917675:VSZ917677 WCV917675:WCV917677 WMR917675:WMR917677 WWN917675:WWN917677 AF983211:AF983213 KB983211:KB983213 TX983211:TX983213 ADT983211:ADT983213 ANP983211:ANP983213 AXL983211:AXL983213 BHH983211:BHH983213 BRD983211:BRD983213 CAZ983211:CAZ983213 CKV983211:CKV983213 CUR983211:CUR983213 DEN983211:DEN983213 DOJ983211:DOJ983213 DYF983211:DYF983213 EIB983211:EIB983213 ERX983211:ERX983213 FBT983211:FBT983213 FLP983211:FLP983213 FVL983211:FVL983213 GFH983211:GFH983213 GPD983211:GPD983213 GYZ983211:GYZ983213 HIV983211:HIV983213 HSR983211:HSR983213 ICN983211:ICN983213 IMJ983211:IMJ983213 IWF983211:IWF983213 JGB983211:JGB983213 JPX983211:JPX983213 JZT983211:JZT983213 KJP983211:KJP983213 KTL983211:KTL983213 LDH983211:LDH983213 LND983211:LND983213 LWZ983211:LWZ983213 MGV983211:MGV983213 MQR983211:MQR983213 NAN983211:NAN983213 NKJ983211:NKJ983213 NUF983211:NUF983213 OEB983211:OEB983213 ONX983211:ONX983213 OXT983211:OXT983213 PHP983211:PHP983213 PRL983211:PRL983213 QBH983211:QBH983213 QLD983211:QLD983213 QUZ983211:QUZ983213 REV983211:REV983213 ROR983211:ROR983213 RYN983211:RYN983213 SIJ983211:SIJ983213 SSF983211:SSF983213 TCB983211:TCB983213 TLX983211:TLX983213 TVT983211:TVT983213 UFP983211:UFP983213 UPL983211:UPL983213 UZH983211:UZH983213 VJD983211:VJD983213 VSZ983211:VSZ983213 WCV983211:WCV983213 WMR983211:WMR983213 WWN983211:WWN983213 AF157:AF168 KB157:KB168 TX157:TX168 ADT157:ADT168 ANP157:ANP168 AXL157:AXL168 BHH157:BHH168 BRD157:BRD168 CAZ157:CAZ168 CKV157:CKV168 CUR157:CUR168 DEN157:DEN168 DOJ157:DOJ168 DYF157:DYF168 EIB157:EIB168 ERX157:ERX168 FBT157:FBT168 FLP157:FLP168 FVL157:FVL168 GFH157:GFH168 GPD157:GPD168 GYZ157:GYZ168 HIV157:HIV168 HSR157:HSR168 ICN157:ICN168 IMJ157:IMJ168 IWF157:IWF168 JGB157:JGB168 JPX157:JPX168 JZT157:JZT168 KJP157:KJP168 KTL157:KTL168 LDH157:LDH168 LND157:LND168 LWZ157:LWZ168 MGV157:MGV168 MQR157:MQR168 NAN157:NAN168 NKJ157:NKJ168 NUF157:NUF168 OEB157:OEB168 ONX157:ONX168 OXT157:OXT168 PHP157:PHP168 PRL157:PRL168 QBH157:QBH168 QLD157:QLD168 QUZ157:QUZ168 REV157:REV168 ROR157:ROR168 RYN157:RYN168 SIJ157:SIJ168 SSF157:SSF168 TCB157:TCB168 TLX157:TLX168 TVT157:TVT168 UFP157:UFP168 UPL157:UPL168 UZH157:UZH168 VJD157:VJD168 VSZ157:VSZ168 WCV157:WCV168 WMR157:WMR168 WWN157:WWN168 AF65694:AF65705 KB65694:KB65705 TX65694:TX65705 ADT65694:ADT65705 ANP65694:ANP65705 AXL65694:AXL65705 BHH65694:BHH65705 BRD65694:BRD65705 CAZ65694:CAZ65705 CKV65694:CKV65705 CUR65694:CUR65705 DEN65694:DEN65705 DOJ65694:DOJ65705 DYF65694:DYF65705 EIB65694:EIB65705 ERX65694:ERX65705 FBT65694:FBT65705 FLP65694:FLP65705 FVL65694:FVL65705 GFH65694:GFH65705 GPD65694:GPD65705 GYZ65694:GYZ65705 HIV65694:HIV65705 HSR65694:HSR65705 ICN65694:ICN65705 IMJ65694:IMJ65705 IWF65694:IWF65705 JGB65694:JGB65705 JPX65694:JPX65705 JZT65694:JZT65705 KJP65694:KJP65705 KTL65694:KTL65705 LDH65694:LDH65705 LND65694:LND65705 LWZ65694:LWZ65705 MGV65694:MGV65705 MQR65694:MQR65705 NAN65694:NAN65705 NKJ65694:NKJ65705 NUF65694:NUF65705 OEB65694:OEB65705 ONX65694:ONX65705 OXT65694:OXT65705 PHP65694:PHP65705 PRL65694:PRL65705 QBH65694:QBH65705 QLD65694:QLD65705 QUZ65694:QUZ65705 REV65694:REV65705 ROR65694:ROR65705 RYN65694:RYN65705 SIJ65694:SIJ65705 SSF65694:SSF65705 TCB65694:TCB65705 TLX65694:TLX65705 TVT65694:TVT65705 UFP65694:UFP65705 UPL65694:UPL65705 UZH65694:UZH65705 VJD65694:VJD65705 VSZ65694:VSZ65705 WCV65694:WCV65705 WMR65694:WMR65705 WWN65694:WWN65705 AF131230:AF131241 KB131230:KB131241 TX131230:TX131241 ADT131230:ADT131241 ANP131230:ANP131241 AXL131230:AXL131241 BHH131230:BHH131241 BRD131230:BRD131241 CAZ131230:CAZ131241 CKV131230:CKV131241 CUR131230:CUR131241 DEN131230:DEN131241 DOJ131230:DOJ131241 DYF131230:DYF131241 EIB131230:EIB131241 ERX131230:ERX131241 FBT131230:FBT131241 FLP131230:FLP131241 FVL131230:FVL131241 GFH131230:GFH131241 GPD131230:GPD131241 GYZ131230:GYZ131241 HIV131230:HIV131241 HSR131230:HSR131241 ICN131230:ICN131241 IMJ131230:IMJ131241 IWF131230:IWF131241 JGB131230:JGB131241 JPX131230:JPX131241 JZT131230:JZT131241 KJP131230:KJP131241 KTL131230:KTL131241 LDH131230:LDH131241 LND131230:LND131241 LWZ131230:LWZ131241 MGV131230:MGV131241 MQR131230:MQR131241 NAN131230:NAN131241 NKJ131230:NKJ131241 NUF131230:NUF131241 OEB131230:OEB131241 ONX131230:ONX131241 OXT131230:OXT131241 PHP131230:PHP131241 PRL131230:PRL131241 QBH131230:QBH131241 QLD131230:QLD131241 QUZ131230:QUZ131241 REV131230:REV131241 ROR131230:ROR131241 RYN131230:RYN131241 SIJ131230:SIJ131241 SSF131230:SSF131241 TCB131230:TCB131241 TLX131230:TLX131241 TVT131230:TVT131241 UFP131230:UFP131241 UPL131230:UPL131241 UZH131230:UZH131241 VJD131230:VJD131241 VSZ131230:VSZ131241 WCV131230:WCV131241 WMR131230:WMR131241 WWN131230:WWN131241 AF196766:AF196777 KB196766:KB196777 TX196766:TX196777 ADT196766:ADT196777 ANP196766:ANP196777 AXL196766:AXL196777 BHH196766:BHH196777 BRD196766:BRD196777 CAZ196766:CAZ196777 CKV196766:CKV196777 CUR196766:CUR196777 DEN196766:DEN196777 DOJ196766:DOJ196777 DYF196766:DYF196777 EIB196766:EIB196777 ERX196766:ERX196777 FBT196766:FBT196777 FLP196766:FLP196777 FVL196766:FVL196777 GFH196766:GFH196777 GPD196766:GPD196777 GYZ196766:GYZ196777 HIV196766:HIV196777 HSR196766:HSR196777 ICN196766:ICN196777 IMJ196766:IMJ196777 IWF196766:IWF196777 JGB196766:JGB196777 JPX196766:JPX196777 JZT196766:JZT196777 KJP196766:KJP196777 KTL196766:KTL196777 LDH196766:LDH196777 LND196766:LND196777 LWZ196766:LWZ196777 MGV196766:MGV196777 MQR196766:MQR196777 NAN196766:NAN196777 NKJ196766:NKJ196777 NUF196766:NUF196777 OEB196766:OEB196777 ONX196766:ONX196777 OXT196766:OXT196777 PHP196766:PHP196777 PRL196766:PRL196777 QBH196766:QBH196777 QLD196766:QLD196777 QUZ196766:QUZ196777 REV196766:REV196777 ROR196766:ROR196777 RYN196766:RYN196777 SIJ196766:SIJ196777 SSF196766:SSF196777 TCB196766:TCB196777 TLX196766:TLX196777 TVT196766:TVT196777 UFP196766:UFP196777 UPL196766:UPL196777 UZH196766:UZH196777 VJD196766:VJD196777 VSZ196766:VSZ196777 WCV196766:WCV196777 WMR196766:WMR196777 WWN196766:WWN196777 AF262302:AF262313 KB262302:KB262313 TX262302:TX262313 ADT262302:ADT262313 ANP262302:ANP262313 AXL262302:AXL262313 BHH262302:BHH262313 BRD262302:BRD262313 CAZ262302:CAZ262313 CKV262302:CKV262313 CUR262302:CUR262313 DEN262302:DEN262313 DOJ262302:DOJ262313 DYF262302:DYF262313 EIB262302:EIB262313 ERX262302:ERX262313 FBT262302:FBT262313 FLP262302:FLP262313 FVL262302:FVL262313 GFH262302:GFH262313 GPD262302:GPD262313 GYZ262302:GYZ262313 HIV262302:HIV262313 HSR262302:HSR262313 ICN262302:ICN262313 IMJ262302:IMJ262313 IWF262302:IWF262313 JGB262302:JGB262313 JPX262302:JPX262313 JZT262302:JZT262313 KJP262302:KJP262313 KTL262302:KTL262313 LDH262302:LDH262313 LND262302:LND262313 LWZ262302:LWZ262313 MGV262302:MGV262313 MQR262302:MQR262313 NAN262302:NAN262313 NKJ262302:NKJ262313 NUF262302:NUF262313 OEB262302:OEB262313 ONX262302:ONX262313 OXT262302:OXT262313 PHP262302:PHP262313 PRL262302:PRL262313 QBH262302:QBH262313 QLD262302:QLD262313 QUZ262302:QUZ262313 REV262302:REV262313 ROR262302:ROR262313 RYN262302:RYN262313 SIJ262302:SIJ262313 SSF262302:SSF262313 TCB262302:TCB262313 TLX262302:TLX262313 TVT262302:TVT262313 UFP262302:UFP262313 UPL262302:UPL262313 UZH262302:UZH262313 VJD262302:VJD262313 VSZ262302:VSZ262313 WCV262302:WCV262313 WMR262302:WMR262313 WWN262302:WWN262313 AF327838:AF327849 KB327838:KB327849 TX327838:TX327849 ADT327838:ADT327849 ANP327838:ANP327849 AXL327838:AXL327849 BHH327838:BHH327849 BRD327838:BRD327849 CAZ327838:CAZ327849 CKV327838:CKV327849 CUR327838:CUR327849 DEN327838:DEN327849 DOJ327838:DOJ327849 DYF327838:DYF327849 EIB327838:EIB327849 ERX327838:ERX327849 FBT327838:FBT327849 FLP327838:FLP327849 FVL327838:FVL327849 GFH327838:GFH327849 GPD327838:GPD327849 GYZ327838:GYZ327849 HIV327838:HIV327849 HSR327838:HSR327849 ICN327838:ICN327849 IMJ327838:IMJ327849 IWF327838:IWF327849 JGB327838:JGB327849 JPX327838:JPX327849 JZT327838:JZT327849 KJP327838:KJP327849 KTL327838:KTL327849 LDH327838:LDH327849 LND327838:LND327849 LWZ327838:LWZ327849 MGV327838:MGV327849 MQR327838:MQR327849 NAN327838:NAN327849 NKJ327838:NKJ327849 NUF327838:NUF327849 OEB327838:OEB327849 ONX327838:ONX327849 OXT327838:OXT327849 PHP327838:PHP327849 PRL327838:PRL327849 QBH327838:QBH327849 QLD327838:QLD327849 QUZ327838:QUZ327849 REV327838:REV327849 ROR327838:ROR327849 RYN327838:RYN327849 SIJ327838:SIJ327849 SSF327838:SSF327849 TCB327838:TCB327849 TLX327838:TLX327849 TVT327838:TVT327849 UFP327838:UFP327849 UPL327838:UPL327849 UZH327838:UZH327849 VJD327838:VJD327849 VSZ327838:VSZ327849 WCV327838:WCV327849 WMR327838:WMR327849 WWN327838:WWN327849 AF393374:AF393385 KB393374:KB393385 TX393374:TX393385 ADT393374:ADT393385 ANP393374:ANP393385 AXL393374:AXL393385 BHH393374:BHH393385 BRD393374:BRD393385 CAZ393374:CAZ393385 CKV393374:CKV393385 CUR393374:CUR393385 DEN393374:DEN393385 DOJ393374:DOJ393385 DYF393374:DYF393385 EIB393374:EIB393385 ERX393374:ERX393385 FBT393374:FBT393385 FLP393374:FLP393385 FVL393374:FVL393385 GFH393374:GFH393385 GPD393374:GPD393385 GYZ393374:GYZ393385 HIV393374:HIV393385 HSR393374:HSR393385 ICN393374:ICN393385 IMJ393374:IMJ393385 IWF393374:IWF393385 JGB393374:JGB393385 JPX393374:JPX393385 JZT393374:JZT393385 KJP393374:KJP393385 KTL393374:KTL393385 LDH393374:LDH393385 LND393374:LND393385 LWZ393374:LWZ393385 MGV393374:MGV393385 MQR393374:MQR393385 NAN393374:NAN393385 NKJ393374:NKJ393385 NUF393374:NUF393385 OEB393374:OEB393385 ONX393374:ONX393385 OXT393374:OXT393385 PHP393374:PHP393385 PRL393374:PRL393385 QBH393374:QBH393385 QLD393374:QLD393385 QUZ393374:QUZ393385 REV393374:REV393385 ROR393374:ROR393385 RYN393374:RYN393385 SIJ393374:SIJ393385 SSF393374:SSF393385 TCB393374:TCB393385 TLX393374:TLX393385 TVT393374:TVT393385 UFP393374:UFP393385 UPL393374:UPL393385 UZH393374:UZH393385 VJD393374:VJD393385 VSZ393374:VSZ393385 WCV393374:WCV393385 WMR393374:WMR393385 WWN393374:WWN393385 AF458910:AF458921 KB458910:KB458921 TX458910:TX458921 ADT458910:ADT458921 ANP458910:ANP458921 AXL458910:AXL458921 BHH458910:BHH458921 BRD458910:BRD458921 CAZ458910:CAZ458921 CKV458910:CKV458921 CUR458910:CUR458921 DEN458910:DEN458921 DOJ458910:DOJ458921 DYF458910:DYF458921 EIB458910:EIB458921 ERX458910:ERX458921 FBT458910:FBT458921 FLP458910:FLP458921 FVL458910:FVL458921 GFH458910:GFH458921 GPD458910:GPD458921 GYZ458910:GYZ458921 HIV458910:HIV458921 HSR458910:HSR458921 ICN458910:ICN458921 IMJ458910:IMJ458921 IWF458910:IWF458921 JGB458910:JGB458921 JPX458910:JPX458921 JZT458910:JZT458921 KJP458910:KJP458921 KTL458910:KTL458921 LDH458910:LDH458921 LND458910:LND458921 LWZ458910:LWZ458921 MGV458910:MGV458921 MQR458910:MQR458921 NAN458910:NAN458921 NKJ458910:NKJ458921 NUF458910:NUF458921 OEB458910:OEB458921 ONX458910:ONX458921 OXT458910:OXT458921 PHP458910:PHP458921 PRL458910:PRL458921 QBH458910:QBH458921 QLD458910:QLD458921 QUZ458910:QUZ458921 REV458910:REV458921 ROR458910:ROR458921 RYN458910:RYN458921 SIJ458910:SIJ458921 SSF458910:SSF458921 TCB458910:TCB458921 TLX458910:TLX458921 TVT458910:TVT458921 UFP458910:UFP458921 UPL458910:UPL458921 UZH458910:UZH458921 VJD458910:VJD458921 VSZ458910:VSZ458921 WCV458910:WCV458921 WMR458910:WMR458921 WWN458910:WWN458921 AF524446:AF524457 KB524446:KB524457 TX524446:TX524457 ADT524446:ADT524457 ANP524446:ANP524457 AXL524446:AXL524457 BHH524446:BHH524457 BRD524446:BRD524457 CAZ524446:CAZ524457 CKV524446:CKV524457 CUR524446:CUR524457 DEN524446:DEN524457 DOJ524446:DOJ524457 DYF524446:DYF524457 EIB524446:EIB524457 ERX524446:ERX524457 FBT524446:FBT524457 FLP524446:FLP524457 FVL524446:FVL524457 GFH524446:GFH524457 GPD524446:GPD524457 GYZ524446:GYZ524457 HIV524446:HIV524457 HSR524446:HSR524457 ICN524446:ICN524457 IMJ524446:IMJ524457 IWF524446:IWF524457 JGB524446:JGB524457 JPX524446:JPX524457 JZT524446:JZT524457 KJP524446:KJP524457 KTL524446:KTL524457 LDH524446:LDH524457 LND524446:LND524457 LWZ524446:LWZ524457 MGV524446:MGV524457 MQR524446:MQR524457 NAN524446:NAN524457 NKJ524446:NKJ524457 NUF524446:NUF524457 OEB524446:OEB524457 ONX524446:ONX524457 OXT524446:OXT524457 PHP524446:PHP524457 PRL524446:PRL524457 QBH524446:QBH524457 QLD524446:QLD524457 QUZ524446:QUZ524457 REV524446:REV524457 ROR524446:ROR524457 RYN524446:RYN524457 SIJ524446:SIJ524457 SSF524446:SSF524457 TCB524446:TCB524457 TLX524446:TLX524457 TVT524446:TVT524457 UFP524446:UFP524457 UPL524446:UPL524457 UZH524446:UZH524457 VJD524446:VJD524457 VSZ524446:VSZ524457 WCV524446:WCV524457 WMR524446:WMR524457 WWN524446:WWN524457 AF589982:AF589993 KB589982:KB589993 TX589982:TX589993 ADT589982:ADT589993 ANP589982:ANP589993 AXL589982:AXL589993 BHH589982:BHH589993 BRD589982:BRD589993 CAZ589982:CAZ589993 CKV589982:CKV589993 CUR589982:CUR589993 DEN589982:DEN589993 DOJ589982:DOJ589993 DYF589982:DYF589993 EIB589982:EIB589993 ERX589982:ERX589993 FBT589982:FBT589993 FLP589982:FLP589993 FVL589982:FVL589993 GFH589982:GFH589993 GPD589982:GPD589993 GYZ589982:GYZ589993 HIV589982:HIV589993 HSR589982:HSR589993 ICN589982:ICN589993 IMJ589982:IMJ589993 IWF589982:IWF589993 JGB589982:JGB589993 JPX589982:JPX589993 JZT589982:JZT589993 KJP589982:KJP589993 KTL589982:KTL589993 LDH589982:LDH589993 LND589982:LND589993 LWZ589982:LWZ589993 MGV589982:MGV589993 MQR589982:MQR589993 NAN589982:NAN589993 NKJ589982:NKJ589993 NUF589982:NUF589993 OEB589982:OEB589993 ONX589982:ONX589993 OXT589982:OXT589993 PHP589982:PHP589993 PRL589982:PRL589993 QBH589982:QBH589993 QLD589982:QLD589993 QUZ589982:QUZ589993 REV589982:REV589993 ROR589982:ROR589993 RYN589982:RYN589993 SIJ589982:SIJ589993 SSF589982:SSF589993 TCB589982:TCB589993 TLX589982:TLX589993 TVT589982:TVT589993 UFP589982:UFP589993 UPL589982:UPL589993 UZH589982:UZH589993 VJD589982:VJD589993 VSZ589982:VSZ589993 WCV589982:WCV589993 WMR589982:WMR589993 WWN589982:WWN589993 AF655518:AF655529 KB655518:KB655529 TX655518:TX655529 ADT655518:ADT655529 ANP655518:ANP655529 AXL655518:AXL655529 BHH655518:BHH655529 BRD655518:BRD655529 CAZ655518:CAZ655529 CKV655518:CKV655529 CUR655518:CUR655529 DEN655518:DEN655529 DOJ655518:DOJ655529 DYF655518:DYF655529 EIB655518:EIB655529 ERX655518:ERX655529 FBT655518:FBT655529 FLP655518:FLP655529 FVL655518:FVL655529 GFH655518:GFH655529 GPD655518:GPD655529 GYZ655518:GYZ655529 HIV655518:HIV655529 HSR655518:HSR655529 ICN655518:ICN655529 IMJ655518:IMJ655529 IWF655518:IWF655529 JGB655518:JGB655529 JPX655518:JPX655529 JZT655518:JZT655529 KJP655518:KJP655529 KTL655518:KTL655529 LDH655518:LDH655529 LND655518:LND655529 LWZ655518:LWZ655529 MGV655518:MGV655529 MQR655518:MQR655529 NAN655518:NAN655529 NKJ655518:NKJ655529 NUF655518:NUF655529 OEB655518:OEB655529 ONX655518:ONX655529 OXT655518:OXT655529 PHP655518:PHP655529 PRL655518:PRL655529 QBH655518:QBH655529 QLD655518:QLD655529 QUZ655518:QUZ655529 REV655518:REV655529 ROR655518:ROR655529 RYN655518:RYN655529 SIJ655518:SIJ655529 SSF655518:SSF655529 TCB655518:TCB655529 TLX655518:TLX655529 TVT655518:TVT655529 UFP655518:UFP655529 UPL655518:UPL655529 UZH655518:UZH655529 VJD655518:VJD655529 VSZ655518:VSZ655529 WCV655518:WCV655529 WMR655518:WMR655529 WWN655518:WWN655529 AF721054:AF721065 KB721054:KB721065 TX721054:TX721065 ADT721054:ADT721065 ANP721054:ANP721065 AXL721054:AXL721065 BHH721054:BHH721065 BRD721054:BRD721065 CAZ721054:CAZ721065 CKV721054:CKV721065 CUR721054:CUR721065 DEN721054:DEN721065 DOJ721054:DOJ721065 DYF721054:DYF721065 EIB721054:EIB721065 ERX721054:ERX721065 FBT721054:FBT721065 FLP721054:FLP721065 FVL721054:FVL721065 GFH721054:GFH721065 GPD721054:GPD721065 GYZ721054:GYZ721065 HIV721054:HIV721065 HSR721054:HSR721065 ICN721054:ICN721065 IMJ721054:IMJ721065 IWF721054:IWF721065 JGB721054:JGB721065 JPX721054:JPX721065 JZT721054:JZT721065 KJP721054:KJP721065 KTL721054:KTL721065 LDH721054:LDH721065 LND721054:LND721065 LWZ721054:LWZ721065 MGV721054:MGV721065 MQR721054:MQR721065 NAN721054:NAN721065 NKJ721054:NKJ721065 NUF721054:NUF721065 OEB721054:OEB721065 ONX721054:ONX721065 OXT721054:OXT721065 PHP721054:PHP721065 PRL721054:PRL721065 QBH721054:QBH721065 QLD721054:QLD721065 QUZ721054:QUZ721065 REV721054:REV721065 ROR721054:ROR721065 RYN721054:RYN721065 SIJ721054:SIJ721065 SSF721054:SSF721065 TCB721054:TCB721065 TLX721054:TLX721065 TVT721054:TVT721065 UFP721054:UFP721065 UPL721054:UPL721065 UZH721054:UZH721065 VJD721054:VJD721065 VSZ721054:VSZ721065 WCV721054:WCV721065 WMR721054:WMR721065 WWN721054:WWN721065 AF786590:AF786601 KB786590:KB786601 TX786590:TX786601 ADT786590:ADT786601 ANP786590:ANP786601 AXL786590:AXL786601 BHH786590:BHH786601 BRD786590:BRD786601 CAZ786590:CAZ786601 CKV786590:CKV786601 CUR786590:CUR786601 DEN786590:DEN786601 DOJ786590:DOJ786601 DYF786590:DYF786601 EIB786590:EIB786601 ERX786590:ERX786601 FBT786590:FBT786601 FLP786590:FLP786601 FVL786590:FVL786601 GFH786590:GFH786601 GPD786590:GPD786601 GYZ786590:GYZ786601 HIV786590:HIV786601 HSR786590:HSR786601 ICN786590:ICN786601 IMJ786590:IMJ786601 IWF786590:IWF786601 JGB786590:JGB786601 JPX786590:JPX786601 JZT786590:JZT786601 KJP786590:KJP786601 KTL786590:KTL786601 LDH786590:LDH786601 LND786590:LND786601 LWZ786590:LWZ786601 MGV786590:MGV786601 MQR786590:MQR786601 NAN786590:NAN786601 NKJ786590:NKJ786601 NUF786590:NUF786601 OEB786590:OEB786601 ONX786590:ONX786601 OXT786590:OXT786601 PHP786590:PHP786601 PRL786590:PRL786601 QBH786590:QBH786601 QLD786590:QLD786601 QUZ786590:QUZ786601 REV786590:REV786601 ROR786590:ROR786601 RYN786590:RYN786601 SIJ786590:SIJ786601 SSF786590:SSF786601 TCB786590:TCB786601 TLX786590:TLX786601 TVT786590:TVT786601 UFP786590:UFP786601 UPL786590:UPL786601 UZH786590:UZH786601 VJD786590:VJD786601 VSZ786590:VSZ786601 WCV786590:WCV786601 WMR786590:WMR786601 WWN786590:WWN786601 AF852126:AF852137 KB852126:KB852137 TX852126:TX852137 ADT852126:ADT852137 ANP852126:ANP852137 AXL852126:AXL852137 BHH852126:BHH852137 BRD852126:BRD852137 CAZ852126:CAZ852137 CKV852126:CKV852137 CUR852126:CUR852137 DEN852126:DEN852137 DOJ852126:DOJ852137 DYF852126:DYF852137 EIB852126:EIB852137 ERX852126:ERX852137 FBT852126:FBT852137 FLP852126:FLP852137 FVL852126:FVL852137 GFH852126:GFH852137 GPD852126:GPD852137 GYZ852126:GYZ852137 HIV852126:HIV852137 HSR852126:HSR852137 ICN852126:ICN852137 IMJ852126:IMJ852137 IWF852126:IWF852137 JGB852126:JGB852137 JPX852126:JPX852137 JZT852126:JZT852137 KJP852126:KJP852137 KTL852126:KTL852137 LDH852126:LDH852137 LND852126:LND852137 LWZ852126:LWZ852137 MGV852126:MGV852137 MQR852126:MQR852137 NAN852126:NAN852137 NKJ852126:NKJ852137 NUF852126:NUF852137 OEB852126:OEB852137 ONX852126:ONX852137 OXT852126:OXT852137 PHP852126:PHP852137 PRL852126:PRL852137 QBH852126:QBH852137 QLD852126:QLD852137 QUZ852126:QUZ852137 REV852126:REV852137 ROR852126:ROR852137 RYN852126:RYN852137 SIJ852126:SIJ852137 SSF852126:SSF852137 TCB852126:TCB852137 TLX852126:TLX852137 TVT852126:TVT852137 UFP852126:UFP852137 UPL852126:UPL852137 UZH852126:UZH852137 VJD852126:VJD852137 VSZ852126:VSZ852137 WCV852126:WCV852137 WMR852126:WMR852137 WWN852126:WWN852137 AF917662:AF917673 KB917662:KB917673 TX917662:TX917673 ADT917662:ADT917673 ANP917662:ANP917673 AXL917662:AXL917673 BHH917662:BHH917673 BRD917662:BRD917673 CAZ917662:CAZ917673 CKV917662:CKV917673 CUR917662:CUR917673 DEN917662:DEN917673 DOJ917662:DOJ917673 DYF917662:DYF917673 EIB917662:EIB917673 ERX917662:ERX917673 FBT917662:FBT917673 FLP917662:FLP917673 FVL917662:FVL917673 GFH917662:GFH917673 GPD917662:GPD917673 GYZ917662:GYZ917673 HIV917662:HIV917673 HSR917662:HSR917673 ICN917662:ICN917673 IMJ917662:IMJ917673 IWF917662:IWF917673 JGB917662:JGB917673 JPX917662:JPX917673 JZT917662:JZT917673 KJP917662:KJP917673 KTL917662:KTL917673 LDH917662:LDH917673 LND917662:LND917673 LWZ917662:LWZ917673 MGV917662:MGV917673 MQR917662:MQR917673 NAN917662:NAN917673 NKJ917662:NKJ917673 NUF917662:NUF917673 OEB917662:OEB917673 ONX917662:ONX917673 OXT917662:OXT917673 PHP917662:PHP917673 PRL917662:PRL917673 QBH917662:QBH917673 QLD917662:QLD917673 QUZ917662:QUZ917673 REV917662:REV917673 ROR917662:ROR917673 RYN917662:RYN917673 SIJ917662:SIJ917673 SSF917662:SSF917673 TCB917662:TCB917673 TLX917662:TLX917673 TVT917662:TVT917673 UFP917662:UFP917673 UPL917662:UPL917673 UZH917662:UZH917673 VJD917662:VJD917673 VSZ917662:VSZ917673 WCV917662:WCV917673 WMR917662:WMR917673 WWN917662:WWN917673 AF983198:AF983209 KB983198:KB983209 TX983198:TX983209 ADT983198:ADT983209 ANP983198:ANP983209 AXL983198:AXL983209 BHH983198:BHH983209 BRD983198:BRD983209 CAZ983198:CAZ983209 CKV983198:CKV983209 CUR983198:CUR983209 DEN983198:DEN983209 DOJ983198:DOJ983209 DYF983198:DYF983209 EIB983198:EIB983209 ERX983198:ERX983209 FBT983198:FBT983209 FLP983198:FLP983209 FVL983198:FVL983209 GFH983198:GFH983209 GPD983198:GPD983209 GYZ983198:GYZ983209 HIV983198:HIV983209 HSR983198:HSR983209 ICN983198:ICN983209 IMJ983198:IMJ983209 IWF983198:IWF983209 JGB983198:JGB983209 JPX983198:JPX983209 JZT983198:JZT983209 KJP983198:KJP983209 KTL983198:KTL983209 LDH983198:LDH983209 LND983198:LND983209 LWZ983198:LWZ983209 MGV983198:MGV983209 MQR983198:MQR983209 NAN983198:NAN983209 NKJ983198:NKJ983209 NUF983198:NUF983209 OEB983198:OEB983209 ONX983198:ONX983209 OXT983198:OXT983209 PHP983198:PHP983209 PRL983198:PRL983209 QBH983198:QBH983209 QLD983198:QLD983209 QUZ983198:QUZ983209 REV983198:REV983209 ROR983198:ROR983209 RYN983198:RYN983209 SIJ983198:SIJ983209 SSF983198:SSF983209 TCB983198:TCB983209 TLX983198:TLX983209 TVT983198:TVT983209 UFP983198:UFP983209 UPL983198:UPL983209 UZH983198:UZH983209 VJD983198:VJD983209 VSZ983198:VSZ983209 WCV983198:WCV983209 WMR983198:WMR983209 WWN983198:WWN983209 AF153:AF155 KB153:KB155 TX153:TX155 ADT153:ADT155 ANP153:ANP155 AXL153:AXL155 BHH153:BHH155 BRD153:BRD155 CAZ153:CAZ155 CKV153:CKV155 CUR153:CUR155 DEN153:DEN155 DOJ153:DOJ155 DYF153:DYF155 EIB153:EIB155 ERX153:ERX155 FBT153:FBT155 FLP153:FLP155 FVL153:FVL155 GFH153:GFH155 GPD153:GPD155 GYZ153:GYZ155 HIV153:HIV155 HSR153:HSR155 ICN153:ICN155 IMJ153:IMJ155 IWF153:IWF155 JGB153:JGB155 JPX153:JPX155 JZT153:JZT155 KJP153:KJP155 KTL153:KTL155 LDH153:LDH155 LND153:LND155 LWZ153:LWZ155 MGV153:MGV155 MQR153:MQR155 NAN153:NAN155 NKJ153:NKJ155 NUF153:NUF155 OEB153:OEB155 ONX153:ONX155 OXT153:OXT155 PHP153:PHP155 PRL153:PRL155 QBH153:QBH155 QLD153:QLD155 QUZ153:QUZ155 REV153:REV155 ROR153:ROR155 RYN153:RYN155 SIJ153:SIJ155 SSF153:SSF155 TCB153:TCB155 TLX153:TLX155 TVT153:TVT155 UFP153:UFP155 UPL153:UPL155 UZH153:UZH155 VJD153:VJD155 VSZ153:VSZ155 WCV153:WCV155 WMR153:WMR155 WWN153:WWN155 AF65690:AF65692 KB65690:KB65692 TX65690:TX65692 ADT65690:ADT65692 ANP65690:ANP65692 AXL65690:AXL65692 BHH65690:BHH65692 BRD65690:BRD65692 CAZ65690:CAZ65692 CKV65690:CKV65692 CUR65690:CUR65692 DEN65690:DEN65692 DOJ65690:DOJ65692 DYF65690:DYF65692 EIB65690:EIB65692 ERX65690:ERX65692 FBT65690:FBT65692 FLP65690:FLP65692 FVL65690:FVL65692 GFH65690:GFH65692 GPD65690:GPD65692 GYZ65690:GYZ65692 HIV65690:HIV65692 HSR65690:HSR65692 ICN65690:ICN65692 IMJ65690:IMJ65692 IWF65690:IWF65692 JGB65690:JGB65692 JPX65690:JPX65692 JZT65690:JZT65692 KJP65690:KJP65692 KTL65690:KTL65692 LDH65690:LDH65692 LND65690:LND65692 LWZ65690:LWZ65692 MGV65690:MGV65692 MQR65690:MQR65692 NAN65690:NAN65692 NKJ65690:NKJ65692 NUF65690:NUF65692 OEB65690:OEB65692 ONX65690:ONX65692 OXT65690:OXT65692 PHP65690:PHP65692 PRL65690:PRL65692 QBH65690:QBH65692 QLD65690:QLD65692 QUZ65690:QUZ65692 REV65690:REV65692 ROR65690:ROR65692 RYN65690:RYN65692 SIJ65690:SIJ65692 SSF65690:SSF65692 TCB65690:TCB65692 TLX65690:TLX65692 TVT65690:TVT65692 UFP65690:UFP65692 UPL65690:UPL65692 UZH65690:UZH65692 VJD65690:VJD65692 VSZ65690:VSZ65692 WCV65690:WCV65692 WMR65690:WMR65692 WWN65690:WWN65692 AF131226:AF131228 KB131226:KB131228 TX131226:TX131228 ADT131226:ADT131228 ANP131226:ANP131228 AXL131226:AXL131228 BHH131226:BHH131228 BRD131226:BRD131228 CAZ131226:CAZ131228 CKV131226:CKV131228 CUR131226:CUR131228 DEN131226:DEN131228 DOJ131226:DOJ131228 DYF131226:DYF131228 EIB131226:EIB131228 ERX131226:ERX131228 FBT131226:FBT131228 FLP131226:FLP131228 FVL131226:FVL131228 GFH131226:GFH131228 GPD131226:GPD131228 GYZ131226:GYZ131228 HIV131226:HIV131228 HSR131226:HSR131228 ICN131226:ICN131228 IMJ131226:IMJ131228 IWF131226:IWF131228 JGB131226:JGB131228 JPX131226:JPX131228 JZT131226:JZT131228 KJP131226:KJP131228 KTL131226:KTL131228 LDH131226:LDH131228 LND131226:LND131228 LWZ131226:LWZ131228 MGV131226:MGV131228 MQR131226:MQR131228 NAN131226:NAN131228 NKJ131226:NKJ131228 NUF131226:NUF131228 OEB131226:OEB131228 ONX131226:ONX131228 OXT131226:OXT131228 PHP131226:PHP131228 PRL131226:PRL131228 QBH131226:QBH131228 QLD131226:QLD131228 QUZ131226:QUZ131228 REV131226:REV131228 ROR131226:ROR131228 RYN131226:RYN131228 SIJ131226:SIJ131228 SSF131226:SSF131228 TCB131226:TCB131228 TLX131226:TLX131228 TVT131226:TVT131228 UFP131226:UFP131228 UPL131226:UPL131228 UZH131226:UZH131228 VJD131226:VJD131228 VSZ131226:VSZ131228 WCV131226:WCV131228 WMR131226:WMR131228 WWN131226:WWN131228 AF196762:AF196764 KB196762:KB196764 TX196762:TX196764 ADT196762:ADT196764 ANP196762:ANP196764 AXL196762:AXL196764 BHH196762:BHH196764 BRD196762:BRD196764 CAZ196762:CAZ196764 CKV196762:CKV196764 CUR196762:CUR196764 DEN196762:DEN196764 DOJ196762:DOJ196764 DYF196762:DYF196764 EIB196762:EIB196764 ERX196762:ERX196764 FBT196762:FBT196764 FLP196762:FLP196764 FVL196762:FVL196764 GFH196762:GFH196764 GPD196762:GPD196764 GYZ196762:GYZ196764 HIV196762:HIV196764 HSR196762:HSR196764 ICN196762:ICN196764 IMJ196762:IMJ196764 IWF196762:IWF196764 JGB196762:JGB196764 JPX196762:JPX196764 JZT196762:JZT196764 KJP196762:KJP196764 KTL196762:KTL196764 LDH196762:LDH196764 LND196762:LND196764 LWZ196762:LWZ196764 MGV196762:MGV196764 MQR196762:MQR196764 NAN196762:NAN196764 NKJ196762:NKJ196764 NUF196762:NUF196764 OEB196762:OEB196764 ONX196762:ONX196764 OXT196762:OXT196764 PHP196762:PHP196764 PRL196762:PRL196764 QBH196762:QBH196764 QLD196762:QLD196764 QUZ196762:QUZ196764 REV196762:REV196764 ROR196762:ROR196764 RYN196762:RYN196764 SIJ196762:SIJ196764 SSF196762:SSF196764 TCB196762:TCB196764 TLX196762:TLX196764 TVT196762:TVT196764 UFP196762:UFP196764 UPL196762:UPL196764 UZH196762:UZH196764 VJD196762:VJD196764 VSZ196762:VSZ196764 WCV196762:WCV196764 WMR196762:WMR196764 WWN196762:WWN196764 AF262298:AF262300 KB262298:KB262300 TX262298:TX262300 ADT262298:ADT262300 ANP262298:ANP262300 AXL262298:AXL262300 BHH262298:BHH262300 BRD262298:BRD262300 CAZ262298:CAZ262300 CKV262298:CKV262300 CUR262298:CUR262300 DEN262298:DEN262300 DOJ262298:DOJ262300 DYF262298:DYF262300 EIB262298:EIB262300 ERX262298:ERX262300 FBT262298:FBT262300 FLP262298:FLP262300 FVL262298:FVL262300 GFH262298:GFH262300 GPD262298:GPD262300 GYZ262298:GYZ262300 HIV262298:HIV262300 HSR262298:HSR262300 ICN262298:ICN262300 IMJ262298:IMJ262300 IWF262298:IWF262300 JGB262298:JGB262300 JPX262298:JPX262300 JZT262298:JZT262300 KJP262298:KJP262300 KTL262298:KTL262300 LDH262298:LDH262300 LND262298:LND262300 LWZ262298:LWZ262300 MGV262298:MGV262300 MQR262298:MQR262300 NAN262298:NAN262300 NKJ262298:NKJ262300 NUF262298:NUF262300 OEB262298:OEB262300 ONX262298:ONX262300 OXT262298:OXT262300 PHP262298:PHP262300 PRL262298:PRL262300 QBH262298:QBH262300 QLD262298:QLD262300 QUZ262298:QUZ262300 REV262298:REV262300 ROR262298:ROR262300 RYN262298:RYN262300 SIJ262298:SIJ262300 SSF262298:SSF262300 TCB262298:TCB262300 TLX262298:TLX262300 TVT262298:TVT262300 UFP262298:UFP262300 UPL262298:UPL262300 UZH262298:UZH262300 VJD262298:VJD262300 VSZ262298:VSZ262300 WCV262298:WCV262300 WMR262298:WMR262300 WWN262298:WWN262300 AF327834:AF327836 KB327834:KB327836 TX327834:TX327836 ADT327834:ADT327836 ANP327834:ANP327836 AXL327834:AXL327836 BHH327834:BHH327836 BRD327834:BRD327836 CAZ327834:CAZ327836 CKV327834:CKV327836 CUR327834:CUR327836 DEN327834:DEN327836 DOJ327834:DOJ327836 DYF327834:DYF327836 EIB327834:EIB327836 ERX327834:ERX327836 FBT327834:FBT327836 FLP327834:FLP327836 FVL327834:FVL327836 GFH327834:GFH327836 GPD327834:GPD327836 GYZ327834:GYZ327836 HIV327834:HIV327836 HSR327834:HSR327836 ICN327834:ICN327836 IMJ327834:IMJ327836 IWF327834:IWF327836 JGB327834:JGB327836 JPX327834:JPX327836 JZT327834:JZT327836 KJP327834:KJP327836 KTL327834:KTL327836 LDH327834:LDH327836 LND327834:LND327836 LWZ327834:LWZ327836 MGV327834:MGV327836 MQR327834:MQR327836 NAN327834:NAN327836 NKJ327834:NKJ327836 NUF327834:NUF327836 OEB327834:OEB327836 ONX327834:ONX327836 OXT327834:OXT327836 PHP327834:PHP327836 PRL327834:PRL327836 QBH327834:QBH327836 QLD327834:QLD327836 QUZ327834:QUZ327836 REV327834:REV327836 ROR327834:ROR327836 RYN327834:RYN327836 SIJ327834:SIJ327836 SSF327834:SSF327836 TCB327834:TCB327836 TLX327834:TLX327836 TVT327834:TVT327836 UFP327834:UFP327836 UPL327834:UPL327836 UZH327834:UZH327836 VJD327834:VJD327836 VSZ327834:VSZ327836 WCV327834:WCV327836 WMR327834:WMR327836 WWN327834:WWN327836 AF393370:AF393372 KB393370:KB393372 TX393370:TX393372 ADT393370:ADT393372 ANP393370:ANP393372 AXL393370:AXL393372 BHH393370:BHH393372 BRD393370:BRD393372 CAZ393370:CAZ393372 CKV393370:CKV393372 CUR393370:CUR393372 DEN393370:DEN393372 DOJ393370:DOJ393372 DYF393370:DYF393372 EIB393370:EIB393372 ERX393370:ERX393372 FBT393370:FBT393372 FLP393370:FLP393372 FVL393370:FVL393372 GFH393370:GFH393372 GPD393370:GPD393372 GYZ393370:GYZ393372 HIV393370:HIV393372 HSR393370:HSR393372 ICN393370:ICN393372 IMJ393370:IMJ393372 IWF393370:IWF393372 JGB393370:JGB393372 JPX393370:JPX393372 JZT393370:JZT393372 KJP393370:KJP393372 KTL393370:KTL393372 LDH393370:LDH393372 LND393370:LND393372 LWZ393370:LWZ393372 MGV393370:MGV393372 MQR393370:MQR393372 NAN393370:NAN393372 NKJ393370:NKJ393372 NUF393370:NUF393372 OEB393370:OEB393372 ONX393370:ONX393372 OXT393370:OXT393372 PHP393370:PHP393372 PRL393370:PRL393372 QBH393370:QBH393372 QLD393370:QLD393372 QUZ393370:QUZ393372 REV393370:REV393372 ROR393370:ROR393372 RYN393370:RYN393372 SIJ393370:SIJ393372 SSF393370:SSF393372 TCB393370:TCB393372 TLX393370:TLX393372 TVT393370:TVT393372 UFP393370:UFP393372 UPL393370:UPL393372 UZH393370:UZH393372 VJD393370:VJD393372 VSZ393370:VSZ393372 WCV393370:WCV393372 WMR393370:WMR393372 WWN393370:WWN393372 AF458906:AF458908 KB458906:KB458908 TX458906:TX458908 ADT458906:ADT458908 ANP458906:ANP458908 AXL458906:AXL458908 BHH458906:BHH458908 BRD458906:BRD458908 CAZ458906:CAZ458908 CKV458906:CKV458908 CUR458906:CUR458908 DEN458906:DEN458908 DOJ458906:DOJ458908 DYF458906:DYF458908 EIB458906:EIB458908 ERX458906:ERX458908 FBT458906:FBT458908 FLP458906:FLP458908 FVL458906:FVL458908 GFH458906:GFH458908 GPD458906:GPD458908 GYZ458906:GYZ458908 HIV458906:HIV458908 HSR458906:HSR458908 ICN458906:ICN458908 IMJ458906:IMJ458908 IWF458906:IWF458908 JGB458906:JGB458908 JPX458906:JPX458908 JZT458906:JZT458908 KJP458906:KJP458908 KTL458906:KTL458908 LDH458906:LDH458908 LND458906:LND458908 LWZ458906:LWZ458908 MGV458906:MGV458908 MQR458906:MQR458908 NAN458906:NAN458908 NKJ458906:NKJ458908 NUF458906:NUF458908 OEB458906:OEB458908 ONX458906:ONX458908 OXT458906:OXT458908 PHP458906:PHP458908 PRL458906:PRL458908 QBH458906:QBH458908 QLD458906:QLD458908 QUZ458906:QUZ458908 REV458906:REV458908 ROR458906:ROR458908 RYN458906:RYN458908 SIJ458906:SIJ458908 SSF458906:SSF458908 TCB458906:TCB458908 TLX458906:TLX458908 TVT458906:TVT458908 UFP458906:UFP458908 UPL458906:UPL458908 UZH458906:UZH458908 VJD458906:VJD458908 VSZ458906:VSZ458908 WCV458906:WCV458908 WMR458906:WMR458908 WWN458906:WWN458908 AF524442:AF524444 KB524442:KB524444 TX524442:TX524444 ADT524442:ADT524444 ANP524442:ANP524444 AXL524442:AXL524444 BHH524442:BHH524444 BRD524442:BRD524444 CAZ524442:CAZ524444 CKV524442:CKV524444 CUR524442:CUR524444 DEN524442:DEN524444 DOJ524442:DOJ524444 DYF524442:DYF524444 EIB524442:EIB524444 ERX524442:ERX524444 FBT524442:FBT524444 FLP524442:FLP524444 FVL524442:FVL524444 GFH524442:GFH524444 GPD524442:GPD524444 GYZ524442:GYZ524444 HIV524442:HIV524444 HSR524442:HSR524444 ICN524442:ICN524444 IMJ524442:IMJ524444 IWF524442:IWF524444 JGB524442:JGB524444 JPX524442:JPX524444 JZT524442:JZT524444 KJP524442:KJP524444 KTL524442:KTL524444 LDH524442:LDH524444 LND524442:LND524444 LWZ524442:LWZ524444 MGV524442:MGV524444 MQR524442:MQR524444 NAN524442:NAN524444 NKJ524442:NKJ524444 NUF524442:NUF524444 OEB524442:OEB524444 ONX524442:ONX524444 OXT524442:OXT524444 PHP524442:PHP524444 PRL524442:PRL524444 QBH524442:QBH524444 QLD524442:QLD524444 QUZ524442:QUZ524444 REV524442:REV524444 ROR524442:ROR524444 RYN524442:RYN524444 SIJ524442:SIJ524444 SSF524442:SSF524444 TCB524442:TCB524444 TLX524442:TLX524444 TVT524442:TVT524444 UFP524442:UFP524444 UPL524442:UPL524444 UZH524442:UZH524444 VJD524442:VJD524444 VSZ524442:VSZ524444 WCV524442:WCV524444 WMR524442:WMR524444 WWN524442:WWN524444 AF589978:AF589980 KB589978:KB589980 TX589978:TX589980 ADT589978:ADT589980 ANP589978:ANP589980 AXL589978:AXL589980 BHH589978:BHH589980 BRD589978:BRD589980 CAZ589978:CAZ589980 CKV589978:CKV589980 CUR589978:CUR589980 DEN589978:DEN589980 DOJ589978:DOJ589980 DYF589978:DYF589980 EIB589978:EIB589980 ERX589978:ERX589980 FBT589978:FBT589980 FLP589978:FLP589980 FVL589978:FVL589980 GFH589978:GFH589980 GPD589978:GPD589980 GYZ589978:GYZ589980 HIV589978:HIV589980 HSR589978:HSR589980 ICN589978:ICN589980 IMJ589978:IMJ589980 IWF589978:IWF589980 JGB589978:JGB589980 JPX589978:JPX589980 JZT589978:JZT589980 KJP589978:KJP589980 KTL589978:KTL589980 LDH589978:LDH589980 LND589978:LND589980 LWZ589978:LWZ589980 MGV589978:MGV589980 MQR589978:MQR589980 NAN589978:NAN589980 NKJ589978:NKJ589980 NUF589978:NUF589980 OEB589978:OEB589980 ONX589978:ONX589980 OXT589978:OXT589980 PHP589978:PHP589980 PRL589978:PRL589980 QBH589978:QBH589980 QLD589978:QLD589980 QUZ589978:QUZ589980 REV589978:REV589980 ROR589978:ROR589980 RYN589978:RYN589980 SIJ589978:SIJ589980 SSF589978:SSF589980 TCB589978:TCB589980 TLX589978:TLX589980 TVT589978:TVT589980 UFP589978:UFP589980 UPL589978:UPL589980 UZH589978:UZH589980 VJD589978:VJD589980 VSZ589978:VSZ589980 WCV589978:WCV589980 WMR589978:WMR589980 WWN589978:WWN589980 AF655514:AF655516 KB655514:KB655516 TX655514:TX655516 ADT655514:ADT655516 ANP655514:ANP655516 AXL655514:AXL655516 BHH655514:BHH655516 BRD655514:BRD655516 CAZ655514:CAZ655516 CKV655514:CKV655516 CUR655514:CUR655516 DEN655514:DEN655516 DOJ655514:DOJ655516 DYF655514:DYF655516 EIB655514:EIB655516 ERX655514:ERX655516 FBT655514:FBT655516 FLP655514:FLP655516 FVL655514:FVL655516 GFH655514:GFH655516 GPD655514:GPD655516 GYZ655514:GYZ655516 HIV655514:HIV655516 HSR655514:HSR655516 ICN655514:ICN655516 IMJ655514:IMJ655516 IWF655514:IWF655516 JGB655514:JGB655516 JPX655514:JPX655516 JZT655514:JZT655516 KJP655514:KJP655516 KTL655514:KTL655516 LDH655514:LDH655516 LND655514:LND655516 LWZ655514:LWZ655516 MGV655514:MGV655516 MQR655514:MQR655516 NAN655514:NAN655516 NKJ655514:NKJ655516 NUF655514:NUF655516 OEB655514:OEB655516 ONX655514:ONX655516 OXT655514:OXT655516 PHP655514:PHP655516 PRL655514:PRL655516 QBH655514:QBH655516 QLD655514:QLD655516 QUZ655514:QUZ655516 REV655514:REV655516 ROR655514:ROR655516 RYN655514:RYN655516 SIJ655514:SIJ655516 SSF655514:SSF655516 TCB655514:TCB655516 TLX655514:TLX655516 TVT655514:TVT655516 UFP655514:UFP655516 UPL655514:UPL655516 UZH655514:UZH655516 VJD655514:VJD655516 VSZ655514:VSZ655516 WCV655514:WCV655516 WMR655514:WMR655516 WWN655514:WWN655516 AF721050:AF721052 KB721050:KB721052 TX721050:TX721052 ADT721050:ADT721052 ANP721050:ANP721052 AXL721050:AXL721052 BHH721050:BHH721052 BRD721050:BRD721052 CAZ721050:CAZ721052 CKV721050:CKV721052 CUR721050:CUR721052 DEN721050:DEN721052 DOJ721050:DOJ721052 DYF721050:DYF721052 EIB721050:EIB721052 ERX721050:ERX721052 FBT721050:FBT721052 FLP721050:FLP721052 FVL721050:FVL721052 GFH721050:GFH721052 GPD721050:GPD721052 GYZ721050:GYZ721052 HIV721050:HIV721052 HSR721050:HSR721052 ICN721050:ICN721052 IMJ721050:IMJ721052 IWF721050:IWF721052 JGB721050:JGB721052 JPX721050:JPX721052 JZT721050:JZT721052 KJP721050:KJP721052 KTL721050:KTL721052 LDH721050:LDH721052 LND721050:LND721052 LWZ721050:LWZ721052 MGV721050:MGV721052 MQR721050:MQR721052 NAN721050:NAN721052 NKJ721050:NKJ721052 NUF721050:NUF721052 OEB721050:OEB721052 ONX721050:ONX721052 OXT721050:OXT721052 PHP721050:PHP721052 PRL721050:PRL721052 QBH721050:QBH721052 QLD721050:QLD721052 QUZ721050:QUZ721052 REV721050:REV721052 ROR721050:ROR721052 RYN721050:RYN721052 SIJ721050:SIJ721052 SSF721050:SSF721052 TCB721050:TCB721052 TLX721050:TLX721052 TVT721050:TVT721052 UFP721050:UFP721052 UPL721050:UPL721052 UZH721050:UZH721052 VJD721050:VJD721052 VSZ721050:VSZ721052 WCV721050:WCV721052 WMR721050:WMR721052 WWN721050:WWN721052 AF786586:AF786588 KB786586:KB786588 TX786586:TX786588 ADT786586:ADT786588 ANP786586:ANP786588 AXL786586:AXL786588 BHH786586:BHH786588 BRD786586:BRD786588 CAZ786586:CAZ786588 CKV786586:CKV786588 CUR786586:CUR786588 DEN786586:DEN786588 DOJ786586:DOJ786588 DYF786586:DYF786588 EIB786586:EIB786588 ERX786586:ERX786588 FBT786586:FBT786588 FLP786586:FLP786588 FVL786586:FVL786588 GFH786586:GFH786588 GPD786586:GPD786588 GYZ786586:GYZ786588 HIV786586:HIV786588 HSR786586:HSR786588 ICN786586:ICN786588 IMJ786586:IMJ786588 IWF786586:IWF786588 JGB786586:JGB786588 JPX786586:JPX786588 JZT786586:JZT786588 KJP786586:KJP786588 KTL786586:KTL786588 LDH786586:LDH786588 LND786586:LND786588 LWZ786586:LWZ786588 MGV786586:MGV786588 MQR786586:MQR786588 NAN786586:NAN786588 NKJ786586:NKJ786588 NUF786586:NUF786588 OEB786586:OEB786588 ONX786586:ONX786588 OXT786586:OXT786588 PHP786586:PHP786588 PRL786586:PRL786588 QBH786586:QBH786588 QLD786586:QLD786588 QUZ786586:QUZ786588 REV786586:REV786588 ROR786586:ROR786588 RYN786586:RYN786588 SIJ786586:SIJ786588 SSF786586:SSF786588 TCB786586:TCB786588 TLX786586:TLX786588 TVT786586:TVT786588 UFP786586:UFP786588 UPL786586:UPL786588 UZH786586:UZH786588 VJD786586:VJD786588 VSZ786586:VSZ786588 WCV786586:WCV786588 WMR786586:WMR786588 WWN786586:WWN786588 AF852122:AF852124 KB852122:KB852124 TX852122:TX852124 ADT852122:ADT852124 ANP852122:ANP852124 AXL852122:AXL852124 BHH852122:BHH852124 BRD852122:BRD852124 CAZ852122:CAZ852124 CKV852122:CKV852124 CUR852122:CUR852124 DEN852122:DEN852124 DOJ852122:DOJ852124 DYF852122:DYF852124 EIB852122:EIB852124 ERX852122:ERX852124 FBT852122:FBT852124 FLP852122:FLP852124 FVL852122:FVL852124 GFH852122:GFH852124 GPD852122:GPD852124 GYZ852122:GYZ852124 HIV852122:HIV852124 HSR852122:HSR852124 ICN852122:ICN852124 IMJ852122:IMJ852124 IWF852122:IWF852124 JGB852122:JGB852124 JPX852122:JPX852124 JZT852122:JZT852124 KJP852122:KJP852124 KTL852122:KTL852124 LDH852122:LDH852124 LND852122:LND852124 LWZ852122:LWZ852124 MGV852122:MGV852124 MQR852122:MQR852124 NAN852122:NAN852124 NKJ852122:NKJ852124 NUF852122:NUF852124 OEB852122:OEB852124 ONX852122:ONX852124 OXT852122:OXT852124 PHP852122:PHP852124 PRL852122:PRL852124 QBH852122:QBH852124 QLD852122:QLD852124 QUZ852122:QUZ852124 REV852122:REV852124 ROR852122:ROR852124 RYN852122:RYN852124 SIJ852122:SIJ852124 SSF852122:SSF852124 TCB852122:TCB852124 TLX852122:TLX852124 TVT852122:TVT852124 UFP852122:UFP852124 UPL852122:UPL852124 UZH852122:UZH852124 VJD852122:VJD852124 VSZ852122:VSZ852124 WCV852122:WCV852124 WMR852122:WMR852124 WWN852122:WWN852124 AF917658:AF917660 KB917658:KB917660 TX917658:TX917660 ADT917658:ADT917660 ANP917658:ANP917660 AXL917658:AXL917660 BHH917658:BHH917660 BRD917658:BRD917660 CAZ917658:CAZ917660 CKV917658:CKV917660 CUR917658:CUR917660 DEN917658:DEN917660 DOJ917658:DOJ917660 DYF917658:DYF917660 EIB917658:EIB917660 ERX917658:ERX917660 FBT917658:FBT917660 FLP917658:FLP917660 FVL917658:FVL917660 GFH917658:GFH917660 GPD917658:GPD917660 GYZ917658:GYZ917660 HIV917658:HIV917660 HSR917658:HSR917660 ICN917658:ICN917660 IMJ917658:IMJ917660 IWF917658:IWF917660 JGB917658:JGB917660 JPX917658:JPX917660 JZT917658:JZT917660 KJP917658:KJP917660 KTL917658:KTL917660 LDH917658:LDH917660 LND917658:LND917660 LWZ917658:LWZ917660 MGV917658:MGV917660 MQR917658:MQR917660 NAN917658:NAN917660 NKJ917658:NKJ917660 NUF917658:NUF917660 OEB917658:OEB917660 ONX917658:ONX917660 OXT917658:OXT917660 PHP917658:PHP917660 PRL917658:PRL917660 QBH917658:QBH917660 QLD917658:QLD917660 QUZ917658:QUZ917660 REV917658:REV917660 ROR917658:ROR917660 RYN917658:RYN917660 SIJ917658:SIJ917660 SSF917658:SSF917660 TCB917658:TCB917660 TLX917658:TLX917660 TVT917658:TVT917660 UFP917658:UFP917660 UPL917658:UPL917660 UZH917658:UZH917660 VJD917658:VJD917660 VSZ917658:VSZ917660 WCV917658:WCV917660 WMR917658:WMR917660 WWN917658:WWN917660 AF983194:AF983196 KB983194:KB983196 TX983194:TX983196 ADT983194:ADT983196 ANP983194:ANP983196 AXL983194:AXL983196 BHH983194:BHH983196 BRD983194:BRD983196 CAZ983194:CAZ983196 CKV983194:CKV983196 CUR983194:CUR983196 DEN983194:DEN983196 DOJ983194:DOJ983196 DYF983194:DYF983196 EIB983194:EIB983196 ERX983194:ERX983196 FBT983194:FBT983196 FLP983194:FLP983196 FVL983194:FVL983196 GFH983194:GFH983196 GPD983194:GPD983196 GYZ983194:GYZ983196 HIV983194:HIV983196 HSR983194:HSR983196 ICN983194:ICN983196 IMJ983194:IMJ983196 IWF983194:IWF983196 JGB983194:JGB983196 JPX983194:JPX983196 JZT983194:JZT983196 KJP983194:KJP983196 KTL983194:KTL983196 LDH983194:LDH983196 LND983194:LND983196 LWZ983194:LWZ983196 MGV983194:MGV983196 MQR983194:MQR983196 NAN983194:NAN983196 NKJ983194:NKJ983196 NUF983194:NUF983196 OEB983194:OEB983196 ONX983194:ONX983196 OXT983194:OXT983196 PHP983194:PHP983196 PRL983194:PRL983196 QBH983194:QBH983196 QLD983194:QLD983196 QUZ983194:QUZ983196 REV983194:REV983196 ROR983194:ROR983196 RYN983194:RYN983196 SIJ983194:SIJ983196 SSF983194:SSF983196 TCB983194:TCB983196 TLX983194:TLX983196 TVT983194:TVT983196 UFP983194:UFP983196 UPL983194:UPL983196 UZH983194:UZH983196 VJD983194:VJD983196 VSZ983194:VSZ983196 WCV983194:WCV983196 WMR983194:WMR983196 WWN983194:WWN983196 KB66:KB74 KB141:KB151 TX141:TX151 ADT141:ADT151 ANP141:ANP151 AXL141:AXL151 BHH141:BHH151 BRD141:BRD151 CAZ141:CAZ151 CKV141:CKV151 CUR141:CUR151 DEN141:DEN151 DOJ141:DOJ151 DYF141:DYF151 EIB141:EIB151 ERX141:ERX151 FBT141:FBT151 FLP141:FLP151 FVL141:FVL151 GFH141:GFH151 GPD141:GPD151 GYZ141:GYZ151 HIV141:HIV151 HSR141:HSR151 ICN141:ICN151 IMJ141:IMJ151 IWF141:IWF151 JGB141:JGB151 JPX141:JPX151 JZT141:JZT151 KJP141:KJP151 KTL141:KTL151 LDH141:LDH151 LND141:LND151 LWZ141:LWZ151 MGV141:MGV151 MQR141:MQR151 NAN141:NAN151 NKJ141:NKJ151 NUF141:NUF151 OEB141:OEB151 ONX141:ONX151 OXT141:OXT151 PHP141:PHP151 PRL141:PRL151 QBH141:QBH151 QLD141:QLD151 QUZ141:QUZ151 REV141:REV151 ROR141:ROR151 RYN141:RYN151 SIJ141:SIJ151 SSF141:SSF151 TCB141:TCB151 TLX141:TLX151 TVT141:TVT151 UFP141:UFP151 UPL141:UPL151 UZH141:UZH151 VJD141:VJD151 VSZ141:VSZ151 WCV141:WCV151 WMR141:WMR151 WWN141:WWN151 AF65678:AF65688 KB65678:KB65688 TX65678:TX65688 ADT65678:ADT65688 ANP65678:ANP65688 AXL65678:AXL65688 BHH65678:BHH65688 BRD65678:BRD65688 CAZ65678:CAZ65688 CKV65678:CKV65688 CUR65678:CUR65688 DEN65678:DEN65688 DOJ65678:DOJ65688 DYF65678:DYF65688 EIB65678:EIB65688 ERX65678:ERX65688 FBT65678:FBT65688 FLP65678:FLP65688 FVL65678:FVL65688 GFH65678:GFH65688 GPD65678:GPD65688 GYZ65678:GYZ65688 HIV65678:HIV65688 HSR65678:HSR65688 ICN65678:ICN65688 IMJ65678:IMJ65688 IWF65678:IWF65688 JGB65678:JGB65688 JPX65678:JPX65688 JZT65678:JZT65688 KJP65678:KJP65688 KTL65678:KTL65688 LDH65678:LDH65688 LND65678:LND65688 LWZ65678:LWZ65688 MGV65678:MGV65688 MQR65678:MQR65688 NAN65678:NAN65688 NKJ65678:NKJ65688 NUF65678:NUF65688 OEB65678:OEB65688 ONX65678:ONX65688 OXT65678:OXT65688 PHP65678:PHP65688 PRL65678:PRL65688 QBH65678:QBH65688 QLD65678:QLD65688 QUZ65678:QUZ65688 REV65678:REV65688 ROR65678:ROR65688 RYN65678:RYN65688 SIJ65678:SIJ65688 SSF65678:SSF65688 TCB65678:TCB65688 TLX65678:TLX65688 TVT65678:TVT65688 UFP65678:UFP65688 UPL65678:UPL65688 UZH65678:UZH65688 VJD65678:VJD65688 VSZ65678:VSZ65688 WCV65678:WCV65688 WMR65678:WMR65688 WWN65678:WWN65688 AF131214:AF131224 KB131214:KB131224 TX131214:TX131224 ADT131214:ADT131224 ANP131214:ANP131224 AXL131214:AXL131224 BHH131214:BHH131224 BRD131214:BRD131224 CAZ131214:CAZ131224 CKV131214:CKV131224 CUR131214:CUR131224 DEN131214:DEN131224 DOJ131214:DOJ131224 DYF131214:DYF131224 EIB131214:EIB131224 ERX131214:ERX131224 FBT131214:FBT131224 FLP131214:FLP131224 FVL131214:FVL131224 GFH131214:GFH131224 GPD131214:GPD131224 GYZ131214:GYZ131224 HIV131214:HIV131224 HSR131214:HSR131224 ICN131214:ICN131224 IMJ131214:IMJ131224 IWF131214:IWF131224 JGB131214:JGB131224 JPX131214:JPX131224 JZT131214:JZT131224 KJP131214:KJP131224 KTL131214:KTL131224 LDH131214:LDH131224 LND131214:LND131224 LWZ131214:LWZ131224 MGV131214:MGV131224 MQR131214:MQR131224 NAN131214:NAN131224 NKJ131214:NKJ131224 NUF131214:NUF131224 OEB131214:OEB131224 ONX131214:ONX131224 OXT131214:OXT131224 PHP131214:PHP131224 PRL131214:PRL131224 QBH131214:QBH131224 QLD131214:QLD131224 QUZ131214:QUZ131224 REV131214:REV131224 ROR131214:ROR131224 RYN131214:RYN131224 SIJ131214:SIJ131224 SSF131214:SSF131224 TCB131214:TCB131224 TLX131214:TLX131224 TVT131214:TVT131224 UFP131214:UFP131224 UPL131214:UPL131224 UZH131214:UZH131224 VJD131214:VJD131224 VSZ131214:VSZ131224 WCV131214:WCV131224 WMR131214:WMR131224 WWN131214:WWN131224 AF196750:AF196760 KB196750:KB196760 TX196750:TX196760 ADT196750:ADT196760 ANP196750:ANP196760 AXL196750:AXL196760 BHH196750:BHH196760 BRD196750:BRD196760 CAZ196750:CAZ196760 CKV196750:CKV196760 CUR196750:CUR196760 DEN196750:DEN196760 DOJ196750:DOJ196760 DYF196750:DYF196760 EIB196750:EIB196760 ERX196750:ERX196760 FBT196750:FBT196760 FLP196750:FLP196760 FVL196750:FVL196760 GFH196750:GFH196760 GPD196750:GPD196760 GYZ196750:GYZ196760 HIV196750:HIV196760 HSR196750:HSR196760 ICN196750:ICN196760 IMJ196750:IMJ196760 IWF196750:IWF196760 JGB196750:JGB196760 JPX196750:JPX196760 JZT196750:JZT196760 KJP196750:KJP196760 KTL196750:KTL196760 LDH196750:LDH196760 LND196750:LND196760 LWZ196750:LWZ196760 MGV196750:MGV196760 MQR196750:MQR196760 NAN196750:NAN196760 NKJ196750:NKJ196760 NUF196750:NUF196760 OEB196750:OEB196760 ONX196750:ONX196760 OXT196750:OXT196760 PHP196750:PHP196760 PRL196750:PRL196760 QBH196750:QBH196760 QLD196750:QLD196760 QUZ196750:QUZ196760 REV196750:REV196760 ROR196750:ROR196760 RYN196750:RYN196760 SIJ196750:SIJ196760 SSF196750:SSF196760 TCB196750:TCB196760 TLX196750:TLX196760 TVT196750:TVT196760 UFP196750:UFP196760 UPL196750:UPL196760 UZH196750:UZH196760 VJD196750:VJD196760 VSZ196750:VSZ196760 WCV196750:WCV196760 WMR196750:WMR196760 WWN196750:WWN196760 AF262286:AF262296 KB262286:KB262296 TX262286:TX262296 ADT262286:ADT262296 ANP262286:ANP262296 AXL262286:AXL262296 BHH262286:BHH262296 BRD262286:BRD262296 CAZ262286:CAZ262296 CKV262286:CKV262296 CUR262286:CUR262296 DEN262286:DEN262296 DOJ262286:DOJ262296 DYF262286:DYF262296 EIB262286:EIB262296 ERX262286:ERX262296 FBT262286:FBT262296 FLP262286:FLP262296 FVL262286:FVL262296 GFH262286:GFH262296 GPD262286:GPD262296 GYZ262286:GYZ262296 HIV262286:HIV262296 HSR262286:HSR262296 ICN262286:ICN262296 IMJ262286:IMJ262296 IWF262286:IWF262296 JGB262286:JGB262296 JPX262286:JPX262296 JZT262286:JZT262296 KJP262286:KJP262296 KTL262286:KTL262296 LDH262286:LDH262296 LND262286:LND262296 LWZ262286:LWZ262296 MGV262286:MGV262296 MQR262286:MQR262296 NAN262286:NAN262296 NKJ262286:NKJ262296 NUF262286:NUF262296 OEB262286:OEB262296 ONX262286:ONX262296 OXT262286:OXT262296 PHP262286:PHP262296 PRL262286:PRL262296 QBH262286:QBH262296 QLD262286:QLD262296 QUZ262286:QUZ262296 REV262286:REV262296 ROR262286:ROR262296 RYN262286:RYN262296 SIJ262286:SIJ262296 SSF262286:SSF262296 TCB262286:TCB262296 TLX262286:TLX262296 TVT262286:TVT262296 UFP262286:UFP262296 UPL262286:UPL262296 UZH262286:UZH262296 VJD262286:VJD262296 VSZ262286:VSZ262296 WCV262286:WCV262296 WMR262286:WMR262296 WWN262286:WWN262296 AF327822:AF327832 KB327822:KB327832 TX327822:TX327832 ADT327822:ADT327832 ANP327822:ANP327832 AXL327822:AXL327832 BHH327822:BHH327832 BRD327822:BRD327832 CAZ327822:CAZ327832 CKV327822:CKV327832 CUR327822:CUR327832 DEN327822:DEN327832 DOJ327822:DOJ327832 DYF327822:DYF327832 EIB327822:EIB327832 ERX327822:ERX327832 FBT327822:FBT327832 FLP327822:FLP327832 FVL327822:FVL327832 GFH327822:GFH327832 GPD327822:GPD327832 GYZ327822:GYZ327832 HIV327822:HIV327832 HSR327822:HSR327832 ICN327822:ICN327832 IMJ327822:IMJ327832 IWF327822:IWF327832 JGB327822:JGB327832 JPX327822:JPX327832 JZT327822:JZT327832 KJP327822:KJP327832 KTL327822:KTL327832 LDH327822:LDH327832 LND327822:LND327832 LWZ327822:LWZ327832 MGV327822:MGV327832 MQR327822:MQR327832 NAN327822:NAN327832 NKJ327822:NKJ327832 NUF327822:NUF327832 OEB327822:OEB327832 ONX327822:ONX327832 OXT327822:OXT327832 PHP327822:PHP327832 PRL327822:PRL327832 QBH327822:QBH327832 QLD327822:QLD327832 QUZ327822:QUZ327832 REV327822:REV327832 ROR327822:ROR327832 RYN327822:RYN327832 SIJ327822:SIJ327832 SSF327822:SSF327832 TCB327822:TCB327832 TLX327822:TLX327832 TVT327822:TVT327832 UFP327822:UFP327832 UPL327822:UPL327832 UZH327822:UZH327832 VJD327822:VJD327832 VSZ327822:VSZ327832 WCV327822:WCV327832 WMR327822:WMR327832 WWN327822:WWN327832 AF393358:AF393368 KB393358:KB393368 TX393358:TX393368 ADT393358:ADT393368 ANP393358:ANP393368 AXL393358:AXL393368 BHH393358:BHH393368 BRD393358:BRD393368 CAZ393358:CAZ393368 CKV393358:CKV393368 CUR393358:CUR393368 DEN393358:DEN393368 DOJ393358:DOJ393368 DYF393358:DYF393368 EIB393358:EIB393368 ERX393358:ERX393368 FBT393358:FBT393368 FLP393358:FLP393368 FVL393358:FVL393368 GFH393358:GFH393368 GPD393358:GPD393368 GYZ393358:GYZ393368 HIV393358:HIV393368 HSR393358:HSR393368 ICN393358:ICN393368 IMJ393358:IMJ393368 IWF393358:IWF393368 JGB393358:JGB393368 JPX393358:JPX393368 JZT393358:JZT393368 KJP393358:KJP393368 KTL393358:KTL393368 LDH393358:LDH393368 LND393358:LND393368 LWZ393358:LWZ393368 MGV393358:MGV393368 MQR393358:MQR393368 NAN393358:NAN393368 NKJ393358:NKJ393368 NUF393358:NUF393368 OEB393358:OEB393368 ONX393358:ONX393368 OXT393358:OXT393368 PHP393358:PHP393368 PRL393358:PRL393368 QBH393358:QBH393368 QLD393358:QLD393368 QUZ393358:QUZ393368 REV393358:REV393368 ROR393358:ROR393368 RYN393358:RYN393368 SIJ393358:SIJ393368 SSF393358:SSF393368 TCB393358:TCB393368 TLX393358:TLX393368 TVT393358:TVT393368 UFP393358:UFP393368 UPL393358:UPL393368 UZH393358:UZH393368 VJD393358:VJD393368 VSZ393358:VSZ393368 WCV393358:WCV393368 WMR393358:WMR393368 WWN393358:WWN393368 AF458894:AF458904 KB458894:KB458904 TX458894:TX458904 ADT458894:ADT458904 ANP458894:ANP458904 AXL458894:AXL458904 BHH458894:BHH458904 BRD458894:BRD458904 CAZ458894:CAZ458904 CKV458894:CKV458904 CUR458894:CUR458904 DEN458894:DEN458904 DOJ458894:DOJ458904 DYF458894:DYF458904 EIB458894:EIB458904 ERX458894:ERX458904 FBT458894:FBT458904 FLP458894:FLP458904 FVL458894:FVL458904 GFH458894:GFH458904 GPD458894:GPD458904 GYZ458894:GYZ458904 HIV458894:HIV458904 HSR458894:HSR458904 ICN458894:ICN458904 IMJ458894:IMJ458904 IWF458894:IWF458904 JGB458894:JGB458904 JPX458894:JPX458904 JZT458894:JZT458904 KJP458894:KJP458904 KTL458894:KTL458904 LDH458894:LDH458904 LND458894:LND458904 LWZ458894:LWZ458904 MGV458894:MGV458904 MQR458894:MQR458904 NAN458894:NAN458904 NKJ458894:NKJ458904 NUF458894:NUF458904 OEB458894:OEB458904 ONX458894:ONX458904 OXT458894:OXT458904 PHP458894:PHP458904 PRL458894:PRL458904 QBH458894:QBH458904 QLD458894:QLD458904 QUZ458894:QUZ458904 REV458894:REV458904 ROR458894:ROR458904 RYN458894:RYN458904 SIJ458894:SIJ458904 SSF458894:SSF458904 TCB458894:TCB458904 TLX458894:TLX458904 TVT458894:TVT458904 UFP458894:UFP458904 UPL458894:UPL458904 UZH458894:UZH458904 VJD458894:VJD458904 VSZ458894:VSZ458904 WCV458894:WCV458904 WMR458894:WMR458904 WWN458894:WWN458904 AF524430:AF524440 KB524430:KB524440 TX524430:TX524440 ADT524430:ADT524440 ANP524430:ANP524440 AXL524430:AXL524440 BHH524430:BHH524440 BRD524430:BRD524440 CAZ524430:CAZ524440 CKV524430:CKV524440 CUR524430:CUR524440 DEN524430:DEN524440 DOJ524430:DOJ524440 DYF524430:DYF524440 EIB524430:EIB524440 ERX524430:ERX524440 FBT524430:FBT524440 FLP524430:FLP524440 FVL524430:FVL524440 GFH524430:GFH524440 GPD524430:GPD524440 GYZ524430:GYZ524440 HIV524430:HIV524440 HSR524430:HSR524440 ICN524430:ICN524440 IMJ524430:IMJ524440 IWF524430:IWF524440 JGB524430:JGB524440 JPX524430:JPX524440 JZT524430:JZT524440 KJP524430:KJP524440 KTL524430:KTL524440 LDH524430:LDH524440 LND524430:LND524440 LWZ524430:LWZ524440 MGV524430:MGV524440 MQR524430:MQR524440 NAN524430:NAN524440 NKJ524430:NKJ524440 NUF524430:NUF524440 OEB524430:OEB524440 ONX524430:ONX524440 OXT524430:OXT524440 PHP524430:PHP524440 PRL524430:PRL524440 QBH524430:QBH524440 QLD524430:QLD524440 QUZ524430:QUZ524440 REV524430:REV524440 ROR524430:ROR524440 RYN524430:RYN524440 SIJ524430:SIJ524440 SSF524430:SSF524440 TCB524430:TCB524440 TLX524430:TLX524440 TVT524430:TVT524440 UFP524430:UFP524440 UPL524430:UPL524440 UZH524430:UZH524440 VJD524430:VJD524440 VSZ524430:VSZ524440 WCV524430:WCV524440 WMR524430:WMR524440 WWN524430:WWN524440 AF589966:AF589976 KB589966:KB589976 TX589966:TX589976 ADT589966:ADT589976 ANP589966:ANP589976 AXL589966:AXL589976 BHH589966:BHH589976 BRD589966:BRD589976 CAZ589966:CAZ589976 CKV589966:CKV589976 CUR589966:CUR589976 DEN589966:DEN589976 DOJ589966:DOJ589976 DYF589966:DYF589976 EIB589966:EIB589976 ERX589966:ERX589976 FBT589966:FBT589976 FLP589966:FLP589976 FVL589966:FVL589976 GFH589966:GFH589976 GPD589966:GPD589976 GYZ589966:GYZ589976 HIV589966:HIV589976 HSR589966:HSR589976 ICN589966:ICN589976 IMJ589966:IMJ589976 IWF589966:IWF589976 JGB589966:JGB589976 JPX589966:JPX589976 JZT589966:JZT589976 KJP589966:KJP589976 KTL589966:KTL589976 LDH589966:LDH589976 LND589966:LND589976 LWZ589966:LWZ589976 MGV589966:MGV589976 MQR589966:MQR589976 NAN589966:NAN589976 NKJ589966:NKJ589976 NUF589966:NUF589976 OEB589966:OEB589976 ONX589966:ONX589976 OXT589966:OXT589976 PHP589966:PHP589976 PRL589966:PRL589976 QBH589966:QBH589976 QLD589966:QLD589976 QUZ589966:QUZ589976 REV589966:REV589976 ROR589966:ROR589976 RYN589966:RYN589976 SIJ589966:SIJ589976 SSF589966:SSF589976 TCB589966:TCB589976 TLX589966:TLX589976 TVT589966:TVT589976 UFP589966:UFP589976 UPL589966:UPL589976 UZH589966:UZH589976 VJD589966:VJD589976 VSZ589966:VSZ589976 WCV589966:WCV589976 WMR589966:WMR589976 WWN589966:WWN589976 AF655502:AF655512 KB655502:KB655512 TX655502:TX655512 ADT655502:ADT655512 ANP655502:ANP655512 AXL655502:AXL655512 BHH655502:BHH655512 BRD655502:BRD655512 CAZ655502:CAZ655512 CKV655502:CKV655512 CUR655502:CUR655512 DEN655502:DEN655512 DOJ655502:DOJ655512 DYF655502:DYF655512 EIB655502:EIB655512 ERX655502:ERX655512 FBT655502:FBT655512 FLP655502:FLP655512 FVL655502:FVL655512 GFH655502:GFH655512 GPD655502:GPD655512 GYZ655502:GYZ655512 HIV655502:HIV655512 HSR655502:HSR655512 ICN655502:ICN655512 IMJ655502:IMJ655512 IWF655502:IWF655512 JGB655502:JGB655512 JPX655502:JPX655512 JZT655502:JZT655512 KJP655502:KJP655512 KTL655502:KTL655512 LDH655502:LDH655512 LND655502:LND655512 LWZ655502:LWZ655512 MGV655502:MGV655512 MQR655502:MQR655512 NAN655502:NAN655512 NKJ655502:NKJ655512 NUF655502:NUF655512 OEB655502:OEB655512 ONX655502:ONX655512 OXT655502:OXT655512 PHP655502:PHP655512 PRL655502:PRL655512 QBH655502:QBH655512 QLD655502:QLD655512 QUZ655502:QUZ655512 REV655502:REV655512 ROR655502:ROR655512 RYN655502:RYN655512 SIJ655502:SIJ655512 SSF655502:SSF655512 TCB655502:TCB655512 TLX655502:TLX655512 TVT655502:TVT655512 UFP655502:UFP655512 UPL655502:UPL655512 UZH655502:UZH655512 VJD655502:VJD655512 VSZ655502:VSZ655512 WCV655502:WCV655512 WMR655502:WMR655512 WWN655502:WWN655512 AF721038:AF721048 KB721038:KB721048 TX721038:TX721048 ADT721038:ADT721048 ANP721038:ANP721048 AXL721038:AXL721048 BHH721038:BHH721048 BRD721038:BRD721048 CAZ721038:CAZ721048 CKV721038:CKV721048 CUR721038:CUR721048 DEN721038:DEN721048 DOJ721038:DOJ721048 DYF721038:DYF721048 EIB721038:EIB721048 ERX721038:ERX721048 FBT721038:FBT721048 FLP721038:FLP721048 FVL721038:FVL721048 GFH721038:GFH721048 GPD721038:GPD721048 GYZ721038:GYZ721048 HIV721038:HIV721048 HSR721038:HSR721048 ICN721038:ICN721048 IMJ721038:IMJ721048 IWF721038:IWF721048 JGB721038:JGB721048 JPX721038:JPX721048 JZT721038:JZT721048 KJP721038:KJP721048 KTL721038:KTL721048 LDH721038:LDH721048 LND721038:LND721048 LWZ721038:LWZ721048 MGV721038:MGV721048 MQR721038:MQR721048 NAN721038:NAN721048 NKJ721038:NKJ721048 NUF721038:NUF721048 OEB721038:OEB721048 ONX721038:ONX721048 OXT721038:OXT721048 PHP721038:PHP721048 PRL721038:PRL721048 QBH721038:QBH721048 QLD721038:QLD721048 QUZ721038:QUZ721048 REV721038:REV721048 ROR721038:ROR721048 RYN721038:RYN721048 SIJ721038:SIJ721048 SSF721038:SSF721048 TCB721038:TCB721048 TLX721038:TLX721048 TVT721038:TVT721048 UFP721038:UFP721048 UPL721038:UPL721048 UZH721038:UZH721048 VJD721038:VJD721048 VSZ721038:VSZ721048 WCV721038:WCV721048 WMR721038:WMR721048 WWN721038:WWN721048 AF786574:AF786584 KB786574:KB786584 TX786574:TX786584 ADT786574:ADT786584 ANP786574:ANP786584 AXL786574:AXL786584 BHH786574:BHH786584 BRD786574:BRD786584 CAZ786574:CAZ786584 CKV786574:CKV786584 CUR786574:CUR786584 DEN786574:DEN786584 DOJ786574:DOJ786584 DYF786574:DYF786584 EIB786574:EIB786584 ERX786574:ERX786584 FBT786574:FBT786584 FLP786574:FLP786584 FVL786574:FVL786584 GFH786574:GFH786584 GPD786574:GPD786584 GYZ786574:GYZ786584 HIV786574:HIV786584 HSR786574:HSR786584 ICN786574:ICN786584 IMJ786574:IMJ786584 IWF786574:IWF786584 JGB786574:JGB786584 JPX786574:JPX786584 JZT786574:JZT786584 KJP786574:KJP786584 KTL786574:KTL786584 LDH786574:LDH786584 LND786574:LND786584 LWZ786574:LWZ786584 MGV786574:MGV786584 MQR786574:MQR786584 NAN786574:NAN786584 NKJ786574:NKJ786584 NUF786574:NUF786584 OEB786574:OEB786584 ONX786574:ONX786584 OXT786574:OXT786584 PHP786574:PHP786584 PRL786574:PRL786584 QBH786574:QBH786584 QLD786574:QLD786584 QUZ786574:QUZ786584 REV786574:REV786584 ROR786574:ROR786584 RYN786574:RYN786584 SIJ786574:SIJ786584 SSF786574:SSF786584 TCB786574:TCB786584 TLX786574:TLX786584 TVT786574:TVT786584 UFP786574:UFP786584 UPL786574:UPL786584 UZH786574:UZH786584 VJD786574:VJD786584 VSZ786574:VSZ786584 WCV786574:WCV786584 WMR786574:WMR786584 WWN786574:WWN786584 AF852110:AF852120 KB852110:KB852120 TX852110:TX852120 ADT852110:ADT852120 ANP852110:ANP852120 AXL852110:AXL852120 BHH852110:BHH852120 BRD852110:BRD852120 CAZ852110:CAZ852120 CKV852110:CKV852120 CUR852110:CUR852120 DEN852110:DEN852120 DOJ852110:DOJ852120 DYF852110:DYF852120 EIB852110:EIB852120 ERX852110:ERX852120 FBT852110:FBT852120 FLP852110:FLP852120 FVL852110:FVL852120 GFH852110:GFH852120 GPD852110:GPD852120 GYZ852110:GYZ852120 HIV852110:HIV852120 HSR852110:HSR852120 ICN852110:ICN852120 IMJ852110:IMJ852120 IWF852110:IWF852120 JGB852110:JGB852120 JPX852110:JPX852120 JZT852110:JZT852120 KJP852110:KJP852120 KTL852110:KTL852120 LDH852110:LDH852120 LND852110:LND852120 LWZ852110:LWZ852120 MGV852110:MGV852120 MQR852110:MQR852120 NAN852110:NAN852120 NKJ852110:NKJ852120 NUF852110:NUF852120 OEB852110:OEB852120 ONX852110:ONX852120 OXT852110:OXT852120 PHP852110:PHP852120 PRL852110:PRL852120 QBH852110:QBH852120 QLD852110:QLD852120 QUZ852110:QUZ852120 REV852110:REV852120 ROR852110:ROR852120 RYN852110:RYN852120 SIJ852110:SIJ852120 SSF852110:SSF852120 TCB852110:TCB852120 TLX852110:TLX852120 TVT852110:TVT852120 UFP852110:UFP852120 UPL852110:UPL852120 UZH852110:UZH852120 VJD852110:VJD852120 VSZ852110:VSZ852120 WCV852110:WCV852120 WMR852110:WMR852120 WWN852110:WWN852120 AF917646:AF917656 KB917646:KB917656 TX917646:TX917656 ADT917646:ADT917656 ANP917646:ANP917656 AXL917646:AXL917656 BHH917646:BHH917656 BRD917646:BRD917656 CAZ917646:CAZ917656 CKV917646:CKV917656 CUR917646:CUR917656 DEN917646:DEN917656 DOJ917646:DOJ917656 DYF917646:DYF917656 EIB917646:EIB917656 ERX917646:ERX917656 FBT917646:FBT917656 FLP917646:FLP917656 FVL917646:FVL917656 GFH917646:GFH917656 GPD917646:GPD917656 GYZ917646:GYZ917656 HIV917646:HIV917656 HSR917646:HSR917656 ICN917646:ICN917656 IMJ917646:IMJ917656 IWF917646:IWF917656 JGB917646:JGB917656 JPX917646:JPX917656 JZT917646:JZT917656 KJP917646:KJP917656 KTL917646:KTL917656 LDH917646:LDH917656 LND917646:LND917656 LWZ917646:LWZ917656 MGV917646:MGV917656 MQR917646:MQR917656 NAN917646:NAN917656 NKJ917646:NKJ917656 NUF917646:NUF917656 OEB917646:OEB917656 ONX917646:ONX917656 OXT917646:OXT917656 PHP917646:PHP917656 PRL917646:PRL917656 QBH917646:QBH917656 QLD917646:QLD917656 QUZ917646:QUZ917656 REV917646:REV917656 ROR917646:ROR917656 RYN917646:RYN917656 SIJ917646:SIJ917656 SSF917646:SSF917656 TCB917646:TCB917656 TLX917646:TLX917656 TVT917646:TVT917656 UFP917646:UFP917656 UPL917646:UPL917656 UZH917646:UZH917656 VJD917646:VJD917656 VSZ917646:VSZ917656 WCV917646:WCV917656 WMR917646:WMR917656 WWN917646:WWN917656 AF983182:AF983192 KB983182:KB983192 TX983182:TX983192 ADT983182:ADT983192 ANP983182:ANP983192 AXL983182:AXL983192 BHH983182:BHH983192 BRD983182:BRD983192 CAZ983182:CAZ983192 CKV983182:CKV983192 CUR983182:CUR983192 DEN983182:DEN983192 DOJ983182:DOJ983192 DYF983182:DYF983192 EIB983182:EIB983192 ERX983182:ERX983192 FBT983182:FBT983192 FLP983182:FLP983192 FVL983182:FVL983192 GFH983182:GFH983192 GPD983182:GPD983192 GYZ983182:GYZ983192 HIV983182:HIV983192 HSR983182:HSR983192 ICN983182:ICN983192 IMJ983182:IMJ983192 IWF983182:IWF983192 JGB983182:JGB983192 JPX983182:JPX983192 JZT983182:JZT983192 KJP983182:KJP983192 KTL983182:KTL983192 LDH983182:LDH983192 LND983182:LND983192 LWZ983182:LWZ983192 MGV983182:MGV983192 MQR983182:MQR983192 NAN983182:NAN983192 NKJ983182:NKJ983192 NUF983182:NUF983192 OEB983182:OEB983192 ONX983182:ONX983192 OXT983182:OXT983192 PHP983182:PHP983192 PRL983182:PRL983192 QBH983182:QBH983192 QLD983182:QLD983192 QUZ983182:QUZ983192 REV983182:REV983192 ROR983182:ROR983192 RYN983182:RYN983192 SIJ983182:SIJ983192 SSF983182:SSF983192 TCB983182:TCB983192 TLX983182:TLX983192 TVT983182:TVT983192 UFP983182:UFP983192 UPL983182:UPL983192 UZH983182:UZH983192 VJD983182:VJD983192 VSZ983182:VSZ983192 WCV983182:WCV983192 WMR983182:WMR983192 WWN983182:WWN983192 KB137:KB139 TX137:TX139 ADT137:ADT139 ANP137:ANP139 AXL137:AXL139 BHH137:BHH139 BRD137:BRD139 CAZ137:CAZ139 CKV137:CKV139 CUR137:CUR139 DEN137:DEN139 DOJ137:DOJ139 DYF137:DYF139 EIB137:EIB139 ERX137:ERX139 FBT137:FBT139 FLP137:FLP139 FVL137:FVL139 GFH137:GFH139 GPD137:GPD139 GYZ137:GYZ139 HIV137:HIV139 HSR137:HSR139 ICN137:ICN139 IMJ137:IMJ139 IWF137:IWF139 JGB137:JGB139 JPX137:JPX139 JZT137:JZT139 KJP137:KJP139 KTL137:KTL139 LDH137:LDH139 LND137:LND139 LWZ137:LWZ139 MGV137:MGV139 MQR137:MQR139 NAN137:NAN139 NKJ137:NKJ139 NUF137:NUF139 OEB137:OEB139 ONX137:ONX139 OXT137:OXT139 PHP137:PHP139 PRL137:PRL139 QBH137:QBH139 QLD137:QLD139 QUZ137:QUZ139 REV137:REV139 ROR137:ROR139 RYN137:RYN139 SIJ137:SIJ139 SSF137:SSF139 TCB137:TCB139 TLX137:TLX139 TVT137:TVT139 UFP137:UFP139 UPL137:UPL139 UZH137:UZH139 VJD137:VJD139 VSZ137:VSZ139 WCV137:WCV139 WMR137:WMR139 WWN137:WWN139 AF65674:AF65676 KB65674:KB65676 TX65674:TX65676 ADT65674:ADT65676 ANP65674:ANP65676 AXL65674:AXL65676 BHH65674:BHH65676 BRD65674:BRD65676 CAZ65674:CAZ65676 CKV65674:CKV65676 CUR65674:CUR65676 DEN65674:DEN65676 DOJ65674:DOJ65676 DYF65674:DYF65676 EIB65674:EIB65676 ERX65674:ERX65676 FBT65674:FBT65676 FLP65674:FLP65676 FVL65674:FVL65676 GFH65674:GFH65676 GPD65674:GPD65676 GYZ65674:GYZ65676 HIV65674:HIV65676 HSR65674:HSR65676 ICN65674:ICN65676 IMJ65674:IMJ65676 IWF65674:IWF65676 JGB65674:JGB65676 JPX65674:JPX65676 JZT65674:JZT65676 KJP65674:KJP65676 KTL65674:KTL65676 LDH65674:LDH65676 LND65674:LND65676 LWZ65674:LWZ65676 MGV65674:MGV65676 MQR65674:MQR65676 NAN65674:NAN65676 NKJ65674:NKJ65676 NUF65674:NUF65676 OEB65674:OEB65676 ONX65674:ONX65676 OXT65674:OXT65676 PHP65674:PHP65676 PRL65674:PRL65676 QBH65674:QBH65676 QLD65674:QLD65676 QUZ65674:QUZ65676 REV65674:REV65676 ROR65674:ROR65676 RYN65674:RYN65676 SIJ65674:SIJ65676 SSF65674:SSF65676 TCB65674:TCB65676 TLX65674:TLX65676 TVT65674:TVT65676 UFP65674:UFP65676 UPL65674:UPL65676 UZH65674:UZH65676 VJD65674:VJD65676 VSZ65674:VSZ65676 WCV65674:WCV65676 WMR65674:WMR65676 WWN65674:WWN65676 AF131210:AF131212 KB131210:KB131212 TX131210:TX131212 ADT131210:ADT131212 ANP131210:ANP131212 AXL131210:AXL131212 BHH131210:BHH131212 BRD131210:BRD131212 CAZ131210:CAZ131212 CKV131210:CKV131212 CUR131210:CUR131212 DEN131210:DEN131212 DOJ131210:DOJ131212 DYF131210:DYF131212 EIB131210:EIB131212 ERX131210:ERX131212 FBT131210:FBT131212 FLP131210:FLP131212 FVL131210:FVL131212 GFH131210:GFH131212 GPD131210:GPD131212 GYZ131210:GYZ131212 HIV131210:HIV131212 HSR131210:HSR131212 ICN131210:ICN131212 IMJ131210:IMJ131212 IWF131210:IWF131212 JGB131210:JGB131212 JPX131210:JPX131212 JZT131210:JZT131212 KJP131210:KJP131212 KTL131210:KTL131212 LDH131210:LDH131212 LND131210:LND131212 LWZ131210:LWZ131212 MGV131210:MGV131212 MQR131210:MQR131212 NAN131210:NAN131212 NKJ131210:NKJ131212 NUF131210:NUF131212 OEB131210:OEB131212 ONX131210:ONX131212 OXT131210:OXT131212 PHP131210:PHP131212 PRL131210:PRL131212 QBH131210:QBH131212 QLD131210:QLD131212 QUZ131210:QUZ131212 REV131210:REV131212 ROR131210:ROR131212 RYN131210:RYN131212 SIJ131210:SIJ131212 SSF131210:SSF131212 TCB131210:TCB131212 TLX131210:TLX131212 TVT131210:TVT131212 UFP131210:UFP131212 UPL131210:UPL131212 UZH131210:UZH131212 VJD131210:VJD131212 VSZ131210:VSZ131212 WCV131210:WCV131212 WMR131210:WMR131212 WWN131210:WWN131212 AF196746:AF196748 KB196746:KB196748 TX196746:TX196748 ADT196746:ADT196748 ANP196746:ANP196748 AXL196746:AXL196748 BHH196746:BHH196748 BRD196746:BRD196748 CAZ196746:CAZ196748 CKV196746:CKV196748 CUR196746:CUR196748 DEN196746:DEN196748 DOJ196746:DOJ196748 DYF196746:DYF196748 EIB196746:EIB196748 ERX196746:ERX196748 FBT196746:FBT196748 FLP196746:FLP196748 FVL196746:FVL196748 GFH196746:GFH196748 GPD196746:GPD196748 GYZ196746:GYZ196748 HIV196746:HIV196748 HSR196746:HSR196748 ICN196746:ICN196748 IMJ196746:IMJ196748 IWF196746:IWF196748 JGB196746:JGB196748 JPX196746:JPX196748 JZT196746:JZT196748 KJP196746:KJP196748 KTL196746:KTL196748 LDH196746:LDH196748 LND196746:LND196748 LWZ196746:LWZ196748 MGV196746:MGV196748 MQR196746:MQR196748 NAN196746:NAN196748 NKJ196746:NKJ196748 NUF196746:NUF196748 OEB196746:OEB196748 ONX196746:ONX196748 OXT196746:OXT196748 PHP196746:PHP196748 PRL196746:PRL196748 QBH196746:QBH196748 QLD196746:QLD196748 QUZ196746:QUZ196748 REV196746:REV196748 ROR196746:ROR196748 RYN196746:RYN196748 SIJ196746:SIJ196748 SSF196746:SSF196748 TCB196746:TCB196748 TLX196746:TLX196748 TVT196746:TVT196748 UFP196746:UFP196748 UPL196746:UPL196748 UZH196746:UZH196748 VJD196746:VJD196748 VSZ196746:VSZ196748 WCV196746:WCV196748 WMR196746:WMR196748 WWN196746:WWN196748 AF262282:AF262284 KB262282:KB262284 TX262282:TX262284 ADT262282:ADT262284 ANP262282:ANP262284 AXL262282:AXL262284 BHH262282:BHH262284 BRD262282:BRD262284 CAZ262282:CAZ262284 CKV262282:CKV262284 CUR262282:CUR262284 DEN262282:DEN262284 DOJ262282:DOJ262284 DYF262282:DYF262284 EIB262282:EIB262284 ERX262282:ERX262284 FBT262282:FBT262284 FLP262282:FLP262284 FVL262282:FVL262284 GFH262282:GFH262284 GPD262282:GPD262284 GYZ262282:GYZ262284 HIV262282:HIV262284 HSR262282:HSR262284 ICN262282:ICN262284 IMJ262282:IMJ262284 IWF262282:IWF262284 JGB262282:JGB262284 JPX262282:JPX262284 JZT262282:JZT262284 KJP262282:KJP262284 KTL262282:KTL262284 LDH262282:LDH262284 LND262282:LND262284 LWZ262282:LWZ262284 MGV262282:MGV262284 MQR262282:MQR262284 NAN262282:NAN262284 NKJ262282:NKJ262284 NUF262282:NUF262284 OEB262282:OEB262284 ONX262282:ONX262284 OXT262282:OXT262284 PHP262282:PHP262284 PRL262282:PRL262284 QBH262282:QBH262284 QLD262282:QLD262284 QUZ262282:QUZ262284 REV262282:REV262284 ROR262282:ROR262284 RYN262282:RYN262284 SIJ262282:SIJ262284 SSF262282:SSF262284 TCB262282:TCB262284 TLX262282:TLX262284 TVT262282:TVT262284 UFP262282:UFP262284 UPL262282:UPL262284 UZH262282:UZH262284 VJD262282:VJD262284 VSZ262282:VSZ262284 WCV262282:WCV262284 WMR262282:WMR262284 WWN262282:WWN262284 AF327818:AF327820 KB327818:KB327820 TX327818:TX327820 ADT327818:ADT327820 ANP327818:ANP327820 AXL327818:AXL327820 BHH327818:BHH327820 BRD327818:BRD327820 CAZ327818:CAZ327820 CKV327818:CKV327820 CUR327818:CUR327820 DEN327818:DEN327820 DOJ327818:DOJ327820 DYF327818:DYF327820 EIB327818:EIB327820 ERX327818:ERX327820 FBT327818:FBT327820 FLP327818:FLP327820 FVL327818:FVL327820 GFH327818:GFH327820 GPD327818:GPD327820 GYZ327818:GYZ327820 HIV327818:HIV327820 HSR327818:HSR327820 ICN327818:ICN327820 IMJ327818:IMJ327820 IWF327818:IWF327820 JGB327818:JGB327820 JPX327818:JPX327820 JZT327818:JZT327820 KJP327818:KJP327820 KTL327818:KTL327820 LDH327818:LDH327820 LND327818:LND327820 LWZ327818:LWZ327820 MGV327818:MGV327820 MQR327818:MQR327820 NAN327818:NAN327820 NKJ327818:NKJ327820 NUF327818:NUF327820 OEB327818:OEB327820 ONX327818:ONX327820 OXT327818:OXT327820 PHP327818:PHP327820 PRL327818:PRL327820 QBH327818:QBH327820 QLD327818:QLD327820 QUZ327818:QUZ327820 REV327818:REV327820 ROR327818:ROR327820 RYN327818:RYN327820 SIJ327818:SIJ327820 SSF327818:SSF327820 TCB327818:TCB327820 TLX327818:TLX327820 TVT327818:TVT327820 UFP327818:UFP327820 UPL327818:UPL327820 UZH327818:UZH327820 VJD327818:VJD327820 VSZ327818:VSZ327820 WCV327818:WCV327820 WMR327818:WMR327820 WWN327818:WWN327820 AF393354:AF393356 KB393354:KB393356 TX393354:TX393356 ADT393354:ADT393356 ANP393354:ANP393356 AXL393354:AXL393356 BHH393354:BHH393356 BRD393354:BRD393356 CAZ393354:CAZ393356 CKV393354:CKV393356 CUR393354:CUR393356 DEN393354:DEN393356 DOJ393354:DOJ393356 DYF393354:DYF393356 EIB393354:EIB393356 ERX393354:ERX393356 FBT393354:FBT393356 FLP393354:FLP393356 FVL393354:FVL393356 GFH393354:GFH393356 GPD393354:GPD393356 GYZ393354:GYZ393356 HIV393354:HIV393356 HSR393354:HSR393356 ICN393354:ICN393356 IMJ393354:IMJ393356 IWF393354:IWF393356 JGB393354:JGB393356 JPX393354:JPX393356 JZT393354:JZT393356 KJP393354:KJP393356 KTL393354:KTL393356 LDH393354:LDH393356 LND393354:LND393356 LWZ393354:LWZ393356 MGV393354:MGV393356 MQR393354:MQR393356 NAN393354:NAN393356 NKJ393354:NKJ393356 NUF393354:NUF393356 OEB393354:OEB393356 ONX393354:ONX393356 OXT393354:OXT393356 PHP393354:PHP393356 PRL393354:PRL393356 QBH393354:QBH393356 QLD393354:QLD393356 QUZ393354:QUZ393356 REV393354:REV393356 ROR393354:ROR393356 RYN393354:RYN393356 SIJ393354:SIJ393356 SSF393354:SSF393356 TCB393354:TCB393356 TLX393354:TLX393356 TVT393354:TVT393356 UFP393354:UFP393356 UPL393354:UPL393356 UZH393354:UZH393356 VJD393354:VJD393356 VSZ393354:VSZ393356 WCV393354:WCV393356 WMR393354:WMR393356 WWN393354:WWN393356 AF458890:AF458892 KB458890:KB458892 TX458890:TX458892 ADT458890:ADT458892 ANP458890:ANP458892 AXL458890:AXL458892 BHH458890:BHH458892 BRD458890:BRD458892 CAZ458890:CAZ458892 CKV458890:CKV458892 CUR458890:CUR458892 DEN458890:DEN458892 DOJ458890:DOJ458892 DYF458890:DYF458892 EIB458890:EIB458892 ERX458890:ERX458892 FBT458890:FBT458892 FLP458890:FLP458892 FVL458890:FVL458892 GFH458890:GFH458892 GPD458890:GPD458892 GYZ458890:GYZ458892 HIV458890:HIV458892 HSR458890:HSR458892 ICN458890:ICN458892 IMJ458890:IMJ458892 IWF458890:IWF458892 JGB458890:JGB458892 JPX458890:JPX458892 JZT458890:JZT458892 KJP458890:KJP458892 KTL458890:KTL458892 LDH458890:LDH458892 LND458890:LND458892 LWZ458890:LWZ458892 MGV458890:MGV458892 MQR458890:MQR458892 NAN458890:NAN458892 NKJ458890:NKJ458892 NUF458890:NUF458892 OEB458890:OEB458892 ONX458890:ONX458892 OXT458890:OXT458892 PHP458890:PHP458892 PRL458890:PRL458892 QBH458890:QBH458892 QLD458890:QLD458892 QUZ458890:QUZ458892 REV458890:REV458892 ROR458890:ROR458892 RYN458890:RYN458892 SIJ458890:SIJ458892 SSF458890:SSF458892 TCB458890:TCB458892 TLX458890:TLX458892 TVT458890:TVT458892 UFP458890:UFP458892 UPL458890:UPL458892 UZH458890:UZH458892 VJD458890:VJD458892 VSZ458890:VSZ458892 WCV458890:WCV458892 WMR458890:WMR458892 WWN458890:WWN458892 AF524426:AF524428 KB524426:KB524428 TX524426:TX524428 ADT524426:ADT524428 ANP524426:ANP524428 AXL524426:AXL524428 BHH524426:BHH524428 BRD524426:BRD524428 CAZ524426:CAZ524428 CKV524426:CKV524428 CUR524426:CUR524428 DEN524426:DEN524428 DOJ524426:DOJ524428 DYF524426:DYF524428 EIB524426:EIB524428 ERX524426:ERX524428 FBT524426:FBT524428 FLP524426:FLP524428 FVL524426:FVL524428 GFH524426:GFH524428 GPD524426:GPD524428 GYZ524426:GYZ524428 HIV524426:HIV524428 HSR524426:HSR524428 ICN524426:ICN524428 IMJ524426:IMJ524428 IWF524426:IWF524428 JGB524426:JGB524428 JPX524426:JPX524428 JZT524426:JZT524428 KJP524426:KJP524428 KTL524426:KTL524428 LDH524426:LDH524428 LND524426:LND524428 LWZ524426:LWZ524428 MGV524426:MGV524428 MQR524426:MQR524428 NAN524426:NAN524428 NKJ524426:NKJ524428 NUF524426:NUF524428 OEB524426:OEB524428 ONX524426:ONX524428 OXT524426:OXT524428 PHP524426:PHP524428 PRL524426:PRL524428 QBH524426:QBH524428 QLD524426:QLD524428 QUZ524426:QUZ524428 REV524426:REV524428 ROR524426:ROR524428 RYN524426:RYN524428 SIJ524426:SIJ524428 SSF524426:SSF524428 TCB524426:TCB524428 TLX524426:TLX524428 TVT524426:TVT524428 UFP524426:UFP524428 UPL524426:UPL524428 UZH524426:UZH524428 VJD524426:VJD524428 VSZ524426:VSZ524428 WCV524426:WCV524428 WMR524426:WMR524428 WWN524426:WWN524428 AF589962:AF589964 KB589962:KB589964 TX589962:TX589964 ADT589962:ADT589964 ANP589962:ANP589964 AXL589962:AXL589964 BHH589962:BHH589964 BRD589962:BRD589964 CAZ589962:CAZ589964 CKV589962:CKV589964 CUR589962:CUR589964 DEN589962:DEN589964 DOJ589962:DOJ589964 DYF589962:DYF589964 EIB589962:EIB589964 ERX589962:ERX589964 FBT589962:FBT589964 FLP589962:FLP589964 FVL589962:FVL589964 GFH589962:GFH589964 GPD589962:GPD589964 GYZ589962:GYZ589964 HIV589962:HIV589964 HSR589962:HSR589964 ICN589962:ICN589964 IMJ589962:IMJ589964 IWF589962:IWF589964 JGB589962:JGB589964 JPX589962:JPX589964 JZT589962:JZT589964 KJP589962:KJP589964 KTL589962:KTL589964 LDH589962:LDH589964 LND589962:LND589964 LWZ589962:LWZ589964 MGV589962:MGV589964 MQR589962:MQR589964 NAN589962:NAN589964 NKJ589962:NKJ589964 NUF589962:NUF589964 OEB589962:OEB589964 ONX589962:ONX589964 OXT589962:OXT589964 PHP589962:PHP589964 PRL589962:PRL589964 QBH589962:QBH589964 QLD589962:QLD589964 QUZ589962:QUZ589964 REV589962:REV589964 ROR589962:ROR589964 RYN589962:RYN589964 SIJ589962:SIJ589964 SSF589962:SSF589964 TCB589962:TCB589964 TLX589962:TLX589964 TVT589962:TVT589964 UFP589962:UFP589964 UPL589962:UPL589964 UZH589962:UZH589964 VJD589962:VJD589964 VSZ589962:VSZ589964 WCV589962:WCV589964 WMR589962:WMR589964 WWN589962:WWN589964 AF655498:AF655500 KB655498:KB655500 TX655498:TX655500 ADT655498:ADT655500 ANP655498:ANP655500 AXL655498:AXL655500 BHH655498:BHH655500 BRD655498:BRD655500 CAZ655498:CAZ655500 CKV655498:CKV655500 CUR655498:CUR655500 DEN655498:DEN655500 DOJ655498:DOJ655500 DYF655498:DYF655500 EIB655498:EIB655500 ERX655498:ERX655500 FBT655498:FBT655500 FLP655498:FLP655500 FVL655498:FVL655500 GFH655498:GFH655500 GPD655498:GPD655500 GYZ655498:GYZ655500 HIV655498:HIV655500 HSR655498:HSR655500 ICN655498:ICN655500 IMJ655498:IMJ655500 IWF655498:IWF655500 JGB655498:JGB655500 JPX655498:JPX655500 JZT655498:JZT655500 KJP655498:KJP655500 KTL655498:KTL655500 LDH655498:LDH655500 LND655498:LND655500 LWZ655498:LWZ655500 MGV655498:MGV655500 MQR655498:MQR655500 NAN655498:NAN655500 NKJ655498:NKJ655500 NUF655498:NUF655500 OEB655498:OEB655500 ONX655498:ONX655500 OXT655498:OXT655500 PHP655498:PHP655500 PRL655498:PRL655500 QBH655498:QBH655500 QLD655498:QLD655500 QUZ655498:QUZ655500 REV655498:REV655500 ROR655498:ROR655500 RYN655498:RYN655500 SIJ655498:SIJ655500 SSF655498:SSF655500 TCB655498:TCB655500 TLX655498:TLX655500 TVT655498:TVT655500 UFP655498:UFP655500 UPL655498:UPL655500 UZH655498:UZH655500 VJD655498:VJD655500 VSZ655498:VSZ655500 WCV655498:WCV655500 WMR655498:WMR655500 WWN655498:WWN655500 AF721034:AF721036 KB721034:KB721036 TX721034:TX721036 ADT721034:ADT721036 ANP721034:ANP721036 AXL721034:AXL721036 BHH721034:BHH721036 BRD721034:BRD721036 CAZ721034:CAZ721036 CKV721034:CKV721036 CUR721034:CUR721036 DEN721034:DEN721036 DOJ721034:DOJ721036 DYF721034:DYF721036 EIB721034:EIB721036 ERX721034:ERX721036 FBT721034:FBT721036 FLP721034:FLP721036 FVL721034:FVL721036 GFH721034:GFH721036 GPD721034:GPD721036 GYZ721034:GYZ721036 HIV721034:HIV721036 HSR721034:HSR721036 ICN721034:ICN721036 IMJ721034:IMJ721036 IWF721034:IWF721036 JGB721034:JGB721036 JPX721034:JPX721036 JZT721034:JZT721036 KJP721034:KJP721036 KTL721034:KTL721036 LDH721034:LDH721036 LND721034:LND721036 LWZ721034:LWZ721036 MGV721034:MGV721036 MQR721034:MQR721036 NAN721034:NAN721036 NKJ721034:NKJ721036 NUF721034:NUF721036 OEB721034:OEB721036 ONX721034:ONX721036 OXT721034:OXT721036 PHP721034:PHP721036 PRL721034:PRL721036 QBH721034:QBH721036 QLD721034:QLD721036 QUZ721034:QUZ721036 REV721034:REV721036 ROR721034:ROR721036 RYN721034:RYN721036 SIJ721034:SIJ721036 SSF721034:SSF721036 TCB721034:TCB721036 TLX721034:TLX721036 TVT721034:TVT721036 UFP721034:UFP721036 UPL721034:UPL721036 UZH721034:UZH721036 VJD721034:VJD721036 VSZ721034:VSZ721036 WCV721034:WCV721036 WMR721034:WMR721036 WWN721034:WWN721036 AF786570:AF786572 KB786570:KB786572 TX786570:TX786572 ADT786570:ADT786572 ANP786570:ANP786572 AXL786570:AXL786572 BHH786570:BHH786572 BRD786570:BRD786572 CAZ786570:CAZ786572 CKV786570:CKV786572 CUR786570:CUR786572 DEN786570:DEN786572 DOJ786570:DOJ786572 DYF786570:DYF786572 EIB786570:EIB786572 ERX786570:ERX786572 FBT786570:FBT786572 FLP786570:FLP786572 FVL786570:FVL786572 GFH786570:GFH786572 GPD786570:GPD786572 GYZ786570:GYZ786572 HIV786570:HIV786572 HSR786570:HSR786572 ICN786570:ICN786572 IMJ786570:IMJ786572 IWF786570:IWF786572 JGB786570:JGB786572 JPX786570:JPX786572 JZT786570:JZT786572 KJP786570:KJP786572 KTL786570:KTL786572 LDH786570:LDH786572 LND786570:LND786572 LWZ786570:LWZ786572 MGV786570:MGV786572 MQR786570:MQR786572 NAN786570:NAN786572 NKJ786570:NKJ786572 NUF786570:NUF786572 OEB786570:OEB786572 ONX786570:ONX786572 OXT786570:OXT786572 PHP786570:PHP786572 PRL786570:PRL786572 QBH786570:QBH786572 QLD786570:QLD786572 QUZ786570:QUZ786572 REV786570:REV786572 ROR786570:ROR786572 RYN786570:RYN786572 SIJ786570:SIJ786572 SSF786570:SSF786572 TCB786570:TCB786572 TLX786570:TLX786572 TVT786570:TVT786572 UFP786570:UFP786572 UPL786570:UPL786572 UZH786570:UZH786572 VJD786570:VJD786572 VSZ786570:VSZ786572 WCV786570:WCV786572 WMR786570:WMR786572 WWN786570:WWN786572 AF852106:AF852108 KB852106:KB852108 TX852106:TX852108 ADT852106:ADT852108 ANP852106:ANP852108 AXL852106:AXL852108 BHH852106:BHH852108 BRD852106:BRD852108 CAZ852106:CAZ852108 CKV852106:CKV852108 CUR852106:CUR852108 DEN852106:DEN852108 DOJ852106:DOJ852108 DYF852106:DYF852108 EIB852106:EIB852108 ERX852106:ERX852108 FBT852106:FBT852108 FLP852106:FLP852108 FVL852106:FVL852108 GFH852106:GFH852108 GPD852106:GPD852108 GYZ852106:GYZ852108 HIV852106:HIV852108 HSR852106:HSR852108 ICN852106:ICN852108 IMJ852106:IMJ852108 IWF852106:IWF852108 JGB852106:JGB852108 JPX852106:JPX852108 JZT852106:JZT852108 KJP852106:KJP852108 KTL852106:KTL852108 LDH852106:LDH852108 LND852106:LND852108 LWZ852106:LWZ852108 MGV852106:MGV852108 MQR852106:MQR852108 NAN852106:NAN852108 NKJ852106:NKJ852108 NUF852106:NUF852108 OEB852106:OEB852108 ONX852106:ONX852108 OXT852106:OXT852108 PHP852106:PHP852108 PRL852106:PRL852108 QBH852106:QBH852108 QLD852106:QLD852108 QUZ852106:QUZ852108 REV852106:REV852108 ROR852106:ROR852108 RYN852106:RYN852108 SIJ852106:SIJ852108 SSF852106:SSF852108 TCB852106:TCB852108 TLX852106:TLX852108 TVT852106:TVT852108 UFP852106:UFP852108 UPL852106:UPL852108 UZH852106:UZH852108 VJD852106:VJD852108 VSZ852106:VSZ852108 WCV852106:WCV852108 WMR852106:WMR852108 WWN852106:WWN852108 AF917642:AF917644 KB917642:KB917644 TX917642:TX917644 ADT917642:ADT917644 ANP917642:ANP917644 AXL917642:AXL917644 BHH917642:BHH917644 BRD917642:BRD917644 CAZ917642:CAZ917644 CKV917642:CKV917644 CUR917642:CUR917644 DEN917642:DEN917644 DOJ917642:DOJ917644 DYF917642:DYF917644 EIB917642:EIB917644 ERX917642:ERX917644 FBT917642:FBT917644 FLP917642:FLP917644 FVL917642:FVL917644 GFH917642:GFH917644 GPD917642:GPD917644 GYZ917642:GYZ917644 HIV917642:HIV917644 HSR917642:HSR917644 ICN917642:ICN917644 IMJ917642:IMJ917644 IWF917642:IWF917644 JGB917642:JGB917644 JPX917642:JPX917644 JZT917642:JZT917644 KJP917642:KJP917644 KTL917642:KTL917644 LDH917642:LDH917644 LND917642:LND917644 LWZ917642:LWZ917644 MGV917642:MGV917644 MQR917642:MQR917644 NAN917642:NAN917644 NKJ917642:NKJ917644 NUF917642:NUF917644 OEB917642:OEB917644 ONX917642:ONX917644 OXT917642:OXT917644 PHP917642:PHP917644 PRL917642:PRL917644 QBH917642:QBH917644 QLD917642:QLD917644 QUZ917642:QUZ917644 REV917642:REV917644 ROR917642:ROR917644 RYN917642:RYN917644 SIJ917642:SIJ917644 SSF917642:SSF917644 TCB917642:TCB917644 TLX917642:TLX917644 TVT917642:TVT917644 UFP917642:UFP917644 UPL917642:UPL917644 UZH917642:UZH917644 VJD917642:VJD917644 VSZ917642:VSZ917644 WCV917642:WCV917644 WMR917642:WMR917644 WWN917642:WWN917644 AF983178:AF983180 KB983178:KB983180 TX983178:TX983180 ADT983178:ADT983180 ANP983178:ANP983180 AXL983178:AXL983180 BHH983178:BHH983180 BRD983178:BRD983180 CAZ983178:CAZ983180 CKV983178:CKV983180 CUR983178:CUR983180 DEN983178:DEN983180 DOJ983178:DOJ983180 DYF983178:DYF983180 EIB983178:EIB983180 ERX983178:ERX983180 FBT983178:FBT983180 FLP983178:FLP983180 FVL983178:FVL983180 GFH983178:GFH983180 GPD983178:GPD983180 GYZ983178:GYZ983180 HIV983178:HIV983180 HSR983178:HSR983180 ICN983178:ICN983180 IMJ983178:IMJ983180 IWF983178:IWF983180 JGB983178:JGB983180 JPX983178:JPX983180 JZT983178:JZT983180 KJP983178:KJP983180 KTL983178:KTL983180 LDH983178:LDH983180 LND983178:LND983180 LWZ983178:LWZ983180 MGV983178:MGV983180 MQR983178:MQR983180 NAN983178:NAN983180 NKJ983178:NKJ983180 NUF983178:NUF983180 OEB983178:OEB983180 ONX983178:ONX983180 OXT983178:OXT983180 PHP983178:PHP983180 PRL983178:PRL983180 QBH983178:QBH983180 QLD983178:QLD983180 QUZ983178:QUZ983180 REV983178:REV983180 ROR983178:ROR983180 RYN983178:RYN983180 SIJ983178:SIJ983180 SSF983178:SSF983180 TCB983178:TCB983180 TLX983178:TLX983180 TVT983178:TVT983180 UFP983178:UFP983180 UPL983178:UPL983180 UZH983178:UZH983180 VJD983178:VJD983180 VSZ983178:VSZ983180 WCV983178:WCV983180 WMR983178:WMR983180 WWN983178:WWN983180 AF133:AF135 KB133:KB135 TX133:TX135 ADT133:ADT135 ANP133:ANP135 AXL133:AXL135 BHH133:BHH135 BRD133:BRD135 CAZ133:CAZ135 CKV133:CKV135 CUR133:CUR135 DEN133:DEN135 DOJ133:DOJ135 DYF133:DYF135 EIB133:EIB135 ERX133:ERX135 FBT133:FBT135 FLP133:FLP135 FVL133:FVL135 GFH133:GFH135 GPD133:GPD135 GYZ133:GYZ135 HIV133:HIV135 HSR133:HSR135 ICN133:ICN135 IMJ133:IMJ135 IWF133:IWF135 JGB133:JGB135 JPX133:JPX135 JZT133:JZT135 KJP133:KJP135 KTL133:KTL135 LDH133:LDH135 LND133:LND135 LWZ133:LWZ135 MGV133:MGV135 MQR133:MQR135 NAN133:NAN135 NKJ133:NKJ135 NUF133:NUF135 OEB133:OEB135 ONX133:ONX135 OXT133:OXT135 PHP133:PHP135 PRL133:PRL135 QBH133:QBH135 QLD133:QLD135 QUZ133:QUZ135 REV133:REV135 ROR133:ROR135 RYN133:RYN135 SIJ133:SIJ135 SSF133:SSF135 TCB133:TCB135 TLX133:TLX135 TVT133:TVT135 UFP133:UFP135 UPL133:UPL135 UZH133:UZH135 VJD133:VJD135 VSZ133:VSZ135 WCV133:WCV135 WMR133:WMR135 WWN133:WWN135 AF65670:AF65672 KB65670:KB65672 TX65670:TX65672 ADT65670:ADT65672 ANP65670:ANP65672 AXL65670:AXL65672 BHH65670:BHH65672 BRD65670:BRD65672 CAZ65670:CAZ65672 CKV65670:CKV65672 CUR65670:CUR65672 DEN65670:DEN65672 DOJ65670:DOJ65672 DYF65670:DYF65672 EIB65670:EIB65672 ERX65670:ERX65672 FBT65670:FBT65672 FLP65670:FLP65672 FVL65670:FVL65672 GFH65670:GFH65672 GPD65670:GPD65672 GYZ65670:GYZ65672 HIV65670:HIV65672 HSR65670:HSR65672 ICN65670:ICN65672 IMJ65670:IMJ65672 IWF65670:IWF65672 JGB65670:JGB65672 JPX65670:JPX65672 JZT65670:JZT65672 KJP65670:KJP65672 KTL65670:KTL65672 LDH65670:LDH65672 LND65670:LND65672 LWZ65670:LWZ65672 MGV65670:MGV65672 MQR65670:MQR65672 NAN65670:NAN65672 NKJ65670:NKJ65672 NUF65670:NUF65672 OEB65670:OEB65672 ONX65670:ONX65672 OXT65670:OXT65672 PHP65670:PHP65672 PRL65670:PRL65672 QBH65670:QBH65672 QLD65670:QLD65672 QUZ65670:QUZ65672 REV65670:REV65672 ROR65670:ROR65672 RYN65670:RYN65672 SIJ65670:SIJ65672 SSF65670:SSF65672 TCB65670:TCB65672 TLX65670:TLX65672 TVT65670:TVT65672 UFP65670:UFP65672 UPL65670:UPL65672 UZH65670:UZH65672 VJD65670:VJD65672 VSZ65670:VSZ65672 WCV65670:WCV65672 WMR65670:WMR65672 WWN65670:WWN65672 AF131206:AF131208 KB131206:KB131208 TX131206:TX131208 ADT131206:ADT131208 ANP131206:ANP131208 AXL131206:AXL131208 BHH131206:BHH131208 BRD131206:BRD131208 CAZ131206:CAZ131208 CKV131206:CKV131208 CUR131206:CUR131208 DEN131206:DEN131208 DOJ131206:DOJ131208 DYF131206:DYF131208 EIB131206:EIB131208 ERX131206:ERX131208 FBT131206:FBT131208 FLP131206:FLP131208 FVL131206:FVL131208 GFH131206:GFH131208 GPD131206:GPD131208 GYZ131206:GYZ131208 HIV131206:HIV131208 HSR131206:HSR131208 ICN131206:ICN131208 IMJ131206:IMJ131208 IWF131206:IWF131208 JGB131206:JGB131208 JPX131206:JPX131208 JZT131206:JZT131208 KJP131206:KJP131208 KTL131206:KTL131208 LDH131206:LDH131208 LND131206:LND131208 LWZ131206:LWZ131208 MGV131206:MGV131208 MQR131206:MQR131208 NAN131206:NAN131208 NKJ131206:NKJ131208 NUF131206:NUF131208 OEB131206:OEB131208 ONX131206:ONX131208 OXT131206:OXT131208 PHP131206:PHP131208 PRL131206:PRL131208 QBH131206:QBH131208 QLD131206:QLD131208 QUZ131206:QUZ131208 REV131206:REV131208 ROR131206:ROR131208 RYN131206:RYN131208 SIJ131206:SIJ131208 SSF131206:SSF131208 TCB131206:TCB131208 TLX131206:TLX131208 TVT131206:TVT131208 UFP131206:UFP131208 UPL131206:UPL131208 UZH131206:UZH131208 VJD131206:VJD131208 VSZ131206:VSZ131208 WCV131206:WCV131208 WMR131206:WMR131208 WWN131206:WWN131208 AF196742:AF196744 KB196742:KB196744 TX196742:TX196744 ADT196742:ADT196744 ANP196742:ANP196744 AXL196742:AXL196744 BHH196742:BHH196744 BRD196742:BRD196744 CAZ196742:CAZ196744 CKV196742:CKV196744 CUR196742:CUR196744 DEN196742:DEN196744 DOJ196742:DOJ196744 DYF196742:DYF196744 EIB196742:EIB196744 ERX196742:ERX196744 FBT196742:FBT196744 FLP196742:FLP196744 FVL196742:FVL196744 GFH196742:GFH196744 GPD196742:GPD196744 GYZ196742:GYZ196744 HIV196742:HIV196744 HSR196742:HSR196744 ICN196742:ICN196744 IMJ196742:IMJ196744 IWF196742:IWF196744 JGB196742:JGB196744 JPX196742:JPX196744 JZT196742:JZT196744 KJP196742:KJP196744 KTL196742:KTL196744 LDH196742:LDH196744 LND196742:LND196744 LWZ196742:LWZ196744 MGV196742:MGV196744 MQR196742:MQR196744 NAN196742:NAN196744 NKJ196742:NKJ196744 NUF196742:NUF196744 OEB196742:OEB196744 ONX196742:ONX196744 OXT196742:OXT196744 PHP196742:PHP196744 PRL196742:PRL196744 QBH196742:QBH196744 QLD196742:QLD196744 QUZ196742:QUZ196744 REV196742:REV196744 ROR196742:ROR196744 RYN196742:RYN196744 SIJ196742:SIJ196744 SSF196742:SSF196744 TCB196742:TCB196744 TLX196742:TLX196744 TVT196742:TVT196744 UFP196742:UFP196744 UPL196742:UPL196744 UZH196742:UZH196744 VJD196742:VJD196744 VSZ196742:VSZ196744 WCV196742:WCV196744 WMR196742:WMR196744 WWN196742:WWN196744 AF262278:AF262280 KB262278:KB262280 TX262278:TX262280 ADT262278:ADT262280 ANP262278:ANP262280 AXL262278:AXL262280 BHH262278:BHH262280 BRD262278:BRD262280 CAZ262278:CAZ262280 CKV262278:CKV262280 CUR262278:CUR262280 DEN262278:DEN262280 DOJ262278:DOJ262280 DYF262278:DYF262280 EIB262278:EIB262280 ERX262278:ERX262280 FBT262278:FBT262280 FLP262278:FLP262280 FVL262278:FVL262280 GFH262278:GFH262280 GPD262278:GPD262280 GYZ262278:GYZ262280 HIV262278:HIV262280 HSR262278:HSR262280 ICN262278:ICN262280 IMJ262278:IMJ262280 IWF262278:IWF262280 JGB262278:JGB262280 JPX262278:JPX262280 JZT262278:JZT262280 KJP262278:KJP262280 KTL262278:KTL262280 LDH262278:LDH262280 LND262278:LND262280 LWZ262278:LWZ262280 MGV262278:MGV262280 MQR262278:MQR262280 NAN262278:NAN262280 NKJ262278:NKJ262280 NUF262278:NUF262280 OEB262278:OEB262280 ONX262278:ONX262280 OXT262278:OXT262280 PHP262278:PHP262280 PRL262278:PRL262280 QBH262278:QBH262280 QLD262278:QLD262280 QUZ262278:QUZ262280 REV262278:REV262280 ROR262278:ROR262280 RYN262278:RYN262280 SIJ262278:SIJ262280 SSF262278:SSF262280 TCB262278:TCB262280 TLX262278:TLX262280 TVT262278:TVT262280 UFP262278:UFP262280 UPL262278:UPL262280 UZH262278:UZH262280 VJD262278:VJD262280 VSZ262278:VSZ262280 WCV262278:WCV262280 WMR262278:WMR262280 WWN262278:WWN262280 AF327814:AF327816 KB327814:KB327816 TX327814:TX327816 ADT327814:ADT327816 ANP327814:ANP327816 AXL327814:AXL327816 BHH327814:BHH327816 BRD327814:BRD327816 CAZ327814:CAZ327816 CKV327814:CKV327816 CUR327814:CUR327816 DEN327814:DEN327816 DOJ327814:DOJ327816 DYF327814:DYF327816 EIB327814:EIB327816 ERX327814:ERX327816 FBT327814:FBT327816 FLP327814:FLP327816 FVL327814:FVL327816 GFH327814:GFH327816 GPD327814:GPD327816 GYZ327814:GYZ327816 HIV327814:HIV327816 HSR327814:HSR327816 ICN327814:ICN327816 IMJ327814:IMJ327816 IWF327814:IWF327816 JGB327814:JGB327816 JPX327814:JPX327816 JZT327814:JZT327816 KJP327814:KJP327816 KTL327814:KTL327816 LDH327814:LDH327816 LND327814:LND327816 LWZ327814:LWZ327816 MGV327814:MGV327816 MQR327814:MQR327816 NAN327814:NAN327816 NKJ327814:NKJ327816 NUF327814:NUF327816 OEB327814:OEB327816 ONX327814:ONX327816 OXT327814:OXT327816 PHP327814:PHP327816 PRL327814:PRL327816 QBH327814:QBH327816 QLD327814:QLD327816 QUZ327814:QUZ327816 REV327814:REV327816 ROR327814:ROR327816 RYN327814:RYN327816 SIJ327814:SIJ327816 SSF327814:SSF327816 TCB327814:TCB327816 TLX327814:TLX327816 TVT327814:TVT327816 UFP327814:UFP327816 UPL327814:UPL327816 UZH327814:UZH327816 VJD327814:VJD327816 VSZ327814:VSZ327816 WCV327814:WCV327816 WMR327814:WMR327816 WWN327814:WWN327816 AF393350:AF393352 KB393350:KB393352 TX393350:TX393352 ADT393350:ADT393352 ANP393350:ANP393352 AXL393350:AXL393352 BHH393350:BHH393352 BRD393350:BRD393352 CAZ393350:CAZ393352 CKV393350:CKV393352 CUR393350:CUR393352 DEN393350:DEN393352 DOJ393350:DOJ393352 DYF393350:DYF393352 EIB393350:EIB393352 ERX393350:ERX393352 FBT393350:FBT393352 FLP393350:FLP393352 FVL393350:FVL393352 GFH393350:GFH393352 GPD393350:GPD393352 GYZ393350:GYZ393352 HIV393350:HIV393352 HSR393350:HSR393352 ICN393350:ICN393352 IMJ393350:IMJ393352 IWF393350:IWF393352 JGB393350:JGB393352 JPX393350:JPX393352 JZT393350:JZT393352 KJP393350:KJP393352 KTL393350:KTL393352 LDH393350:LDH393352 LND393350:LND393352 LWZ393350:LWZ393352 MGV393350:MGV393352 MQR393350:MQR393352 NAN393350:NAN393352 NKJ393350:NKJ393352 NUF393350:NUF393352 OEB393350:OEB393352 ONX393350:ONX393352 OXT393350:OXT393352 PHP393350:PHP393352 PRL393350:PRL393352 QBH393350:QBH393352 QLD393350:QLD393352 QUZ393350:QUZ393352 REV393350:REV393352 ROR393350:ROR393352 RYN393350:RYN393352 SIJ393350:SIJ393352 SSF393350:SSF393352 TCB393350:TCB393352 TLX393350:TLX393352 TVT393350:TVT393352 UFP393350:UFP393352 UPL393350:UPL393352 UZH393350:UZH393352 VJD393350:VJD393352 VSZ393350:VSZ393352 WCV393350:WCV393352 WMR393350:WMR393352 WWN393350:WWN393352 AF458886:AF458888 KB458886:KB458888 TX458886:TX458888 ADT458886:ADT458888 ANP458886:ANP458888 AXL458886:AXL458888 BHH458886:BHH458888 BRD458886:BRD458888 CAZ458886:CAZ458888 CKV458886:CKV458888 CUR458886:CUR458888 DEN458886:DEN458888 DOJ458886:DOJ458888 DYF458886:DYF458888 EIB458886:EIB458888 ERX458886:ERX458888 FBT458886:FBT458888 FLP458886:FLP458888 FVL458886:FVL458888 GFH458886:GFH458888 GPD458886:GPD458888 GYZ458886:GYZ458888 HIV458886:HIV458888 HSR458886:HSR458888 ICN458886:ICN458888 IMJ458886:IMJ458888 IWF458886:IWF458888 JGB458886:JGB458888 JPX458886:JPX458888 JZT458886:JZT458888 KJP458886:KJP458888 KTL458886:KTL458888 LDH458886:LDH458888 LND458886:LND458888 LWZ458886:LWZ458888 MGV458886:MGV458888 MQR458886:MQR458888 NAN458886:NAN458888 NKJ458886:NKJ458888 NUF458886:NUF458888 OEB458886:OEB458888 ONX458886:ONX458888 OXT458886:OXT458888 PHP458886:PHP458888 PRL458886:PRL458888 QBH458886:QBH458888 QLD458886:QLD458888 QUZ458886:QUZ458888 REV458886:REV458888 ROR458886:ROR458888 RYN458886:RYN458888 SIJ458886:SIJ458888 SSF458886:SSF458888 TCB458886:TCB458888 TLX458886:TLX458888 TVT458886:TVT458888 UFP458886:UFP458888 UPL458886:UPL458888 UZH458886:UZH458888 VJD458886:VJD458888 VSZ458886:VSZ458888 WCV458886:WCV458888 WMR458886:WMR458888 WWN458886:WWN458888 AF524422:AF524424 KB524422:KB524424 TX524422:TX524424 ADT524422:ADT524424 ANP524422:ANP524424 AXL524422:AXL524424 BHH524422:BHH524424 BRD524422:BRD524424 CAZ524422:CAZ524424 CKV524422:CKV524424 CUR524422:CUR524424 DEN524422:DEN524424 DOJ524422:DOJ524424 DYF524422:DYF524424 EIB524422:EIB524424 ERX524422:ERX524424 FBT524422:FBT524424 FLP524422:FLP524424 FVL524422:FVL524424 GFH524422:GFH524424 GPD524422:GPD524424 GYZ524422:GYZ524424 HIV524422:HIV524424 HSR524422:HSR524424 ICN524422:ICN524424 IMJ524422:IMJ524424 IWF524422:IWF524424 JGB524422:JGB524424 JPX524422:JPX524424 JZT524422:JZT524424 KJP524422:KJP524424 KTL524422:KTL524424 LDH524422:LDH524424 LND524422:LND524424 LWZ524422:LWZ524424 MGV524422:MGV524424 MQR524422:MQR524424 NAN524422:NAN524424 NKJ524422:NKJ524424 NUF524422:NUF524424 OEB524422:OEB524424 ONX524422:ONX524424 OXT524422:OXT524424 PHP524422:PHP524424 PRL524422:PRL524424 QBH524422:QBH524424 QLD524422:QLD524424 QUZ524422:QUZ524424 REV524422:REV524424 ROR524422:ROR524424 RYN524422:RYN524424 SIJ524422:SIJ524424 SSF524422:SSF524424 TCB524422:TCB524424 TLX524422:TLX524424 TVT524422:TVT524424 UFP524422:UFP524424 UPL524422:UPL524424 UZH524422:UZH524424 VJD524422:VJD524424 VSZ524422:VSZ524424 WCV524422:WCV524424 WMR524422:WMR524424 WWN524422:WWN524424 AF589958:AF589960 KB589958:KB589960 TX589958:TX589960 ADT589958:ADT589960 ANP589958:ANP589960 AXL589958:AXL589960 BHH589958:BHH589960 BRD589958:BRD589960 CAZ589958:CAZ589960 CKV589958:CKV589960 CUR589958:CUR589960 DEN589958:DEN589960 DOJ589958:DOJ589960 DYF589958:DYF589960 EIB589958:EIB589960 ERX589958:ERX589960 FBT589958:FBT589960 FLP589958:FLP589960 FVL589958:FVL589960 GFH589958:GFH589960 GPD589958:GPD589960 GYZ589958:GYZ589960 HIV589958:HIV589960 HSR589958:HSR589960 ICN589958:ICN589960 IMJ589958:IMJ589960 IWF589958:IWF589960 JGB589958:JGB589960 JPX589958:JPX589960 JZT589958:JZT589960 KJP589958:KJP589960 KTL589958:KTL589960 LDH589958:LDH589960 LND589958:LND589960 LWZ589958:LWZ589960 MGV589958:MGV589960 MQR589958:MQR589960 NAN589958:NAN589960 NKJ589958:NKJ589960 NUF589958:NUF589960 OEB589958:OEB589960 ONX589958:ONX589960 OXT589958:OXT589960 PHP589958:PHP589960 PRL589958:PRL589960 QBH589958:QBH589960 QLD589958:QLD589960 QUZ589958:QUZ589960 REV589958:REV589960 ROR589958:ROR589960 RYN589958:RYN589960 SIJ589958:SIJ589960 SSF589958:SSF589960 TCB589958:TCB589960 TLX589958:TLX589960 TVT589958:TVT589960 UFP589958:UFP589960 UPL589958:UPL589960 UZH589958:UZH589960 VJD589958:VJD589960 VSZ589958:VSZ589960 WCV589958:WCV589960 WMR589958:WMR589960 WWN589958:WWN589960 AF655494:AF655496 KB655494:KB655496 TX655494:TX655496 ADT655494:ADT655496 ANP655494:ANP655496 AXL655494:AXL655496 BHH655494:BHH655496 BRD655494:BRD655496 CAZ655494:CAZ655496 CKV655494:CKV655496 CUR655494:CUR655496 DEN655494:DEN655496 DOJ655494:DOJ655496 DYF655494:DYF655496 EIB655494:EIB655496 ERX655494:ERX655496 FBT655494:FBT655496 FLP655494:FLP655496 FVL655494:FVL655496 GFH655494:GFH655496 GPD655494:GPD655496 GYZ655494:GYZ655496 HIV655494:HIV655496 HSR655494:HSR655496 ICN655494:ICN655496 IMJ655494:IMJ655496 IWF655494:IWF655496 JGB655494:JGB655496 JPX655494:JPX655496 JZT655494:JZT655496 KJP655494:KJP655496 KTL655494:KTL655496 LDH655494:LDH655496 LND655494:LND655496 LWZ655494:LWZ655496 MGV655494:MGV655496 MQR655494:MQR655496 NAN655494:NAN655496 NKJ655494:NKJ655496 NUF655494:NUF655496 OEB655494:OEB655496 ONX655494:ONX655496 OXT655494:OXT655496 PHP655494:PHP655496 PRL655494:PRL655496 QBH655494:QBH655496 QLD655494:QLD655496 QUZ655494:QUZ655496 REV655494:REV655496 ROR655494:ROR655496 RYN655494:RYN655496 SIJ655494:SIJ655496 SSF655494:SSF655496 TCB655494:TCB655496 TLX655494:TLX655496 TVT655494:TVT655496 UFP655494:UFP655496 UPL655494:UPL655496 UZH655494:UZH655496 VJD655494:VJD655496 VSZ655494:VSZ655496 WCV655494:WCV655496 WMR655494:WMR655496 WWN655494:WWN655496 AF721030:AF721032 KB721030:KB721032 TX721030:TX721032 ADT721030:ADT721032 ANP721030:ANP721032 AXL721030:AXL721032 BHH721030:BHH721032 BRD721030:BRD721032 CAZ721030:CAZ721032 CKV721030:CKV721032 CUR721030:CUR721032 DEN721030:DEN721032 DOJ721030:DOJ721032 DYF721030:DYF721032 EIB721030:EIB721032 ERX721030:ERX721032 FBT721030:FBT721032 FLP721030:FLP721032 FVL721030:FVL721032 GFH721030:GFH721032 GPD721030:GPD721032 GYZ721030:GYZ721032 HIV721030:HIV721032 HSR721030:HSR721032 ICN721030:ICN721032 IMJ721030:IMJ721032 IWF721030:IWF721032 JGB721030:JGB721032 JPX721030:JPX721032 JZT721030:JZT721032 KJP721030:KJP721032 KTL721030:KTL721032 LDH721030:LDH721032 LND721030:LND721032 LWZ721030:LWZ721032 MGV721030:MGV721032 MQR721030:MQR721032 NAN721030:NAN721032 NKJ721030:NKJ721032 NUF721030:NUF721032 OEB721030:OEB721032 ONX721030:ONX721032 OXT721030:OXT721032 PHP721030:PHP721032 PRL721030:PRL721032 QBH721030:QBH721032 QLD721030:QLD721032 QUZ721030:QUZ721032 REV721030:REV721032 ROR721030:ROR721032 RYN721030:RYN721032 SIJ721030:SIJ721032 SSF721030:SSF721032 TCB721030:TCB721032 TLX721030:TLX721032 TVT721030:TVT721032 UFP721030:UFP721032 UPL721030:UPL721032 UZH721030:UZH721032 VJD721030:VJD721032 VSZ721030:VSZ721032 WCV721030:WCV721032 WMR721030:WMR721032 WWN721030:WWN721032 AF786566:AF786568 KB786566:KB786568 TX786566:TX786568 ADT786566:ADT786568 ANP786566:ANP786568 AXL786566:AXL786568 BHH786566:BHH786568 BRD786566:BRD786568 CAZ786566:CAZ786568 CKV786566:CKV786568 CUR786566:CUR786568 DEN786566:DEN786568 DOJ786566:DOJ786568 DYF786566:DYF786568 EIB786566:EIB786568 ERX786566:ERX786568 FBT786566:FBT786568 FLP786566:FLP786568 FVL786566:FVL786568 GFH786566:GFH786568 GPD786566:GPD786568 GYZ786566:GYZ786568 HIV786566:HIV786568 HSR786566:HSR786568 ICN786566:ICN786568 IMJ786566:IMJ786568 IWF786566:IWF786568 JGB786566:JGB786568 JPX786566:JPX786568 JZT786566:JZT786568 KJP786566:KJP786568 KTL786566:KTL786568 LDH786566:LDH786568 LND786566:LND786568 LWZ786566:LWZ786568 MGV786566:MGV786568 MQR786566:MQR786568 NAN786566:NAN786568 NKJ786566:NKJ786568 NUF786566:NUF786568 OEB786566:OEB786568 ONX786566:ONX786568 OXT786566:OXT786568 PHP786566:PHP786568 PRL786566:PRL786568 QBH786566:QBH786568 QLD786566:QLD786568 QUZ786566:QUZ786568 REV786566:REV786568 ROR786566:ROR786568 RYN786566:RYN786568 SIJ786566:SIJ786568 SSF786566:SSF786568 TCB786566:TCB786568 TLX786566:TLX786568 TVT786566:TVT786568 UFP786566:UFP786568 UPL786566:UPL786568 UZH786566:UZH786568 VJD786566:VJD786568 VSZ786566:VSZ786568 WCV786566:WCV786568 WMR786566:WMR786568 WWN786566:WWN786568 AF852102:AF852104 KB852102:KB852104 TX852102:TX852104 ADT852102:ADT852104 ANP852102:ANP852104 AXL852102:AXL852104 BHH852102:BHH852104 BRD852102:BRD852104 CAZ852102:CAZ852104 CKV852102:CKV852104 CUR852102:CUR852104 DEN852102:DEN852104 DOJ852102:DOJ852104 DYF852102:DYF852104 EIB852102:EIB852104 ERX852102:ERX852104 FBT852102:FBT852104 FLP852102:FLP852104 FVL852102:FVL852104 GFH852102:GFH852104 GPD852102:GPD852104 GYZ852102:GYZ852104 HIV852102:HIV852104 HSR852102:HSR852104 ICN852102:ICN852104 IMJ852102:IMJ852104 IWF852102:IWF852104 JGB852102:JGB852104 JPX852102:JPX852104 JZT852102:JZT852104 KJP852102:KJP852104 KTL852102:KTL852104 LDH852102:LDH852104 LND852102:LND852104 LWZ852102:LWZ852104 MGV852102:MGV852104 MQR852102:MQR852104 NAN852102:NAN852104 NKJ852102:NKJ852104 NUF852102:NUF852104 OEB852102:OEB852104 ONX852102:ONX852104 OXT852102:OXT852104 PHP852102:PHP852104 PRL852102:PRL852104 QBH852102:QBH852104 QLD852102:QLD852104 QUZ852102:QUZ852104 REV852102:REV852104 ROR852102:ROR852104 RYN852102:RYN852104 SIJ852102:SIJ852104 SSF852102:SSF852104 TCB852102:TCB852104 TLX852102:TLX852104 TVT852102:TVT852104 UFP852102:UFP852104 UPL852102:UPL852104 UZH852102:UZH852104 VJD852102:VJD852104 VSZ852102:VSZ852104 WCV852102:WCV852104 WMR852102:WMR852104 WWN852102:WWN852104 AF917638:AF917640 KB917638:KB917640 TX917638:TX917640 ADT917638:ADT917640 ANP917638:ANP917640 AXL917638:AXL917640 BHH917638:BHH917640 BRD917638:BRD917640 CAZ917638:CAZ917640 CKV917638:CKV917640 CUR917638:CUR917640 DEN917638:DEN917640 DOJ917638:DOJ917640 DYF917638:DYF917640 EIB917638:EIB917640 ERX917638:ERX917640 FBT917638:FBT917640 FLP917638:FLP917640 FVL917638:FVL917640 GFH917638:GFH917640 GPD917638:GPD917640 GYZ917638:GYZ917640 HIV917638:HIV917640 HSR917638:HSR917640 ICN917638:ICN917640 IMJ917638:IMJ917640 IWF917638:IWF917640 JGB917638:JGB917640 JPX917638:JPX917640 JZT917638:JZT917640 KJP917638:KJP917640 KTL917638:KTL917640 LDH917638:LDH917640 LND917638:LND917640 LWZ917638:LWZ917640 MGV917638:MGV917640 MQR917638:MQR917640 NAN917638:NAN917640 NKJ917638:NKJ917640 NUF917638:NUF917640 OEB917638:OEB917640 ONX917638:ONX917640 OXT917638:OXT917640 PHP917638:PHP917640 PRL917638:PRL917640 QBH917638:QBH917640 QLD917638:QLD917640 QUZ917638:QUZ917640 REV917638:REV917640 ROR917638:ROR917640 RYN917638:RYN917640 SIJ917638:SIJ917640 SSF917638:SSF917640 TCB917638:TCB917640 TLX917638:TLX917640 TVT917638:TVT917640 UFP917638:UFP917640 UPL917638:UPL917640 UZH917638:UZH917640 VJD917638:VJD917640 VSZ917638:VSZ917640 WCV917638:WCV917640 WMR917638:WMR917640 WWN917638:WWN917640 AF983174:AF983176 KB983174:KB983176 TX983174:TX983176 ADT983174:ADT983176 ANP983174:ANP983176 AXL983174:AXL983176 BHH983174:BHH983176 BRD983174:BRD983176 CAZ983174:CAZ983176 CKV983174:CKV983176 CUR983174:CUR983176 DEN983174:DEN983176 DOJ983174:DOJ983176 DYF983174:DYF983176 EIB983174:EIB983176 ERX983174:ERX983176 FBT983174:FBT983176 FLP983174:FLP983176 FVL983174:FVL983176 GFH983174:GFH983176 GPD983174:GPD983176 GYZ983174:GYZ983176 HIV983174:HIV983176 HSR983174:HSR983176 ICN983174:ICN983176 IMJ983174:IMJ983176 IWF983174:IWF983176 JGB983174:JGB983176 JPX983174:JPX983176 JZT983174:JZT983176 KJP983174:KJP983176 KTL983174:KTL983176 LDH983174:LDH983176 LND983174:LND983176 LWZ983174:LWZ983176 MGV983174:MGV983176 MQR983174:MQR983176 NAN983174:NAN983176 NKJ983174:NKJ983176 NUF983174:NUF983176 OEB983174:OEB983176 ONX983174:ONX983176 OXT983174:OXT983176 PHP983174:PHP983176 PRL983174:PRL983176 QBH983174:QBH983176 QLD983174:QLD983176 QUZ983174:QUZ983176 REV983174:REV983176 ROR983174:ROR983176 RYN983174:RYN983176 SIJ983174:SIJ983176 SSF983174:SSF983176 TCB983174:TCB983176 TLX983174:TLX983176 TVT983174:TVT983176 UFP983174:UFP983176 UPL983174:UPL983176 UZH983174:UZH983176 VJD983174:VJD983176 VSZ983174:VSZ983176 WCV983174:WCV983176 WMR983174:WMR983176 WWN983174:WWN983176 AF130:AF131 KB130:KB131 TX130:TX131 ADT130:ADT131 ANP130:ANP131 AXL130:AXL131 BHH130:BHH131 BRD130:BRD131 CAZ130:CAZ131 CKV130:CKV131 CUR130:CUR131 DEN130:DEN131 DOJ130:DOJ131 DYF130:DYF131 EIB130:EIB131 ERX130:ERX131 FBT130:FBT131 FLP130:FLP131 FVL130:FVL131 GFH130:GFH131 GPD130:GPD131 GYZ130:GYZ131 HIV130:HIV131 HSR130:HSR131 ICN130:ICN131 IMJ130:IMJ131 IWF130:IWF131 JGB130:JGB131 JPX130:JPX131 JZT130:JZT131 KJP130:KJP131 KTL130:KTL131 LDH130:LDH131 LND130:LND131 LWZ130:LWZ131 MGV130:MGV131 MQR130:MQR131 NAN130:NAN131 NKJ130:NKJ131 NUF130:NUF131 OEB130:OEB131 ONX130:ONX131 OXT130:OXT131 PHP130:PHP131 PRL130:PRL131 QBH130:QBH131 QLD130:QLD131 QUZ130:QUZ131 REV130:REV131 ROR130:ROR131 RYN130:RYN131 SIJ130:SIJ131 SSF130:SSF131 TCB130:TCB131 TLX130:TLX131 TVT130:TVT131 UFP130:UFP131 UPL130:UPL131 UZH130:UZH131 VJD130:VJD131 VSZ130:VSZ131 WCV130:WCV131 WMR130:WMR131 WWN130:WWN131 AF65667:AF65668 KB65667:KB65668 TX65667:TX65668 ADT65667:ADT65668 ANP65667:ANP65668 AXL65667:AXL65668 BHH65667:BHH65668 BRD65667:BRD65668 CAZ65667:CAZ65668 CKV65667:CKV65668 CUR65667:CUR65668 DEN65667:DEN65668 DOJ65667:DOJ65668 DYF65667:DYF65668 EIB65667:EIB65668 ERX65667:ERX65668 FBT65667:FBT65668 FLP65667:FLP65668 FVL65667:FVL65668 GFH65667:GFH65668 GPD65667:GPD65668 GYZ65667:GYZ65668 HIV65667:HIV65668 HSR65667:HSR65668 ICN65667:ICN65668 IMJ65667:IMJ65668 IWF65667:IWF65668 JGB65667:JGB65668 JPX65667:JPX65668 JZT65667:JZT65668 KJP65667:KJP65668 KTL65667:KTL65668 LDH65667:LDH65668 LND65667:LND65668 LWZ65667:LWZ65668 MGV65667:MGV65668 MQR65667:MQR65668 NAN65667:NAN65668 NKJ65667:NKJ65668 NUF65667:NUF65668 OEB65667:OEB65668 ONX65667:ONX65668 OXT65667:OXT65668 PHP65667:PHP65668 PRL65667:PRL65668 QBH65667:QBH65668 QLD65667:QLD65668 QUZ65667:QUZ65668 REV65667:REV65668 ROR65667:ROR65668 RYN65667:RYN65668 SIJ65667:SIJ65668 SSF65667:SSF65668 TCB65667:TCB65668 TLX65667:TLX65668 TVT65667:TVT65668 UFP65667:UFP65668 UPL65667:UPL65668 UZH65667:UZH65668 VJD65667:VJD65668 VSZ65667:VSZ65668 WCV65667:WCV65668 WMR65667:WMR65668 WWN65667:WWN65668 AF131203:AF131204 KB131203:KB131204 TX131203:TX131204 ADT131203:ADT131204 ANP131203:ANP131204 AXL131203:AXL131204 BHH131203:BHH131204 BRD131203:BRD131204 CAZ131203:CAZ131204 CKV131203:CKV131204 CUR131203:CUR131204 DEN131203:DEN131204 DOJ131203:DOJ131204 DYF131203:DYF131204 EIB131203:EIB131204 ERX131203:ERX131204 FBT131203:FBT131204 FLP131203:FLP131204 FVL131203:FVL131204 GFH131203:GFH131204 GPD131203:GPD131204 GYZ131203:GYZ131204 HIV131203:HIV131204 HSR131203:HSR131204 ICN131203:ICN131204 IMJ131203:IMJ131204 IWF131203:IWF131204 JGB131203:JGB131204 JPX131203:JPX131204 JZT131203:JZT131204 KJP131203:KJP131204 KTL131203:KTL131204 LDH131203:LDH131204 LND131203:LND131204 LWZ131203:LWZ131204 MGV131203:MGV131204 MQR131203:MQR131204 NAN131203:NAN131204 NKJ131203:NKJ131204 NUF131203:NUF131204 OEB131203:OEB131204 ONX131203:ONX131204 OXT131203:OXT131204 PHP131203:PHP131204 PRL131203:PRL131204 QBH131203:QBH131204 QLD131203:QLD131204 QUZ131203:QUZ131204 REV131203:REV131204 ROR131203:ROR131204 RYN131203:RYN131204 SIJ131203:SIJ131204 SSF131203:SSF131204 TCB131203:TCB131204 TLX131203:TLX131204 TVT131203:TVT131204 UFP131203:UFP131204 UPL131203:UPL131204 UZH131203:UZH131204 VJD131203:VJD131204 VSZ131203:VSZ131204 WCV131203:WCV131204 WMR131203:WMR131204 WWN131203:WWN131204 AF196739:AF196740 KB196739:KB196740 TX196739:TX196740 ADT196739:ADT196740 ANP196739:ANP196740 AXL196739:AXL196740 BHH196739:BHH196740 BRD196739:BRD196740 CAZ196739:CAZ196740 CKV196739:CKV196740 CUR196739:CUR196740 DEN196739:DEN196740 DOJ196739:DOJ196740 DYF196739:DYF196740 EIB196739:EIB196740 ERX196739:ERX196740 FBT196739:FBT196740 FLP196739:FLP196740 FVL196739:FVL196740 GFH196739:GFH196740 GPD196739:GPD196740 GYZ196739:GYZ196740 HIV196739:HIV196740 HSR196739:HSR196740 ICN196739:ICN196740 IMJ196739:IMJ196740 IWF196739:IWF196740 JGB196739:JGB196740 JPX196739:JPX196740 JZT196739:JZT196740 KJP196739:KJP196740 KTL196739:KTL196740 LDH196739:LDH196740 LND196739:LND196740 LWZ196739:LWZ196740 MGV196739:MGV196740 MQR196739:MQR196740 NAN196739:NAN196740 NKJ196739:NKJ196740 NUF196739:NUF196740 OEB196739:OEB196740 ONX196739:ONX196740 OXT196739:OXT196740 PHP196739:PHP196740 PRL196739:PRL196740 QBH196739:QBH196740 QLD196739:QLD196740 QUZ196739:QUZ196740 REV196739:REV196740 ROR196739:ROR196740 RYN196739:RYN196740 SIJ196739:SIJ196740 SSF196739:SSF196740 TCB196739:TCB196740 TLX196739:TLX196740 TVT196739:TVT196740 UFP196739:UFP196740 UPL196739:UPL196740 UZH196739:UZH196740 VJD196739:VJD196740 VSZ196739:VSZ196740 WCV196739:WCV196740 WMR196739:WMR196740 WWN196739:WWN196740 AF262275:AF262276 KB262275:KB262276 TX262275:TX262276 ADT262275:ADT262276 ANP262275:ANP262276 AXL262275:AXL262276 BHH262275:BHH262276 BRD262275:BRD262276 CAZ262275:CAZ262276 CKV262275:CKV262276 CUR262275:CUR262276 DEN262275:DEN262276 DOJ262275:DOJ262276 DYF262275:DYF262276 EIB262275:EIB262276 ERX262275:ERX262276 FBT262275:FBT262276 FLP262275:FLP262276 FVL262275:FVL262276 GFH262275:GFH262276 GPD262275:GPD262276 GYZ262275:GYZ262276 HIV262275:HIV262276 HSR262275:HSR262276 ICN262275:ICN262276 IMJ262275:IMJ262276 IWF262275:IWF262276 JGB262275:JGB262276 JPX262275:JPX262276 JZT262275:JZT262276 KJP262275:KJP262276 KTL262275:KTL262276 LDH262275:LDH262276 LND262275:LND262276 LWZ262275:LWZ262276 MGV262275:MGV262276 MQR262275:MQR262276 NAN262275:NAN262276 NKJ262275:NKJ262276 NUF262275:NUF262276 OEB262275:OEB262276 ONX262275:ONX262276 OXT262275:OXT262276 PHP262275:PHP262276 PRL262275:PRL262276 QBH262275:QBH262276 QLD262275:QLD262276 QUZ262275:QUZ262276 REV262275:REV262276 ROR262275:ROR262276 RYN262275:RYN262276 SIJ262275:SIJ262276 SSF262275:SSF262276 TCB262275:TCB262276 TLX262275:TLX262276 TVT262275:TVT262276 UFP262275:UFP262276 UPL262275:UPL262276 UZH262275:UZH262276 VJD262275:VJD262276 VSZ262275:VSZ262276 WCV262275:WCV262276 WMR262275:WMR262276 WWN262275:WWN262276 AF327811:AF327812 KB327811:KB327812 TX327811:TX327812 ADT327811:ADT327812 ANP327811:ANP327812 AXL327811:AXL327812 BHH327811:BHH327812 BRD327811:BRD327812 CAZ327811:CAZ327812 CKV327811:CKV327812 CUR327811:CUR327812 DEN327811:DEN327812 DOJ327811:DOJ327812 DYF327811:DYF327812 EIB327811:EIB327812 ERX327811:ERX327812 FBT327811:FBT327812 FLP327811:FLP327812 FVL327811:FVL327812 GFH327811:GFH327812 GPD327811:GPD327812 GYZ327811:GYZ327812 HIV327811:HIV327812 HSR327811:HSR327812 ICN327811:ICN327812 IMJ327811:IMJ327812 IWF327811:IWF327812 JGB327811:JGB327812 JPX327811:JPX327812 JZT327811:JZT327812 KJP327811:KJP327812 KTL327811:KTL327812 LDH327811:LDH327812 LND327811:LND327812 LWZ327811:LWZ327812 MGV327811:MGV327812 MQR327811:MQR327812 NAN327811:NAN327812 NKJ327811:NKJ327812 NUF327811:NUF327812 OEB327811:OEB327812 ONX327811:ONX327812 OXT327811:OXT327812 PHP327811:PHP327812 PRL327811:PRL327812 QBH327811:QBH327812 QLD327811:QLD327812 QUZ327811:QUZ327812 REV327811:REV327812 ROR327811:ROR327812 RYN327811:RYN327812 SIJ327811:SIJ327812 SSF327811:SSF327812 TCB327811:TCB327812 TLX327811:TLX327812 TVT327811:TVT327812 UFP327811:UFP327812 UPL327811:UPL327812 UZH327811:UZH327812 VJD327811:VJD327812 VSZ327811:VSZ327812 WCV327811:WCV327812 WMR327811:WMR327812 WWN327811:WWN327812 AF393347:AF393348 KB393347:KB393348 TX393347:TX393348 ADT393347:ADT393348 ANP393347:ANP393348 AXL393347:AXL393348 BHH393347:BHH393348 BRD393347:BRD393348 CAZ393347:CAZ393348 CKV393347:CKV393348 CUR393347:CUR393348 DEN393347:DEN393348 DOJ393347:DOJ393348 DYF393347:DYF393348 EIB393347:EIB393348 ERX393347:ERX393348 FBT393347:FBT393348 FLP393347:FLP393348 FVL393347:FVL393348 GFH393347:GFH393348 GPD393347:GPD393348 GYZ393347:GYZ393348 HIV393347:HIV393348 HSR393347:HSR393348 ICN393347:ICN393348 IMJ393347:IMJ393348 IWF393347:IWF393348 JGB393347:JGB393348 JPX393347:JPX393348 JZT393347:JZT393348 KJP393347:KJP393348 KTL393347:KTL393348 LDH393347:LDH393348 LND393347:LND393348 LWZ393347:LWZ393348 MGV393347:MGV393348 MQR393347:MQR393348 NAN393347:NAN393348 NKJ393347:NKJ393348 NUF393347:NUF393348 OEB393347:OEB393348 ONX393347:ONX393348 OXT393347:OXT393348 PHP393347:PHP393348 PRL393347:PRL393348 QBH393347:QBH393348 QLD393347:QLD393348 QUZ393347:QUZ393348 REV393347:REV393348 ROR393347:ROR393348 RYN393347:RYN393348 SIJ393347:SIJ393348 SSF393347:SSF393348 TCB393347:TCB393348 TLX393347:TLX393348 TVT393347:TVT393348 UFP393347:UFP393348 UPL393347:UPL393348 UZH393347:UZH393348 VJD393347:VJD393348 VSZ393347:VSZ393348 WCV393347:WCV393348 WMR393347:WMR393348 WWN393347:WWN393348 AF458883:AF458884 KB458883:KB458884 TX458883:TX458884 ADT458883:ADT458884 ANP458883:ANP458884 AXL458883:AXL458884 BHH458883:BHH458884 BRD458883:BRD458884 CAZ458883:CAZ458884 CKV458883:CKV458884 CUR458883:CUR458884 DEN458883:DEN458884 DOJ458883:DOJ458884 DYF458883:DYF458884 EIB458883:EIB458884 ERX458883:ERX458884 FBT458883:FBT458884 FLP458883:FLP458884 FVL458883:FVL458884 GFH458883:GFH458884 GPD458883:GPD458884 GYZ458883:GYZ458884 HIV458883:HIV458884 HSR458883:HSR458884 ICN458883:ICN458884 IMJ458883:IMJ458884 IWF458883:IWF458884 JGB458883:JGB458884 JPX458883:JPX458884 JZT458883:JZT458884 KJP458883:KJP458884 KTL458883:KTL458884 LDH458883:LDH458884 LND458883:LND458884 LWZ458883:LWZ458884 MGV458883:MGV458884 MQR458883:MQR458884 NAN458883:NAN458884 NKJ458883:NKJ458884 NUF458883:NUF458884 OEB458883:OEB458884 ONX458883:ONX458884 OXT458883:OXT458884 PHP458883:PHP458884 PRL458883:PRL458884 QBH458883:QBH458884 QLD458883:QLD458884 QUZ458883:QUZ458884 REV458883:REV458884 ROR458883:ROR458884 RYN458883:RYN458884 SIJ458883:SIJ458884 SSF458883:SSF458884 TCB458883:TCB458884 TLX458883:TLX458884 TVT458883:TVT458884 UFP458883:UFP458884 UPL458883:UPL458884 UZH458883:UZH458884 VJD458883:VJD458884 VSZ458883:VSZ458884 WCV458883:WCV458884 WMR458883:WMR458884 WWN458883:WWN458884 AF524419:AF524420 KB524419:KB524420 TX524419:TX524420 ADT524419:ADT524420 ANP524419:ANP524420 AXL524419:AXL524420 BHH524419:BHH524420 BRD524419:BRD524420 CAZ524419:CAZ524420 CKV524419:CKV524420 CUR524419:CUR524420 DEN524419:DEN524420 DOJ524419:DOJ524420 DYF524419:DYF524420 EIB524419:EIB524420 ERX524419:ERX524420 FBT524419:FBT524420 FLP524419:FLP524420 FVL524419:FVL524420 GFH524419:GFH524420 GPD524419:GPD524420 GYZ524419:GYZ524420 HIV524419:HIV524420 HSR524419:HSR524420 ICN524419:ICN524420 IMJ524419:IMJ524420 IWF524419:IWF524420 JGB524419:JGB524420 JPX524419:JPX524420 JZT524419:JZT524420 KJP524419:KJP524420 KTL524419:KTL524420 LDH524419:LDH524420 LND524419:LND524420 LWZ524419:LWZ524420 MGV524419:MGV524420 MQR524419:MQR524420 NAN524419:NAN524420 NKJ524419:NKJ524420 NUF524419:NUF524420 OEB524419:OEB524420 ONX524419:ONX524420 OXT524419:OXT524420 PHP524419:PHP524420 PRL524419:PRL524420 QBH524419:QBH524420 QLD524419:QLD524420 QUZ524419:QUZ524420 REV524419:REV524420 ROR524419:ROR524420 RYN524419:RYN524420 SIJ524419:SIJ524420 SSF524419:SSF524420 TCB524419:TCB524420 TLX524419:TLX524420 TVT524419:TVT524420 UFP524419:UFP524420 UPL524419:UPL524420 UZH524419:UZH524420 VJD524419:VJD524420 VSZ524419:VSZ524420 WCV524419:WCV524420 WMR524419:WMR524420 WWN524419:WWN524420 AF589955:AF589956 KB589955:KB589956 TX589955:TX589956 ADT589955:ADT589956 ANP589955:ANP589956 AXL589955:AXL589956 BHH589955:BHH589956 BRD589955:BRD589956 CAZ589955:CAZ589956 CKV589955:CKV589956 CUR589955:CUR589956 DEN589955:DEN589956 DOJ589955:DOJ589956 DYF589955:DYF589956 EIB589955:EIB589956 ERX589955:ERX589956 FBT589955:FBT589956 FLP589955:FLP589956 FVL589955:FVL589956 GFH589955:GFH589956 GPD589955:GPD589956 GYZ589955:GYZ589956 HIV589955:HIV589956 HSR589955:HSR589956 ICN589955:ICN589956 IMJ589955:IMJ589956 IWF589955:IWF589956 JGB589955:JGB589956 JPX589955:JPX589956 JZT589955:JZT589956 KJP589955:KJP589956 KTL589955:KTL589956 LDH589955:LDH589956 LND589955:LND589956 LWZ589955:LWZ589956 MGV589955:MGV589956 MQR589955:MQR589956 NAN589955:NAN589956 NKJ589955:NKJ589956 NUF589955:NUF589956 OEB589955:OEB589956 ONX589955:ONX589956 OXT589955:OXT589956 PHP589955:PHP589956 PRL589955:PRL589956 QBH589955:QBH589956 QLD589955:QLD589956 QUZ589955:QUZ589956 REV589955:REV589956 ROR589955:ROR589956 RYN589955:RYN589956 SIJ589955:SIJ589956 SSF589955:SSF589956 TCB589955:TCB589956 TLX589955:TLX589956 TVT589955:TVT589956 UFP589955:UFP589956 UPL589955:UPL589956 UZH589955:UZH589956 VJD589955:VJD589956 VSZ589955:VSZ589956 WCV589955:WCV589956 WMR589955:WMR589956 WWN589955:WWN589956 AF655491:AF655492 KB655491:KB655492 TX655491:TX655492 ADT655491:ADT655492 ANP655491:ANP655492 AXL655491:AXL655492 BHH655491:BHH655492 BRD655491:BRD655492 CAZ655491:CAZ655492 CKV655491:CKV655492 CUR655491:CUR655492 DEN655491:DEN655492 DOJ655491:DOJ655492 DYF655491:DYF655492 EIB655491:EIB655492 ERX655491:ERX655492 FBT655491:FBT655492 FLP655491:FLP655492 FVL655491:FVL655492 GFH655491:GFH655492 GPD655491:GPD655492 GYZ655491:GYZ655492 HIV655491:HIV655492 HSR655491:HSR655492 ICN655491:ICN655492 IMJ655491:IMJ655492 IWF655491:IWF655492 JGB655491:JGB655492 JPX655491:JPX655492 JZT655491:JZT655492 KJP655491:KJP655492 KTL655491:KTL655492 LDH655491:LDH655492 LND655491:LND655492 LWZ655491:LWZ655492 MGV655491:MGV655492 MQR655491:MQR655492 NAN655491:NAN655492 NKJ655491:NKJ655492 NUF655491:NUF655492 OEB655491:OEB655492 ONX655491:ONX655492 OXT655491:OXT655492 PHP655491:PHP655492 PRL655491:PRL655492 QBH655491:QBH655492 QLD655491:QLD655492 QUZ655491:QUZ655492 REV655491:REV655492 ROR655491:ROR655492 RYN655491:RYN655492 SIJ655491:SIJ655492 SSF655491:SSF655492 TCB655491:TCB655492 TLX655491:TLX655492 TVT655491:TVT655492 UFP655491:UFP655492 UPL655491:UPL655492 UZH655491:UZH655492 VJD655491:VJD655492 VSZ655491:VSZ655492 WCV655491:WCV655492 WMR655491:WMR655492 WWN655491:WWN655492 AF721027:AF721028 KB721027:KB721028 TX721027:TX721028 ADT721027:ADT721028 ANP721027:ANP721028 AXL721027:AXL721028 BHH721027:BHH721028 BRD721027:BRD721028 CAZ721027:CAZ721028 CKV721027:CKV721028 CUR721027:CUR721028 DEN721027:DEN721028 DOJ721027:DOJ721028 DYF721027:DYF721028 EIB721027:EIB721028 ERX721027:ERX721028 FBT721027:FBT721028 FLP721027:FLP721028 FVL721027:FVL721028 GFH721027:GFH721028 GPD721027:GPD721028 GYZ721027:GYZ721028 HIV721027:HIV721028 HSR721027:HSR721028 ICN721027:ICN721028 IMJ721027:IMJ721028 IWF721027:IWF721028 JGB721027:JGB721028 JPX721027:JPX721028 JZT721027:JZT721028 KJP721027:KJP721028 KTL721027:KTL721028 LDH721027:LDH721028 LND721027:LND721028 LWZ721027:LWZ721028 MGV721027:MGV721028 MQR721027:MQR721028 NAN721027:NAN721028 NKJ721027:NKJ721028 NUF721027:NUF721028 OEB721027:OEB721028 ONX721027:ONX721028 OXT721027:OXT721028 PHP721027:PHP721028 PRL721027:PRL721028 QBH721027:QBH721028 QLD721027:QLD721028 QUZ721027:QUZ721028 REV721027:REV721028 ROR721027:ROR721028 RYN721027:RYN721028 SIJ721027:SIJ721028 SSF721027:SSF721028 TCB721027:TCB721028 TLX721027:TLX721028 TVT721027:TVT721028 UFP721027:UFP721028 UPL721027:UPL721028 UZH721027:UZH721028 VJD721027:VJD721028 VSZ721027:VSZ721028 WCV721027:WCV721028 WMR721027:WMR721028 WWN721027:WWN721028 AF786563:AF786564 KB786563:KB786564 TX786563:TX786564 ADT786563:ADT786564 ANP786563:ANP786564 AXL786563:AXL786564 BHH786563:BHH786564 BRD786563:BRD786564 CAZ786563:CAZ786564 CKV786563:CKV786564 CUR786563:CUR786564 DEN786563:DEN786564 DOJ786563:DOJ786564 DYF786563:DYF786564 EIB786563:EIB786564 ERX786563:ERX786564 FBT786563:FBT786564 FLP786563:FLP786564 FVL786563:FVL786564 GFH786563:GFH786564 GPD786563:GPD786564 GYZ786563:GYZ786564 HIV786563:HIV786564 HSR786563:HSR786564 ICN786563:ICN786564 IMJ786563:IMJ786564 IWF786563:IWF786564 JGB786563:JGB786564 JPX786563:JPX786564 JZT786563:JZT786564 KJP786563:KJP786564 KTL786563:KTL786564 LDH786563:LDH786564 LND786563:LND786564 LWZ786563:LWZ786564 MGV786563:MGV786564 MQR786563:MQR786564 NAN786563:NAN786564 NKJ786563:NKJ786564 NUF786563:NUF786564 OEB786563:OEB786564 ONX786563:ONX786564 OXT786563:OXT786564 PHP786563:PHP786564 PRL786563:PRL786564 QBH786563:QBH786564 QLD786563:QLD786564 QUZ786563:QUZ786564 REV786563:REV786564 ROR786563:ROR786564 RYN786563:RYN786564 SIJ786563:SIJ786564 SSF786563:SSF786564 TCB786563:TCB786564 TLX786563:TLX786564 TVT786563:TVT786564 UFP786563:UFP786564 UPL786563:UPL786564 UZH786563:UZH786564 VJD786563:VJD786564 VSZ786563:VSZ786564 WCV786563:WCV786564 WMR786563:WMR786564 WWN786563:WWN786564 AF852099:AF852100 KB852099:KB852100 TX852099:TX852100 ADT852099:ADT852100 ANP852099:ANP852100 AXL852099:AXL852100 BHH852099:BHH852100 BRD852099:BRD852100 CAZ852099:CAZ852100 CKV852099:CKV852100 CUR852099:CUR852100 DEN852099:DEN852100 DOJ852099:DOJ852100 DYF852099:DYF852100 EIB852099:EIB852100 ERX852099:ERX852100 FBT852099:FBT852100 FLP852099:FLP852100 FVL852099:FVL852100 GFH852099:GFH852100 GPD852099:GPD852100 GYZ852099:GYZ852100 HIV852099:HIV852100 HSR852099:HSR852100 ICN852099:ICN852100 IMJ852099:IMJ852100 IWF852099:IWF852100 JGB852099:JGB852100 JPX852099:JPX852100 JZT852099:JZT852100 KJP852099:KJP852100 KTL852099:KTL852100 LDH852099:LDH852100 LND852099:LND852100 LWZ852099:LWZ852100 MGV852099:MGV852100 MQR852099:MQR852100 NAN852099:NAN852100 NKJ852099:NKJ852100 NUF852099:NUF852100 OEB852099:OEB852100 ONX852099:ONX852100 OXT852099:OXT852100 PHP852099:PHP852100 PRL852099:PRL852100 QBH852099:QBH852100 QLD852099:QLD852100 QUZ852099:QUZ852100 REV852099:REV852100 ROR852099:ROR852100 RYN852099:RYN852100 SIJ852099:SIJ852100 SSF852099:SSF852100 TCB852099:TCB852100 TLX852099:TLX852100 TVT852099:TVT852100 UFP852099:UFP852100 UPL852099:UPL852100 UZH852099:UZH852100 VJD852099:VJD852100 VSZ852099:VSZ852100 WCV852099:WCV852100 WMR852099:WMR852100 WWN852099:WWN852100 AF917635:AF917636 KB917635:KB917636 TX917635:TX917636 ADT917635:ADT917636 ANP917635:ANP917636 AXL917635:AXL917636 BHH917635:BHH917636 BRD917635:BRD917636 CAZ917635:CAZ917636 CKV917635:CKV917636 CUR917635:CUR917636 DEN917635:DEN917636 DOJ917635:DOJ917636 DYF917635:DYF917636 EIB917635:EIB917636 ERX917635:ERX917636 FBT917635:FBT917636 FLP917635:FLP917636 FVL917635:FVL917636 GFH917635:GFH917636 GPD917635:GPD917636 GYZ917635:GYZ917636 HIV917635:HIV917636 HSR917635:HSR917636 ICN917635:ICN917636 IMJ917635:IMJ917636 IWF917635:IWF917636 JGB917635:JGB917636 JPX917635:JPX917636 JZT917635:JZT917636 KJP917635:KJP917636 KTL917635:KTL917636 LDH917635:LDH917636 LND917635:LND917636 LWZ917635:LWZ917636 MGV917635:MGV917636 MQR917635:MQR917636 NAN917635:NAN917636 NKJ917635:NKJ917636 NUF917635:NUF917636 OEB917635:OEB917636 ONX917635:ONX917636 OXT917635:OXT917636 PHP917635:PHP917636 PRL917635:PRL917636 QBH917635:QBH917636 QLD917635:QLD917636 QUZ917635:QUZ917636 REV917635:REV917636 ROR917635:ROR917636 RYN917635:RYN917636 SIJ917635:SIJ917636 SSF917635:SSF917636 TCB917635:TCB917636 TLX917635:TLX917636 TVT917635:TVT917636 UFP917635:UFP917636 UPL917635:UPL917636 UZH917635:UZH917636 VJD917635:VJD917636 VSZ917635:VSZ917636 WCV917635:WCV917636 WMR917635:WMR917636 WWN917635:WWN917636 AF983171:AF983172 KB983171:KB983172 TX983171:TX983172 ADT983171:ADT983172 ANP983171:ANP983172 AXL983171:AXL983172 BHH983171:BHH983172 BRD983171:BRD983172 CAZ983171:CAZ983172 CKV983171:CKV983172 CUR983171:CUR983172 DEN983171:DEN983172 DOJ983171:DOJ983172 DYF983171:DYF983172 EIB983171:EIB983172 ERX983171:ERX983172 FBT983171:FBT983172 FLP983171:FLP983172 FVL983171:FVL983172 GFH983171:GFH983172 GPD983171:GPD983172 GYZ983171:GYZ983172 HIV983171:HIV983172 HSR983171:HSR983172 ICN983171:ICN983172 IMJ983171:IMJ983172 IWF983171:IWF983172 JGB983171:JGB983172 JPX983171:JPX983172 JZT983171:JZT983172 KJP983171:KJP983172 KTL983171:KTL983172 LDH983171:LDH983172 LND983171:LND983172 LWZ983171:LWZ983172 MGV983171:MGV983172 MQR983171:MQR983172 NAN983171:NAN983172 NKJ983171:NKJ983172 NUF983171:NUF983172 OEB983171:OEB983172 ONX983171:ONX983172 OXT983171:OXT983172 PHP983171:PHP983172 PRL983171:PRL983172 QBH983171:QBH983172 QLD983171:QLD983172 QUZ983171:QUZ983172 REV983171:REV983172 ROR983171:ROR983172 RYN983171:RYN983172 SIJ983171:SIJ983172 SSF983171:SSF983172 TCB983171:TCB983172 TLX983171:TLX983172 TVT983171:TVT983172 UFP983171:UFP983172 UPL983171:UPL983172 UZH983171:UZH983172 VJD983171:VJD983172 VSZ983171:VSZ983172 WCV983171:WCV983172 WMR983171:WMR983172 WWN983171:WWN983172 AF126:AF128 KB126:KB128 TX126:TX128 ADT126:ADT128 ANP126:ANP128 AXL126:AXL128 BHH126:BHH128 BRD126:BRD128 CAZ126:CAZ128 CKV126:CKV128 CUR126:CUR128 DEN126:DEN128 DOJ126:DOJ128 DYF126:DYF128 EIB126:EIB128 ERX126:ERX128 FBT126:FBT128 FLP126:FLP128 FVL126:FVL128 GFH126:GFH128 GPD126:GPD128 GYZ126:GYZ128 HIV126:HIV128 HSR126:HSR128 ICN126:ICN128 IMJ126:IMJ128 IWF126:IWF128 JGB126:JGB128 JPX126:JPX128 JZT126:JZT128 KJP126:KJP128 KTL126:KTL128 LDH126:LDH128 LND126:LND128 LWZ126:LWZ128 MGV126:MGV128 MQR126:MQR128 NAN126:NAN128 NKJ126:NKJ128 NUF126:NUF128 OEB126:OEB128 ONX126:ONX128 OXT126:OXT128 PHP126:PHP128 PRL126:PRL128 QBH126:QBH128 QLD126:QLD128 QUZ126:QUZ128 REV126:REV128 ROR126:ROR128 RYN126:RYN128 SIJ126:SIJ128 SSF126:SSF128 TCB126:TCB128 TLX126:TLX128 TVT126:TVT128 UFP126:UFP128 UPL126:UPL128 UZH126:UZH128 VJD126:VJD128 VSZ126:VSZ128 WCV126:WCV128 WMR126:WMR128 WWN126:WWN128 AF65663:AF65665 KB65663:KB65665 TX65663:TX65665 ADT65663:ADT65665 ANP65663:ANP65665 AXL65663:AXL65665 BHH65663:BHH65665 BRD65663:BRD65665 CAZ65663:CAZ65665 CKV65663:CKV65665 CUR65663:CUR65665 DEN65663:DEN65665 DOJ65663:DOJ65665 DYF65663:DYF65665 EIB65663:EIB65665 ERX65663:ERX65665 FBT65663:FBT65665 FLP65663:FLP65665 FVL65663:FVL65665 GFH65663:GFH65665 GPD65663:GPD65665 GYZ65663:GYZ65665 HIV65663:HIV65665 HSR65663:HSR65665 ICN65663:ICN65665 IMJ65663:IMJ65665 IWF65663:IWF65665 JGB65663:JGB65665 JPX65663:JPX65665 JZT65663:JZT65665 KJP65663:KJP65665 KTL65663:KTL65665 LDH65663:LDH65665 LND65663:LND65665 LWZ65663:LWZ65665 MGV65663:MGV65665 MQR65663:MQR65665 NAN65663:NAN65665 NKJ65663:NKJ65665 NUF65663:NUF65665 OEB65663:OEB65665 ONX65663:ONX65665 OXT65663:OXT65665 PHP65663:PHP65665 PRL65663:PRL65665 QBH65663:QBH65665 QLD65663:QLD65665 QUZ65663:QUZ65665 REV65663:REV65665 ROR65663:ROR65665 RYN65663:RYN65665 SIJ65663:SIJ65665 SSF65663:SSF65665 TCB65663:TCB65665 TLX65663:TLX65665 TVT65663:TVT65665 UFP65663:UFP65665 UPL65663:UPL65665 UZH65663:UZH65665 VJD65663:VJD65665 VSZ65663:VSZ65665 WCV65663:WCV65665 WMR65663:WMR65665 WWN65663:WWN65665 AF131199:AF131201 KB131199:KB131201 TX131199:TX131201 ADT131199:ADT131201 ANP131199:ANP131201 AXL131199:AXL131201 BHH131199:BHH131201 BRD131199:BRD131201 CAZ131199:CAZ131201 CKV131199:CKV131201 CUR131199:CUR131201 DEN131199:DEN131201 DOJ131199:DOJ131201 DYF131199:DYF131201 EIB131199:EIB131201 ERX131199:ERX131201 FBT131199:FBT131201 FLP131199:FLP131201 FVL131199:FVL131201 GFH131199:GFH131201 GPD131199:GPD131201 GYZ131199:GYZ131201 HIV131199:HIV131201 HSR131199:HSR131201 ICN131199:ICN131201 IMJ131199:IMJ131201 IWF131199:IWF131201 JGB131199:JGB131201 JPX131199:JPX131201 JZT131199:JZT131201 KJP131199:KJP131201 KTL131199:KTL131201 LDH131199:LDH131201 LND131199:LND131201 LWZ131199:LWZ131201 MGV131199:MGV131201 MQR131199:MQR131201 NAN131199:NAN131201 NKJ131199:NKJ131201 NUF131199:NUF131201 OEB131199:OEB131201 ONX131199:ONX131201 OXT131199:OXT131201 PHP131199:PHP131201 PRL131199:PRL131201 QBH131199:QBH131201 QLD131199:QLD131201 QUZ131199:QUZ131201 REV131199:REV131201 ROR131199:ROR131201 RYN131199:RYN131201 SIJ131199:SIJ131201 SSF131199:SSF131201 TCB131199:TCB131201 TLX131199:TLX131201 TVT131199:TVT131201 UFP131199:UFP131201 UPL131199:UPL131201 UZH131199:UZH131201 VJD131199:VJD131201 VSZ131199:VSZ131201 WCV131199:WCV131201 WMR131199:WMR131201 WWN131199:WWN131201 AF196735:AF196737 KB196735:KB196737 TX196735:TX196737 ADT196735:ADT196737 ANP196735:ANP196737 AXL196735:AXL196737 BHH196735:BHH196737 BRD196735:BRD196737 CAZ196735:CAZ196737 CKV196735:CKV196737 CUR196735:CUR196737 DEN196735:DEN196737 DOJ196735:DOJ196737 DYF196735:DYF196737 EIB196735:EIB196737 ERX196735:ERX196737 FBT196735:FBT196737 FLP196735:FLP196737 FVL196735:FVL196737 GFH196735:GFH196737 GPD196735:GPD196737 GYZ196735:GYZ196737 HIV196735:HIV196737 HSR196735:HSR196737 ICN196735:ICN196737 IMJ196735:IMJ196737 IWF196735:IWF196737 JGB196735:JGB196737 JPX196735:JPX196737 JZT196735:JZT196737 KJP196735:KJP196737 KTL196735:KTL196737 LDH196735:LDH196737 LND196735:LND196737 LWZ196735:LWZ196737 MGV196735:MGV196737 MQR196735:MQR196737 NAN196735:NAN196737 NKJ196735:NKJ196737 NUF196735:NUF196737 OEB196735:OEB196737 ONX196735:ONX196737 OXT196735:OXT196737 PHP196735:PHP196737 PRL196735:PRL196737 QBH196735:QBH196737 QLD196735:QLD196737 QUZ196735:QUZ196737 REV196735:REV196737 ROR196735:ROR196737 RYN196735:RYN196737 SIJ196735:SIJ196737 SSF196735:SSF196737 TCB196735:TCB196737 TLX196735:TLX196737 TVT196735:TVT196737 UFP196735:UFP196737 UPL196735:UPL196737 UZH196735:UZH196737 VJD196735:VJD196737 VSZ196735:VSZ196737 WCV196735:WCV196737 WMR196735:WMR196737 WWN196735:WWN196737 AF262271:AF262273 KB262271:KB262273 TX262271:TX262273 ADT262271:ADT262273 ANP262271:ANP262273 AXL262271:AXL262273 BHH262271:BHH262273 BRD262271:BRD262273 CAZ262271:CAZ262273 CKV262271:CKV262273 CUR262271:CUR262273 DEN262271:DEN262273 DOJ262271:DOJ262273 DYF262271:DYF262273 EIB262271:EIB262273 ERX262271:ERX262273 FBT262271:FBT262273 FLP262271:FLP262273 FVL262271:FVL262273 GFH262271:GFH262273 GPD262271:GPD262273 GYZ262271:GYZ262273 HIV262271:HIV262273 HSR262271:HSR262273 ICN262271:ICN262273 IMJ262271:IMJ262273 IWF262271:IWF262273 JGB262271:JGB262273 JPX262271:JPX262273 JZT262271:JZT262273 KJP262271:KJP262273 KTL262271:KTL262273 LDH262271:LDH262273 LND262271:LND262273 LWZ262271:LWZ262273 MGV262271:MGV262273 MQR262271:MQR262273 NAN262271:NAN262273 NKJ262271:NKJ262273 NUF262271:NUF262273 OEB262271:OEB262273 ONX262271:ONX262273 OXT262271:OXT262273 PHP262271:PHP262273 PRL262271:PRL262273 QBH262271:QBH262273 QLD262271:QLD262273 QUZ262271:QUZ262273 REV262271:REV262273 ROR262271:ROR262273 RYN262271:RYN262273 SIJ262271:SIJ262273 SSF262271:SSF262273 TCB262271:TCB262273 TLX262271:TLX262273 TVT262271:TVT262273 UFP262271:UFP262273 UPL262271:UPL262273 UZH262271:UZH262273 VJD262271:VJD262273 VSZ262271:VSZ262273 WCV262271:WCV262273 WMR262271:WMR262273 WWN262271:WWN262273 AF327807:AF327809 KB327807:KB327809 TX327807:TX327809 ADT327807:ADT327809 ANP327807:ANP327809 AXL327807:AXL327809 BHH327807:BHH327809 BRD327807:BRD327809 CAZ327807:CAZ327809 CKV327807:CKV327809 CUR327807:CUR327809 DEN327807:DEN327809 DOJ327807:DOJ327809 DYF327807:DYF327809 EIB327807:EIB327809 ERX327807:ERX327809 FBT327807:FBT327809 FLP327807:FLP327809 FVL327807:FVL327809 GFH327807:GFH327809 GPD327807:GPD327809 GYZ327807:GYZ327809 HIV327807:HIV327809 HSR327807:HSR327809 ICN327807:ICN327809 IMJ327807:IMJ327809 IWF327807:IWF327809 JGB327807:JGB327809 JPX327807:JPX327809 JZT327807:JZT327809 KJP327807:KJP327809 KTL327807:KTL327809 LDH327807:LDH327809 LND327807:LND327809 LWZ327807:LWZ327809 MGV327807:MGV327809 MQR327807:MQR327809 NAN327807:NAN327809 NKJ327807:NKJ327809 NUF327807:NUF327809 OEB327807:OEB327809 ONX327807:ONX327809 OXT327807:OXT327809 PHP327807:PHP327809 PRL327807:PRL327809 QBH327807:QBH327809 QLD327807:QLD327809 QUZ327807:QUZ327809 REV327807:REV327809 ROR327807:ROR327809 RYN327807:RYN327809 SIJ327807:SIJ327809 SSF327807:SSF327809 TCB327807:TCB327809 TLX327807:TLX327809 TVT327807:TVT327809 UFP327807:UFP327809 UPL327807:UPL327809 UZH327807:UZH327809 VJD327807:VJD327809 VSZ327807:VSZ327809 WCV327807:WCV327809 WMR327807:WMR327809 WWN327807:WWN327809 AF393343:AF393345 KB393343:KB393345 TX393343:TX393345 ADT393343:ADT393345 ANP393343:ANP393345 AXL393343:AXL393345 BHH393343:BHH393345 BRD393343:BRD393345 CAZ393343:CAZ393345 CKV393343:CKV393345 CUR393343:CUR393345 DEN393343:DEN393345 DOJ393343:DOJ393345 DYF393343:DYF393345 EIB393343:EIB393345 ERX393343:ERX393345 FBT393343:FBT393345 FLP393343:FLP393345 FVL393343:FVL393345 GFH393343:GFH393345 GPD393343:GPD393345 GYZ393343:GYZ393345 HIV393343:HIV393345 HSR393343:HSR393345 ICN393343:ICN393345 IMJ393343:IMJ393345 IWF393343:IWF393345 JGB393343:JGB393345 JPX393343:JPX393345 JZT393343:JZT393345 KJP393343:KJP393345 KTL393343:KTL393345 LDH393343:LDH393345 LND393343:LND393345 LWZ393343:LWZ393345 MGV393343:MGV393345 MQR393343:MQR393345 NAN393343:NAN393345 NKJ393343:NKJ393345 NUF393343:NUF393345 OEB393343:OEB393345 ONX393343:ONX393345 OXT393343:OXT393345 PHP393343:PHP393345 PRL393343:PRL393345 QBH393343:QBH393345 QLD393343:QLD393345 QUZ393343:QUZ393345 REV393343:REV393345 ROR393343:ROR393345 RYN393343:RYN393345 SIJ393343:SIJ393345 SSF393343:SSF393345 TCB393343:TCB393345 TLX393343:TLX393345 TVT393343:TVT393345 UFP393343:UFP393345 UPL393343:UPL393345 UZH393343:UZH393345 VJD393343:VJD393345 VSZ393343:VSZ393345 WCV393343:WCV393345 WMR393343:WMR393345 WWN393343:WWN393345 AF458879:AF458881 KB458879:KB458881 TX458879:TX458881 ADT458879:ADT458881 ANP458879:ANP458881 AXL458879:AXL458881 BHH458879:BHH458881 BRD458879:BRD458881 CAZ458879:CAZ458881 CKV458879:CKV458881 CUR458879:CUR458881 DEN458879:DEN458881 DOJ458879:DOJ458881 DYF458879:DYF458881 EIB458879:EIB458881 ERX458879:ERX458881 FBT458879:FBT458881 FLP458879:FLP458881 FVL458879:FVL458881 GFH458879:GFH458881 GPD458879:GPD458881 GYZ458879:GYZ458881 HIV458879:HIV458881 HSR458879:HSR458881 ICN458879:ICN458881 IMJ458879:IMJ458881 IWF458879:IWF458881 JGB458879:JGB458881 JPX458879:JPX458881 JZT458879:JZT458881 KJP458879:KJP458881 KTL458879:KTL458881 LDH458879:LDH458881 LND458879:LND458881 LWZ458879:LWZ458881 MGV458879:MGV458881 MQR458879:MQR458881 NAN458879:NAN458881 NKJ458879:NKJ458881 NUF458879:NUF458881 OEB458879:OEB458881 ONX458879:ONX458881 OXT458879:OXT458881 PHP458879:PHP458881 PRL458879:PRL458881 QBH458879:QBH458881 QLD458879:QLD458881 QUZ458879:QUZ458881 REV458879:REV458881 ROR458879:ROR458881 RYN458879:RYN458881 SIJ458879:SIJ458881 SSF458879:SSF458881 TCB458879:TCB458881 TLX458879:TLX458881 TVT458879:TVT458881 UFP458879:UFP458881 UPL458879:UPL458881 UZH458879:UZH458881 VJD458879:VJD458881 VSZ458879:VSZ458881 WCV458879:WCV458881 WMR458879:WMR458881 WWN458879:WWN458881 AF524415:AF524417 KB524415:KB524417 TX524415:TX524417 ADT524415:ADT524417 ANP524415:ANP524417 AXL524415:AXL524417 BHH524415:BHH524417 BRD524415:BRD524417 CAZ524415:CAZ524417 CKV524415:CKV524417 CUR524415:CUR524417 DEN524415:DEN524417 DOJ524415:DOJ524417 DYF524415:DYF524417 EIB524415:EIB524417 ERX524415:ERX524417 FBT524415:FBT524417 FLP524415:FLP524417 FVL524415:FVL524417 GFH524415:GFH524417 GPD524415:GPD524417 GYZ524415:GYZ524417 HIV524415:HIV524417 HSR524415:HSR524417 ICN524415:ICN524417 IMJ524415:IMJ524417 IWF524415:IWF524417 JGB524415:JGB524417 JPX524415:JPX524417 JZT524415:JZT524417 KJP524415:KJP524417 KTL524415:KTL524417 LDH524415:LDH524417 LND524415:LND524417 LWZ524415:LWZ524417 MGV524415:MGV524417 MQR524415:MQR524417 NAN524415:NAN524417 NKJ524415:NKJ524417 NUF524415:NUF524417 OEB524415:OEB524417 ONX524415:ONX524417 OXT524415:OXT524417 PHP524415:PHP524417 PRL524415:PRL524417 QBH524415:QBH524417 QLD524415:QLD524417 QUZ524415:QUZ524417 REV524415:REV524417 ROR524415:ROR524417 RYN524415:RYN524417 SIJ524415:SIJ524417 SSF524415:SSF524417 TCB524415:TCB524417 TLX524415:TLX524417 TVT524415:TVT524417 UFP524415:UFP524417 UPL524415:UPL524417 UZH524415:UZH524417 VJD524415:VJD524417 VSZ524415:VSZ524417 WCV524415:WCV524417 WMR524415:WMR524417 WWN524415:WWN524417 AF589951:AF589953 KB589951:KB589953 TX589951:TX589953 ADT589951:ADT589953 ANP589951:ANP589953 AXL589951:AXL589953 BHH589951:BHH589953 BRD589951:BRD589953 CAZ589951:CAZ589953 CKV589951:CKV589953 CUR589951:CUR589953 DEN589951:DEN589953 DOJ589951:DOJ589953 DYF589951:DYF589953 EIB589951:EIB589953 ERX589951:ERX589953 FBT589951:FBT589953 FLP589951:FLP589953 FVL589951:FVL589953 GFH589951:GFH589953 GPD589951:GPD589953 GYZ589951:GYZ589953 HIV589951:HIV589953 HSR589951:HSR589953 ICN589951:ICN589953 IMJ589951:IMJ589953 IWF589951:IWF589953 JGB589951:JGB589953 JPX589951:JPX589953 JZT589951:JZT589953 KJP589951:KJP589953 KTL589951:KTL589953 LDH589951:LDH589953 LND589951:LND589953 LWZ589951:LWZ589953 MGV589951:MGV589953 MQR589951:MQR589953 NAN589951:NAN589953 NKJ589951:NKJ589953 NUF589951:NUF589953 OEB589951:OEB589953 ONX589951:ONX589953 OXT589951:OXT589953 PHP589951:PHP589953 PRL589951:PRL589953 QBH589951:QBH589953 QLD589951:QLD589953 QUZ589951:QUZ589953 REV589951:REV589953 ROR589951:ROR589953 RYN589951:RYN589953 SIJ589951:SIJ589953 SSF589951:SSF589953 TCB589951:TCB589953 TLX589951:TLX589953 TVT589951:TVT589953 UFP589951:UFP589953 UPL589951:UPL589953 UZH589951:UZH589953 VJD589951:VJD589953 VSZ589951:VSZ589953 WCV589951:WCV589953 WMR589951:WMR589953 WWN589951:WWN589953 AF655487:AF655489 KB655487:KB655489 TX655487:TX655489 ADT655487:ADT655489 ANP655487:ANP655489 AXL655487:AXL655489 BHH655487:BHH655489 BRD655487:BRD655489 CAZ655487:CAZ655489 CKV655487:CKV655489 CUR655487:CUR655489 DEN655487:DEN655489 DOJ655487:DOJ655489 DYF655487:DYF655489 EIB655487:EIB655489 ERX655487:ERX655489 FBT655487:FBT655489 FLP655487:FLP655489 FVL655487:FVL655489 GFH655487:GFH655489 GPD655487:GPD655489 GYZ655487:GYZ655489 HIV655487:HIV655489 HSR655487:HSR655489 ICN655487:ICN655489 IMJ655487:IMJ655489 IWF655487:IWF655489 JGB655487:JGB655489 JPX655487:JPX655489 JZT655487:JZT655489 KJP655487:KJP655489 KTL655487:KTL655489 LDH655487:LDH655489 LND655487:LND655489 LWZ655487:LWZ655489 MGV655487:MGV655489 MQR655487:MQR655489 NAN655487:NAN655489 NKJ655487:NKJ655489 NUF655487:NUF655489 OEB655487:OEB655489 ONX655487:ONX655489 OXT655487:OXT655489 PHP655487:PHP655489 PRL655487:PRL655489 QBH655487:QBH655489 QLD655487:QLD655489 QUZ655487:QUZ655489 REV655487:REV655489 ROR655487:ROR655489 RYN655487:RYN655489 SIJ655487:SIJ655489 SSF655487:SSF655489 TCB655487:TCB655489 TLX655487:TLX655489 TVT655487:TVT655489 UFP655487:UFP655489 UPL655487:UPL655489 UZH655487:UZH655489 VJD655487:VJD655489 VSZ655487:VSZ655489 WCV655487:WCV655489 WMR655487:WMR655489 WWN655487:WWN655489 AF721023:AF721025 KB721023:KB721025 TX721023:TX721025 ADT721023:ADT721025 ANP721023:ANP721025 AXL721023:AXL721025 BHH721023:BHH721025 BRD721023:BRD721025 CAZ721023:CAZ721025 CKV721023:CKV721025 CUR721023:CUR721025 DEN721023:DEN721025 DOJ721023:DOJ721025 DYF721023:DYF721025 EIB721023:EIB721025 ERX721023:ERX721025 FBT721023:FBT721025 FLP721023:FLP721025 FVL721023:FVL721025 GFH721023:GFH721025 GPD721023:GPD721025 GYZ721023:GYZ721025 HIV721023:HIV721025 HSR721023:HSR721025 ICN721023:ICN721025 IMJ721023:IMJ721025 IWF721023:IWF721025 JGB721023:JGB721025 JPX721023:JPX721025 JZT721023:JZT721025 KJP721023:KJP721025 KTL721023:KTL721025 LDH721023:LDH721025 LND721023:LND721025 LWZ721023:LWZ721025 MGV721023:MGV721025 MQR721023:MQR721025 NAN721023:NAN721025 NKJ721023:NKJ721025 NUF721023:NUF721025 OEB721023:OEB721025 ONX721023:ONX721025 OXT721023:OXT721025 PHP721023:PHP721025 PRL721023:PRL721025 QBH721023:QBH721025 QLD721023:QLD721025 QUZ721023:QUZ721025 REV721023:REV721025 ROR721023:ROR721025 RYN721023:RYN721025 SIJ721023:SIJ721025 SSF721023:SSF721025 TCB721023:TCB721025 TLX721023:TLX721025 TVT721023:TVT721025 UFP721023:UFP721025 UPL721023:UPL721025 UZH721023:UZH721025 VJD721023:VJD721025 VSZ721023:VSZ721025 WCV721023:WCV721025 WMR721023:WMR721025 WWN721023:WWN721025 AF786559:AF786561 KB786559:KB786561 TX786559:TX786561 ADT786559:ADT786561 ANP786559:ANP786561 AXL786559:AXL786561 BHH786559:BHH786561 BRD786559:BRD786561 CAZ786559:CAZ786561 CKV786559:CKV786561 CUR786559:CUR786561 DEN786559:DEN786561 DOJ786559:DOJ786561 DYF786559:DYF786561 EIB786559:EIB786561 ERX786559:ERX786561 FBT786559:FBT786561 FLP786559:FLP786561 FVL786559:FVL786561 GFH786559:GFH786561 GPD786559:GPD786561 GYZ786559:GYZ786561 HIV786559:HIV786561 HSR786559:HSR786561 ICN786559:ICN786561 IMJ786559:IMJ786561 IWF786559:IWF786561 JGB786559:JGB786561 JPX786559:JPX786561 JZT786559:JZT786561 KJP786559:KJP786561 KTL786559:KTL786561 LDH786559:LDH786561 LND786559:LND786561 LWZ786559:LWZ786561 MGV786559:MGV786561 MQR786559:MQR786561 NAN786559:NAN786561 NKJ786559:NKJ786561 NUF786559:NUF786561 OEB786559:OEB786561 ONX786559:ONX786561 OXT786559:OXT786561 PHP786559:PHP786561 PRL786559:PRL786561 QBH786559:QBH786561 QLD786559:QLD786561 QUZ786559:QUZ786561 REV786559:REV786561 ROR786559:ROR786561 RYN786559:RYN786561 SIJ786559:SIJ786561 SSF786559:SSF786561 TCB786559:TCB786561 TLX786559:TLX786561 TVT786559:TVT786561 UFP786559:UFP786561 UPL786559:UPL786561 UZH786559:UZH786561 VJD786559:VJD786561 VSZ786559:VSZ786561 WCV786559:WCV786561 WMR786559:WMR786561 WWN786559:WWN786561 AF852095:AF852097 KB852095:KB852097 TX852095:TX852097 ADT852095:ADT852097 ANP852095:ANP852097 AXL852095:AXL852097 BHH852095:BHH852097 BRD852095:BRD852097 CAZ852095:CAZ852097 CKV852095:CKV852097 CUR852095:CUR852097 DEN852095:DEN852097 DOJ852095:DOJ852097 DYF852095:DYF852097 EIB852095:EIB852097 ERX852095:ERX852097 FBT852095:FBT852097 FLP852095:FLP852097 FVL852095:FVL852097 GFH852095:GFH852097 GPD852095:GPD852097 GYZ852095:GYZ852097 HIV852095:HIV852097 HSR852095:HSR852097 ICN852095:ICN852097 IMJ852095:IMJ852097 IWF852095:IWF852097 JGB852095:JGB852097 JPX852095:JPX852097 JZT852095:JZT852097 KJP852095:KJP852097 KTL852095:KTL852097 LDH852095:LDH852097 LND852095:LND852097 LWZ852095:LWZ852097 MGV852095:MGV852097 MQR852095:MQR852097 NAN852095:NAN852097 NKJ852095:NKJ852097 NUF852095:NUF852097 OEB852095:OEB852097 ONX852095:ONX852097 OXT852095:OXT852097 PHP852095:PHP852097 PRL852095:PRL852097 QBH852095:QBH852097 QLD852095:QLD852097 QUZ852095:QUZ852097 REV852095:REV852097 ROR852095:ROR852097 RYN852095:RYN852097 SIJ852095:SIJ852097 SSF852095:SSF852097 TCB852095:TCB852097 TLX852095:TLX852097 TVT852095:TVT852097 UFP852095:UFP852097 UPL852095:UPL852097 UZH852095:UZH852097 VJD852095:VJD852097 VSZ852095:VSZ852097 WCV852095:WCV852097 WMR852095:WMR852097 WWN852095:WWN852097 AF917631:AF917633 KB917631:KB917633 TX917631:TX917633 ADT917631:ADT917633 ANP917631:ANP917633 AXL917631:AXL917633 BHH917631:BHH917633 BRD917631:BRD917633 CAZ917631:CAZ917633 CKV917631:CKV917633 CUR917631:CUR917633 DEN917631:DEN917633 DOJ917631:DOJ917633 DYF917631:DYF917633 EIB917631:EIB917633 ERX917631:ERX917633 FBT917631:FBT917633 FLP917631:FLP917633 FVL917631:FVL917633 GFH917631:GFH917633 GPD917631:GPD917633 GYZ917631:GYZ917633 HIV917631:HIV917633 HSR917631:HSR917633 ICN917631:ICN917633 IMJ917631:IMJ917633 IWF917631:IWF917633 JGB917631:JGB917633 JPX917631:JPX917633 JZT917631:JZT917633 KJP917631:KJP917633 KTL917631:KTL917633 LDH917631:LDH917633 LND917631:LND917633 LWZ917631:LWZ917633 MGV917631:MGV917633 MQR917631:MQR917633 NAN917631:NAN917633 NKJ917631:NKJ917633 NUF917631:NUF917633 OEB917631:OEB917633 ONX917631:ONX917633 OXT917631:OXT917633 PHP917631:PHP917633 PRL917631:PRL917633 QBH917631:QBH917633 QLD917631:QLD917633 QUZ917631:QUZ917633 REV917631:REV917633 ROR917631:ROR917633 RYN917631:RYN917633 SIJ917631:SIJ917633 SSF917631:SSF917633 TCB917631:TCB917633 TLX917631:TLX917633 TVT917631:TVT917633 UFP917631:UFP917633 UPL917631:UPL917633 UZH917631:UZH917633 VJD917631:VJD917633 VSZ917631:VSZ917633 WCV917631:WCV917633 WMR917631:WMR917633 WWN917631:WWN917633 AF983167:AF983169 KB983167:KB983169 TX983167:TX983169 ADT983167:ADT983169 ANP983167:ANP983169 AXL983167:AXL983169 BHH983167:BHH983169 BRD983167:BRD983169 CAZ983167:CAZ983169 CKV983167:CKV983169 CUR983167:CUR983169 DEN983167:DEN983169 DOJ983167:DOJ983169 DYF983167:DYF983169 EIB983167:EIB983169 ERX983167:ERX983169 FBT983167:FBT983169 FLP983167:FLP983169 FVL983167:FVL983169 GFH983167:GFH983169 GPD983167:GPD983169 GYZ983167:GYZ983169 HIV983167:HIV983169 HSR983167:HSR983169 ICN983167:ICN983169 IMJ983167:IMJ983169 IWF983167:IWF983169 JGB983167:JGB983169 JPX983167:JPX983169 JZT983167:JZT983169 KJP983167:KJP983169 KTL983167:KTL983169 LDH983167:LDH983169 LND983167:LND983169 LWZ983167:LWZ983169 MGV983167:MGV983169 MQR983167:MQR983169 NAN983167:NAN983169 NKJ983167:NKJ983169 NUF983167:NUF983169 OEB983167:OEB983169 ONX983167:ONX983169 OXT983167:OXT983169 PHP983167:PHP983169 PRL983167:PRL983169 QBH983167:QBH983169 QLD983167:QLD983169 QUZ983167:QUZ983169 REV983167:REV983169 ROR983167:ROR983169 RYN983167:RYN983169 SIJ983167:SIJ983169 SSF983167:SSF983169 TCB983167:TCB983169 TLX983167:TLX983169 TVT983167:TVT983169 UFP983167:UFP983169 UPL983167:UPL983169 UZH983167:UZH983169 VJD983167:VJD983169 VSZ983167:VSZ983169 WCV983167:WCV983169 WMR983167:WMR983169 WWN983167:WWN983169 AF122:AF124 KB122:KB124 TX122:TX124 ADT122:ADT124 ANP122:ANP124 AXL122:AXL124 BHH122:BHH124 BRD122:BRD124 CAZ122:CAZ124 CKV122:CKV124 CUR122:CUR124 DEN122:DEN124 DOJ122:DOJ124 DYF122:DYF124 EIB122:EIB124 ERX122:ERX124 FBT122:FBT124 FLP122:FLP124 FVL122:FVL124 GFH122:GFH124 GPD122:GPD124 GYZ122:GYZ124 HIV122:HIV124 HSR122:HSR124 ICN122:ICN124 IMJ122:IMJ124 IWF122:IWF124 JGB122:JGB124 JPX122:JPX124 JZT122:JZT124 KJP122:KJP124 KTL122:KTL124 LDH122:LDH124 LND122:LND124 LWZ122:LWZ124 MGV122:MGV124 MQR122:MQR124 NAN122:NAN124 NKJ122:NKJ124 NUF122:NUF124 OEB122:OEB124 ONX122:ONX124 OXT122:OXT124 PHP122:PHP124 PRL122:PRL124 QBH122:QBH124 QLD122:QLD124 QUZ122:QUZ124 REV122:REV124 ROR122:ROR124 RYN122:RYN124 SIJ122:SIJ124 SSF122:SSF124 TCB122:TCB124 TLX122:TLX124 TVT122:TVT124 UFP122:UFP124 UPL122:UPL124 UZH122:UZH124 VJD122:VJD124 VSZ122:VSZ124 WCV122:WCV124 WMR122:WMR124 WWN122:WWN124 AF65659:AF65661 KB65659:KB65661 TX65659:TX65661 ADT65659:ADT65661 ANP65659:ANP65661 AXL65659:AXL65661 BHH65659:BHH65661 BRD65659:BRD65661 CAZ65659:CAZ65661 CKV65659:CKV65661 CUR65659:CUR65661 DEN65659:DEN65661 DOJ65659:DOJ65661 DYF65659:DYF65661 EIB65659:EIB65661 ERX65659:ERX65661 FBT65659:FBT65661 FLP65659:FLP65661 FVL65659:FVL65661 GFH65659:GFH65661 GPD65659:GPD65661 GYZ65659:GYZ65661 HIV65659:HIV65661 HSR65659:HSR65661 ICN65659:ICN65661 IMJ65659:IMJ65661 IWF65659:IWF65661 JGB65659:JGB65661 JPX65659:JPX65661 JZT65659:JZT65661 KJP65659:KJP65661 KTL65659:KTL65661 LDH65659:LDH65661 LND65659:LND65661 LWZ65659:LWZ65661 MGV65659:MGV65661 MQR65659:MQR65661 NAN65659:NAN65661 NKJ65659:NKJ65661 NUF65659:NUF65661 OEB65659:OEB65661 ONX65659:ONX65661 OXT65659:OXT65661 PHP65659:PHP65661 PRL65659:PRL65661 QBH65659:QBH65661 QLD65659:QLD65661 QUZ65659:QUZ65661 REV65659:REV65661 ROR65659:ROR65661 RYN65659:RYN65661 SIJ65659:SIJ65661 SSF65659:SSF65661 TCB65659:TCB65661 TLX65659:TLX65661 TVT65659:TVT65661 UFP65659:UFP65661 UPL65659:UPL65661 UZH65659:UZH65661 VJD65659:VJD65661 VSZ65659:VSZ65661 WCV65659:WCV65661 WMR65659:WMR65661 WWN65659:WWN65661 AF131195:AF131197 KB131195:KB131197 TX131195:TX131197 ADT131195:ADT131197 ANP131195:ANP131197 AXL131195:AXL131197 BHH131195:BHH131197 BRD131195:BRD131197 CAZ131195:CAZ131197 CKV131195:CKV131197 CUR131195:CUR131197 DEN131195:DEN131197 DOJ131195:DOJ131197 DYF131195:DYF131197 EIB131195:EIB131197 ERX131195:ERX131197 FBT131195:FBT131197 FLP131195:FLP131197 FVL131195:FVL131197 GFH131195:GFH131197 GPD131195:GPD131197 GYZ131195:GYZ131197 HIV131195:HIV131197 HSR131195:HSR131197 ICN131195:ICN131197 IMJ131195:IMJ131197 IWF131195:IWF131197 JGB131195:JGB131197 JPX131195:JPX131197 JZT131195:JZT131197 KJP131195:KJP131197 KTL131195:KTL131197 LDH131195:LDH131197 LND131195:LND131197 LWZ131195:LWZ131197 MGV131195:MGV131197 MQR131195:MQR131197 NAN131195:NAN131197 NKJ131195:NKJ131197 NUF131195:NUF131197 OEB131195:OEB131197 ONX131195:ONX131197 OXT131195:OXT131197 PHP131195:PHP131197 PRL131195:PRL131197 QBH131195:QBH131197 QLD131195:QLD131197 QUZ131195:QUZ131197 REV131195:REV131197 ROR131195:ROR131197 RYN131195:RYN131197 SIJ131195:SIJ131197 SSF131195:SSF131197 TCB131195:TCB131197 TLX131195:TLX131197 TVT131195:TVT131197 UFP131195:UFP131197 UPL131195:UPL131197 UZH131195:UZH131197 VJD131195:VJD131197 VSZ131195:VSZ131197 WCV131195:WCV131197 WMR131195:WMR131197 WWN131195:WWN131197 AF196731:AF196733 KB196731:KB196733 TX196731:TX196733 ADT196731:ADT196733 ANP196731:ANP196733 AXL196731:AXL196733 BHH196731:BHH196733 BRD196731:BRD196733 CAZ196731:CAZ196733 CKV196731:CKV196733 CUR196731:CUR196733 DEN196731:DEN196733 DOJ196731:DOJ196733 DYF196731:DYF196733 EIB196731:EIB196733 ERX196731:ERX196733 FBT196731:FBT196733 FLP196731:FLP196733 FVL196731:FVL196733 GFH196731:GFH196733 GPD196731:GPD196733 GYZ196731:GYZ196733 HIV196731:HIV196733 HSR196731:HSR196733 ICN196731:ICN196733 IMJ196731:IMJ196733 IWF196731:IWF196733 JGB196731:JGB196733 JPX196731:JPX196733 JZT196731:JZT196733 KJP196731:KJP196733 KTL196731:KTL196733 LDH196731:LDH196733 LND196731:LND196733 LWZ196731:LWZ196733 MGV196731:MGV196733 MQR196731:MQR196733 NAN196731:NAN196733 NKJ196731:NKJ196733 NUF196731:NUF196733 OEB196731:OEB196733 ONX196731:ONX196733 OXT196731:OXT196733 PHP196731:PHP196733 PRL196731:PRL196733 QBH196731:QBH196733 QLD196731:QLD196733 QUZ196731:QUZ196733 REV196731:REV196733 ROR196731:ROR196733 RYN196731:RYN196733 SIJ196731:SIJ196733 SSF196731:SSF196733 TCB196731:TCB196733 TLX196731:TLX196733 TVT196731:TVT196733 UFP196731:UFP196733 UPL196731:UPL196733 UZH196731:UZH196733 VJD196731:VJD196733 VSZ196731:VSZ196733 WCV196731:WCV196733 WMR196731:WMR196733 WWN196731:WWN196733 AF262267:AF262269 KB262267:KB262269 TX262267:TX262269 ADT262267:ADT262269 ANP262267:ANP262269 AXL262267:AXL262269 BHH262267:BHH262269 BRD262267:BRD262269 CAZ262267:CAZ262269 CKV262267:CKV262269 CUR262267:CUR262269 DEN262267:DEN262269 DOJ262267:DOJ262269 DYF262267:DYF262269 EIB262267:EIB262269 ERX262267:ERX262269 FBT262267:FBT262269 FLP262267:FLP262269 FVL262267:FVL262269 GFH262267:GFH262269 GPD262267:GPD262269 GYZ262267:GYZ262269 HIV262267:HIV262269 HSR262267:HSR262269 ICN262267:ICN262269 IMJ262267:IMJ262269 IWF262267:IWF262269 JGB262267:JGB262269 JPX262267:JPX262269 JZT262267:JZT262269 KJP262267:KJP262269 KTL262267:KTL262269 LDH262267:LDH262269 LND262267:LND262269 LWZ262267:LWZ262269 MGV262267:MGV262269 MQR262267:MQR262269 NAN262267:NAN262269 NKJ262267:NKJ262269 NUF262267:NUF262269 OEB262267:OEB262269 ONX262267:ONX262269 OXT262267:OXT262269 PHP262267:PHP262269 PRL262267:PRL262269 QBH262267:QBH262269 QLD262267:QLD262269 QUZ262267:QUZ262269 REV262267:REV262269 ROR262267:ROR262269 RYN262267:RYN262269 SIJ262267:SIJ262269 SSF262267:SSF262269 TCB262267:TCB262269 TLX262267:TLX262269 TVT262267:TVT262269 UFP262267:UFP262269 UPL262267:UPL262269 UZH262267:UZH262269 VJD262267:VJD262269 VSZ262267:VSZ262269 WCV262267:WCV262269 WMR262267:WMR262269 WWN262267:WWN262269 AF327803:AF327805 KB327803:KB327805 TX327803:TX327805 ADT327803:ADT327805 ANP327803:ANP327805 AXL327803:AXL327805 BHH327803:BHH327805 BRD327803:BRD327805 CAZ327803:CAZ327805 CKV327803:CKV327805 CUR327803:CUR327805 DEN327803:DEN327805 DOJ327803:DOJ327805 DYF327803:DYF327805 EIB327803:EIB327805 ERX327803:ERX327805 FBT327803:FBT327805 FLP327803:FLP327805 FVL327803:FVL327805 GFH327803:GFH327805 GPD327803:GPD327805 GYZ327803:GYZ327805 HIV327803:HIV327805 HSR327803:HSR327805 ICN327803:ICN327805 IMJ327803:IMJ327805 IWF327803:IWF327805 JGB327803:JGB327805 JPX327803:JPX327805 JZT327803:JZT327805 KJP327803:KJP327805 KTL327803:KTL327805 LDH327803:LDH327805 LND327803:LND327805 LWZ327803:LWZ327805 MGV327803:MGV327805 MQR327803:MQR327805 NAN327803:NAN327805 NKJ327803:NKJ327805 NUF327803:NUF327805 OEB327803:OEB327805 ONX327803:ONX327805 OXT327803:OXT327805 PHP327803:PHP327805 PRL327803:PRL327805 QBH327803:QBH327805 QLD327803:QLD327805 QUZ327803:QUZ327805 REV327803:REV327805 ROR327803:ROR327805 RYN327803:RYN327805 SIJ327803:SIJ327805 SSF327803:SSF327805 TCB327803:TCB327805 TLX327803:TLX327805 TVT327803:TVT327805 UFP327803:UFP327805 UPL327803:UPL327805 UZH327803:UZH327805 VJD327803:VJD327805 VSZ327803:VSZ327805 WCV327803:WCV327805 WMR327803:WMR327805 WWN327803:WWN327805 AF393339:AF393341 KB393339:KB393341 TX393339:TX393341 ADT393339:ADT393341 ANP393339:ANP393341 AXL393339:AXL393341 BHH393339:BHH393341 BRD393339:BRD393341 CAZ393339:CAZ393341 CKV393339:CKV393341 CUR393339:CUR393341 DEN393339:DEN393341 DOJ393339:DOJ393341 DYF393339:DYF393341 EIB393339:EIB393341 ERX393339:ERX393341 FBT393339:FBT393341 FLP393339:FLP393341 FVL393339:FVL393341 GFH393339:GFH393341 GPD393339:GPD393341 GYZ393339:GYZ393341 HIV393339:HIV393341 HSR393339:HSR393341 ICN393339:ICN393341 IMJ393339:IMJ393341 IWF393339:IWF393341 JGB393339:JGB393341 JPX393339:JPX393341 JZT393339:JZT393341 KJP393339:KJP393341 KTL393339:KTL393341 LDH393339:LDH393341 LND393339:LND393341 LWZ393339:LWZ393341 MGV393339:MGV393341 MQR393339:MQR393341 NAN393339:NAN393341 NKJ393339:NKJ393341 NUF393339:NUF393341 OEB393339:OEB393341 ONX393339:ONX393341 OXT393339:OXT393341 PHP393339:PHP393341 PRL393339:PRL393341 QBH393339:QBH393341 QLD393339:QLD393341 QUZ393339:QUZ393341 REV393339:REV393341 ROR393339:ROR393341 RYN393339:RYN393341 SIJ393339:SIJ393341 SSF393339:SSF393341 TCB393339:TCB393341 TLX393339:TLX393341 TVT393339:TVT393341 UFP393339:UFP393341 UPL393339:UPL393341 UZH393339:UZH393341 VJD393339:VJD393341 VSZ393339:VSZ393341 WCV393339:WCV393341 WMR393339:WMR393341 WWN393339:WWN393341 AF458875:AF458877 KB458875:KB458877 TX458875:TX458877 ADT458875:ADT458877 ANP458875:ANP458877 AXL458875:AXL458877 BHH458875:BHH458877 BRD458875:BRD458877 CAZ458875:CAZ458877 CKV458875:CKV458877 CUR458875:CUR458877 DEN458875:DEN458877 DOJ458875:DOJ458877 DYF458875:DYF458877 EIB458875:EIB458877 ERX458875:ERX458877 FBT458875:FBT458877 FLP458875:FLP458877 FVL458875:FVL458877 GFH458875:GFH458877 GPD458875:GPD458877 GYZ458875:GYZ458877 HIV458875:HIV458877 HSR458875:HSR458877 ICN458875:ICN458877 IMJ458875:IMJ458877 IWF458875:IWF458877 JGB458875:JGB458877 JPX458875:JPX458877 JZT458875:JZT458877 KJP458875:KJP458877 KTL458875:KTL458877 LDH458875:LDH458877 LND458875:LND458877 LWZ458875:LWZ458877 MGV458875:MGV458877 MQR458875:MQR458877 NAN458875:NAN458877 NKJ458875:NKJ458877 NUF458875:NUF458877 OEB458875:OEB458877 ONX458875:ONX458877 OXT458875:OXT458877 PHP458875:PHP458877 PRL458875:PRL458877 QBH458875:QBH458877 QLD458875:QLD458877 QUZ458875:QUZ458877 REV458875:REV458877 ROR458875:ROR458877 RYN458875:RYN458877 SIJ458875:SIJ458877 SSF458875:SSF458877 TCB458875:TCB458877 TLX458875:TLX458877 TVT458875:TVT458877 UFP458875:UFP458877 UPL458875:UPL458877 UZH458875:UZH458877 VJD458875:VJD458877 VSZ458875:VSZ458877 WCV458875:WCV458877 WMR458875:WMR458877 WWN458875:WWN458877 AF524411:AF524413 KB524411:KB524413 TX524411:TX524413 ADT524411:ADT524413 ANP524411:ANP524413 AXL524411:AXL524413 BHH524411:BHH524413 BRD524411:BRD524413 CAZ524411:CAZ524413 CKV524411:CKV524413 CUR524411:CUR524413 DEN524411:DEN524413 DOJ524411:DOJ524413 DYF524411:DYF524413 EIB524411:EIB524413 ERX524411:ERX524413 FBT524411:FBT524413 FLP524411:FLP524413 FVL524411:FVL524413 GFH524411:GFH524413 GPD524411:GPD524413 GYZ524411:GYZ524413 HIV524411:HIV524413 HSR524411:HSR524413 ICN524411:ICN524413 IMJ524411:IMJ524413 IWF524411:IWF524413 JGB524411:JGB524413 JPX524411:JPX524413 JZT524411:JZT524413 KJP524411:KJP524413 KTL524411:KTL524413 LDH524411:LDH524413 LND524411:LND524413 LWZ524411:LWZ524413 MGV524411:MGV524413 MQR524411:MQR524413 NAN524411:NAN524413 NKJ524411:NKJ524413 NUF524411:NUF524413 OEB524411:OEB524413 ONX524411:ONX524413 OXT524411:OXT524413 PHP524411:PHP524413 PRL524411:PRL524413 QBH524411:QBH524413 QLD524411:QLD524413 QUZ524411:QUZ524413 REV524411:REV524413 ROR524411:ROR524413 RYN524411:RYN524413 SIJ524411:SIJ524413 SSF524411:SSF524413 TCB524411:TCB524413 TLX524411:TLX524413 TVT524411:TVT524413 UFP524411:UFP524413 UPL524411:UPL524413 UZH524411:UZH524413 VJD524411:VJD524413 VSZ524411:VSZ524413 WCV524411:WCV524413 WMR524411:WMR524413 WWN524411:WWN524413 AF589947:AF589949 KB589947:KB589949 TX589947:TX589949 ADT589947:ADT589949 ANP589947:ANP589949 AXL589947:AXL589949 BHH589947:BHH589949 BRD589947:BRD589949 CAZ589947:CAZ589949 CKV589947:CKV589949 CUR589947:CUR589949 DEN589947:DEN589949 DOJ589947:DOJ589949 DYF589947:DYF589949 EIB589947:EIB589949 ERX589947:ERX589949 FBT589947:FBT589949 FLP589947:FLP589949 FVL589947:FVL589949 GFH589947:GFH589949 GPD589947:GPD589949 GYZ589947:GYZ589949 HIV589947:HIV589949 HSR589947:HSR589949 ICN589947:ICN589949 IMJ589947:IMJ589949 IWF589947:IWF589949 JGB589947:JGB589949 JPX589947:JPX589949 JZT589947:JZT589949 KJP589947:KJP589949 KTL589947:KTL589949 LDH589947:LDH589949 LND589947:LND589949 LWZ589947:LWZ589949 MGV589947:MGV589949 MQR589947:MQR589949 NAN589947:NAN589949 NKJ589947:NKJ589949 NUF589947:NUF589949 OEB589947:OEB589949 ONX589947:ONX589949 OXT589947:OXT589949 PHP589947:PHP589949 PRL589947:PRL589949 QBH589947:QBH589949 QLD589947:QLD589949 QUZ589947:QUZ589949 REV589947:REV589949 ROR589947:ROR589949 RYN589947:RYN589949 SIJ589947:SIJ589949 SSF589947:SSF589949 TCB589947:TCB589949 TLX589947:TLX589949 TVT589947:TVT589949 UFP589947:UFP589949 UPL589947:UPL589949 UZH589947:UZH589949 VJD589947:VJD589949 VSZ589947:VSZ589949 WCV589947:WCV589949 WMR589947:WMR589949 WWN589947:WWN589949 AF655483:AF655485 KB655483:KB655485 TX655483:TX655485 ADT655483:ADT655485 ANP655483:ANP655485 AXL655483:AXL655485 BHH655483:BHH655485 BRD655483:BRD655485 CAZ655483:CAZ655485 CKV655483:CKV655485 CUR655483:CUR655485 DEN655483:DEN655485 DOJ655483:DOJ655485 DYF655483:DYF655485 EIB655483:EIB655485 ERX655483:ERX655485 FBT655483:FBT655485 FLP655483:FLP655485 FVL655483:FVL655485 GFH655483:GFH655485 GPD655483:GPD655485 GYZ655483:GYZ655485 HIV655483:HIV655485 HSR655483:HSR655485 ICN655483:ICN655485 IMJ655483:IMJ655485 IWF655483:IWF655485 JGB655483:JGB655485 JPX655483:JPX655485 JZT655483:JZT655485 KJP655483:KJP655485 KTL655483:KTL655485 LDH655483:LDH655485 LND655483:LND655485 LWZ655483:LWZ655485 MGV655483:MGV655485 MQR655483:MQR655485 NAN655483:NAN655485 NKJ655483:NKJ655485 NUF655483:NUF655485 OEB655483:OEB655485 ONX655483:ONX655485 OXT655483:OXT655485 PHP655483:PHP655485 PRL655483:PRL655485 QBH655483:QBH655485 QLD655483:QLD655485 QUZ655483:QUZ655485 REV655483:REV655485 ROR655483:ROR655485 RYN655483:RYN655485 SIJ655483:SIJ655485 SSF655483:SSF655485 TCB655483:TCB655485 TLX655483:TLX655485 TVT655483:TVT655485 UFP655483:UFP655485 UPL655483:UPL655485 UZH655483:UZH655485 VJD655483:VJD655485 VSZ655483:VSZ655485 WCV655483:WCV655485 WMR655483:WMR655485 WWN655483:WWN655485 AF721019:AF721021 KB721019:KB721021 TX721019:TX721021 ADT721019:ADT721021 ANP721019:ANP721021 AXL721019:AXL721021 BHH721019:BHH721021 BRD721019:BRD721021 CAZ721019:CAZ721021 CKV721019:CKV721021 CUR721019:CUR721021 DEN721019:DEN721021 DOJ721019:DOJ721021 DYF721019:DYF721021 EIB721019:EIB721021 ERX721019:ERX721021 FBT721019:FBT721021 FLP721019:FLP721021 FVL721019:FVL721021 GFH721019:GFH721021 GPD721019:GPD721021 GYZ721019:GYZ721021 HIV721019:HIV721021 HSR721019:HSR721021 ICN721019:ICN721021 IMJ721019:IMJ721021 IWF721019:IWF721021 JGB721019:JGB721021 JPX721019:JPX721021 JZT721019:JZT721021 KJP721019:KJP721021 KTL721019:KTL721021 LDH721019:LDH721021 LND721019:LND721021 LWZ721019:LWZ721021 MGV721019:MGV721021 MQR721019:MQR721021 NAN721019:NAN721021 NKJ721019:NKJ721021 NUF721019:NUF721021 OEB721019:OEB721021 ONX721019:ONX721021 OXT721019:OXT721021 PHP721019:PHP721021 PRL721019:PRL721021 QBH721019:QBH721021 QLD721019:QLD721021 QUZ721019:QUZ721021 REV721019:REV721021 ROR721019:ROR721021 RYN721019:RYN721021 SIJ721019:SIJ721021 SSF721019:SSF721021 TCB721019:TCB721021 TLX721019:TLX721021 TVT721019:TVT721021 UFP721019:UFP721021 UPL721019:UPL721021 UZH721019:UZH721021 VJD721019:VJD721021 VSZ721019:VSZ721021 WCV721019:WCV721021 WMR721019:WMR721021 WWN721019:WWN721021 AF786555:AF786557 KB786555:KB786557 TX786555:TX786557 ADT786555:ADT786557 ANP786555:ANP786557 AXL786555:AXL786557 BHH786555:BHH786557 BRD786555:BRD786557 CAZ786555:CAZ786557 CKV786555:CKV786557 CUR786555:CUR786557 DEN786555:DEN786557 DOJ786555:DOJ786557 DYF786555:DYF786557 EIB786555:EIB786557 ERX786555:ERX786557 FBT786555:FBT786557 FLP786555:FLP786557 FVL786555:FVL786557 GFH786555:GFH786557 GPD786555:GPD786557 GYZ786555:GYZ786557 HIV786555:HIV786557 HSR786555:HSR786557 ICN786555:ICN786557 IMJ786555:IMJ786557 IWF786555:IWF786557 JGB786555:JGB786557 JPX786555:JPX786557 JZT786555:JZT786557 KJP786555:KJP786557 KTL786555:KTL786557 LDH786555:LDH786557 LND786555:LND786557 LWZ786555:LWZ786557 MGV786555:MGV786557 MQR786555:MQR786557 NAN786555:NAN786557 NKJ786555:NKJ786557 NUF786555:NUF786557 OEB786555:OEB786557 ONX786555:ONX786557 OXT786555:OXT786557 PHP786555:PHP786557 PRL786555:PRL786557 QBH786555:QBH786557 QLD786555:QLD786557 QUZ786555:QUZ786557 REV786555:REV786557 ROR786555:ROR786557 RYN786555:RYN786557 SIJ786555:SIJ786557 SSF786555:SSF786557 TCB786555:TCB786557 TLX786555:TLX786557 TVT786555:TVT786557 UFP786555:UFP786557 UPL786555:UPL786557 UZH786555:UZH786557 VJD786555:VJD786557 VSZ786555:VSZ786557 WCV786555:WCV786557 WMR786555:WMR786557 WWN786555:WWN786557 AF852091:AF852093 KB852091:KB852093 TX852091:TX852093 ADT852091:ADT852093 ANP852091:ANP852093 AXL852091:AXL852093 BHH852091:BHH852093 BRD852091:BRD852093 CAZ852091:CAZ852093 CKV852091:CKV852093 CUR852091:CUR852093 DEN852091:DEN852093 DOJ852091:DOJ852093 DYF852091:DYF852093 EIB852091:EIB852093 ERX852091:ERX852093 FBT852091:FBT852093 FLP852091:FLP852093 FVL852091:FVL852093 GFH852091:GFH852093 GPD852091:GPD852093 GYZ852091:GYZ852093 HIV852091:HIV852093 HSR852091:HSR852093 ICN852091:ICN852093 IMJ852091:IMJ852093 IWF852091:IWF852093 JGB852091:JGB852093 JPX852091:JPX852093 JZT852091:JZT852093 KJP852091:KJP852093 KTL852091:KTL852093 LDH852091:LDH852093 LND852091:LND852093 LWZ852091:LWZ852093 MGV852091:MGV852093 MQR852091:MQR852093 NAN852091:NAN852093 NKJ852091:NKJ852093 NUF852091:NUF852093 OEB852091:OEB852093 ONX852091:ONX852093 OXT852091:OXT852093 PHP852091:PHP852093 PRL852091:PRL852093 QBH852091:QBH852093 QLD852091:QLD852093 QUZ852091:QUZ852093 REV852091:REV852093 ROR852091:ROR852093 RYN852091:RYN852093 SIJ852091:SIJ852093 SSF852091:SSF852093 TCB852091:TCB852093 TLX852091:TLX852093 TVT852091:TVT852093 UFP852091:UFP852093 UPL852091:UPL852093 UZH852091:UZH852093 VJD852091:VJD852093 VSZ852091:VSZ852093 WCV852091:WCV852093 WMR852091:WMR852093 WWN852091:WWN852093 AF917627:AF917629 KB917627:KB917629 TX917627:TX917629 ADT917627:ADT917629 ANP917627:ANP917629 AXL917627:AXL917629 BHH917627:BHH917629 BRD917627:BRD917629 CAZ917627:CAZ917629 CKV917627:CKV917629 CUR917627:CUR917629 DEN917627:DEN917629 DOJ917627:DOJ917629 DYF917627:DYF917629 EIB917627:EIB917629 ERX917627:ERX917629 FBT917627:FBT917629 FLP917627:FLP917629 FVL917627:FVL917629 GFH917627:GFH917629 GPD917627:GPD917629 GYZ917627:GYZ917629 HIV917627:HIV917629 HSR917627:HSR917629 ICN917627:ICN917629 IMJ917627:IMJ917629 IWF917627:IWF917629 JGB917627:JGB917629 JPX917627:JPX917629 JZT917627:JZT917629 KJP917627:KJP917629 KTL917627:KTL917629 LDH917627:LDH917629 LND917627:LND917629 LWZ917627:LWZ917629 MGV917627:MGV917629 MQR917627:MQR917629 NAN917627:NAN917629 NKJ917627:NKJ917629 NUF917627:NUF917629 OEB917627:OEB917629 ONX917627:ONX917629 OXT917627:OXT917629 PHP917627:PHP917629 PRL917627:PRL917629 QBH917627:QBH917629 QLD917627:QLD917629 QUZ917627:QUZ917629 REV917627:REV917629 ROR917627:ROR917629 RYN917627:RYN917629 SIJ917627:SIJ917629 SSF917627:SSF917629 TCB917627:TCB917629 TLX917627:TLX917629 TVT917627:TVT917629 UFP917627:UFP917629 UPL917627:UPL917629 UZH917627:UZH917629 VJD917627:VJD917629 VSZ917627:VSZ917629 WCV917627:WCV917629 WMR917627:WMR917629 WWN917627:WWN917629 AF983163:AF983165 KB983163:KB983165 TX983163:TX983165 ADT983163:ADT983165 ANP983163:ANP983165 AXL983163:AXL983165 BHH983163:BHH983165 BRD983163:BRD983165 CAZ983163:CAZ983165 CKV983163:CKV983165 CUR983163:CUR983165 DEN983163:DEN983165 DOJ983163:DOJ983165 DYF983163:DYF983165 EIB983163:EIB983165 ERX983163:ERX983165 FBT983163:FBT983165 FLP983163:FLP983165 FVL983163:FVL983165 GFH983163:GFH983165 GPD983163:GPD983165 GYZ983163:GYZ983165 HIV983163:HIV983165 HSR983163:HSR983165 ICN983163:ICN983165 IMJ983163:IMJ983165 IWF983163:IWF983165 JGB983163:JGB983165 JPX983163:JPX983165 JZT983163:JZT983165 KJP983163:KJP983165 KTL983163:KTL983165 LDH983163:LDH983165 LND983163:LND983165 LWZ983163:LWZ983165 MGV983163:MGV983165 MQR983163:MQR983165 NAN983163:NAN983165 NKJ983163:NKJ983165 NUF983163:NUF983165 OEB983163:OEB983165 ONX983163:ONX983165 OXT983163:OXT983165 PHP983163:PHP983165 PRL983163:PRL983165 QBH983163:QBH983165 QLD983163:QLD983165 QUZ983163:QUZ983165 REV983163:REV983165 ROR983163:ROR983165 RYN983163:RYN983165 SIJ983163:SIJ983165 SSF983163:SSF983165 TCB983163:TCB983165 TLX983163:TLX983165 TVT983163:TVT983165 UFP983163:UFP983165 UPL983163:UPL983165 UZH983163:UZH983165 VJD983163:VJD983165 VSZ983163:VSZ983165 WCV983163:WCV983165 WMR983163:WMR983165 WWN983163:WWN983165 AF104:AF118 KB104:KB118 TX104:TX118 ADT104:ADT118 ANP104:ANP118 AXL104:AXL118 BHH104:BHH118 BRD104:BRD118 CAZ104:CAZ118 CKV104:CKV118 CUR104:CUR118 DEN104:DEN118 DOJ104:DOJ118 DYF104:DYF118 EIB104:EIB118 ERX104:ERX118 FBT104:FBT118 FLP104:FLP118 FVL104:FVL118 GFH104:GFH118 GPD104:GPD118 GYZ104:GYZ118 HIV104:HIV118 HSR104:HSR118 ICN104:ICN118 IMJ104:IMJ118 IWF104:IWF118 JGB104:JGB118 JPX104:JPX118 JZT104:JZT118 KJP104:KJP118 KTL104:KTL118 LDH104:LDH118 LND104:LND118 LWZ104:LWZ118 MGV104:MGV118 MQR104:MQR118 NAN104:NAN118 NKJ104:NKJ118 NUF104:NUF118 OEB104:OEB118 ONX104:ONX118 OXT104:OXT118 PHP104:PHP118 PRL104:PRL118 QBH104:QBH118 QLD104:QLD118 QUZ104:QUZ118 REV104:REV118 ROR104:ROR118 RYN104:RYN118 SIJ104:SIJ118 SSF104:SSF118 TCB104:TCB118 TLX104:TLX118 TVT104:TVT118 UFP104:UFP118 UPL104:UPL118 UZH104:UZH118 VJD104:VJD118 VSZ104:VSZ118 WCV104:WCV118 WMR104:WMR118 WWN104:WWN118 AF65641:AF65655 KB65641:KB65655 TX65641:TX65655 ADT65641:ADT65655 ANP65641:ANP65655 AXL65641:AXL65655 BHH65641:BHH65655 BRD65641:BRD65655 CAZ65641:CAZ65655 CKV65641:CKV65655 CUR65641:CUR65655 DEN65641:DEN65655 DOJ65641:DOJ65655 DYF65641:DYF65655 EIB65641:EIB65655 ERX65641:ERX65655 FBT65641:FBT65655 FLP65641:FLP65655 FVL65641:FVL65655 GFH65641:GFH65655 GPD65641:GPD65655 GYZ65641:GYZ65655 HIV65641:HIV65655 HSR65641:HSR65655 ICN65641:ICN65655 IMJ65641:IMJ65655 IWF65641:IWF65655 JGB65641:JGB65655 JPX65641:JPX65655 JZT65641:JZT65655 KJP65641:KJP65655 KTL65641:KTL65655 LDH65641:LDH65655 LND65641:LND65655 LWZ65641:LWZ65655 MGV65641:MGV65655 MQR65641:MQR65655 NAN65641:NAN65655 NKJ65641:NKJ65655 NUF65641:NUF65655 OEB65641:OEB65655 ONX65641:ONX65655 OXT65641:OXT65655 PHP65641:PHP65655 PRL65641:PRL65655 QBH65641:QBH65655 QLD65641:QLD65655 QUZ65641:QUZ65655 REV65641:REV65655 ROR65641:ROR65655 RYN65641:RYN65655 SIJ65641:SIJ65655 SSF65641:SSF65655 TCB65641:TCB65655 TLX65641:TLX65655 TVT65641:TVT65655 UFP65641:UFP65655 UPL65641:UPL65655 UZH65641:UZH65655 VJD65641:VJD65655 VSZ65641:VSZ65655 WCV65641:WCV65655 WMR65641:WMR65655 WWN65641:WWN65655 AF131177:AF131191 KB131177:KB131191 TX131177:TX131191 ADT131177:ADT131191 ANP131177:ANP131191 AXL131177:AXL131191 BHH131177:BHH131191 BRD131177:BRD131191 CAZ131177:CAZ131191 CKV131177:CKV131191 CUR131177:CUR131191 DEN131177:DEN131191 DOJ131177:DOJ131191 DYF131177:DYF131191 EIB131177:EIB131191 ERX131177:ERX131191 FBT131177:FBT131191 FLP131177:FLP131191 FVL131177:FVL131191 GFH131177:GFH131191 GPD131177:GPD131191 GYZ131177:GYZ131191 HIV131177:HIV131191 HSR131177:HSR131191 ICN131177:ICN131191 IMJ131177:IMJ131191 IWF131177:IWF131191 JGB131177:JGB131191 JPX131177:JPX131191 JZT131177:JZT131191 KJP131177:KJP131191 KTL131177:KTL131191 LDH131177:LDH131191 LND131177:LND131191 LWZ131177:LWZ131191 MGV131177:MGV131191 MQR131177:MQR131191 NAN131177:NAN131191 NKJ131177:NKJ131191 NUF131177:NUF131191 OEB131177:OEB131191 ONX131177:ONX131191 OXT131177:OXT131191 PHP131177:PHP131191 PRL131177:PRL131191 QBH131177:QBH131191 QLD131177:QLD131191 QUZ131177:QUZ131191 REV131177:REV131191 ROR131177:ROR131191 RYN131177:RYN131191 SIJ131177:SIJ131191 SSF131177:SSF131191 TCB131177:TCB131191 TLX131177:TLX131191 TVT131177:TVT131191 UFP131177:UFP131191 UPL131177:UPL131191 UZH131177:UZH131191 VJD131177:VJD131191 VSZ131177:VSZ131191 WCV131177:WCV131191 WMR131177:WMR131191 WWN131177:WWN131191 AF196713:AF196727 KB196713:KB196727 TX196713:TX196727 ADT196713:ADT196727 ANP196713:ANP196727 AXL196713:AXL196727 BHH196713:BHH196727 BRD196713:BRD196727 CAZ196713:CAZ196727 CKV196713:CKV196727 CUR196713:CUR196727 DEN196713:DEN196727 DOJ196713:DOJ196727 DYF196713:DYF196727 EIB196713:EIB196727 ERX196713:ERX196727 FBT196713:FBT196727 FLP196713:FLP196727 FVL196713:FVL196727 GFH196713:GFH196727 GPD196713:GPD196727 GYZ196713:GYZ196727 HIV196713:HIV196727 HSR196713:HSR196727 ICN196713:ICN196727 IMJ196713:IMJ196727 IWF196713:IWF196727 JGB196713:JGB196727 JPX196713:JPX196727 JZT196713:JZT196727 KJP196713:KJP196727 KTL196713:KTL196727 LDH196713:LDH196727 LND196713:LND196727 LWZ196713:LWZ196727 MGV196713:MGV196727 MQR196713:MQR196727 NAN196713:NAN196727 NKJ196713:NKJ196727 NUF196713:NUF196727 OEB196713:OEB196727 ONX196713:ONX196727 OXT196713:OXT196727 PHP196713:PHP196727 PRL196713:PRL196727 QBH196713:QBH196727 QLD196713:QLD196727 QUZ196713:QUZ196727 REV196713:REV196727 ROR196713:ROR196727 RYN196713:RYN196727 SIJ196713:SIJ196727 SSF196713:SSF196727 TCB196713:TCB196727 TLX196713:TLX196727 TVT196713:TVT196727 UFP196713:UFP196727 UPL196713:UPL196727 UZH196713:UZH196727 VJD196713:VJD196727 VSZ196713:VSZ196727 WCV196713:WCV196727 WMR196713:WMR196727 WWN196713:WWN196727 AF262249:AF262263 KB262249:KB262263 TX262249:TX262263 ADT262249:ADT262263 ANP262249:ANP262263 AXL262249:AXL262263 BHH262249:BHH262263 BRD262249:BRD262263 CAZ262249:CAZ262263 CKV262249:CKV262263 CUR262249:CUR262263 DEN262249:DEN262263 DOJ262249:DOJ262263 DYF262249:DYF262263 EIB262249:EIB262263 ERX262249:ERX262263 FBT262249:FBT262263 FLP262249:FLP262263 FVL262249:FVL262263 GFH262249:GFH262263 GPD262249:GPD262263 GYZ262249:GYZ262263 HIV262249:HIV262263 HSR262249:HSR262263 ICN262249:ICN262263 IMJ262249:IMJ262263 IWF262249:IWF262263 JGB262249:JGB262263 JPX262249:JPX262263 JZT262249:JZT262263 KJP262249:KJP262263 KTL262249:KTL262263 LDH262249:LDH262263 LND262249:LND262263 LWZ262249:LWZ262263 MGV262249:MGV262263 MQR262249:MQR262263 NAN262249:NAN262263 NKJ262249:NKJ262263 NUF262249:NUF262263 OEB262249:OEB262263 ONX262249:ONX262263 OXT262249:OXT262263 PHP262249:PHP262263 PRL262249:PRL262263 QBH262249:QBH262263 QLD262249:QLD262263 QUZ262249:QUZ262263 REV262249:REV262263 ROR262249:ROR262263 RYN262249:RYN262263 SIJ262249:SIJ262263 SSF262249:SSF262263 TCB262249:TCB262263 TLX262249:TLX262263 TVT262249:TVT262263 UFP262249:UFP262263 UPL262249:UPL262263 UZH262249:UZH262263 VJD262249:VJD262263 VSZ262249:VSZ262263 WCV262249:WCV262263 WMR262249:WMR262263 WWN262249:WWN262263 AF327785:AF327799 KB327785:KB327799 TX327785:TX327799 ADT327785:ADT327799 ANP327785:ANP327799 AXL327785:AXL327799 BHH327785:BHH327799 BRD327785:BRD327799 CAZ327785:CAZ327799 CKV327785:CKV327799 CUR327785:CUR327799 DEN327785:DEN327799 DOJ327785:DOJ327799 DYF327785:DYF327799 EIB327785:EIB327799 ERX327785:ERX327799 FBT327785:FBT327799 FLP327785:FLP327799 FVL327785:FVL327799 GFH327785:GFH327799 GPD327785:GPD327799 GYZ327785:GYZ327799 HIV327785:HIV327799 HSR327785:HSR327799 ICN327785:ICN327799 IMJ327785:IMJ327799 IWF327785:IWF327799 JGB327785:JGB327799 JPX327785:JPX327799 JZT327785:JZT327799 KJP327785:KJP327799 KTL327785:KTL327799 LDH327785:LDH327799 LND327785:LND327799 LWZ327785:LWZ327799 MGV327785:MGV327799 MQR327785:MQR327799 NAN327785:NAN327799 NKJ327785:NKJ327799 NUF327785:NUF327799 OEB327785:OEB327799 ONX327785:ONX327799 OXT327785:OXT327799 PHP327785:PHP327799 PRL327785:PRL327799 QBH327785:QBH327799 QLD327785:QLD327799 QUZ327785:QUZ327799 REV327785:REV327799 ROR327785:ROR327799 RYN327785:RYN327799 SIJ327785:SIJ327799 SSF327785:SSF327799 TCB327785:TCB327799 TLX327785:TLX327799 TVT327785:TVT327799 UFP327785:UFP327799 UPL327785:UPL327799 UZH327785:UZH327799 VJD327785:VJD327799 VSZ327785:VSZ327799 WCV327785:WCV327799 WMR327785:WMR327799 WWN327785:WWN327799 AF393321:AF393335 KB393321:KB393335 TX393321:TX393335 ADT393321:ADT393335 ANP393321:ANP393335 AXL393321:AXL393335 BHH393321:BHH393335 BRD393321:BRD393335 CAZ393321:CAZ393335 CKV393321:CKV393335 CUR393321:CUR393335 DEN393321:DEN393335 DOJ393321:DOJ393335 DYF393321:DYF393335 EIB393321:EIB393335 ERX393321:ERX393335 FBT393321:FBT393335 FLP393321:FLP393335 FVL393321:FVL393335 GFH393321:GFH393335 GPD393321:GPD393335 GYZ393321:GYZ393335 HIV393321:HIV393335 HSR393321:HSR393335 ICN393321:ICN393335 IMJ393321:IMJ393335 IWF393321:IWF393335 JGB393321:JGB393335 JPX393321:JPX393335 JZT393321:JZT393335 KJP393321:KJP393335 KTL393321:KTL393335 LDH393321:LDH393335 LND393321:LND393335 LWZ393321:LWZ393335 MGV393321:MGV393335 MQR393321:MQR393335 NAN393321:NAN393335 NKJ393321:NKJ393335 NUF393321:NUF393335 OEB393321:OEB393335 ONX393321:ONX393335 OXT393321:OXT393335 PHP393321:PHP393335 PRL393321:PRL393335 QBH393321:QBH393335 QLD393321:QLD393335 QUZ393321:QUZ393335 REV393321:REV393335 ROR393321:ROR393335 RYN393321:RYN393335 SIJ393321:SIJ393335 SSF393321:SSF393335 TCB393321:TCB393335 TLX393321:TLX393335 TVT393321:TVT393335 UFP393321:UFP393335 UPL393321:UPL393335 UZH393321:UZH393335 VJD393321:VJD393335 VSZ393321:VSZ393335 WCV393321:WCV393335 WMR393321:WMR393335 WWN393321:WWN393335 AF458857:AF458871 KB458857:KB458871 TX458857:TX458871 ADT458857:ADT458871 ANP458857:ANP458871 AXL458857:AXL458871 BHH458857:BHH458871 BRD458857:BRD458871 CAZ458857:CAZ458871 CKV458857:CKV458871 CUR458857:CUR458871 DEN458857:DEN458871 DOJ458857:DOJ458871 DYF458857:DYF458871 EIB458857:EIB458871 ERX458857:ERX458871 FBT458857:FBT458871 FLP458857:FLP458871 FVL458857:FVL458871 GFH458857:GFH458871 GPD458857:GPD458871 GYZ458857:GYZ458871 HIV458857:HIV458871 HSR458857:HSR458871 ICN458857:ICN458871 IMJ458857:IMJ458871 IWF458857:IWF458871 JGB458857:JGB458871 JPX458857:JPX458871 JZT458857:JZT458871 KJP458857:KJP458871 KTL458857:KTL458871 LDH458857:LDH458871 LND458857:LND458871 LWZ458857:LWZ458871 MGV458857:MGV458871 MQR458857:MQR458871 NAN458857:NAN458871 NKJ458857:NKJ458871 NUF458857:NUF458871 OEB458857:OEB458871 ONX458857:ONX458871 OXT458857:OXT458871 PHP458857:PHP458871 PRL458857:PRL458871 QBH458857:QBH458871 QLD458857:QLD458871 QUZ458857:QUZ458871 REV458857:REV458871 ROR458857:ROR458871 RYN458857:RYN458871 SIJ458857:SIJ458871 SSF458857:SSF458871 TCB458857:TCB458871 TLX458857:TLX458871 TVT458857:TVT458871 UFP458857:UFP458871 UPL458857:UPL458871 UZH458857:UZH458871 VJD458857:VJD458871 VSZ458857:VSZ458871 WCV458857:WCV458871 WMR458857:WMR458871 WWN458857:WWN458871 AF524393:AF524407 KB524393:KB524407 TX524393:TX524407 ADT524393:ADT524407 ANP524393:ANP524407 AXL524393:AXL524407 BHH524393:BHH524407 BRD524393:BRD524407 CAZ524393:CAZ524407 CKV524393:CKV524407 CUR524393:CUR524407 DEN524393:DEN524407 DOJ524393:DOJ524407 DYF524393:DYF524407 EIB524393:EIB524407 ERX524393:ERX524407 FBT524393:FBT524407 FLP524393:FLP524407 FVL524393:FVL524407 GFH524393:GFH524407 GPD524393:GPD524407 GYZ524393:GYZ524407 HIV524393:HIV524407 HSR524393:HSR524407 ICN524393:ICN524407 IMJ524393:IMJ524407 IWF524393:IWF524407 JGB524393:JGB524407 JPX524393:JPX524407 JZT524393:JZT524407 KJP524393:KJP524407 KTL524393:KTL524407 LDH524393:LDH524407 LND524393:LND524407 LWZ524393:LWZ524407 MGV524393:MGV524407 MQR524393:MQR524407 NAN524393:NAN524407 NKJ524393:NKJ524407 NUF524393:NUF524407 OEB524393:OEB524407 ONX524393:ONX524407 OXT524393:OXT524407 PHP524393:PHP524407 PRL524393:PRL524407 QBH524393:QBH524407 QLD524393:QLD524407 QUZ524393:QUZ524407 REV524393:REV524407 ROR524393:ROR524407 RYN524393:RYN524407 SIJ524393:SIJ524407 SSF524393:SSF524407 TCB524393:TCB524407 TLX524393:TLX524407 TVT524393:TVT524407 UFP524393:UFP524407 UPL524393:UPL524407 UZH524393:UZH524407 VJD524393:VJD524407 VSZ524393:VSZ524407 WCV524393:WCV524407 WMR524393:WMR524407 WWN524393:WWN524407 AF589929:AF589943 KB589929:KB589943 TX589929:TX589943 ADT589929:ADT589943 ANP589929:ANP589943 AXL589929:AXL589943 BHH589929:BHH589943 BRD589929:BRD589943 CAZ589929:CAZ589943 CKV589929:CKV589943 CUR589929:CUR589943 DEN589929:DEN589943 DOJ589929:DOJ589943 DYF589929:DYF589943 EIB589929:EIB589943 ERX589929:ERX589943 FBT589929:FBT589943 FLP589929:FLP589943 FVL589929:FVL589943 GFH589929:GFH589943 GPD589929:GPD589943 GYZ589929:GYZ589943 HIV589929:HIV589943 HSR589929:HSR589943 ICN589929:ICN589943 IMJ589929:IMJ589943 IWF589929:IWF589943 JGB589929:JGB589943 JPX589929:JPX589943 JZT589929:JZT589943 KJP589929:KJP589943 KTL589929:KTL589943 LDH589929:LDH589943 LND589929:LND589943 LWZ589929:LWZ589943 MGV589929:MGV589943 MQR589929:MQR589943 NAN589929:NAN589943 NKJ589929:NKJ589943 NUF589929:NUF589943 OEB589929:OEB589943 ONX589929:ONX589943 OXT589929:OXT589943 PHP589929:PHP589943 PRL589929:PRL589943 QBH589929:QBH589943 QLD589929:QLD589943 QUZ589929:QUZ589943 REV589929:REV589943 ROR589929:ROR589943 RYN589929:RYN589943 SIJ589929:SIJ589943 SSF589929:SSF589943 TCB589929:TCB589943 TLX589929:TLX589943 TVT589929:TVT589943 UFP589929:UFP589943 UPL589929:UPL589943 UZH589929:UZH589943 VJD589929:VJD589943 VSZ589929:VSZ589943 WCV589929:WCV589943 WMR589929:WMR589943 WWN589929:WWN589943 AF655465:AF655479 KB655465:KB655479 TX655465:TX655479 ADT655465:ADT655479 ANP655465:ANP655479 AXL655465:AXL655479 BHH655465:BHH655479 BRD655465:BRD655479 CAZ655465:CAZ655479 CKV655465:CKV655479 CUR655465:CUR655479 DEN655465:DEN655479 DOJ655465:DOJ655479 DYF655465:DYF655479 EIB655465:EIB655479 ERX655465:ERX655479 FBT655465:FBT655479 FLP655465:FLP655479 FVL655465:FVL655479 GFH655465:GFH655479 GPD655465:GPD655479 GYZ655465:GYZ655479 HIV655465:HIV655479 HSR655465:HSR655479 ICN655465:ICN655479 IMJ655465:IMJ655479 IWF655465:IWF655479 JGB655465:JGB655479 JPX655465:JPX655479 JZT655465:JZT655479 KJP655465:KJP655479 KTL655465:KTL655479 LDH655465:LDH655479 LND655465:LND655479 LWZ655465:LWZ655479 MGV655465:MGV655479 MQR655465:MQR655479 NAN655465:NAN655479 NKJ655465:NKJ655479 NUF655465:NUF655479 OEB655465:OEB655479 ONX655465:ONX655479 OXT655465:OXT655479 PHP655465:PHP655479 PRL655465:PRL655479 QBH655465:QBH655479 QLD655465:QLD655479 QUZ655465:QUZ655479 REV655465:REV655479 ROR655465:ROR655479 RYN655465:RYN655479 SIJ655465:SIJ655479 SSF655465:SSF655479 TCB655465:TCB655479 TLX655465:TLX655479 TVT655465:TVT655479 UFP655465:UFP655479 UPL655465:UPL655479 UZH655465:UZH655479 VJD655465:VJD655479 VSZ655465:VSZ655479 WCV655465:WCV655479 WMR655465:WMR655479 WWN655465:WWN655479 AF721001:AF721015 KB721001:KB721015 TX721001:TX721015 ADT721001:ADT721015 ANP721001:ANP721015 AXL721001:AXL721015 BHH721001:BHH721015 BRD721001:BRD721015 CAZ721001:CAZ721015 CKV721001:CKV721015 CUR721001:CUR721015 DEN721001:DEN721015 DOJ721001:DOJ721015 DYF721001:DYF721015 EIB721001:EIB721015 ERX721001:ERX721015 FBT721001:FBT721015 FLP721001:FLP721015 FVL721001:FVL721015 GFH721001:GFH721015 GPD721001:GPD721015 GYZ721001:GYZ721015 HIV721001:HIV721015 HSR721001:HSR721015 ICN721001:ICN721015 IMJ721001:IMJ721015 IWF721001:IWF721015 JGB721001:JGB721015 JPX721001:JPX721015 JZT721001:JZT721015 KJP721001:KJP721015 KTL721001:KTL721015 LDH721001:LDH721015 LND721001:LND721015 LWZ721001:LWZ721015 MGV721001:MGV721015 MQR721001:MQR721015 NAN721001:NAN721015 NKJ721001:NKJ721015 NUF721001:NUF721015 OEB721001:OEB721015 ONX721001:ONX721015 OXT721001:OXT721015 PHP721001:PHP721015 PRL721001:PRL721015 QBH721001:QBH721015 QLD721001:QLD721015 QUZ721001:QUZ721015 REV721001:REV721015 ROR721001:ROR721015 RYN721001:RYN721015 SIJ721001:SIJ721015 SSF721001:SSF721015 TCB721001:TCB721015 TLX721001:TLX721015 TVT721001:TVT721015 UFP721001:UFP721015 UPL721001:UPL721015 UZH721001:UZH721015 VJD721001:VJD721015 VSZ721001:VSZ721015 WCV721001:WCV721015 WMR721001:WMR721015 WWN721001:WWN721015 AF786537:AF786551 KB786537:KB786551 TX786537:TX786551 ADT786537:ADT786551 ANP786537:ANP786551 AXL786537:AXL786551 BHH786537:BHH786551 BRD786537:BRD786551 CAZ786537:CAZ786551 CKV786537:CKV786551 CUR786537:CUR786551 DEN786537:DEN786551 DOJ786537:DOJ786551 DYF786537:DYF786551 EIB786537:EIB786551 ERX786537:ERX786551 FBT786537:FBT786551 FLP786537:FLP786551 FVL786537:FVL786551 GFH786537:GFH786551 GPD786537:GPD786551 GYZ786537:GYZ786551 HIV786537:HIV786551 HSR786537:HSR786551 ICN786537:ICN786551 IMJ786537:IMJ786551 IWF786537:IWF786551 JGB786537:JGB786551 JPX786537:JPX786551 JZT786537:JZT786551 KJP786537:KJP786551 KTL786537:KTL786551 LDH786537:LDH786551 LND786537:LND786551 LWZ786537:LWZ786551 MGV786537:MGV786551 MQR786537:MQR786551 NAN786537:NAN786551 NKJ786537:NKJ786551 NUF786537:NUF786551 OEB786537:OEB786551 ONX786537:ONX786551 OXT786537:OXT786551 PHP786537:PHP786551 PRL786537:PRL786551 QBH786537:QBH786551 QLD786537:QLD786551 QUZ786537:QUZ786551 REV786537:REV786551 ROR786537:ROR786551 RYN786537:RYN786551 SIJ786537:SIJ786551 SSF786537:SSF786551 TCB786537:TCB786551 TLX786537:TLX786551 TVT786537:TVT786551 UFP786537:UFP786551 UPL786537:UPL786551 UZH786537:UZH786551 VJD786537:VJD786551 VSZ786537:VSZ786551 WCV786537:WCV786551 WMR786537:WMR786551 WWN786537:WWN786551 AF852073:AF852087 KB852073:KB852087 TX852073:TX852087 ADT852073:ADT852087 ANP852073:ANP852087 AXL852073:AXL852087 BHH852073:BHH852087 BRD852073:BRD852087 CAZ852073:CAZ852087 CKV852073:CKV852087 CUR852073:CUR852087 DEN852073:DEN852087 DOJ852073:DOJ852087 DYF852073:DYF852087 EIB852073:EIB852087 ERX852073:ERX852087 FBT852073:FBT852087 FLP852073:FLP852087 FVL852073:FVL852087 GFH852073:GFH852087 GPD852073:GPD852087 GYZ852073:GYZ852087 HIV852073:HIV852087 HSR852073:HSR852087 ICN852073:ICN852087 IMJ852073:IMJ852087 IWF852073:IWF852087 JGB852073:JGB852087 JPX852073:JPX852087 JZT852073:JZT852087 KJP852073:KJP852087 KTL852073:KTL852087 LDH852073:LDH852087 LND852073:LND852087 LWZ852073:LWZ852087 MGV852073:MGV852087 MQR852073:MQR852087 NAN852073:NAN852087 NKJ852073:NKJ852087 NUF852073:NUF852087 OEB852073:OEB852087 ONX852073:ONX852087 OXT852073:OXT852087 PHP852073:PHP852087 PRL852073:PRL852087 QBH852073:QBH852087 QLD852073:QLD852087 QUZ852073:QUZ852087 REV852073:REV852087 ROR852073:ROR852087 RYN852073:RYN852087 SIJ852073:SIJ852087 SSF852073:SSF852087 TCB852073:TCB852087 TLX852073:TLX852087 TVT852073:TVT852087 UFP852073:UFP852087 UPL852073:UPL852087 UZH852073:UZH852087 VJD852073:VJD852087 VSZ852073:VSZ852087 WCV852073:WCV852087 WMR852073:WMR852087 WWN852073:WWN852087 AF917609:AF917623 KB917609:KB917623 TX917609:TX917623 ADT917609:ADT917623 ANP917609:ANP917623 AXL917609:AXL917623 BHH917609:BHH917623 BRD917609:BRD917623 CAZ917609:CAZ917623 CKV917609:CKV917623 CUR917609:CUR917623 DEN917609:DEN917623 DOJ917609:DOJ917623 DYF917609:DYF917623 EIB917609:EIB917623 ERX917609:ERX917623 FBT917609:FBT917623 FLP917609:FLP917623 FVL917609:FVL917623 GFH917609:GFH917623 GPD917609:GPD917623 GYZ917609:GYZ917623 HIV917609:HIV917623 HSR917609:HSR917623 ICN917609:ICN917623 IMJ917609:IMJ917623 IWF917609:IWF917623 JGB917609:JGB917623 JPX917609:JPX917623 JZT917609:JZT917623 KJP917609:KJP917623 KTL917609:KTL917623 LDH917609:LDH917623 LND917609:LND917623 LWZ917609:LWZ917623 MGV917609:MGV917623 MQR917609:MQR917623 NAN917609:NAN917623 NKJ917609:NKJ917623 NUF917609:NUF917623 OEB917609:OEB917623 ONX917609:ONX917623 OXT917609:OXT917623 PHP917609:PHP917623 PRL917609:PRL917623 QBH917609:QBH917623 QLD917609:QLD917623 QUZ917609:QUZ917623 REV917609:REV917623 ROR917609:ROR917623 RYN917609:RYN917623 SIJ917609:SIJ917623 SSF917609:SSF917623 TCB917609:TCB917623 TLX917609:TLX917623 TVT917609:TVT917623 UFP917609:UFP917623 UPL917609:UPL917623 UZH917609:UZH917623 VJD917609:VJD917623 VSZ917609:VSZ917623 WCV917609:WCV917623 WMR917609:WMR917623 WWN917609:WWN917623 AF983145:AF983159 KB983145:KB983159 TX983145:TX983159 ADT983145:ADT983159 ANP983145:ANP983159 AXL983145:AXL983159 BHH983145:BHH983159 BRD983145:BRD983159 CAZ983145:CAZ983159 CKV983145:CKV983159 CUR983145:CUR983159 DEN983145:DEN983159 DOJ983145:DOJ983159 DYF983145:DYF983159 EIB983145:EIB983159 ERX983145:ERX983159 FBT983145:FBT983159 FLP983145:FLP983159 FVL983145:FVL983159 GFH983145:GFH983159 GPD983145:GPD983159 GYZ983145:GYZ983159 HIV983145:HIV983159 HSR983145:HSR983159 ICN983145:ICN983159 IMJ983145:IMJ983159 IWF983145:IWF983159 JGB983145:JGB983159 JPX983145:JPX983159 JZT983145:JZT983159 KJP983145:KJP983159 KTL983145:KTL983159 LDH983145:LDH983159 LND983145:LND983159 LWZ983145:LWZ983159 MGV983145:MGV983159 MQR983145:MQR983159 NAN983145:NAN983159 NKJ983145:NKJ983159 NUF983145:NUF983159 OEB983145:OEB983159 ONX983145:ONX983159 OXT983145:OXT983159 PHP983145:PHP983159 PRL983145:PRL983159 QBH983145:QBH983159 QLD983145:QLD983159 QUZ983145:QUZ983159 REV983145:REV983159 ROR983145:ROR983159 RYN983145:RYN983159 SIJ983145:SIJ983159 SSF983145:SSF983159 TCB983145:TCB983159 TLX983145:TLX983159 TVT983145:TVT983159 UFP983145:UFP983159 UPL983145:UPL983159 UZH983145:UZH983159 VJD983145:VJD983159 VSZ983145:VSZ983159 WCV983145:WCV983159 WMR983145:WMR983159 WWN983145:WWN983159 AF100:AF102 KB100:KB102 TX100:TX102 ADT100:ADT102 ANP100:ANP102 AXL100:AXL102 BHH100:BHH102 BRD100:BRD102 CAZ100:CAZ102 CKV100:CKV102 CUR100:CUR102 DEN100:DEN102 DOJ100:DOJ102 DYF100:DYF102 EIB100:EIB102 ERX100:ERX102 FBT100:FBT102 FLP100:FLP102 FVL100:FVL102 GFH100:GFH102 GPD100:GPD102 GYZ100:GYZ102 HIV100:HIV102 HSR100:HSR102 ICN100:ICN102 IMJ100:IMJ102 IWF100:IWF102 JGB100:JGB102 JPX100:JPX102 JZT100:JZT102 KJP100:KJP102 KTL100:KTL102 LDH100:LDH102 LND100:LND102 LWZ100:LWZ102 MGV100:MGV102 MQR100:MQR102 NAN100:NAN102 NKJ100:NKJ102 NUF100:NUF102 OEB100:OEB102 ONX100:ONX102 OXT100:OXT102 PHP100:PHP102 PRL100:PRL102 QBH100:QBH102 QLD100:QLD102 QUZ100:QUZ102 REV100:REV102 ROR100:ROR102 RYN100:RYN102 SIJ100:SIJ102 SSF100:SSF102 TCB100:TCB102 TLX100:TLX102 TVT100:TVT102 UFP100:UFP102 UPL100:UPL102 UZH100:UZH102 VJD100:VJD102 VSZ100:VSZ102 WCV100:WCV102 WMR100:WMR102 WWN100:WWN102 AF65637:AF65639 KB65637:KB65639 TX65637:TX65639 ADT65637:ADT65639 ANP65637:ANP65639 AXL65637:AXL65639 BHH65637:BHH65639 BRD65637:BRD65639 CAZ65637:CAZ65639 CKV65637:CKV65639 CUR65637:CUR65639 DEN65637:DEN65639 DOJ65637:DOJ65639 DYF65637:DYF65639 EIB65637:EIB65639 ERX65637:ERX65639 FBT65637:FBT65639 FLP65637:FLP65639 FVL65637:FVL65639 GFH65637:GFH65639 GPD65637:GPD65639 GYZ65637:GYZ65639 HIV65637:HIV65639 HSR65637:HSR65639 ICN65637:ICN65639 IMJ65637:IMJ65639 IWF65637:IWF65639 JGB65637:JGB65639 JPX65637:JPX65639 JZT65637:JZT65639 KJP65637:KJP65639 KTL65637:KTL65639 LDH65637:LDH65639 LND65637:LND65639 LWZ65637:LWZ65639 MGV65637:MGV65639 MQR65637:MQR65639 NAN65637:NAN65639 NKJ65637:NKJ65639 NUF65637:NUF65639 OEB65637:OEB65639 ONX65637:ONX65639 OXT65637:OXT65639 PHP65637:PHP65639 PRL65637:PRL65639 QBH65637:QBH65639 QLD65637:QLD65639 QUZ65637:QUZ65639 REV65637:REV65639 ROR65637:ROR65639 RYN65637:RYN65639 SIJ65637:SIJ65639 SSF65637:SSF65639 TCB65637:TCB65639 TLX65637:TLX65639 TVT65637:TVT65639 UFP65637:UFP65639 UPL65637:UPL65639 UZH65637:UZH65639 VJD65637:VJD65639 VSZ65637:VSZ65639 WCV65637:WCV65639 WMR65637:WMR65639 WWN65637:WWN65639 AF131173:AF131175 KB131173:KB131175 TX131173:TX131175 ADT131173:ADT131175 ANP131173:ANP131175 AXL131173:AXL131175 BHH131173:BHH131175 BRD131173:BRD131175 CAZ131173:CAZ131175 CKV131173:CKV131175 CUR131173:CUR131175 DEN131173:DEN131175 DOJ131173:DOJ131175 DYF131173:DYF131175 EIB131173:EIB131175 ERX131173:ERX131175 FBT131173:FBT131175 FLP131173:FLP131175 FVL131173:FVL131175 GFH131173:GFH131175 GPD131173:GPD131175 GYZ131173:GYZ131175 HIV131173:HIV131175 HSR131173:HSR131175 ICN131173:ICN131175 IMJ131173:IMJ131175 IWF131173:IWF131175 JGB131173:JGB131175 JPX131173:JPX131175 JZT131173:JZT131175 KJP131173:KJP131175 KTL131173:KTL131175 LDH131173:LDH131175 LND131173:LND131175 LWZ131173:LWZ131175 MGV131173:MGV131175 MQR131173:MQR131175 NAN131173:NAN131175 NKJ131173:NKJ131175 NUF131173:NUF131175 OEB131173:OEB131175 ONX131173:ONX131175 OXT131173:OXT131175 PHP131173:PHP131175 PRL131173:PRL131175 QBH131173:QBH131175 QLD131173:QLD131175 QUZ131173:QUZ131175 REV131173:REV131175 ROR131173:ROR131175 RYN131173:RYN131175 SIJ131173:SIJ131175 SSF131173:SSF131175 TCB131173:TCB131175 TLX131173:TLX131175 TVT131173:TVT131175 UFP131173:UFP131175 UPL131173:UPL131175 UZH131173:UZH131175 VJD131173:VJD131175 VSZ131173:VSZ131175 WCV131173:WCV131175 WMR131173:WMR131175 WWN131173:WWN131175 AF196709:AF196711 KB196709:KB196711 TX196709:TX196711 ADT196709:ADT196711 ANP196709:ANP196711 AXL196709:AXL196711 BHH196709:BHH196711 BRD196709:BRD196711 CAZ196709:CAZ196711 CKV196709:CKV196711 CUR196709:CUR196711 DEN196709:DEN196711 DOJ196709:DOJ196711 DYF196709:DYF196711 EIB196709:EIB196711 ERX196709:ERX196711 FBT196709:FBT196711 FLP196709:FLP196711 FVL196709:FVL196711 GFH196709:GFH196711 GPD196709:GPD196711 GYZ196709:GYZ196711 HIV196709:HIV196711 HSR196709:HSR196711 ICN196709:ICN196711 IMJ196709:IMJ196711 IWF196709:IWF196711 JGB196709:JGB196711 JPX196709:JPX196711 JZT196709:JZT196711 KJP196709:KJP196711 KTL196709:KTL196711 LDH196709:LDH196711 LND196709:LND196711 LWZ196709:LWZ196711 MGV196709:MGV196711 MQR196709:MQR196711 NAN196709:NAN196711 NKJ196709:NKJ196711 NUF196709:NUF196711 OEB196709:OEB196711 ONX196709:ONX196711 OXT196709:OXT196711 PHP196709:PHP196711 PRL196709:PRL196711 QBH196709:QBH196711 QLD196709:QLD196711 QUZ196709:QUZ196711 REV196709:REV196711 ROR196709:ROR196711 RYN196709:RYN196711 SIJ196709:SIJ196711 SSF196709:SSF196711 TCB196709:TCB196711 TLX196709:TLX196711 TVT196709:TVT196711 UFP196709:UFP196711 UPL196709:UPL196711 UZH196709:UZH196711 VJD196709:VJD196711 VSZ196709:VSZ196711 WCV196709:WCV196711 WMR196709:WMR196711 WWN196709:WWN196711 AF262245:AF262247 KB262245:KB262247 TX262245:TX262247 ADT262245:ADT262247 ANP262245:ANP262247 AXL262245:AXL262247 BHH262245:BHH262247 BRD262245:BRD262247 CAZ262245:CAZ262247 CKV262245:CKV262247 CUR262245:CUR262247 DEN262245:DEN262247 DOJ262245:DOJ262247 DYF262245:DYF262247 EIB262245:EIB262247 ERX262245:ERX262247 FBT262245:FBT262247 FLP262245:FLP262247 FVL262245:FVL262247 GFH262245:GFH262247 GPD262245:GPD262247 GYZ262245:GYZ262247 HIV262245:HIV262247 HSR262245:HSR262247 ICN262245:ICN262247 IMJ262245:IMJ262247 IWF262245:IWF262247 JGB262245:JGB262247 JPX262245:JPX262247 JZT262245:JZT262247 KJP262245:KJP262247 KTL262245:KTL262247 LDH262245:LDH262247 LND262245:LND262247 LWZ262245:LWZ262247 MGV262245:MGV262247 MQR262245:MQR262247 NAN262245:NAN262247 NKJ262245:NKJ262247 NUF262245:NUF262247 OEB262245:OEB262247 ONX262245:ONX262247 OXT262245:OXT262247 PHP262245:PHP262247 PRL262245:PRL262247 QBH262245:QBH262247 QLD262245:QLD262247 QUZ262245:QUZ262247 REV262245:REV262247 ROR262245:ROR262247 RYN262245:RYN262247 SIJ262245:SIJ262247 SSF262245:SSF262247 TCB262245:TCB262247 TLX262245:TLX262247 TVT262245:TVT262247 UFP262245:UFP262247 UPL262245:UPL262247 UZH262245:UZH262247 VJD262245:VJD262247 VSZ262245:VSZ262247 WCV262245:WCV262247 WMR262245:WMR262247 WWN262245:WWN262247 AF327781:AF327783 KB327781:KB327783 TX327781:TX327783 ADT327781:ADT327783 ANP327781:ANP327783 AXL327781:AXL327783 BHH327781:BHH327783 BRD327781:BRD327783 CAZ327781:CAZ327783 CKV327781:CKV327783 CUR327781:CUR327783 DEN327781:DEN327783 DOJ327781:DOJ327783 DYF327781:DYF327783 EIB327781:EIB327783 ERX327781:ERX327783 FBT327781:FBT327783 FLP327781:FLP327783 FVL327781:FVL327783 GFH327781:GFH327783 GPD327781:GPD327783 GYZ327781:GYZ327783 HIV327781:HIV327783 HSR327781:HSR327783 ICN327781:ICN327783 IMJ327781:IMJ327783 IWF327781:IWF327783 JGB327781:JGB327783 JPX327781:JPX327783 JZT327781:JZT327783 KJP327781:KJP327783 KTL327781:KTL327783 LDH327781:LDH327783 LND327781:LND327783 LWZ327781:LWZ327783 MGV327781:MGV327783 MQR327781:MQR327783 NAN327781:NAN327783 NKJ327781:NKJ327783 NUF327781:NUF327783 OEB327781:OEB327783 ONX327781:ONX327783 OXT327781:OXT327783 PHP327781:PHP327783 PRL327781:PRL327783 QBH327781:QBH327783 QLD327781:QLD327783 QUZ327781:QUZ327783 REV327781:REV327783 ROR327781:ROR327783 RYN327781:RYN327783 SIJ327781:SIJ327783 SSF327781:SSF327783 TCB327781:TCB327783 TLX327781:TLX327783 TVT327781:TVT327783 UFP327781:UFP327783 UPL327781:UPL327783 UZH327781:UZH327783 VJD327781:VJD327783 VSZ327781:VSZ327783 WCV327781:WCV327783 WMR327781:WMR327783 WWN327781:WWN327783 AF393317:AF393319 KB393317:KB393319 TX393317:TX393319 ADT393317:ADT393319 ANP393317:ANP393319 AXL393317:AXL393319 BHH393317:BHH393319 BRD393317:BRD393319 CAZ393317:CAZ393319 CKV393317:CKV393319 CUR393317:CUR393319 DEN393317:DEN393319 DOJ393317:DOJ393319 DYF393317:DYF393319 EIB393317:EIB393319 ERX393317:ERX393319 FBT393317:FBT393319 FLP393317:FLP393319 FVL393317:FVL393319 GFH393317:GFH393319 GPD393317:GPD393319 GYZ393317:GYZ393319 HIV393317:HIV393319 HSR393317:HSR393319 ICN393317:ICN393319 IMJ393317:IMJ393319 IWF393317:IWF393319 JGB393317:JGB393319 JPX393317:JPX393319 JZT393317:JZT393319 KJP393317:KJP393319 KTL393317:KTL393319 LDH393317:LDH393319 LND393317:LND393319 LWZ393317:LWZ393319 MGV393317:MGV393319 MQR393317:MQR393319 NAN393317:NAN393319 NKJ393317:NKJ393319 NUF393317:NUF393319 OEB393317:OEB393319 ONX393317:ONX393319 OXT393317:OXT393319 PHP393317:PHP393319 PRL393317:PRL393319 QBH393317:QBH393319 QLD393317:QLD393319 QUZ393317:QUZ393319 REV393317:REV393319 ROR393317:ROR393319 RYN393317:RYN393319 SIJ393317:SIJ393319 SSF393317:SSF393319 TCB393317:TCB393319 TLX393317:TLX393319 TVT393317:TVT393319 UFP393317:UFP393319 UPL393317:UPL393319 UZH393317:UZH393319 VJD393317:VJD393319 VSZ393317:VSZ393319 WCV393317:WCV393319 WMR393317:WMR393319 WWN393317:WWN393319 AF458853:AF458855 KB458853:KB458855 TX458853:TX458855 ADT458853:ADT458855 ANP458853:ANP458855 AXL458853:AXL458855 BHH458853:BHH458855 BRD458853:BRD458855 CAZ458853:CAZ458855 CKV458853:CKV458855 CUR458853:CUR458855 DEN458853:DEN458855 DOJ458853:DOJ458855 DYF458853:DYF458855 EIB458853:EIB458855 ERX458853:ERX458855 FBT458853:FBT458855 FLP458853:FLP458855 FVL458853:FVL458855 GFH458853:GFH458855 GPD458853:GPD458855 GYZ458853:GYZ458855 HIV458853:HIV458855 HSR458853:HSR458855 ICN458853:ICN458855 IMJ458853:IMJ458855 IWF458853:IWF458855 JGB458853:JGB458855 JPX458853:JPX458855 JZT458853:JZT458855 KJP458853:KJP458855 KTL458853:KTL458855 LDH458853:LDH458855 LND458853:LND458855 LWZ458853:LWZ458855 MGV458853:MGV458855 MQR458853:MQR458855 NAN458853:NAN458855 NKJ458853:NKJ458855 NUF458853:NUF458855 OEB458853:OEB458855 ONX458853:ONX458855 OXT458853:OXT458855 PHP458853:PHP458855 PRL458853:PRL458855 QBH458853:QBH458855 QLD458853:QLD458855 QUZ458853:QUZ458855 REV458853:REV458855 ROR458853:ROR458855 RYN458853:RYN458855 SIJ458853:SIJ458855 SSF458853:SSF458855 TCB458853:TCB458855 TLX458853:TLX458855 TVT458853:TVT458855 UFP458853:UFP458855 UPL458853:UPL458855 UZH458853:UZH458855 VJD458853:VJD458855 VSZ458853:VSZ458855 WCV458853:WCV458855 WMR458853:WMR458855 WWN458853:WWN458855 AF524389:AF524391 KB524389:KB524391 TX524389:TX524391 ADT524389:ADT524391 ANP524389:ANP524391 AXL524389:AXL524391 BHH524389:BHH524391 BRD524389:BRD524391 CAZ524389:CAZ524391 CKV524389:CKV524391 CUR524389:CUR524391 DEN524389:DEN524391 DOJ524389:DOJ524391 DYF524389:DYF524391 EIB524389:EIB524391 ERX524389:ERX524391 FBT524389:FBT524391 FLP524389:FLP524391 FVL524389:FVL524391 GFH524389:GFH524391 GPD524389:GPD524391 GYZ524389:GYZ524391 HIV524389:HIV524391 HSR524389:HSR524391 ICN524389:ICN524391 IMJ524389:IMJ524391 IWF524389:IWF524391 JGB524389:JGB524391 JPX524389:JPX524391 JZT524389:JZT524391 KJP524389:KJP524391 KTL524389:KTL524391 LDH524389:LDH524391 LND524389:LND524391 LWZ524389:LWZ524391 MGV524389:MGV524391 MQR524389:MQR524391 NAN524389:NAN524391 NKJ524389:NKJ524391 NUF524389:NUF524391 OEB524389:OEB524391 ONX524389:ONX524391 OXT524389:OXT524391 PHP524389:PHP524391 PRL524389:PRL524391 QBH524389:QBH524391 QLD524389:QLD524391 QUZ524389:QUZ524391 REV524389:REV524391 ROR524389:ROR524391 RYN524389:RYN524391 SIJ524389:SIJ524391 SSF524389:SSF524391 TCB524389:TCB524391 TLX524389:TLX524391 TVT524389:TVT524391 UFP524389:UFP524391 UPL524389:UPL524391 UZH524389:UZH524391 VJD524389:VJD524391 VSZ524389:VSZ524391 WCV524389:WCV524391 WMR524389:WMR524391 WWN524389:WWN524391 AF589925:AF589927 KB589925:KB589927 TX589925:TX589927 ADT589925:ADT589927 ANP589925:ANP589927 AXL589925:AXL589927 BHH589925:BHH589927 BRD589925:BRD589927 CAZ589925:CAZ589927 CKV589925:CKV589927 CUR589925:CUR589927 DEN589925:DEN589927 DOJ589925:DOJ589927 DYF589925:DYF589927 EIB589925:EIB589927 ERX589925:ERX589927 FBT589925:FBT589927 FLP589925:FLP589927 FVL589925:FVL589927 GFH589925:GFH589927 GPD589925:GPD589927 GYZ589925:GYZ589927 HIV589925:HIV589927 HSR589925:HSR589927 ICN589925:ICN589927 IMJ589925:IMJ589927 IWF589925:IWF589927 JGB589925:JGB589927 JPX589925:JPX589927 JZT589925:JZT589927 KJP589925:KJP589927 KTL589925:KTL589927 LDH589925:LDH589927 LND589925:LND589927 LWZ589925:LWZ589927 MGV589925:MGV589927 MQR589925:MQR589927 NAN589925:NAN589927 NKJ589925:NKJ589927 NUF589925:NUF589927 OEB589925:OEB589927 ONX589925:ONX589927 OXT589925:OXT589927 PHP589925:PHP589927 PRL589925:PRL589927 QBH589925:QBH589927 QLD589925:QLD589927 QUZ589925:QUZ589927 REV589925:REV589927 ROR589925:ROR589927 RYN589925:RYN589927 SIJ589925:SIJ589927 SSF589925:SSF589927 TCB589925:TCB589927 TLX589925:TLX589927 TVT589925:TVT589927 UFP589925:UFP589927 UPL589925:UPL589927 UZH589925:UZH589927 VJD589925:VJD589927 VSZ589925:VSZ589927 WCV589925:WCV589927 WMR589925:WMR589927 WWN589925:WWN589927 AF655461:AF655463 KB655461:KB655463 TX655461:TX655463 ADT655461:ADT655463 ANP655461:ANP655463 AXL655461:AXL655463 BHH655461:BHH655463 BRD655461:BRD655463 CAZ655461:CAZ655463 CKV655461:CKV655463 CUR655461:CUR655463 DEN655461:DEN655463 DOJ655461:DOJ655463 DYF655461:DYF655463 EIB655461:EIB655463 ERX655461:ERX655463 FBT655461:FBT655463 FLP655461:FLP655463 FVL655461:FVL655463 GFH655461:GFH655463 GPD655461:GPD655463 GYZ655461:GYZ655463 HIV655461:HIV655463 HSR655461:HSR655463 ICN655461:ICN655463 IMJ655461:IMJ655463 IWF655461:IWF655463 JGB655461:JGB655463 JPX655461:JPX655463 JZT655461:JZT655463 KJP655461:KJP655463 KTL655461:KTL655463 LDH655461:LDH655463 LND655461:LND655463 LWZ655461:LWZ655463 MGV655461:MGV655463 MQR655461:MQR655463 NAN655461:NAN655463 NKJ655461:NKJ655463 NUF655461:NUF655463 OEB655461:OEB655463 ONX655461:ONX655463 OXT655461:OXT655463 PHP655461:PHP655463 PRL655461:PRL655463 QBH655461:QBH655463 QLD655461:QLD655463 QUZ655461:QUZ655463 REV655461:REV655463 ROR655461:ROR655463 RYN655461:RYN655463 SIJ655461:SIJ655463 SSF655461:SSF655463 TCB655461:TCB655463 TLX655461:TLX655463 TVT655461:TVT655463 UFP655461:UFP655463 UPL655461:UPL655463 UZH655461:UZH655463 VJD655461:VJD655463 VSZ655461:VSZ655463 WCV655461:WCV655463 WMR655461:WMR655463 WWN655461:WWN655463 AF720997:AF720999 KB720997:KB720999 TX720997:TX720999 ADT720997:ADT720999 ANP720997:ANP720999 AXL720997:AXL720999 BHH720997:BHH720999 BRD720997:BRD720999 CAZ720997:CAZ720999 CKV720997:CKV720999 CUR720997:CUR720999 DEN720997:DEN720999 DOJ720997:DOJ720999 DYF720997:DYF720999 EIB720997:EIB720999 ERX720997:ERX720999 FBT720997:FBT720999 FLP720997:FLP720999 FVL720997:FVL720999 GFH720997:GFH720999 GPD720997:GPD720999 GYZ720997:GYZ720999 HIV720997:HIV720999 HSR720997:HSR720999 ICN720997:ICN720999 IMJ720997:IMJ720999 IWF720997:IWF720999 JGB720997:JGB720999 JPX720997:JPX720999 JZT720997:JZT720999 KJP720997:KJP720999 KTL720997:KTL720999 LDH720997:LDH720999 LND720997:LND720999 LWZ720997:LWZ720999 MGV720997:MGV720999 MQR720997:MQR720999 NAN720997:NAN720999 NKJ720997:NKJ720999 NUF720997:NUF720999 OEB720997:OEB720999 ONX720997:ONX720999 OXT720997:OXT720999 PHP720997:PHP720999 PRL720997:PRL720999 QBH720997:QBH720999 QLD720997:QLD720999 QUZ720997:QUZ720999 REV720997:REV720999 ROR720997:ROR720999 RYN720997:RYN720999 SIJ720997:SIJ720999 SSF720997:SSF720999 TCB720997:TCB720999 TLX720997:TLX720999 TVT720997:TVT720999 UFP720997:UFP720999 UPL720997:UPL720999 UZH720997:UZH720999 VJD720997:VJD720999 VSZ720997:VSZ720999 WCV720997:WCV720999 WMR720997:WMR720999 WWN720997:WWN720999 AF786533:AF786535 KB786533:KB786535 TX786533:TX786535 ADT786533:ADT786535 ANP786533:ANP786535 AXL786533:AXL786535 BHH786533:BHH786535 BRD786533:BRD786535 CAZ786533:CAZ786535 CKV786533:CKV786535 CUR786533:CUR786535 DEN786533:DEN786535 DOJ786533:DOJ786535 DYF786533:DYF786535 EIB786533:EIB786535 ERX786533:ERX786535 FBT786533:FBT786535 FLP786533:FLP786535 FVL786533:FVL786535 GFH786533:GFH786535 GPD786533:GPD786535 GYZ786533:GYZ786535 HIV786533:HIV786535 HSR786533:HSR786535 ICN786533:ICN786535 IMJ786533:IMJ786535 IWF786533:IWF786535 JGB786533:JGB786535 JPX786533:JPX786535 JZT786533:JZT786535 KJP786533:KJP786535 KTL786533:KTL786535 LDH786533:LDH786535 LND786533:LND786535 LWZ786533:LWZ786535 MGV786533:MGV786535 MQR786533:MQR786535 NAN786533:NAN786535 NKJ786533:NKJ786535 NUF786533:NUF786535 OEB786533:OEB786535 ONX786533:ONX786535 OXT786533:OXT786535 PHP786533:PHP786535 PRL786533:PRL786535 QBH786533:QBH786535 QLD786533:QLD786535 QUZ786533:QUZ786535 REV786533:REV786535 ROR786533:ROR786535 RYN786533:RYN786535 SIJ786533:SIJ786535 SSF786533:SSF786535 TCB786533:TCB786535 TLX786533:TLX786535 TVT786533:TVT786535 UFP786533:UFP786535 UPL786533:UPL786535 UZH786533:UZH786535 VJD786533:VJD786535 VSZ786533:VSZ786535 WCV786533:WCV786535 WMR786533:WMR786535 WWN786533:WWN786535 AF852069:AF852071 KB852069:KB852071 TX852069:TX852071 ADT852069:ADT852071 ANP852069:ANP852071 AXL852069:AXL852071 BHH852069:BHH852071 BRD852069:BRD852071 CAZ852069:CAZ852071 CKV852069:CKV852071 CUR852069:CUR852071 DEN852069:DEN852071 DOJ852069:DOJ852071 DYF852069:DYF852071 EIB852069:EIB852071 ERX852069:ERX852071 FBT852069:FBT852071 FLP852069:FLP852071 FVL852069:FVL852071 GFH852069:GFH852071 GPD852069:GPD852071 GYZ852069:GYZ852071 HIV852069:HIV852071 HSR852069:HSR852071 ICN852069:ICN852071 IMJ852069:IMJ852071 IWF852069:IWF852071 JGB852069:JGB852071 JPX852069:JPX852071 JZT852069:JZT852071 KJP852069:KJP852071 KTL852069:KTL852071 LDH852069:LDH852071 LND852069:LND852071 LWZ852069:LWZ852071 MGV852069:MGV852071 MQR852069:MQR852071 NAN852069:NAN852071 NKJ852069:NKJ852071 NUF852069:NUF852071 OEB852069:OEB852071 ONX852069:ONX852071 OXT852069:OXT852071 PHP852069:PHP852071 PRL852069:PRL852071 QBH852069:QBH852071 QLD852069:QLD852071 QUZ852069:QUZ852071 REV852069:REV852071 ROR852069:ROR852071 RYN852069:RYN852071 SIJ852069:SIJ852071 SSF852069:SSF852071 TCB852069:TCB852071 TLX852069:TLX852071 TVT852069:TVT852071 UFP852069:UFP852071 UPL852069:UPL852071 UZH852069:UZH852071 VJD852069:VJD852071 VSZ852069:VSZ852071 WCV852069:WCV852071 WMR852069:WMR852071 WWN852069:WWN852071 AF917605:AF917607 KB917605:KB917607 TX917605:TX917607 ADT917605:ADT917607 ANP917605:ANP917607 AXL917605:AXL917607 BHH917605:BHH917607 BRD917605:BRD917607 CAZ917605:CAZ917607 CKV917605:CKV917607 CUR917605:CUR917607 DEN917605:DEN917607 DOJ917605:DOJ917607 DYF917605:DYF917607 EIB917605:EIB917607 ERX917605:ERX917607 FBT917605:FBT917607 FLP917605:FLP917607 FVL917605:FVL917607 GFH917605:GFH917607 GPD917605:GPD917607 GYZ917605:GYZ917607 HIV917605:HIV917607 HSR917605:HSR917607 ICN917605:ICN917607 IMJ917605:IMJ917607 IWF917605:IWF917607 JGB917605:JGB917607 JPX917605:JPX917607 JZT917605:JZT917607 KJP917605:KJP917607 KTL917605:KTL917607 LDH917605:LDH917607 LND917605:LND917607 LWZ917605:LWZ917607 MGV917605:MGV917607 MQR917605:MQR917607 NAN917605:NAN917607 NKJ917605:NKJ917607 NUF917605:NUF917607 OEB917605:OEB917607 ONX917605:ONX917607 OXT917605:OXT917607 PHP917605:PHP917607 PRL917605:PRL917607 QBH917605:QBH917607 QLD917605:QLD917607 QUZ917605:QUZ917607 REV917605:REV917607 ROR917605:ROR917607 RYN917605:RYN917607 SIJ917605:SIJ917607 SSF917605:SSF917607 TCB917605:TCB917607 TLX917605:TLX917607 TVT917605:TVT917607 UFP917605:UFP917607 UPL917605:UPL917607 UZH917605:UZH917607 VJD917605:VJD917607 VSZ917605:VSZ917607 WCV917605:WCV917607 WMR917605:WMR917607 WWN917605:WWN917607 AF983141:AF983143 KB983141:KB983143 TX983141:TX983143 ADT983141:ADT983143 ANP983141:ANP983143 AXL983141:AXL983143 BHH983141:BHH983143 BRD983141:BRD983143 CAZ983141:CAZ983143 CKV983141:CKV983143 CUR983141:CUR983143 DEN983141:DEN983143 DOJ983141:DOJ983143 DYF983141:DYF983143 EIB983141:EIB983143 ERX983141:ERX983143 FBT983141:FBT983143 FLP983141:FLP983143 FVL983141:FVL983143 GFH983141:GFH983143 GPD983141:GPD983143 GYZ983141:GYZ983143 HIV983141:HIV983143 HSR983141:HSR983143 ICN983141:ICN983143 IMJ983141:IMJ983143 IWF983141:IWF983143 JGB983141:JGB983143 JPX983141:JPX983143 JZT983141:JZT983143 KJP983141:KJP983143 KTL983141:KTL983143 LDH983141:LDH983143 LND983141:LND983143 LWZ983141:LWZ983143 MGV983141:MGV983143 MQR983141:MQR983143 NAN983141:NAN983143 NKJ983141:NKJ983143 NUF983141:NUF983143 OEB983141:OEB983143 ONX983141:ONX983143 OXT983141:OXT983143 PHP983141:PHP983143 PRL983141:PRL983143 QBH983141:QBH983143 QLD983141:QLD983143 QUZ983141:QUZ983143 REV983141:REV983143 ROR983141:ROR983143 RYN983141:RYN983143 SIJ983141:SIJ983143 SSF983141:SSF983143 TCB983141:TCB983143 TLX983141:TLX983143 TVT983141:TVT983143 UFP983141:UFP983143 UPL983141:UPL983143 UZH983141:UZH983143 VJD983141:VJD983143 VSZ983141:VSZ983143 WCV983141:WCV983143 WMR983141:WMR983143 WWN983141:WWN983143 AF137:AF139 AF141:AF151 AF65632:AF65635 KB65632:KB65635 TX65632:TX65635 ADT65632:ADT65635 ANP65632:ANP65635 AXL65632:AXL65635 BHH65632:BHH65635 BRD65632:BRD65635 CAZ65632:CAZ65635 CKV65632:CKV65635 CUR65632:CUR65635 DEN65632:DEN65635 DOJ65632:DOJ65635 DYF65632:DYF65635 EIB65632:EIB65635 ERX65632:ERX65635 FBT65632:FBT65635 FLP65632:FLP65635 FVL65632:FVL65635 GFH65632:GFH65635 GPD65632:GPD65635 GYZ65632:GYZ65635 HIV65632:HIV65635 HSR65632:HSR65635 ICN65632:ICN65635 IMJ65632:IMJ65635 IWF65632:IWF65635 JGB65632:JGB65635 JPX65632:JPX65635 JZT65632:JZT65635 KJP65632:KJP65635 KTL65632:KTL65635 LDH65632:LDH65635 LND65632:LND65635 LWZ65632:LWZ65635 MGV65632:MGV65635 MQR65632:MQR65635 NAN65632:NAN65635 NKJ65632:NKJ65635 NUF65632:NUF65635 OEB65632:OEB65635 ONX65632:ONX65635 OXT65632:OXT65635 PHP65632:PHP65635 PRL65632:PRL65635 QBH65632:QBH65635 QLD65632:QLD65635 QUZ65632:QUZ65635 REV65632:REV65635 ROR65632:ROR65635 RYN65632:RYN65635 SIJ65632:SIJ65635 SSF65632:SSF65635 TCB65632:TCB65635 TLX65632:TLX65635 TVT65632:TVT65635 UFP65632:UFP65635 UPL65632:UPL65635 UZH65632:UZH65635 VJD65632:VJD65635 VSZ65632:VSZ65635 WCV65632:WCV65635 WMR65632:WMR65635 WWN65632:WWN65635 AF131168:AF131171 KB131168:KB131171 TX131168:TX131171 ADT131168:ADT131171 ANP131168:ANP131171 AXL131168:AXL131171 BHH131168:BHH131171 BRD131168:BRD131171 CAZ131168:CAZ131171 CKV131168:CKV131171 CUR131168:CUR131171 DEN131168:DEN131171 DOJ131168:DOJ131171 DYF131168:DYF131171 EIB131168:EIB131171 ERX131168:ERX131171 FBT131168:FBT131171 FLP131168:FLP131171 FVL131168:FVL131171 GFH131168:GFH131171 GPD131168:GPD131171 GYZ131168:GYZ131171 HIV131168:HIV131171 HSR131168:HSR131171 ICN131168:ICN131171 IMJ131168:IMJ131171 IWF131168:IWF131171 JGB131168:JGB131171 JPX131168:JPX131171 JZT131168:JZT131171 KJP131168:KJP131171 KTL131168:KTL131171 LDH131168:LDH131171 LND131168:LND131171 LWZ131168:LWZ131171 MGV131168:MGV131171 MQR131168:MQR131171 NAN131168:NAN131171 NKJ131168:NKJ131171 NUF131168:NUF131171 OEB131168:OEB131171 ONX131168:ONX131171 OXT131168:OXT131171 PHP131168:PHP131171 PRL131168:PRL131171 QBH131168:QBH131171 QLD131168:QLD131171 QUZ131168:QUZ131171 REV131168:REV131171 ROR131168:ROR131171 RYN131168:RYN131171 SIJ131168:SIJ131171 SSF131168:SSF131171 TCB131168:TCB131171 TLX131168:TLX131171 TVT131168:TVT131171 UFP131168:UFP131171 UPL131168:UPL131171 UZH131168:UZH131171 VJD131168:VJD131171 VSZ131168:VSZ131171 WCV131168:WCV131171 WMR131168:WMR131171 WWN131168:WWN131171 AF196704:AF196707 KB196704:KB196707 TX196704:TX196707 ADT196704:ADT196707 ANP196704:ANP196707 AXL196704:AXL196707 BHH196704:BHH196707 BRD196704:BRD196707 CAZ196704:CAZ196707 CKV196704:CKV196707 CUR196704:CUR196707 DEN196704:DEN196707 DOJ196704:DOJ196707 DYF196704:DYF196707 EIB196704:EIB196707 ERX196704:ERX196707 FBT196704:FBT196707 FLP196704:FLP196707 FVL196704:FVL196707 GFH196704:GFH196707 GPD196704:GPD196707 GYZ196704:GYZ196707 HIV196704:HIV196707 HSR196704:HSR196707 ICN196704:ICN196707 IMJ196704:IMJ196707 IWF196704:IWF196707 JGB196704:JGB196707 JPX196704:JPX196707 JZT196704:JZT196707 KJP196704:KJP196707 KTL196704:KTL196707 LDH196704:LDH196707 LND196704:LND196707 LWZ196704:LWZ196707 MGV196704:MGV196707 MQR196704:MQR196707 NAN196704:NAN196707 NKJ196704:NKJ196707 NUF196704:NUF196707 OEB196704:OEB196707 ONX196704:ONX196707 OXT196704:OXT196707 PHP196704:PHP196707 PRL196704:PRL196707 QBH196704:QBH196707 QLD196704:QLD196707 QUZ196704:QUZ196707 REV196704:REV196707 ROR196704:ROR196707 RYN196704:RYN196707 SIJ196704:SIJ196707 SSF196704:SSF196707 TCB196704:TCB196707 TLX196704:TLX196707 TVT196704:TVT196707 UFP196704:UFP196707 UPL196704:UPL196707 UZH196704:UZH196707 VJD196704:VJD196707 VSZ196704:VSZ196707 WCV196704:WCV196707 WMR196704:WMR196707 WWN196704:WWN196707 AF262240:AF262243 KB262240:KB262243 TX262240:TX262243 ADT262240:ADT262243 ANP262240:ANP262243 AXL262240:AXL262243 BHH262240:BHH262243 BRD262240:BRD262243 CAZ262240:CAZ262243 CKV262240:CKV262243 CUR262240:CUR262243 DEN262240:DEN262243 DOJ262240:DOJ262243 DYF262240:DYF262243 EIB262240:EIB262243 ERX262240:ERX262243 FBT262240:FBT262243 FLP262240:FLP262243 FVL262240:FVL262243 GFH262240:GFH262243 GPD262240:GPD262243 GYZ262240:GYZ262243 HIV262240:HIV262243 HSR262240:HSR262243 ICN262240:ICN262243 IMJ262240:IMJ262243 IWF262240:IWF262243 JGB262240:JGB262243 JPX262240:JPX262243 JZT262240:JZT262243 KJP262240:KJP262243 KTL262240:KTL262243 LDH262240:LDH262243 LND262240:LND262243 LWZ262240:LWZ262243 MGV262240:MGV262243 MQR262240:MQR262243 NAN262240:NAN262243 NKJ262240:NKJ262243 NUF262240:NUF262243 OEB262240:OEB262243 ONX262240:ONX262243 OXT262240:OXT262243 PHP262240:PHP262243 PRL262240:PRL262243 QBH262240:QBH262243 QLD262240:QLD262243 QUZ262240:QUZ262243 REV262240:REV262243 ROR262240:ROR262243 RYN262240:RYN262243 SIJ262240:SIJ262243 SSF262240:SSF262243 TCB262240:TCB262243 TLX262240:TLX262243 TVT262240:TVT262243 UFP262240:UFP262243 UPL262240:UPL262243 UZH262240:UZH262243 VJD262240:VJD262243 VSZ262240:VSZ262243 WCV262240:WCV262243 WMR262240:WMR262243 WWN262240:WWN262243 AF327776:AF327779 KB327776:KB327779 TX327776:TX327779 ADT327776:ADT327779 ANP327776:ANP327779 AXL327776:AXL327779 BHH327776:BHH327779 BRD327776:BRD327779 CAZ327776:CAZ327779 CKV327776:CKV327779 CUR327776:CUR327779 DEN327776:DEN327779 DOJ327776:DOJ327779 DYF327776:DYF327779 EIB327776:EIB327779 ERX327776:ERX327779 FBT327776:FBT327779 FLP327776:FLP327779 FVL327776:FVL327779 GFH327776:GFH327779 GPD327776:GPD327779 GYZ327776:GYZ327779 HIV327776:HIV327779 HSR327776:HSR327779 ICN327776:ICN327779 IMJ327776:IMJ327779 IWF327776:IWF327779 JGB327776:JGB327779 JPX327776:JPX327779 JZT327776:JZT327779 KJP327776:KJP327779 KTL327776:KTL327779 LDH327776:LDH327779 LND327776:LND327779 LWZ327776:LWZ327779 MGV327776:MGV327779 MQR327776:MQR327779 NAN327776:NAN327779 NKJ327776:NKJ327779 NUF327776:NUF327779 OEB327776:OEB327779 ONX327776:ONX327779 OXT327776:OXT327779 PHP327776:PHP327779 PRL327776:PRL327779 QBH327776:QBH327779 QLD327776:QLD327779 QUZ327776:QUZ327779 REV327776:REV327779 ROR327776:ROR327779 RYN327776:RYN327779 SIJ327776:SIJ327779 SSF327776:SSF327779 TCB327776:TCB327779 TLX327776:TLX327779 TVT327776:TVT327779 UFP327776:UFP327779 UPL327776:UPL327779 UZH327776:UZH327779 VJD327776:VJD327779 VSZ327776:VSZ327779 WCV327776:WCV327779 WMR327776:WMR327779 WWN327776:WWN327779 AF393312:AF393315 KB393312:KB393315 TX393312:TX393315 ADT393312:ADT393315 ANP393312:ANP393315 AXL393312:AXL393315 BHH393312:BHH393315 BRD393312:BRD393315 CAZ393312:CAZ393315 CKV393312:CKV393315 CUR393312:CUR393315 DEN393312:DEN393315 DOJ393312:DOJ393315 DYF393312:DYF393315 EIB393312:EIB393315 ERX393312:ERX393315 FBT393312:FBT393315 FLP393312:FLP393315 FVL393312:FVL393315 GFH393312:GFH393315 GPD393312:GPD393315 GYZ393312:GYZ393315 HIV393312:HIV393315 HSR393312:HSR393315 ICN393312:ICN393315 IMJ393312:IMJ393315 IWF393312:IWF393315 JGB393312:JGB393315 JPX393312:JPX393315 JZT393312:JZT393315 KJP393312:KJP393315 KTL393312:KTL393315 LDH393312:LDH393315 LND393312:LND393315 LWZ393312:LWZ393315 MGV393312:MGV393315 MQR393312:MQR393315 NAN393312:NAN393315 NKJ393312:NKJ393315 NUF393312:NUF393315 OEB393312:OEB393315 ONX393312:ONX393315 OXT393312:OXT393315 PHP393312:PHP393315 PRL393312:PRL393315 QBH393312:QBH393315 QLD393312:QLD393315 QUZ393312:QUZ393315 REV393312:REV393315 ROR393312:ROR393315 RYN393312:RYN393315 SIJ393312:SIJ393315 SSF393312:SSF393315 TCB393312:TCB393315 TLX393312:TLX393315 TVT393312:TVT393315 UFP393312:UFP393315 UPL393312:UPL393315 UZH393312:UZH393315 VJD393312:VJD393315 VSZ393312:VSZ393315 WCV393312:WCV393315 WMR393312:WMR393315 WWN393312:WWN393315 AF458848:AF458851 KB458848:KB458851 TX458848:TX458851 ADT458848:ADT458851 ANP458848:ANP458851 AXL458848:AXL458851 BHH458848:BHH458851 BRD458848:BRD458851 CAZ458848:CAZ458851 CKV458848:CKV458851 CUR458848:CUR458851 DEN458848:DEN458851 DOJ458848:DOJ458851 DYF458848:DYF458851 EIB458848:EIB458851 ERX458848:ERX458851 FBT458848:FBT458851 FLP458848:FLP458851 FVL458848:FVL458851 GFH458848:GFH458851 GPD458848:GPD458851 GYZ458848:GYZ458851 HIV458848:HIV458851 HSR458848:HSR458851 ICN458848:ICN458851 IMJ458848:IMJ458851 IWF458848:IWF458851 JGB458848:JGB458851 JPX458848:JPX458851 JZT458848:JZT458851 KJP458848:KJP458851 KTL458848:KTL458851 LDH458848:LDH458851 LND458848:LND458851 LWZ458848:LWZ458851 MGV458848:MGV458851 MQR458848:MQR458851 NAN458848:NAN458851 NKJ458848:NKJ458851 NUF458848:NUF458851 OEB458848:OEB458851 ONX458848:ONX458851 OXT458848:OXT458851 PHP458848:PHP458851 PRL458848:PRL458851 QBH458848:QBH458851 QLD458848:QLD458851 QUZ458848:QUZ458851 REV458848:REV458851 ROR458848:ROR458851 RYN458848:RYN458851 SIJ458848:SIJ458851 SSF458848:SSF458851 TCB458848:TCB458851 TLX458848:TLX458851 TVT458848:TVT458851 UFP458848:UFP458851 UPL458848:UPL458851 UZH458848:UZH458851 VJD458848:VJD458851 VSZ458848:VSZ458851 WCV458848:WCV458851 WMR458848:WMR458851 WWN458848:WWN458851 AF524384:AF524387 KB524384:KB524387 TX524384:TX524387 ADT524384:ADT524387 ANP524384:ANP524387 AXL524384:AXL524387 BHH524384:BHH524387 BRD524384:BRD524387 CAZ524384:CAZ524387 CKV524384:CKV524387 CUR524384:CUR524387 DEN524384:DEN524387 DOJ524384:DOJ524387 DYF524384:DYF524387 EIB524384:EIB524387 ERX524384:ERX524387 FBT524384:FBT524387 FLP524384:FLP524387 FVL524384:FVL524387 GFH524384:GFH524387 GPD524384:GPD524387 GYZ524384:GYZ524387 HIV524384:HIV524387 HSR524384:HSR524387 ICN524384:ICN524387 IMJ524384:IMJ524387 IWF524384:IWF524387 JGB524384:JGB524387 JPX524384:JPX524387 JZT524384:JZT524387 KJP524384:KJP524387 KTL524384:KTL524387 LDH524384:LDH524387 LND524384:LND524387 LWZ524384:LWZ524387 MGV524384:MGV524387 MQR524384:MQR524387 NAN524384:NAN524387 NKJ524384:NKJ524387 NUF524384:NUF524387 OEB524384:OEB524387 ONX524384:ONX524387 OXT524384:OXT524387 PHP524384:PHP524387 PRL524384:PRL524387 QBH524384:QBH524387 QLD524384:QLD524387 QUZ524384:QUZ524387 REV524384:REV524387 ROR524384:ROR524387 RYN524384:RYN524387 SIJ524384:SIJ524387 SSF524384:SSF524387 TCB524384:TCB524387 TLX524384:TLX524387 TVT524384:TVT524387 UFP524384:UFP524387 UPL524384:UPL524387 UZH524384:UZH524387 VJD524384:VJD524387 VSZ524384:VSZ524387 WCV524384:WCV524387 WMR524384:WMR524387 WWN524384:WWN524387 AF589920:AF589923 KB589920:KB589923 TX589920:TX589923 ADT589920:ADT589923 ANP589920:ANP589923 AXL589920:AXL589923 BHH589920:BHH589923 BRD589920:BRD589923 CAZ589920:CAZ589923 CKV589920:CKV589923 CUR589920:CUR589923 DEN589920:DEN589923 DOJ589920:DOJ589923 DYF589920:DYF589923 EIB589920:EIB589923 ERX589920:ERX589923 FBT589920:FBT589923 FLP589920:FLP589923 FVL589920:FVL589923 GFH589920:GFH589923 GPD589920:GPD589923 GYZ589920:GYZ589923 HIV589920:HIV589923 HSR589920:HSR589923 ICN589920:ICN589923 IMJ589920:IMJ589923 IWF589920:IWF589923 JGB589920:JGB589923 JPX589920:JPX589923 JZT589920:JZT589923 KJP589920:KJP589923 KTL589920:KTL589923 LDH589920:LDH589923 LND589920:LND589923 LWZ589920:LWZ589923 MGV589920:MGV589923 MQR589920:MQR589923 NAN589920:NAN589923 NKJ589920:NKJ589923 NUF589920:NUF589923 OEB589920:OEB589923 ONX589920:ONX589923 OXT589920:OXT589923 PHP589920:PHP589923 PRL589920:PRL589923 QBH589920:QBH589923 QLD589920:QLD589923 QUZ589920:QUZ589923 REV589920:REV589923 ROR589920:ROR589923 RYN589920:RYN589923 SIJ589920:SIJ589923 SSF589920:SSF589923 TCB589920:TCB589923 TLX589920:TLX589923 TVT589920:TVT589923 UFP589920:UFP589923 UPL589920:UPL589923 UZH589920:UZH589923 VJD589920:VJD589923 VSZ589920:VSZ589923 WCV589920:WCV589923 WMR589920:WMR589923 WWN589920:WWN589923 AF655456:AF655459 KB655456:KB655459 TX655456:TX655459 ADT655456:ADT655459 ANP655456:ANP655459 AXL655456:AXL655459 BHH655456:BHH655459 BRD655456:BRD655459 CAZ655456:CAZ655459 CKV655456:CKV655459 CUR655456:CUR655459 DEN655456:DEN655459 DOJ655456:DOJ655459 DYF655456:DYF655459 EIB655456:EIB655459 ERX655456:ERX655459 FBT655456:FBT655459 FLP655456:FLP655459 FVL655456:FVL655459 GFH655456:GFH655459 GPD655456:GPD655459 GYZ655456:GYZ655459 HIV655456:HIV655459 HSR655456:HSR655459 ICN655456:ICN655459 IMJ655456:IMJ655459 IWF655456:IWF655459 JGB655456:JGB655459 JPX655456:JPX655459 JZT655456:JZT655459 KJP655456:KJP655459 KTL655456:KTL655459 LDH655456:LDH655459 LND655456:LND655459 LWZ655456:LWZ655459 MGV655456:MGV655459 MQR655456:MQR655459 NAN655456:NAN655459 NKJ655456:NKJ655459 NUF655456:NUF655459 OEB655456:OEB655459 ONX655456:ONX655459 OXT655456:OXT655459 PHP655456:PHP655459 PRL655456:PRL655459 QBH655456:QBH655459 QLD655456:QLD655459 QUZ655456:QUZ655459 REV655456:REV655459 ROR655456:ROR655459 RYN655456:RYN655459 SIJ655456:SIJ655459 SSF655456:SSF655459 TCB655456:TCB655459 TLX655456:TLX655459 TVT655456:TVT655459 UFP655456:UFP655459 UPL655456:UPL655459 UZH655456:UZH655459 VJD655456:VJD655459 VSZ655456:VSZ655459 WCV655456:WCV655459 WMR655456:WMR655459 WWN655456:WWN655459 AF720992:AF720995 KB720992:KB720995 TX720992:TX720995 ADT720992:ADT720995 ANP720992:ANP720995 AXL720992:AXL720995 BHH720992:BHH720995 BRD720992:BRD720995 CAZ720992:CAZ720995 CKV720992:CKV720995 CUR720992:CUR720995 DEN720992:DEN720995 DOJ720992:DOJ720995 DYF720992:DYF720995 EIB720992:EIB720995 ERX720992:ERX720995 FBT720992:FBT720995 FLP720992:FLP720995 FVL720992:FVL720995 GFH720992:GFH720995 GPD720992:GPD720995 GYZ720992:GYZ720995 HIV720992:HIV720995 HSR720992:HSR720995 ICN720992:ICN720995 IMJ720992:IMJ720995 IWF720992:IWF720995 JGB720992:JGB720995 JPX720992:JPX720995 JZT720992:JZT720995 KJP720992:KJP720995 KTL720992:KTL720995 LDH720992:LDH720995 LND720992:LND720995 LWZ720992:LWZ720995 MGV720992:MGV720995 MQR720992:MQR720995 NAN720992:NAN720995 NKJ720992:NKJ720995 NUF720992:NUF720995 OEB720992:OEB720995 ONX720992:ONX720995 OXT720992:OXT720995 PHP720992:PHP720995 PRL720992:PRL720995 QBH720992:QBH720995 QLD720992:QLD720995 QUZ720992:QUZ720995 REV720992:REV720995 ROR720992:ROR720995 RYN720992:RYN720995 SIJ720992:SIJ720995 SSF720992:SSF720995 TCB720992:TCB720995 TLX720992:TLX720995 TVT720992:TVT720995 UFP720992:UFP720995 UPL720992:UPL720995 UZH720992:UZH720995 VJD720992:VJD720995 VSZ720992:VSZ720995 WCV720992:WCV720995 WMR720992:WMR720995 WWN720992:WWN720995 AF786528:AF786531 KB786528:KB786531 TX786528:TX786531 ADT786528:ADT786531 ANP786528:ANP786531 AXL786528:AXL786531 BHH786528:BHH786531 BRD786528:BRD786531 CAZ786528:CAZ786531 CKV786528:CKV786531 CUR786528:CUR786531 DEN786528:DEN786531 DOJ786528:DOJ786531 DYF786528:DYF786531 EIB786528:EIB786531 ERX786528:ERX786531 FBT786528:FBT786531 FLP786528:FLP786531 FVL786528:FVL786531 GFH786528:GFH786531 GPD786528:GPD786531 GYZ786528:GYZ786531 HIV786528:HIV786531 HSR786528:HSR786531 ICN786528:ICN786531 IMJ786528:IMJ786531 IWF786528:IWF786531 JGB786528:JGB786531 JPX786528:JPX786531 JZT786528:JZT786531 KJP786528:KJP786531 KTL786528:KTL786531 LDH786528:LDH786531 LND786528:LND786531 LWZ786528:LWZ786531 MGV786528:MGV786531 MQR786528:MQR786531 NAN786528:NAN786531 NKJ786528:NKJ786531 NUF786528:NUF786531 OEB786528:OEB786531 ONX786528:ONX786531 OXT786528:OXT786531 PHP786528:PHP786531 PRL786528:PRL786531 QBH786528:QBH786531 QLD786528:QLD786531 QUZ786528:QUZ786531 REV786528:REV786531 ROR786528:ROR786531 RYN786528:RYN786531 SIJ786528:SIJ786531 SSF786528:SSF786531 TCB786528:TCB786531 TLX786528:TLX786531 TVT786528:TVT786531 UFP786528:UFP786531 UPL786528:UPL786531 UZH786528:UZH786531 VJD786528:VJD786531 VSZ786528:VSZ786531 WCV786528:WCV786531 WMR786528:WMR786531 WWN786528:WWN786531 AF852064:AF852067 KB852064:KB852067 TX852064:TX852067 ADT852064:ADT852067 ANP852064:ANP852067 AXL852064:AXL852067 BHH852064:BHH852067 BRD852064:BRD852067 CAZ852064:CAZ852067 CKV852064:CKV852067 CUR852064:CUR852067 DEN852064:DEN852067 DOJ852064:DOJ852067 DYF852064:DYF852067 EIB852064:EIB852067 ERX852064:ERX852067 FBT852064:FBT852067 FLP852064:FLP852067 FVL852064:FVL852067 GFH852064:GFH852067 GPD852064:GPD852067 GYZ852064:GYZ852067 HIV852064:HIV852067 HSR852064:HSR852067 ICN852064:ICN852067 IMJ852064:IMJ852067 IWF852064:IWF852067 JGB852064:JGB852067 JPX852064:JPX852067 JZT852064:JZT852067 KJP852064:KJP852067 KTL852064:KTL852067 LDH852064:LDH852067 LND852064:LND852067 LWZ852064:LWZ852067 MGV852064:MGV852067 MQR852064:MQR852067 NAN852064:NAN852067 NKJ852064:NKJ852067 NUF852064:NUF852067 OEB852064:OEB852067 ONX852064:ONX852067 OXT852064:OXT852067 PHP852064:PHP852067 PRL852064:PRL852067 QBH852064:QBH852067 QLD852064:QLD852067 QUZ852064:QUZ852067 REV852064:REV852067 ROR852064:ROR852067 RYN852064:RYN852067 SIJ852064:SIJ852067 SSF852064:SSF852067 TCB852064:TCB852067 TLX852064:TLX852067 TVT852064:TVT852067 UFP852064:UFP852067 UPL852064:UPL852067 UZH852064:UZH852067 VJD852064:VJD852067 VSZ852064:VSZ852067 WCV852064:WCV852067 WMR852064:WMR852067 WWN852064:WWN852067 AF917600:AF917603 KB917600:KB917603 TX917600:TX917603 ADT917600:ADT917603 ANP917600:ANP917603 AXL917600:AXL917603 BHH917600:BHH917603 BRD917600:BRD917603 CAZ917600:CAZ917603 CKV917600:CKV917603 CUR917600:CUR917603 DEN917600:DEN917603 DOJ917600:DOJ917603 DYF917600:DYF917603 EIB917600:EIB917603 ERX917600:ERX917603 FBT917600:FBT917603 FLP917600:FLP917603 FVL917600:FVL917603 GFH917600:GFH917603 GPD917600:GPD917603 GYZ917600:GYZ917603 HIV917600:HIV917603 HSR917600:HSR917603 ICN917600:ICN917603 IMJ917600:IMJ917603 IWF917600:IWF917603 JGB917600:JGB917603 JPX917600:JPX917603 JZT917600:JZT917603 KJP917600:KJP917603 KTL917600:KTL917603 LDH917600:LDH917603 LND917600:LND917603 LWZ917600:LWZ917603 MGV917600:MGV917603 MQR917600:MQR917603 NAN917600:NAN917603 NKJ917600:NKJ917603 NUF917600:NUF917603 OEB917600:OEB917603 ONX917600:ONX917603 OXT917600:OXT917603 PHP917600:PHP917603 PRL917600:PRL917603 QBH917600:QBH917603 QLD917600:QLD917603 QUZ917600:QUZ917603 REV917600:REV917603 ROR917600:ROR917603 RYN917600:RYN917603 SIJ917600:SIJ917603 SSF917600:SSF917603 TCB917600:TCB917603 TLX917600:TLX917603 TVT917600:TVT917603 UFP917600:UFP917603 UPL917600:UPL917603 UZH917600:UZH917603 VJD917600:VJD917603 VSZ917600:VSZ917603 WCV917600:WCV917603 WMR917600:WMR917603 WWN917600:WWN917603 AF983136:AF983139 KB983136:KB983139 TX983136:TX983139 ADT983136:ADT983139 ANP983136:ANP983139 AXL983136:AXL983139 BHH983136:BHH983139 BRD983136:BRD983139 CAZ983136:CAZ983139 CKV983136:CKV983139 CUR983136:CUR983139 DEN983136:DEN983139 DOJ983136:DOJ983139 DYF983136:DYF983139 EIB983136:EIB983139 ERX983136:ERX983139 FBT983136:FBT983139 FLP983136:FLP983139 FVL983136:FVL983139 GFH983136:GFH983139 GPD983136:GPD983139 GYZ983136:GYZ983139 HIV983136:HIV983139 HSR983136:HSR983139 ICN983136:ICN983139 IMJ983136:IMJ983139 IWF983136:IWF983139 JGB983136:JGB983139 JPX983136:JPX983139 JZT983136:JZT983139 KJP983136:KJP983139 KTL983136:KTL983139 LDH983136:LDH983139 LND983136:LND983139 LWZ983136:LWZ983139 MGV983136:MGV983139 MQR983136:MQR983139 NAN983136:NAN983139 NKJ983136:NKJ983139 NUF983136:NUF983139 OEB983136:OEB983139 ONX983136:ONX983139 OXT983136:OXT983139 PHP983136:PHP983139 PRL983136:PRL983139 QBH983136:QBH983139 QLD983136:QLD983139 QUZ983136:QUZ983139 REV983136:REV983139 ROR983136:ROR983139 RYN983136:RYN983139 SIJ983136:SIJ983139 SSF983136:SSF983139 TCB983136:TCB983139 TLX983136:TLX983139 TVT983136:TVT983139 UFP983136:UFP983139 UPL983136:UPL983139 UZH983136:UZH983139 VJD983136:VJD983139 VSZ983136:VSZ983139 WCV983136:WCV983139 WMR983136:WMR983139 WWN983136:WWN983139 AF90:AF92 KB90:KB92 TX90:TX92 ADT90:ADT92 ANP90:ANP92 AXL90:AXL92 BHH90:BHH92 BRD90:BRD92 CAZ90:CAZ92 CKV90:CKV92 CUR90:CUR92 DEN90:DEN92 DOJ90:DOJ92 DYF90:DYF92 EIB90:EIB92 ERX90:ERX92 FBT90:FBT92 FLP90:FLP92 FVL90:FVL92 GFH90:GFH92 GPD90:GPD92 GYZ90:GYZ92 HIV90:HIV92 HSR90:HSR92 ICN90:ICN92 IMJ90:IMJ92 IWF90:IWF92 JGB90:JGB92 JPX90:JPX92 JZT90:JZT92 KJP90:KJP92 KTL90:KTL92 LDH90:LDH92 LND90:LND92 LWZ90:LWZ92 MGV90:MGV92 MQR90:MQR92 NAN90:NAN92 NKJ90:NKJ92 NUF90:NUF92 OEB90:OEB92 ONX90:ONX92 OXT90:OXT92 PHP90:PHP92 PRL90:PRL92 QBH90:QBH92 QLD90:QLD92 QUZ90:QUZ92 REV90:REV92 ROR90:ROR92 RYN90:RYN92 SIJ90:SIJ92 SSF90:SSF92 TCB90:TCB92 TLX90:TLX92 TVT90:TVT92 UFP90:UFP92 UPL90:UPL92 UZH90:UZH92 VJD90:VJD92 VSZ90:VSZ92 WCV90:WCV92 WMR90:WMR92 WWN90:WWN92 AF65628:AF65630 KB65628:KB65630 TX65628:TX65630 ADT65628:ADT65630 ANP65628:ANP65630 AXL65628:AXL65630 BHH65628:BHH65630 BRD65628:BRD65630 CAZ65628:CAZ65630 CKV65628:CKV65630 CUR65628:CUR65630 DEN65628:DEN65630 DOJ65628:DOJ65630 DYF65628:DYF65630 EIB65628:EIB65630 ERX65628:ERX65630 FBT65628:FBT65630 FLP65628:FLP65630 FVL65628:FVL65630 GFH65628:GFH65630 GPD65628:GPD65630 GYZ65628:GYZ65630 HIV65628:HIV65630 HSR65628:HSR65630 ICN65628:ICN65630 IMJ65628:IMJ65630 IWF65628:IWF65630 JGB65628:JGB65630 JPX65628:JPX65630 JZT65628:JZT65630 KJP65628:KJP65630 KTL65628:KTL65630 LDH65628:LDH65630 LND65628:LND65630 LWZ65628:LWZ65630 MGV65628:MGV65630 MQR65628:MQR65630 NAN65628:NAN65630 NKJ65628:NKJ65630 NUF65628:NUF65630 OEB65628:OEB65630 ONX65628:ONX65630 OXT65628:OXT65630 PHP65628:PHP65630 PRL65628:PRL65630 QBH65628:QBH65630 QLD65628:QLD65630 QUZ65628:QUZ65630 REV65628:REV65630 ROR65628:ROR65630 RYN65628:RYN65630 SIJ65628:SIJ65630 SSF65628:SSF65630 TCB65628:TCB65630 TLX65628:TLX65630 TVT65628:TVT65630 UFP65628:UFP65630 UPL65628:UPL65630 UZH65628:UZH65630 VJD65628:VJD65630 VSZ65628:VSZ65630 WCV65628:WCV65630 WMR65628:WMR65630 WWN65628:WWN65630 AF131164:AF131166 KB131164:KB131166 TX131164:TX131166 ADT131164:ADT131166 ANP131164:ANP131166 AXL131164:AXL131166 BHH131164:BHH131166 BRD131164:BRD131166 CAZ131164:CAZ131166 CKV131164:CKV131166 CUR131164:CUR131166 DEN131164:DEN131166 DOJ131164:DOJ131166 DYF131164:DYF131166 EIB131164:EIB131166 ERX131164:ERX131166 FBT131164:FBT131166 FLP131164:FLP131166 FVL131164:FVL131166 GFH131164:GFH131166 GPD131164:GPD131166 GYZ131164:GYZ131166 HIV131164:HIV131166 HSR131164:HSR131166 ICN131164:ICN131166 IMJ131164:IMJ131166 IWF131164:IWF131166 JGB131164:JGB131166 JPX131164:JPX131166 JZT131164:JZT131166 KJP131164:KJP131166 KTL131164:KTL131166 LDH131164:LDH131166 LND131164:LND131166 LWZ131164:LWZ131166 MGV131164:MGV131166 MQR131164:MQR131166 NAN131164:NAN131166 NKJ131164:NKJ131166 NUF131164:NUF131166 OEB131164:OEB131166 ONX131164:ONX131166 OXT131164:OXT131166 PHP131164:PHP131166 PRL131164:PRL131166 QBH131164:QBH131166 QLD131164:QLD131166 QUZ131164:QUZ131166 REV131164:REV131166 ROR131164:ROR131166 RYN131164:RYN131166 SIJ131164:SIJ131166 SSF131164:SSF131166 TCB131164:TCB131166 TLX131164:TLX131166 TVT131164:TVT131166 UFP131164:UFP131166 UPL131164:UPL131166 UZH131164:UZH131166 VJD131164:VJD131166 VSZ131164:VSZ131166 WCV131164:WCV131166 WMR131164:WMR131166 WWN131164:WWN131166 AF196700:AF196702 KB196700:KB196702 TX196700:TX196702 ADT196700:ADT196702 ANP196700:ANP196702 AXL196700:AXL196702 BHH196700:BHH196702 BRD196700:BRD196702 CAZ196700:CAZ196702 CKV196700:CKV196702 CUR196700:CUR196702 DEN196700:DEN196702 DOJ196700:DOJ196702 DYF196700:DYF196702 EIB196700:EIB196702 ERX196700:ERX196702 FBT196700:FBT196702 FLP196700:FLP196702 FVL196700:FVL196702 GFH196700:GFH196702 GPD196700:GPD196702 GYZ196700:GYZ196702 HIV196700:HIV196702 HSR196700:HSR196702 ICN196700:ICN196702 IMJ196700:IMJ196702 IWF196700:IWF196702 JGB196700:JGB196702 JPX196700:JPX196702 JZT196700:JZT196702 KJP196700:KJP196702 KTL196700:KTL196702 LDH196700:LDH196702 LND196700:LND196702 LWZ196700:LWZ196702 MGV196700:MGV196702 MQR196700:MQR196702 NAN196700:NAN196702 NKJ196700:NKJ196702 NUF196700:NUF196702 OEB196700:OEB196702 ONX196700:ONX196702 OXT196700:OXT196702 PHP196700:PHP196702 PRL196700:PRL196702 QBH196700:QBH196702 QLD196700:QLD196702 QUZ196700:QUZ196702 REV196700:REV196702 ROR196700:ROR196702 RYN196700:RYN196702 SIJ196700:SIJ196702 SSF196700:SSF196702 TCB196700:TCB196702 TLX196700:TLX196702 TVT196700:TVT196702 UFP196700:UFP196702 UPL196700:UPL196702 UZH196700:UZH196702 VJD196700:VJD196702 VSZ196700:VSZ196702 WCV196700:WCV196702 WMR196700:WMR196702 WWN196700:WWN196702 AF262236:AF262238 KB262236:KB262238 TX262236:TX262238 ADT262236:ADT262238 ANP262236:ANP262238 AXL262236:AXL262238 BHH262236:BHH262238 BRD262236:BRD262238 CAZ262236:CAZ262238 CKV262236:CKV262238 CUR262236:CUR262238 DEN262236:DEN262238 DOJ262236:DOJ262238 DYF262236:DYF262238 EIB262236:EIB262238 ERX262236:ERX262238 FBT262236:FBT262238 FLP262236:FLP262238 FVL262236:FVL262238 GFH262236:GFH262238 GPD262236:GPD262238 GYZ262236:GYZ262238 HIV262236:HIV262238 HSR262236:HSR262238 ICN262236:ICN262238 IMJ262236:IMJ262238 IWF262236:IWF262238 JGB262236:JGB262238 JPX262236:JPX262238 JZT262236:JZT262238 KJP262236:KJP262238 KTL262236:KTL262238 LDH262236:LDH262238 LND262236:LND262238 LWZ262236:LWZ262238 MGV262236:MGV262238 MQR262236:MQR262238 NAN262236:NAN262238 NKJ262236:NKJ262238 NUF262236:NUF262238 OEB262236:OEB262238 ONX262236:ONX262238 OXT262236:OXT262238 PHP262236:PHP262238 PRL262236:PRL262238 QBH262236:QBH262238 QLD262236:QLD262238 QUZ262236:QUZ262238 REV262236:REV262238 ROR262236:ROR262238 RYN262236:RYN262238 SIJ262236:SIJ262238 SSF262236:SSF262238 TCB262236:TCB262238 TLX262236:TLX262238 TVT262236:TVT262238 UFP262236:UFP262238 UPL262236:UPL262238 UZH262236:UZH262238 VJD262236:VJD262238 VSZ262236:VSZ262238 WCV262236:WCV262238 WMR262236:WMR262238 WWN262236:WWN262238 AF327772:AF327774 KB327772:KB327774 TX327772:TX327774 ADT327772:ADT327774 ANP327772:ANP327774 AXL327772:AXL327774 BHH327772:BHH327774 BRD327772:BRD327774 CAZ327772:CAZ327774 CKV327772:CKV327774 CUR327772:CUR327774 DEN327772:DEN327774 DOJ327772:DOJ327774 DYF327772:DYF327774 EIB327772:EIB327774 ERX327772:ERX327774 FBT327772:FBT327774 FLP327772:FLP327774 FVL327772:FVL327774 GFH327772:GFH327774 GPD327772:GPD327774 GYZ327772:GYZ327774 HIV327772:HIV327774 HSR327772:HSR327774 ICN327772:ICN327774 IMJ327772:IMJ327774 IWF327772:IWF327774 JGB327772:JGB327774 JPX327772:JPX327774 JZT327772:JZT327774 KJP327772:KJP327774 KTL327772:KTL327774 LDH327772:LDH327774 LND327772:LND327774 LWZ327772:LWZ327774 MGV327772:MGV327774 MQR327772:MQR327774 NAN327772:NAN327774 NKJ327772:NKJ327774 NUF327772:NUF327774 OEB327772:OEB327774 ONX327772:ONX327774 OXT327772:OXT327774 PHP327772:PHP327774 PRL327772:PRL327774 QBH327772:QBH327774 QLD327772:QLD327774 QUZ327772:QUZ327774 REV327772:REV327774 ROR327772:ROR327774 RYN327772:RYN327774 SIJ327772:SIJ327774 SSF327772:SSF327774 TCB327772:TCB327774 TLX327772:TLX327774 TVT327772:TVT327774 UFP327772:UFP327774 UPL327772:UPL327774 UZH327772:UZH327774 VJD327772:VJD327774 VSZ327772:VSZ327774 WCV327772:WCV327774 WMR327772:WMR327774 WWN327772:WWN327774 AF393308:AF393310 KB393308:KB393310 TX393308:TX393310 ADT393308:ADT393310 ANP393308:ANP393310 AXL393308:AXL393310 BHH393308:BHH393310 BRD393308:BRD393310 CAZ393308:CAZ393310 CKV393308:CKV393310 CUR393308:CUR393310 DEN393308:DEN393310 DOJ393308:DOJ393310 DYF393308:DYF393310 EIB393308:EIB393310 ERX393308:ERX393310 FBT393308:FBT393310 FLP393308:FLP393310 FVL393308:FVL393310 GFH393308:GFH393310 GPD393308:GPD393310 GYZ393308:GYZ393310 HIV393308:HIV393310 HSR393308:HSR393310 ICN393308:ICN393310 IMJ393308:IMJ393310 IWF393308:IWF393310 JGB393308:JGB393310 JPX393308:JPX393310 JZT393308:JZT393310 KJP393308:KJP393310 KTL393308:KTL393310 LDH393308:LDH393310 LND393308:LND393310 LWZ393308:LWZ393310 MGV393308:MGV393310 MQR393308:MQR393310 NAN393308:NAN393310 NKJ393308:NKJ393310 NUF393308:NUF393310 OEB393308:OEB393310 ONX393308:ONX393310 OXT393308:OXT393310 PHP393308:PHP393310 PRL393308:PRL393310 QBH393308:QBH393310 QLD393308:QLD393310 QUZ393308:QUZ393310 REV393308:REV393310 ROR393308:ROR393310 RYN393308:RYN393310 SIJ393308:SIJ393310 SSF393308:SSF393310 TCB393308:TCB393310 TLX393308:TLX393310 TVT393308:TVT393310 UFP393308:UFP393310 UPL393308:UPL393310 UZH393308:UZH393310 VJD393308:VJD393310 VSZ393308:VSZ393310 WCV393308:WCV393310 WMR393308:WMR393310 WWN393308:WWN393310 AF458844:AF458846 KB458844:KB458846 TX458844:TX458846 ADT458844:ADT458846 ANP458844:ANP458846 AXL458844:AXL458846 BHH458844:BHH458846 BRD458844:BRD458846 CAZ458844:CAZ458846 CKV458844:CKV458846 CUR458844:CUR458846 DEN458844:DEN458846 DOJ458844:DOJ458846 DYF458844:DYF458846 EIB458844:EIB458846 ERX458844:ERX458846 FBT458844:FBT458846 FLP458844:FLP458846 FVL458844:FVL458846 GFH458844:GFH458846 GPD458844:GPD458846 GYZ458844:GYZ458846 HIV458844:HIV458846 HSR458844:HSR458846 ICN458844:ICN458846 IMJ458844:IMJ458846 IWF458844:IWF458846 JGB458844:JGB458846 JPX458844:JPX458846 JZT458844:JZT458846 KJP458844:KJP458846 KTL458844:KTL458846 LDH458844:LDH458846 LND458844:LND458846 LWZ458844:LWZ458846 MGV458844:MGV458846 MQR458844:MQR458846 NAN458844:NAN458846 NKJ458844:NKJ458846 NUF458844:NUF458846 OEB458844:OEB458846 ONX458844:ONX458846 OXT458844:OXT458846 PHP458844:PHP458846 PRL458844:PRL458846 QBH458844:QBH458846 QLD458844:QLD458846 QUZ458844:QUZ458846 REV458844:REV458846 ROR458844:ROR458846 RYN458844:RYN458846 SIJ458844:SIJ458846 SSF458844:SSF458846 TCB458844:TCB458846 TLX458844:TLX458846 TVT458844:TVT458846 UFP458844:UFP458846 UPL458844:UPL458846 UZH458844:UZH458846 VJD458844:VJD458846 VSZ458844:VSZ458846 WCV458844:WCV458846 WMR458844:WMR458846 WWN458844:WWN458846 AF524380:AF524382 KB524380:KB524382 TX524380:TX524382 ADT524380:ADT524382 ANP524380:ANP524382 AXL524380:AXL524382 BHH524380:BHH524382 BRD524380:BRD524382 CAZ524380:CAZ524382 CKV524380:CKV524382 CUR524380:CUR524382 DEN524380:DEN524382 DOJ524380:DOJ524382 DYF524380:DYF524382 EIB524380:EIB524382 ERX524380:ERX524382 FBT524380:FBT524382 FLP524380:FLP524382 FVL524380:FVL524382 GFH524380:GFH524382 GPD524380:GPD524382 GYZ524380:GYZ524382 HIV524380:HIV524382 HSR524380:HSR524382 ICN524380:ICN524382 IMJ524380:IMJ524382 IWF524380:IWF524382 JGB524380:JGB524382 JPX524380:JPX524382 JZT524380:JZT524382 KJP524380:KJP524382 KTL524380:KTL524382 LDH524380:LDH524382 LND524380:LND524382 LWZ524380:LWZ524382 MGV524380:MGV524382 MQR524380:MQR524382 NAN524380:NAN524382 NKJ524380:NKJ524382 NUF524380:NUF524382 OEB524380:OEB524382 ONX524380:ONX524382 OXT524380:OXT524382 PHP524380:PHP524382 PRL524380:PRL524382 QBH524380:QBH524382 QLD524380:QLD524382 QUZ524380:QUZ524382 REV524380:REV524382 ROR524380:ROR524382 RYN524380:RYN524382 SIJ524380:SIJ524382 SSF524380:SSF524382 TCB524380:TCB524382 TLX524380:TLX524382 TVT524380:TVT524382 UFP524380:UFP524382 UPL524380:UPL524382 UZH524380:UZH524382 VJD524380:VJD524382 VSZ524380:VSZ524382 WCV524380:WCV524382 WMR524380:WMR524382 WWN524380:WWN524382 AF589916:AF589918 KB589916:KB589918 TX589916:TX589918 ADT589916:ADT589918 ANP589916:ANP589918 AXL589916:AXL589918 BHH589916:BHH589918 BRD589916:BRD589918 CAZ589916:CAZ589918 CKV589916:CKV589918 CUR589916:CUR589918 DEN589916:DEN589918 DOJ589916:DOJ589918 DYF589916:DYF589918 EIB589916:EIB589918 ERX589916:ERX589918 FBT589916:FBT589918 FLP589916:FLP589918 FVL589916:FVL589918 GFH589916:GFH589918 GPD589916:GPD589918 GYZ589916:GYZ589918 HIV589916:HIV589918 HSR589916:HSR589918 ICN589916:ICN589918 IMJ589916:IMJ589918 IWF589916:IWF589918 JGB589916:JGB589918 JPX589916:JPX589918 JZT589916:JZT589918 KJP589916:KJP589918 KTL589916:KTL589918 LDH589916:LDH589918 LND589916:LND589918 LWZ589916:LWZ589918 MGV589916:MGV589918 MQR589916:MQR589918 NAN589916:NAN589918 NKJ589916:NKJ589918 NUF589916:NUF589918 OEB589916:OEB589918 ONX589916:ONX589918 OXT589916:OXT589918 PHP589916:PHP589918 PRL589916:PRL589918 QBH589916:QBH589918 QLD589916:QLD589918 QUZ589916:QUZ589918 REV589916:REV589918 ROR589916:ROR589918 RYN589916:RYN589918 SIJ589916:SIJ589918 SSF589916:SSF589918 TCB589916:TCB589918 TLX589916:TLX589918 TVT589916:TVT589918 UFP589916:UFP589918 UPL589916:UPL589918 UZH589916:UZH589918 VJD589916:VJD589918 VSZ589916:VSZ589918 WCV589916:WCV589918 WMR589916:WMR589918 WWN589916:WWN589918 AF655452:AF655454 KB655452:KB655454 TX655452:TX655454 ADT655452:ADT655454 ANP655452:ANP655454 AXL655452:AXL655454 BHH655452:BHH655454 BRD655452:BRD655454 CAZ655452:CAZ655454 CKV655452:CKV655454 CUR655452:CUR655454 DEN655452:DEN655454 DOJ655452:DOJ655454 DYF655452:DYF655454 EIB655452:EIB655454 ERX655452:ERX655454 FBT655452:FBT655454 FLP655452:FLP655454 FVL655452:FVL655454 GFH655452:GFH655454 GPD655452:GPD655454 GYZ655452:GYZ655454 HIV655452:HIV655454 HSR655452:HSR655454 ICN655452:ICN655454 IMJ655452:IMJ655454 IWF655452:IWF655454 JGB655452:JGB655454 JPX655452:JPX655454 JZT655452:JZT655454 KJP655452:KJP655454 KTL655452:KTL655454 LDH655452:LDH655454 LND655452:LND655454 LWZ655452:LWZ655454 MGV655452:MGV655454 MQR655452:MQR655454 NAN655452:NAN655454 NKJ655452:NKJ655454 NUF655452:NUF655454 OEB655452:OEB655454 ONX655452:ONX655454 OXT655452:OXT655454 PHP655452:PHP655454 PRL655452:PRL655454 QBH655452:QBH655454 QLD655452:QLD655454 QUZ655452:QUZ655454 REV655452:REV655454 ROR655452:ROR655454 RYN655452:RYN655454 SIJ655452:SIJ655454 SSF655452:SSF655454 TCB655452:TCB655454 TLX655452:TLX655454 TVT655452:TVT655454 UFP655452:UFP655454 UPL655452:UPL655454 UZH655452:UZH655454 VJD655452:VJD655454 VSZ655452:VSZ655454 WCV655452:WCV655454 WMR655452:WMR655454 WWN655452:WWN655454 AF720988:AF720990 KB720988:KB720990 TX720988:TX720990 ADT720988:ADT720990 ANP720988:ANP720990 AXL720988:AXL720990 BHH720988:BHH720990 BRD720988:BRD720990 CAZ720988:CAZ720990 CKV720988:CKV720990 CUR720988:CUR720990 DEN720988:DEN720990 DOJ720988:DOJ720990 DYF720988:DYF720990 EIB720988:EIB720990 ERX720988:ERX720990 FBT720988:FBT720990 FLP720988:FLP720990 FVL720988:FVL720990 GFH720988:GFH720990 GPD720988:GPD720990 GYZ720988:GYZ720990 HIV720988:HIV720990 HSR720988:HSR720990 ICN720988:ICN720990 IMJ720988:IMJ720990 IWF720988:IWF720990 JGB720988:JGB720990 JPX720988:JPX720990 JZT720988:JZT720990 KJP720988:KJP720990 KTL720988:KTL720990 LDH720988:LDH720990 LND720988:LND720990 LWZ720988:LWZ720990 MGV720988:MGV720990 MQR720988:MQR720990 NAN720988:NAN720990 NKJ720988:NKJ720990 NUF720988:NUF720990 OEB720988:OEB720990 ONX720988:ONX720990 OXT720988:OXT720990 PHP720988:PHP720990 PRL720988:PRL720990 QBH720988:QBH720990 QLD720988:QLD720990 QUZ720988:QUZ720990 REV720988:REV720990 ROR720988:ROR720990 RYN720988:RYN720990 SIJ720988:SIJ720990 SSF720988:SSF720990 TCB720988:TCB720990 TLX720988:TLX720990 TVT720988:TVT720990 UFP720988:UFP720990 UPL720988:UPL720990 UZH720988:UZH720990 VJD720988:VJD720990 VSZ720988:VSZ720990 WCV720988:WCV720990 WMR720988:WMR720990 WWN720988:WWN720990 AF786524:AF786526 KB786524:KB786526 TX786524:TX786526 ADT786524:ADT786526 ANP786524:ANP786526 AXL786524:AXL786526 BHH786524:BHH786526 BRD786524:BRD786526 CAZ786524:CAZ786526 CKV786524:CKV786526 CUR786524:CUR786526 DEN786524:DEN786526 DOJ786524:DOJ786526 DYF786524:DYF786526 EIB786524:EIB786526 ERX786524:ERX786526 FBT786524:FBT786526 FLP786524:FLP786526 FVL786524:FVL786526 GFH786524:GFH786526 GPD786524:GPD786526 GYZ786524:GYZ786526 HIV786524:HIV786526 HSR786524:HSR786526 ICN786524:ICN786526 IMJ786524:IMJ786526 IWF786524:IWF786526 JGB786524:JGB786526 JPX786524:JPX786526 JZT786524:JZT786526 KJP786524:KJP786526 KTL786524:KTL786526 LDH786524:LDH786526 LND786524:LND786526 LWZ786524:LWZ786526 MGV786524:MGV786526 MQR786524:MQR786526 NAN786524:NAN786526 NKJ786524:NKJ786526 NUF786524:NUF786526 OEB786524:OEB786526 ONX786524:ONX786526 OXT786524:OXT786526 PHP786524:PHP786526 PRL786524:PRL786526 QBH786524:QBH786526 QLD786524:QLD786526 QUZ786524:QUZ786526 REV786524:REV786526 ROR786524:ROR786526 RYN786524:RYN786526 SIJ786524:SIJ786526 SSF786524:SSF786526 TCB786524:TCB786526 TLX786524:TLX786526 TVT786524:TVT786526 UFP786524:UFP786526 UPL786524:UPL786526 UZH786524:UZH786526 VJD786524:VJD786526 VSZ786524:VSZ786526 WCV786524:WCV786526 WMR786524:WMR786526 WWN786524:WWN786526 AF852060:AF852062 KB852060:KB852062 TX852060:TX852062 ADT852060:ADT852062 ANP852060:ANP852062 AXL852060:AXL852062 BHH852060:BHH852062 BRD852060:BRD852062 CAZ852060:CAZ852062 CKV852060:CKV852062 CUR852060:CUR852062 DEN852060:DEN852062 DOJ852060:DOJ852062 DYF852060:DYF852062 EIB852060:EIB852062 ERX852060:ERX852062 FBT852060:FBT852062 FLP852060:FLP852062 FVL852060:FVL852062 GFH852060:GFH852062 GPD852060:GPD852062 GYZ852060:GYZ852062 HIV852060:HIV852062 HSR852060:HSR852062 ICN852060:ICN852062 IMJ852060:IMJ852062 IWF852060:IWF852062 JGB852060:JGB852062 JPX852060:JPX852062 JZT852060:JZT852062 KJP852060:KJP852062 KTL852060:KTL852062 LDH852060:LDH852062 LND852060:LND852062 LWZ852060:LWZ852062 MGV852060:MGV852062 MQR852060:MQR852062 NAN852060:NAN852062 NKJ852060:NKJ852062 NUF852060:NUF852062 OEB852060:OEB852062 ONX852060:ONX852062 OXT852060:OXT852062 PHP852060:PHP852062 PRL852060:PRL852062 QBH852060:QBH852062 QLD852060:QLD852062 QUZ852060:QUZ852062 REV852060:REV852062 ROR852060:ROR852062 RYN852060:RYN852062 SIJ852060:SIJ852062 SSF852060:SSF852062 TCB852060:TCB852062 TLX852060:TLX852062 TVT852060:TVT852062 UFP852060:UFP852062 UPL852060:UPL852062 UZH852060:UZH852062 VJD852060:VJD852062 VSZ852060:VSZ852062 WCV852060:WCV852062 WMR852060:WMR852062 WWN852060:WWN852062 AF917596:AF917598 KB917596:KB917598 TX917596:TX917598 ADT917596:ADT917598 ANP917596:ANP917598 AXL917596:AXL917598 BHH917596:BHH917598 BRD917596:BRD917598 CAZ917596:CAZ917598 CKV917596:CKV917598 CUR917596:CUR917598 DEN917596:DEN917598 DOJ917596:DOJ917598 DYF917596:DYF917598 EIB917596:EIB917598 ERX917596:ERX917598 FBT917596:FBT917598 FLP917596:FLP917598 FVL917596:FVL917598 GFH917596:GFH917598 GPD917596:GPD917598 GYZ917596:GYZ917598 HIV917596:HIV917598 HSR917596:HSR917598 ICN917596:ICN917598 IMJ917596:IMJ917598 IWF917596:IWF917598 JGB917596:JGB917598 JPX917596:JPX917598 JZT917596:JZT917598 KJP917596:KJP917598 KTL917596:KTL917598 LDH917596:LDH917598 LND917596:LND917598 LWZ917596:LWZ917598 MGV917596:MGV917598 MQR917596:MQR917598 NAN917596:NAN917598 NKJ917596:NKJ917598 NUF917596:NUF917598 OEB917596:OEB917598 ONX917596:ONX917598 OXT917596:OXT917598 PHP917596:PHP917598 PRL917596:PRL917598 QBH917596:QBH917598 QLD917596:QLD917598 QUZ917596:QUZ917598 REV917596:REV917598 ROR917596:ROR917598 RYN917596:RYN917598 SIJ917596:SIJ917598 SSF917596:SSF917598 TCB917596:TCB917598 TLX917596:TLX917598 TVT917596:TVT917598 UFP917596:UFP917598 UPL917596:UPL917598 UZH917596:UZH917598 VJD917596:VJD917598 VSZ917596:VSZ917598 WCV917596:WCV917598 WMR917596:WMR917598 WWN917596:WWN917598 AF983132:AF983134 KB983132:KB983134 TX983132:TX983134 ADT983132:ADT983134 ANP983132:ANP983134 AXL983132:AXL983134 BHH983132:BHH983134 BRD983132:BRD983134 CAZ983132:CAZ983134 CKV983132:CKV983134 CUR983132:CUR983134 DEN983132:DEN983134 DOJ983132:DOJ983134 DYF983132:DYF983134 EIB983132:EIB983134 ERX983132:ERX983134 FBT983132:FBT983134 FLP983132:FLP983134 FVL983132:FVL983134 GFH983132:GFH983134 GPD983132:GPD983134 GYZ983132:GYZ983134 HIV983132:HIV983134 HSR983132:HSR983134 ICN983132:ICN983134 IMJ983132:IMJ983134 IWF983132:IWF983134 JGB983132:JGB983134 JPX983132:JPX983134 JZT983132:JZT983134 KJP983132:KJP983134 KTL983132:KTL983134 LDH983132:LDH983134 LND983132:LND983134 LWZ983132:LWZ983134 MGV983132:MGV983134 MQR983132:MQR983134 NAN983132:NAN983134 NKJ983132:NKJ983134 NUF983132:NUF983134 OEB983132:OEB983134 ONX983132:ONX983134 OXT983132:OXT983134 PHP983132:PHP983134 PRL983132:PRL983134 QBH983132:QBH983134 QLD983132:QLD983134 QUZ983132:QUZ983134 REV983132:REV983134 ROR983132:ROR983134 RYN983132:RYN983134 SIJ983132:SIJ983134 SSF983132:SSF983134 TCB983132:TCB983134 TLX983132:TLX983134 TVT983132:TVT983134 UFP983132:UFP983134 UPL983132:UPL983134 UZH983132:UZH983134 VJD983132:VJD983134 VSZ983132:VSZ983134 WCV983132:WCV983134 WMR983132:WMR983134 WWN983132:WWN983134 AF5:AF62 KB76:KB85 TX76:TX85 ADT76:ADT85 ANP76:ANP85 AXL76:AXL85 BHH76:BHH85 BRD76:BRD85 CAZ76:CAZ85 CKV76:CKV85 CUR76:CUR85 DEN76:DEN85 DOJ76:DOJ85 DYF76:DYF85 EIB76:EIB85 ERX76:ERX85 FBT76:FBT85 FLP76:FLP85 FVL76:FVL85 GFH76:GFH85 GPD76:GPD85 GYZ76:GYZ85 HIV76:HIV85 HSR76:HSR85 ICN76:ICN85 IMJ76:IMJ85 IWF76:IWF85 JGB76:JGB85 JPX76:JPX85 JZT76:JZT85 KJP76:KJP85 KTL76:KTL85 LDH76:LDH85 LND76:LND85 LWZ76:LWZ85 MGV76:MGV85 MQR76:MQR85 NAN76:NAN85 NKJ76:NKJ85 NUF76:NUF85 OEB76:OEB85 ONX76:ONX85 OXT76:OXT85 PHP76:PHP85 PRL76:PRL85 QBH76:QBH85 QLD76:QLD85 QUZ76:QUZ85 REV76:REV85 ROR76:ROR85 RYN76:RYN85 SIJ76:SIJ85 SSF76:SSF85 TCB76:TCB85 TLX76:TLX85 TVT76:TVT85 UFP76:UFP85 UPL76:UPL85 UZH76:UZH85 VJD76:VJD85 VSZ76:VSZ85 WCV76:WCV85 WMR76:WMR85 WWN76:WWN85 AF65614:AF65623 KB65614:KB65623 TX65614:TX65623 ADT65614:ADT65623 ANP65614:ANP65623 AXL65614:AXL65623 BHH65614:BHH65623 BRD65614:BRD65623 CAZ65614:CAZ65623 CKV65614:CKV65623 CUR65614:CUR65623 DEN65614:DEN65623 DOJ65614:DOJ65623 DYF65614:DYF65623 EIB65614:EIB65623 ERX65614:ERX65623 FBT65614:FBT65623 FLP65614:FLP65623 FVL65614:FVL65623 GFH65614:GFH65623 GPD65614:GPD65623 GYZ65614:GYZ65623 HIV65614:HIV65623 HSR65614:HSR65623 ICN65614:ICN65623 IMJ65614:IMJ65623 IWF65614:IWF65623 JGB65614:JGB65623 JPX65614:JPX65623 JZT65614:JZT65623 KJP65614:KJP65623 KTL65614:KTL65623 LDH65614:LDH65623 LND65614:LND65623 LWZ65614:LWZ65623 MGV65614:MGV65623 MQR65614:MQR65623 NAN65614:NAN65623 NKJ65614:NKJ65623 NUF65614:NUF65623 OEB65614:OEB65623 ONX65614:ONX65623 OXT65614:OXT65623 PHP65614:PHP65623 PRL65614:PRL65623 QBH65614:QBH65623 QLD65614:QLD65623 QUZ65614:QUZ65623 REV65614:REV65623 ROR65614:ROR65623 RYN65614:RYN65623 SIJ65614:SIJ65623 SSF65614:SSF65623 TCB65614:TCB65623 TLX65614:TLX65623 TVT65614:TVT65623 UFP65614:UFP65623 UPL65614:UPL65623 UZH65614:UZH65623 VJD65614:VJD65623 VSZ65614:VSZ65623 WCV65614:WCV65623 WMR65614:WMR65623 WWN65614:WWN65623 AF131150:AF131159 KB131150:KB131159 TX131150:TX131159 ADT131150:ADT131159 ANP131150:ANP131159 AXL131150:AXL131159 BHH131150:BHH131159 BRD131150:BRD131159 CAZ131150:CAZ131159 CKV131150:CKV131159 CUR131150:CUR131159 DEN131150:DEN131159 DOJ131150:DOJ131159 DYF131150:DYF131159 EIB131150:EIB131159 ERX131150:ERX131159 FBT131150:FBT131159 FLP131150:FLP131159 FVL131150:FVL131159 GFH131150:GFH131159 GPD131150:GPD131159 GYZ131150:GYZ131159 HIV131150:HIV131159 HSR131150:HSR131159 ICN131150:ICN131159 IMJ131150:IMJ131159 IWF131150:IWF131159 JGB131150:JGB131159 JPX131150:JPX131159 JZT131150:JZT131159 KJP131150:KJP131159 KTL131150:KTL131159 LDH131150:LDH131159 LND131150:LND131159 LWZ131150:LWZ131159 MGV131150:MGV131159 MQR131150:MQR131159 NAN131150:NAN131159 NKJ131150:NKJ131159 NUF131150:NUF131159 OEB131150:OEB131159 ONX131150:ONX131159 OXT131150:OXT131159 PHP131150:PHP131159 PRL131150:PRL131159 QBH131150:QBH131159 QLD131150:QLD131159 QUZ131150:QUZ131159 REV131150:REV131159 ROR131150:ROR131159 RYN131150:RYN131159 SIJ131150:SIJ131159 SSF131150:SSF131159 TCB131150:TCB131159 TLX131150:TLX131159 TVT131150:TVT131159 UFP131150:UFP131159 UPL131150:UPL131159 UZH131150:UZH131159 VJD131150:VJD131159 VSZ131150:VSZ131159 WCV131150:WCV131159 WMR131150:WMR131159 WWN131150:WWN131159 AF196686:AF196695 KB196686:KB196695 TX196686:TX196695 ADT196686:ADT196695 ANP196686:ANP196695 AXL196686:AXL196695 BHH196686:BHH196695 BRD196686:BRD196695 CAZ196686:CAZ196695 CKV196686:CKV196695 CUR196686:CUR196695 DEN196686:DEN196695 DOJ196686:DOJ196695 DYF196686:DYF196695 EIB196686:EIB196695 ERX196686:ERX196695 FBT196686:FBT196695 FLP196686:FLP196695 FVL196686:FVL196695 GFH196686:GFH196695 GPD196686:GPD196695 GYZ196686:GYZ196695 HIV196686:HIV196695 HSR196686:HSR196695 ICN196686:ICN196695 IMJ196686:IMJ196695 IWF196686:IWF196695 JGB196686:JGB196695 JPX196686:JPX196695 JZT196686:JZT196695 KJP196686:KJP196695 KTL196686:KTL196695 LDH196686:LDH196695 LND196686:LND196695 LWZ196686:LWZ196695 MGV196686:MGV196695 MQR196686:MQR196695 NAN196686:NAN196695 NKJ196686:NKJ196695 NUF196686:NUF196695 OEB196686:OEB196695 ONX196686:ONX196695 OXT196686:OXT196695 PHP196686:PHP196695 PRL196686:PRL196695 QBH196686:QBH196695 QLD196686:QLD196695 QUZ196686:QUZ196695 REV196686:REV196695 ROR196686:ROR196695 RYN196686:RYN196695 SIJ196686:SIJ196695 SSF196686:SSF196695 TCB196686:TCB196695 TLX196686:TLX196695 TVT196686:TVT196695 UFP196686:UFP196695 UPL196686:UPL196695 UZH196686:UZH196695 VJD196686:VJD196695 VSZ196686:VSZ196695 WCV196686:WCV196695 WMR196686:WMR196695 WWN196686:WWN196695 AF262222:AF262231 KB262222:KB262231 TX262222:TX262231 ADT262222:ADT262231 ANP262222:ANP262231 AXL262222:AXL262231 BHH262222:BHH262231 BRD262222:BRD262231 CAZ262222:CAZ262231 CKV262222:CKV262231 CUR262222:CUR262231 DEN262222:DEN262231 DOJ262222:DOJ262231 DYF262222:DYF262231 EIB262222:EIB262231 ERX262222:ERX262231 FBT262222:FBT262231 FLP262222:FLP262231 FVL262222:FVL262231 GFH262222:GFH262231 GPD262222:GPD262231 GYZ262222:GYZ262231 HIV262222:HIV262231 HSR262222:HSR262231 ICN262222:ICN262231 IMJ262222:IMJ262231 IWF262222:IWF262231 JGB262222:JGB262231 JPX262222:JPX262231 JZT262222:JZT262231 KJP262222:KJP262231 KTL262222:KTL262231 LDH262222:LDH262231 LND262222:LND262231 LWZ262222:LWZ262231 MGV262222:MGV262231 MQR262222:MQR262231 NAN262222:NAN262231 NKJ262222:NKJ262231 NUF262222:NUF262231 OEB262222:OEB262231 ONX262222:ONX262231 OXT262222:OXT262231 PHP262222:PHP262231 PRL262222:PRL262231 QBH262222:QBH262231 QLD262222:QLD262231 QUZ262222:QUZ262231 REV262222:REV262231 ROR262222:ROR262231 RYN262222:RYN262231 SIJ262222:SIJ262231 SSF262222:SSF262231 TCB262222:TCB262231 TLX262222:TLX262231 TVT262222:TVT262231 UFP262222:UFP262231 UPL262222:UPL262231 UZH262222:UZH262231 VJD262222:VJD262231 VSZ262222:VSZ262231 WCV262222:WCV262231 WMR262222:WMR262231 WWN262222:WWN262231 AF327758:AF327767 KB327758:KB327767 TX327758:TX327767 ADT327758:ADT327767 ANP327758:ANP327767 AXL327758:AXL327767 BHH327758:BHH327767 BRD327758:BRD327767 CAZ327758:CAZ327767 CKV327758:CKV327767 CUR327758:CUR327767 DEN327758:DEN327767 DOJ327758:DOJ327767 DYF327758:DYF327767 EIB327758:EIB327767 ERX327758:ERX327767 FBT327758:FBT327767 FLP327758:FLP327767 FVL327758:FVL327767 GFH327758:GFH327767 GPD327758:GPD327767 GYZ327758:GYZ327767 HIV327758:HIV327767 HSR327758:HSR327767 ICN327758:ICN327767 IMJ327758:IMJ327767 IWF327758:IWF327767 JGB327758:JGB327767 JPX327758:JPX327767 JZT327758:JZT327767 KJP327758:KJP327767 KTL327758:KTL327767 LDH327758:LDH327767 LND327758:LND327767 LWZ327758:LWZ327767 MGV327758:MGV327767 MQR327758:MQR327767 NAN327758:NAN327767 NKJ327758:NKJ327767 NUF327758:NUF327767 OEB327758:OEB327767 ONX327758:ONX327767 OXT327758:OXT327767 PHP327758:PHP327767 PRL327758:PRL327767 QBH327758:QBH327767 QLD327758:QLD327767 QUZ327758:QUZ327767 REV327758:REV327767 ROR327758:ROR327767 RYN327758:RYN327767 SIJ327758:SIJ327767 SSF327758:SSF327767 TCB327758:TCB327767 TLX327758:TLX327767 TVT327758:TVT327767 UFP327758:UFP327767 UPL327758:UPL327767 UZH327758:UZH327767 VJD327758:VJD327767 VSZ327758:VSZ327767 WCV327758:WCV327767 WMR327758:WMR327767 WWN327758:WWN327767 AF393294:AF393303 KB393294:KB393303 TX393294:TX393303 ADT393294:ADT393303 ANP393294:ANP393303 AXL393294:AXL393303 BHH393294:BHH393303 BRD393294:BRD393303 CAZ393294:CAZ393303 CKV393294:CKV393303 CUR393294:CUR393303 DEN393294:DEN393303 DOJ393294:DOJ393303 DYF393294:DYF393303 EIB393294:EIB393303 ERX393294:ERX393303 FBT393294:FBT393303 FLP393294:FLP393303 FVL393294:FVL393303 GFH393294:GFH393303 GPD393294:GPD393303 GYZ393294:GYZ393303 HIV393294:HIV393303 HSR393294:HSR393303 ICN393294:ICN393303 IMJ393294:IMJ393303 IWF393294:IWF393303 JGB393294:JGB393303 JPX393294:JPX393303 JZT393294:JZT393303 KJP393294:KJP393303 KTL393294:KTL393303 LDH393294:LDH393303 LND393294:LND393303 LWZ393294:LWZ393303 MGV393294:MGV393303 MQR393294:MQR393303 NAN393294:NAN393303 NKJ393294:NKJ393303 NUF393294:NUF393303 OEB393294:OEB393303 ONX393294:ONX393303 OXT393294:OXT393303 PHP393294:PHP393303 PRL393294:PRL393303 QBH393294:QBH393303 QLD393294:QLD393303 QUZ393294:QUZ393303 REV393294:REV393303 ROR393294:ROR393303 RYN393294:RYN393303 SIJ393294:SIJ393303 SSF393294:SSF393303 TCB393294:TCB393303 TLX393294:TLX393303 TVT393294:TVT393303 UFP393294:UFP393303 UPL393294:UPL393303 UZH393294:UZH393303 VJD393294:VJD393303 VSZ393294:VSZ393303 WCV393294:WCV393303 WMR393294:WMR393303 WWN393294:WWN393303 AF458830:AF458839 KB458830:KB458839 TX458830:TX458839 ADT458830:ADT458839 ANP458830:ANP458839 AXL458830:AXL458839 BHH458830:BHH458839 BRD458830:BRD458839 CAZ458830:CAZ458839 CKV458830:CKV458839 CUR458830:CUR458839 DEN458830:DEN458839 DOJ458830:DOJ458839 DYF458830:DYF458839 EIB458830:EIB458839 ERX458830:ERX458839 FBT458830:FBT458839 FLP458830:FLP458839 FVL458830:FVL458839 GFH458830:GFH458839 GPD458830:GPD458839 GYZ458830:GYZ458839 HIV458830:HIV458839 HSR458830:HSR458839 ICN458830:ICN458839 IMJ458830:IMJ458839 IWF458830:IWF458839 JGB458830:JGB458839 JPX458830:JPX458839 JZT458830:JZT458839 KJP458830:KJP458839 KTL458830:KTL458839 LDH458830:LDH458839 LND458830:LND458839 LWZ458830:LWZ458839 MGV458830:MGV458839 MQR458830:MQR458839 NAN458830:NAN458839 NKJ458830:NKJ458839 NUF458830:NUF458839 OEB458830:OEB458839 ONX458830:ONX458839 OXT458830:OXT458839 PHP458830:PHP458839 PRL458830:PRL458839 QBH458830:QBH458839 QLD458830:QLD458839 QUZ458830:QUZ458839 REV458830:REV458839 ROR458830:ROR458839 RYN458830:RYN458839 SIJ458830:SIJ458839 SSF458830:SSF458839 TCB458830:TCB458839 TLX458830:TLX458839 TVT458830:TVT458839 UFP458830:UFP458839 UPL458830:UPL458839 UZH458830:UZH458839 VJD458830:VJD458839 VSZ458830:VSZ458839 WCV458830:WCV458839 WMR458830:WMR458839 WWN458830:WWN458839 AF524366:AF524375 KB524366:KB524375 TX524366:TX524375 ADT524366:ADT524375 ANP524366:ANP524375 AXL524366:AXL524375 BHH524366:BHH524375 BRD524366:BRD524375 CAZ524366:CAZ524375 CKV524366:CKV524375 CUR524366:CUR524375 DEN524366:DEN524375 DOJ524366:DOJ524375 DYF524366:DYF524375 EIB524366:EIB524375 ERX524366:ERX524375 FBT524366:FBT524375 FLP524366:FLP524375 FVL524366:FVL524375 GFH524366:GFH524375 GPD524366:GPD524375 GYZ524366:GYZ524375 HIV524366:HIV524375 HSR524366:HSR524375 ICN524366:ICN524375 IMJ524366:IMJ524375 IWF524366:IWF524375 JGB524366:JGB524375 JPX524366:JPX524375 JZT524366:JZT524375 KJP524366:KJP524375 KTL524366:KTL524375 LDH524366:LDH524375 LND524366:LND524375 LWZ524366:LWZ524375 MGV524366:MGV524375 MQR524366:MQR524375 NAN524366:NAN524375 NKJ524366:NKJ524375 NUF524366:NUF524375 OEB524366:OEB524375 ONX524366:ONX524375 OXT524366:OXT524375 PHP524366:PHP524375 PRL524366:PRL524375 QBH524366:QBH524375 QLD524366:QLD524375 QUZ524366:QUZ524375 REV524366:REV524375 ROR524366:ROR524375 RYN524366:RYN524375 SIJ524366:SIJ524375 SSF524366:SSF524375 TCB524366:TCB524375 TLX524366:TLX524375 TVT524366:TVT524375 UFP524366:UFP524375 UPL524366:UPL524375 UZH524366:UZH524375 VJD524366:VJD524375 VSZ524366:VSZ524375 WCV524366:WCV524375 WMR524366:WMR524375 WWN524366:WWN524375 AF589902:AF589911 KB589902:KB589911 TX589902:TX589911 ADT589902:ADT589911 ANP589902:ANP589911 AXL589902:AXL589911 BHH589902:BHH589911 BRD589902:BRD589911 CAZ589902:CAZ589911 CKV589902:CKV589911 CUR589902:CUR589911 DEN589902:DEN589911 DOJ589902:DOJ589911 DYF589902:DYF589911 EIB589902:EIB589911 ERX589902:ERX589911 FBT589902:FBT589911 FLP589902:FLP589911 FVL589902:FVL589911 GFH589902:GFH589911 GPD589902:GPD589911 GYZ589902:GYZ589911 HIV589902:HIV589911 HSR589902:HSR589911 ICN589902:ICN589911 IMJ589902:IMJ589911 IWF589902:IWF589911 JGB589902:JGB589911 JPX589902:JPX589911 JZT589902:JZT589911 KJP589902:KJP589911 KTL589902:KTL589911 LDH589902:LDH589911 LND589902:LND589911 LWZ589902:LWZ589911 MGV589902:MGV589911 MQR589902:MQR589911 NAN589902:NAN589911 NKJ589902:NKJ589911 NUF589902:NUF589911 OEB589902:OEB589911 ONX589902:ONX589911 OXT589902:OXT589911 PHP589902:PHP589911 PRL589902:PRL589911 QBH589902:QBH589911 QLD589902:QLD589911 QUZ589902:QUZ589911 REV589902:REV589911 ROR589902:ROR589911 RYN589902:RYN589911 SIJ589902:SIJ589911 SSF589902:SSF589911 TCB589902:TCB589911 TLX589902:TLX589911 TVT589902:TVT589911 UFP589902:UFP589911 UPL589902:UPL589911 UZH589902:UZH589911 VJD589902:VJD589911 VSZ589902:VSZ589911 WCV589902:WCV589911 WMR589902:WMR589911 WWN589902:WWN589911 AF655438:AF655447 KB655438:KB655447 TX655438:TX655447 ADT655438:ADT655447 ANP655438:ANP655447 AXL655438:AXL655447 BHH655438:BHH655447 BRD655438:BRD655447 CAZ655438:CAZ655447 CKV655438:CKV655447 CUR655438:CUR655447 DEN655438:DEN655447 DOJ655438:DOJ655447 DYF655438:DYF655447 EIB655438:EIB655447 ERX655438:ERX655447 FBT655438:FBT655447 FLP655438:FLP655447 FVL655438:FVL655447 GFH655438:GFH655447 GPD655438:GPD655447 GYZ655438:GYZ655447 HIV655438:HIV655447 HSR655438:HSR655447 ICN655438:ICN655447 IMJ655438:IMJ655447 IWF655438:IWF655447 JGB655438:JGB655447 JPX655438:JPX655447 JZT655438:JZT655447 KJP655438:KJP655447 KTL655438:KTL655447 LDH655438:LDH655447 LND655438:LND655447 LWZ655438:LWZ655447 MGV655438:MGV655447 MQR655438:MQR655447 NAN655438:NAN655447 NKJ655438:NKJ655447 NUF655438:NUF655447 OEB655438:OEB655447 ONX655438:ONX655447 OXT655438:OXT655447 PHP655438:PHP655447 PRL655438:PRL655447 QBH655438:QBH655447 QLD655438:QLD655447 QUZ655438:QUZ655447 REV655438:REV655447 ROR655438:ROR655447 RYN655438:RYN655447 SIJ655438:SIJ655447 SSF655438:SSF655447 TCB655438:TCB655447 TLX655438:TLX655447 TVT655438:TVT655447 UFP655438:UFP655447 UPL655438:UPL655447 UZH655438:UZH655447 VJD655438:VJD655447 VSZ655438:VSZ655447 WCV655438:WCV655447 WMR655438:WMR655447 WWN655438:WWN655447 AF720974:AF720983 KB720974:KB720983 TX720974:TX720983 ADT720974:ADT720983 ANP720974:ANP720983 AXL720974:AXL720983 BHH720974:BHH720983 BRD720974:BRD720983 CAZ720974:CAZ720983 CKV720974:CKV720983 CUR720974:CUR720983 DEN720974:DEN720983 DOJ720974:DOJ720983 DYF720974:DYF720983 EIB720974:EIB720983 ERX720974:ERX720983 FBT720974:FBT720983 FLP720974:FLP720983 FVL720974:FVL720983 GFH720974:GFH720983 GPD720974:GPD720983 GYZ720974:GYZ720983 HIV720974:HIV720983 HSR720974:HSR720983 ICN720974:ICN720983 IMJ720974:IMJ720983 IWF720974:IWF720983 JGB720974:JGB720983 JPX720974:JPX720983 JZT720974:JZT720983 KJP720974:KJP720983 KTL720974:KTL720983 LDH720974:LDH720983 LND720974:LND720983 LWZ720974:LWZ720983 MGV720974:MGV720983 MQR720974:MQR720983 NAN720974:NAN720983 NKJ720974:NKJ720983 NUF720974:NUF720983 OEB720974:OEB720983 ONX720974:ONX720983 OXT720974:OXT720983 PHP720974:PHP720983 PRL720974:PRL720983 QBH720974:QBH720983 QLD720974:QLD720983 QUZ720974:QUZ720983 REV720974:REV720983 ROR720974:ROR720983 RYN720974:RYN720983 SIJ720974:SIJ720983 SSF720974:SSF720983 TCB720974:TCB720983 TLX720974:TLX720983 TVT720974:TVT720983 UFP720974:UFP720983 UPL720974:UPL720983 UZH720974:UZH720983 VJD720974:VJD720983 VSZ720974:VSZ720983 WCV720974:WCV720983 WMR720974:WMR720983 WWN720974:WWN720983 AF786510:AF786519 KB786510:KB786519 TX786510:TX786519 ADT786510:ADT786519 ANP786510:ANP786519 AXL786510:AXL786519 BHH786510:BHH786519 BRD786510:BRD786519 CAZ786510:CAZ786519 CKV786510:CKV786519 CUR786510:CUR786519 DEN786510:DEN786519 DOJ786510:DOJ786519 DYF786510:DYF786519 EIB786510:EIB786519 ERX786510:ERX786519 FBT786510:FBT786519 FLP786510:FLP786519 FVL786510:FVL786519 GFH786510:GFH786519 GPD786510:GPD786519 GYZ786510:GYZ786519 HIV786510:HIV786519 HSR786510:HSR786519 ICN786510:ICN786519 IMJ786510:IMJ786519 IWF786510:IWF786519 JGB786510:JGB786519 JPX786510:JPX786519 JZT786510:JZT786519 KJP786510:KJP786519 KTL786510:KTL786519 LDH786510:LDH786519 LND786510:LND786519 LWZ786510:LWZ786519 MGV786510:MGV786519 MQR786510:MQR786519 NAN786510:NAN786519 NKJ786510:NKJ786519 NUF786510:NUF786519 OEB786510:OEB786519 ONX786510:ONX786519 OXT786510:OXT786519 PHP786510:PHP786519 PRL786510:PRL786519 QBH786510:QBH786519 QLD786510:QLD786519 QUZ786510:QUZ786519 REV786510:REV786519 ROR786510:ROR786519 RYN786510:RYN786519 SIJ786510:SIJ786519 SSF786510:SSF786519 TCB786510:TCB786519 TLX786510:TLX786519 TVT786510:TVT786519 UFP786510:UFP786519 UPL786510:UPL786519 UZH786510:UZH786519 VJD786510:VJD786519 VSZ786510:VSZ786519 WCV786510:WCV786519 WMR786510:WMR786519 WWN786510:WWN786519 AF852046:AF852055 KB852046:KB852055 TX852046:TX852055 ADT852046:ADT852055 ANP852046:ANP852055 AXL852046:AXL852055 BHH852046:BHH852055 BRD852046:BRD852055 CAZ852046:CAZ852055 CKV852046:CKV852055 CUR852046:CUR852055 DEN852046:DEN852055 DOJ852046:DOJ852055 DYF852046:DYF852055 EIB852046:EIB852055 ERX852046:ERX852055 FBT852046:FBT852055 FLP852046:FLP852055 FVL852046:FVL852055 GFH852046:GFH852055 GPD852046:GPD852055 GYZ852046:GYZ852055 HIV852046:HIV852055 HSR852046:HSR852055 ICN852046:ICN852055 IMJ852046:IMJ852055 IWF852046:IWF852055 JGB852046:JGB852055 JPX852046:JPX852055 JZT852046:JZT852055 KJP852046:KJP852055 KTL852046:KTL852055 LDH852046:LDH852055 LND852046:LND852055 LWZ852046:LWZ852055 MGV852046:MGV852055 MQR852046:MQR852055 NAN852046:NAN852055 NKJ852046:NKJ852055 NUF852046:NUF852055 OEB852046:OEB852055 ONX852046:ONX852055 OXT852046:OXT852055 PHP852046:PHP852055 PRL852046:PRL852055 QBH852046:QBH852055 QLD852046:QLD852055 QUZ852046:QUZ852055 REV852046:REV852055 ROR852046:ROR852055 RYN852046:RYN852055 SIJ852046:SIJ852055 SSF852046:SSF852055 TCB852046:TCB852055 TLX852046:TLX852055 TVT852046:TVT852055 UFP852046:UFP852055 UPL852046:UPL852055 UZH852046:UZH852055 VJD852046:VJD852055 VSZ852046:VSZ852055 WCV852046:WCV852055 WMR852046:WMR852055 WWN852046:WWN852055 AF917582:AF917591 KB917582:KB917591 TX917582:TX917591 ADT917582:ADT917591 ANP917582:ANP917591 AXL917582:AXL917591 BHH917582:BHH917591 BRD917582:BRD917591 CAZ917582:CAZ917591 CKV917582:CKV917591 CUR917582:CUR917591 DEN917582:DEN917591 DOJ917582:DOJ917591 DYF917582:DYF917591 EIB917582:EIB917591 ERX917582:ERX917591 FBT917582:FBT917591 FLP917582:FLP917591 FVL917582:FVL917591 GFH917582:GFH917591 GPD917582:GPD917591 GYZ917582:GYZ917591 HIV917582:HIV917591 HSR917582:HSR917591 ICN917582:ICN917591 IMJ917582:IMJ917591 IWF917582:IWF917591 JGB917582:JGB917591 JPX917582:JPX917591 JZT917582:JZT917591 KJP917582:KJP917591 KTL917582:KTL917591 LDH917582:LDH917591 LND917582:LND917591 LWZ917582:LWZ917591 MGV917582:MGV917591 MQR917582:MQR917591 NAN917582:NAN917591 NKJ917582:NKJ917591 NUF917582:NUF917591 OEB917582:OEB917591 ONX917582:ONX917591 OXT917582:OXT917591 PHP917582:PHP917591 PRL917582:PRL917591 QBH917582:QBH917591 QLD917582:QLD917591 QUZ917582:QUZ917591 REV917582:REV917591 ROR917582:ROR917591 RYN917582:RYN917591 SIJ917582:SIJ917591 SSF917582:SSF917591 TCB917582:TCB917591 TLX917582:TLX917591 TVT917582:TVT917591 UFP917582:UFP917591 UPL917582:UPL917591 UZH917582:UZH917591 VJD917582:VJD917591 VSZ917582:VSZ917591 WCV917582:WCV917591 WMR917582:WMR917591 WWN917582:WWN917591 AF983118:AF983127 KB983118:KB983127 TX983118:TX983127 ADT983118:ADT983127 ANP983118:ANP983127 AXL983118:AXL983127 BHH983118:BHH983127 BRD983118:BRD983127 CAZ983118:CAZ983127 CKV983118:CKV983127 CUR983118:CUR983127 DEN983118:DEN983127 DOJ983118:DOJ983127 DYF983118:DYF983127 EIB983118:EIB983127 ERX983118:ERX983127 FBT983118:FBT983127 FLP983118:FLP983127 FVL983118:FVL983127 GFH983118:GFH983127 GPD983118:GPD983127 GYZ983118:GYZ983127 HIV983118:HIV983127 HSR983118:HSR983127 ICN983118:ICN983127 IMJ983118:IMJ983127 IWF983118:IWF983127 JGB983118:JGB983127 JPX983118:JPX983127 JZT983118:JZT983127 KJP983118:KJP983127 KTL983118:KTL983127 LDH983118:LDH983127 LND983118:LND983127 LWZ983118:LWZ983127 MGV983118:MGV983127 MQR983118:MQR983127 NAN983118:NAN983127 NKJ983118:NKJ983127 NUF983118:NUF983127 OEB983118:OEB983127 ONX983118:ONX983127 OXT983118:OXT983127 PHP983118:PHP983127 PRL983118:PRL983127 QBH983118:QBH983127 QLD983118:QLD983127 QUZ983118:QUZ983127 REV983118:REV983127 ROR983118:ROR983127 RYN983118:RYN983127 SIJ983118:SIJ983127 SSF983118:SSF983127 TCB983118:TCB983127 TLX983118:TLX983127 TVT983118:TVT983127 UFP983118:UFP983127 UPL983118:UPL983127 UZH983118:UZH983127 VJD983118:VJD983127 VSZ983118:VSZ983127 WCV983118:WCV983127 WMR983118:WMR983127 WWN983118:WWN983127 WWN983049:WWN983104 AF65545:AF65600 KB65545:KB65600 TX65545:TX65600 ADT65545:ADT65600 ANP65545:ANP65600 AXL65545:AXL65600 BHH65545:BHH65600 BRD65545:BRD65600 CAZ65545:CAZ65600 CKV65545:CKV65600 CUR65545:CUR65600 DEN65545:DEN65600 DOJ65545:DOJ65600 DYF65545:DYF65600 EIB65545:EIB65600 ERX65545:ERX65600 FBT65545:FBT65600 FLP65545:FLP65600 FVL65545:FVL65600 GFH65545:GFH65600 GPD65545:GPD65600 GYZ65545:GYZ65600 HIV65545:HIV65600 HSR65545:HSR65600 ICN65545:ICN65600 IMJ65545:IMJ65600 IWF65545:IWF65600 JGB65545:JGB65600 JPX65545:JPX65600 JZT65545:JZT65600 KJP65545:KJP65600 KTL65545:KTL65600 LDH65545:LDH65600 LND65545:LND65600 LWZ65545:LWZ65600 MGV65545:MGV65600 MQR65545:MQR65600 NAN65545:NAN65600 NKJ65545:NKJ65600 NUF65545:NUF65600 OEB65545:OEB65600 ONX65545:ONX65600 OXT65545:OXT65600 PHP65545:PHP65600 PRL65545:PRL65600 QBH65545:QBH65600 QLD65545:QLD65600 QUZ65545:QUZ65600 REV65545:REV65600 ROR65545:ROR65600 RYN65545:RYN65600 SIJ65545:SIJ65600 SSF65545:SSF65600 TCB65545:TCB65600 TLX65545:TLX65600 TVT65545:TVT65600 UFP65545:UFP65600 UPL65545:UPL65600 UZH65545:UZH65600 VJD65545:VJD65600 VSZ65545:VSZ65600 WCV65545:WCV65600 WMR65545:WMR65600 WWN65545:WWN65600 AF131081:AF131136 KB131081:KB131136 TX131081:TX131136 ADT131081:ADT131136 ANP131081:ANP131136 AXL131081:AXL131136 BHH131081:BHH131136 BRD131081:BRD131136 CAZ131081:CAZ131136 CKV131081:CKV131136 CUR131081:CUR131136 DEN131081:DEN131136 DOJ131081:DOJ131136 DYF131081:DYF131136 EIB131081:EIB131136 ERX131081:ERX131136 FBT131081:FBT131136 FLP131081:FLP131136 FVL131081:FVL131136 GFH131081:GFH131136 GPD131081:GPD131136 GYZ131081:GYZ131136 HIV131081:HIV131136 HSR131081:HSR131136 ICN131081:ICN131136 IMJ131081:IMJ131136 IWF131081:IWF131136 JGB131081:JGB131136 JPX131081:JPX131136 JZT131081:JZT131136 KJP131081:KJP131136 KTL131081:KTL131136 LDH131081:LDH131136 LND131081:LND131136 LWZ131081:LWZ131136 MGV131081:MGV131136 MQR131081:MQR131136 NAN131081:NAN131136 NKJ131081:NKJ131136 NUF131081:NUF131136 OEB131081:OEB131136 ONX131081:ONX131136 OXT131081:OXT131136 PHP131081:PHP131136 PRL131081:PRL131136 QBH131081:QBH131136 QLD131081:QLD131136 QUZ131081:QUZ131136 REV131081:REV131136 ROR131081:ROR131136 RYN131081:RYN131136 SIJ131081:SIJ131136 SSF131081:SSF131136 TCB131081:TCB131136 TLX131081:TLX131136 TVT131081:TVT131136 UFP131081:UFP131136 UPL131081:UPL131136 UZH131081:UZH131136 VJD131081:VJD131136 VSZ131081:VSZ131136 WCV131081:WCV131136 WMR131081:WMR131136 WWN131081:WWN131136 AF196617:AF196672 KB196617:KB196672 TX196617:TX196672 ADT196617:ADT196672 ANP196617:ANP196672 AXL196617:AXL196672 BHH196617:BHH196672 BRD196617:BRD196672 CAZ196617:CAZ196672 CKV196617:CKV196672 CUR196617:CUR196672 DEN196617:DEN196672 DOJ196617:DOJ196672 DYF196617:DYF196672 EIB196617:EIB196672 ERX196617:ERX196672 FBT196617:FBT196672 FLP196617:FLP196672 FVL196617:FVL196672 GFH196617:GFH196672 GPD196617:GPD196672 GYZ196617:GYZ196672 HIV196617:HIV196672 HSR196617:HSR196672 ICN196617:ICN196672 IMJ196617:IMJ196672 IWF196617:IWF196672 JGB196617:JGB196672 JPX196617:JPX196672 JZT196617:JZT196672 KJP196617:KJP196672 KTL196617:KTL196672 LDH196617:LDH196672 LND196617:LND196672 LWZ196617:LWZ196672 MGV196617:MGV196672 MQR196617:MQR196672 NAN196617:NAN196672 NKJ196617:NKJ196672 NUF196617:NUF196672 OEB196617:OEB196672 ONX196617:ONX196672 OXT196617:OXT196672 PHP196617:PHP196672 PRL196617:PRL196672 QBH196617:QBH196672 QLD196617:QLD196672 QUZ196617:QUZ196672 REV196617:REV196672 ROR196617:ROR196672 RYN196617:RYN196672 SIJ196617:SIJ196672 SSF196617:SSF196672 TCB196617:TCB196672 TLX196617:TLX196672 TVT196617:TVT196672 UFP196617:UFP196672 UPL196617:UPL196672 UZH196617:UZH196672 VJD196617:VJD196672 VSZ196617:VSZ196672 WCV196617:WCV196672 WMR196617:WMR196672 WWN196617:WWN196672 AF262153:AF262208 KB262153:KB262208 TX262153:TX262208 ADT262153:ADT262208 ANP262153:ANP262208 AXL262153:AXL262208 BHH262153:BHH262208 BRD262153:BRD262208 CAZ262153:CAZ262208 CKV262153:CKV262208 CUR262153:CUR262208 DEN262153:DEN262208 DOJ262153:DOJ262208 DYF262153:DYF262208 EIB262153:EIB262208 ERX262153:ERX262208 FBT262153:FBT262208 FLP262153:FLP262208 FVL262153:FVL262208 GFH262153:GFH262208 GPD262153:GPD262208 GYZ262153:GYZ262208 HIV262153:HIV262208 HSR262153:HSR262208 ICN262153:ICN262208 IMJ262153:IMJ262208 IWF262153:IWF262208 JGB262153:JGB262208 JPX262153:JPX262208 JZT262153:JZT262208 KJP262153:KJP262208 KTL262153:KTL262208 LDH262153:LDH262208 LND262153:LND262208 LWZ262153:LWZ262208 MGV262153:MGV262208 MQR262153:MQR262208 NAN262153:NAN262208 NKJ262153:NKJ262208 NUF262153:NUF262208 OEB262153:OEB262208 ONX262153:ONX262208 OXT262153:OXT262208 PHP262153:PHP262208 PRL262153:PRL262208 QBH262153:QBH262208 QLD262153:QLD262208 QUZ262153:QUZ262208 REV262153:REV262208 ROR262153:ROR262208 RYN262153:RYN262208 SIJ262153:SIJ262208 SSF262153:SSF262208 TCB262153:TCB262208 TLX262153:TLX262208 TVT262153:TVT262208 UFP262153:UFP262208 UPL262153:UPL262208 UZH262153:UZH262208 VJD262153:VJD262208 VSZ262153:VSZ262208 WCV262153:WCV262208 WMR262153:WMR262208 WWN262153:WWN262208 AF327689:AF327744 KB327689:KB327744 TX327689:TX327744 ADT327689:ADT327744 ANP327689:ANP327744 AXL327689:AXL327744 BHH327689:BHH327744 BRD327689:BRD327744 CAZ327689:CAZ327744 CKV327689:CKV327744 CUR327689:CUR327744 DEN327689:DEN327744 DOJ327689:DOJ327744 DYF327689:DYF327744 EIB327689:EIB327744 ERX327689:ERX327744 FBT327689:FBT327744 FLP327689:FLP327744 FVL327689:FVL327744 GFH327689:GFH327744 GPD327689:GPD327744 GYZ327689:GYZ327744 HIV327689:HIV327744 HSR327689:HSR327744 ICN327689:ICN327744 IMJ327689:IMJ327744 IWF327689:IWF327744 JGB327689:JGB327744 JPX327689:JPX327744 JZT327689:JZT327744 KJP327689:KJP327744 KTL327689:KTL327744 LDH327689:LDH327744 LND327689:LND327744 LWZ327689:LWZ327744 MGV327689:MGV327744 MQR327689:MQR327744 NAN327689:NAN327744 NKJ327689:NKJ327744 NUF327689:NUF327744 OEB327689:OEB327744 ONX327689:ONX327744 OXT327689:OXT327744 PHP327689:PHP327744 PRL327689:PRL327744 QBH327689:QBH327744 QLD327689:QLD327744 QUZ327689:QUZ327744 REV327689:REV327744 ROR327689:ROR327744 RYN327689:RYN327744 SIJ327689:SIJ327744 SSF327689:SSF327744 TCB327689:TCB327744 TLX327689:TLX327744 TVT327689:TVT327744 UFP327689:UFP327744 UPL327689:UPL327744 UZH327689:UZH327744 VJD327689:VJD327744 VSZ327689:VSZ327744 WCV327689:WCV327744 WMR327689:WMR327744 WWN327689:WWN327744 AF393225:AF393280 KB393225:KB393280 TX393225:TX393280 ADT393225:ADT393280 ANP393225:ANP393280 AXL393225:AXL393280 BHH393225:BHH393280 BRD393225:BRD393280 CAZ393225:CAZ393280 CKV393225:CKV393280 CUR393225:CUR393280 DEN393225:DEN393280 DOJ393225:DOJ393280 DYF393225:DYF393280 EIB393225:EIB393280 ERX393225:ERX393280 FBT393225:FBT393280 FLP393225:FLP393280 FVL393225:FVL393280 GFH393225:GFH393280 GPD393225:GPD393280 GYZ393225:GYZ393280 HIV393225:HIV393280 HSR393225:HSR393280 ICN393225:ICN393280 IMJ393225:IMJ393280 IWF393225:IWF393280 JGB393225:JGB393280 JPX393225:JPX393280 JZT393225:JZT393280 KJP393225:KJP393280 KTL393225:KTL393280 LDH393225:LDH393280 LND393225:LND393280 LWZ393225:LWZ393280 MGV393225:MGV393280 MQR393225:MQR393280 NAN393225:NAN393280 NKJ393225:NKJ393280 NUF393225:NUF393280 OEB393225:OEB393280 ONX393225:ONX393280 OXT393225:OXT393280 PHP393225:PHP393280 PRL393225:PRL393280 QBH393225:QBH393280 QLD393225:QLD393280 QUZ393225:QUZ393280 REV393225:REV393280 ROR393225:ROR393280 RYN393225:RYN393280 SIJ393225:SIJ393280 SSF393225:SSF393280 TCB393225:TCB393280 TLX393225:TLX393280 TVT393225:TVT393280 UFP393225:UFP393280 UPL393225:UPL393280 UZH393225:UZH393280 VJD393225:VJD393280 VSZ393225:VSZ393280 WCV393225:WCV393280 WMR393225:WMR393280 WWN393225:WWN393280 AF458761:AF458816 KB458761:KB458816 TX458761:TX458816 ADT458761:ADT458816 ANP458761:ANP458816 AXL458761:AXL458816 BHH458761:BHH458816 BRD458761:BRD458816 CAZ458761:CAZ458816 CKV458761:CKV458816 CUR458761:CUR458816 DEN458761:DEN458816 DOJ458761:DOJ458816 DYF458761:DYF458816 EIB458761:EIB458816 ERX458761:ERX458816 FBT458761:FBT458816 FLP458761:FLP458816 FVL458761:FVL458816 GFH458761:GFH458816 GPD458761:GPD458816 GYZ458761:GYZ458816 HIV458761:HIV458816 HSR458761:HSR458816 ICN458761:ICN458816 IMJ458761:IMJ458816 IWF458761:IWF458816 JGB458761:JGB458816 JPX458761:JPX458816 JZT458761:JZT458816 KJP458761:KJP458816 KTL458761:KTL458816 LDH458761:LDH458816 LND458761:LND458816 LWZ458761:LWZ458816 MGV458761:MGV458816 MQR458761:MQR458816 NAN458761:NAN458816 NKJ458761:NKJ458816 NUF458761:NUF458816 OEB458761:OEB458816 ONX458761:ONX458816 OXT458761:OXT458816 PHP458761:PHP458816 PRL458761:PRL458816 QBH458761:QBH458816 QLD458761:QLD458816 QUZ458761:QUZ458816 REV458761:REV458816 ROR458761:ROR458816 RYN458761:RYN458816 SIJ458761:SIJ458816 SSF458761:SSF458816 TCB458761:TCB458816 TLX458761:TLX458816 TVT458761:TVT458816 UFP458761:UFP458816 UPL458761:UPL458816 UZH458761:UZH458816 VJD458761:VJD458816 VSZ458761:VSZ458816 WCV458761:WCV458816 WMR458761:WMR458816 WWN458761:WWN458816 AF524297:AF524352 KB524297:KB524352 TX524297:TX524352 ADT524297:ADT524352 ANP524297:ANP524352 AXL524297:AXL524352 BHH524297:BHH524352 BRD524297:BRD524352 CAZ524297:CAZ524352 CKV524297:CKV524352 CUR524297:CUR524352 DEN524297:DEN524352 DOJ524297:DOJ524352 DYF524297:DYF524352 EIB524297:EIB524352 ERX524297:ERX524352 FBT524297:FBT524352 FLP524297:FLP524352 FVL524297:FVL524352 GFH524297:GFH524352 GPD524297:GPD524352 GYZ524297:GYZ524352 HIV524297:HIV524352 HSR524297:HSR524352 ICN524297:ICN524352 IMJ524297:IMJ524352 IWF524297:IWF524352 JGB524297:JGB524352 JPX524297:JPX524352 JZT524297:JZT524352 KJP524297:KJP524352 KTL524297:KTL524352 LDH524297:LDH524352 LND524297:LND524352 LWZ524297:LWZ524352 MGV524297:MGV524352 MQR524297:MQR524352 NAN524297:NAN524352 NKJ524297:NKJ524352 NUF524297:NUF524352 OEB524297:OEB524352 ONX524297:ONX524352 OXT524297:OXT524352 PHP524297:PHP524352 PRL524297:PRL524352 QBH524297:QBH524352 QLD524297:QLD524352 QUZ524297:QUZ524352 REV524297:REV524352 ROR524297:ROR524352 RYN524297:RYN524352 SIJ524297:SIJ524352 SSF524297:SSF524352 TCB524297:TCB524352 TLX524297:TLX524352 TVT524297:TVT524352 UFP524297:UFP524352 UPL524297:UPL524352 UZH524297:UZH524352 VJD524297:VJD524352 VSZ524297:VSZ524352 WCV524297:WCV524352 WMR524297:WMR524352 WWN524297:WWN524352 AF589833:AF589888 KB589833:KB589888 TX589833:TX589888 ADT589833:ADT589888 ANP589833:ANP589888 AXL589833:AXL589888 BHH589833:BHH589888 BRD589833:BRD589888 CAZ589833:CAZ589888 CKV589833:CKV589888 CUR589833:CUR589888 DEN589833:DEN589888 DOJ589833:DOJ589888 DYF589833:DYF589888 EIB589833:EIB589888 ERX589833:ERX589888 FBT589833:FBT589888 FLP589833:FLP589888 FVL589833:FVL589888 GFH589833:GFH589888 GPD589833:GPD589888 GYZ589833:GYZ589888 HIV589833:HIV589888 HSR589833:HSR589888 ICN589833:ICN589888 IMJ589833:IMJ589888 IWF589833:IWF589888 JGB589833:JGB589888 JPX589833:JPX589888 JZT589833:JZT589888 KJP589833:KJP589888 KTL589833:KTL589888 LDH589833:LDH589888 LND589833:LND589888 LWZ589833:LWZ589888 MGV589833:MGV589888 MQR589833:MQR589888 NAN589833:NAN589888 NKJ589833:NKJ589888 NUF589833:NUF589888 OEB589833:OEB589888 ONX589833:ONX589888 OXT589833:OXT589888 PHP589833:PHP589888 PRL589833:PRL589888 QBH589833:QBH589888 QLD589833:QLD589888 QUZ589833:QUZ589888 REV589833:REV589888 ROR589833:ROR589888 RYN589833:RYN589888 SIJ589833:SIJ589888 SSF589833:SSF589888 TCB589833:TCB589888 TLX589833:TLX589888 TVT589833:TVT589888 UFP589833:UFP589888 UPL589833:UPL589888 UZH589833:UZH589888 VJD589833:VJD589888 VSZ589833:VSZ589888 WCV589833:WCV589888 WMR589833:WMR589888 WWN589833:WWN589888 AF655369:AF655424 KB655369:KB655424 TX655369:TX655424 ADT655369:ADT655424 ANP655369:ANP655424 AXL655369:AXL655424 BHH655369:BHH655424 BRD655369:BRD655424 CAZ655369:CAZ655424 CKV655369:CKV655424 CUR655369:CUR655424 DEN655369:DEN655424 DOJ655369:DOJ655424 DYF655369:DYF655424 EIB655369:EIB655424 ERX655369:ERX655424 FBT655369:FBT655424 FLP655369:FLP655424 FVL655369:FVL655424 GFH655369:GFH655424 GPD655369:GPD655424 GYZ655369:GYZ655424 HIV655369:HIV655424 HSR655369:HSR655424 ICN655369:ICN655424 IMJ655369:IMJ655424 IWF655369:IWF655424 JGB655369:JGB655424 JPX655369:JPX655424 JZT655369:JZT655424 KJP655369:KJP655424 KTL655369:KTL655424 LDH655369:LDH655424 LND655369:LND655424 LWZ655369:LWZ655424 MGV655369:MGV655424 MQR655369:MQR655424 NAN655369:NAN655424 NKJ655369:NKJ655424 NUF655369:NUF655424 OEB655369:OEB655424 ONX655369:ONX655424 OXT655369:OXT655424 PHP655369:PHP655424 PRL655369:PRL655424 QBH655369:QBH655424 QLD655369:QLD655424 QUZ655369:QUZ655424 REV655369:REV655424 ROR655369:ROR655424 RYN655369:RYN655424 SIJ655369:SIJ655424 SSF655369:SSF655424 TCB655369:TCB655424 TLX655369:TLX655424 TVT655369:TVT655424 UFP655369:UFP655424 UPL655369:UPL655424 UZH655369:UZH655424 VJD655369:VJD655424 VSZ655369:VSZ655424 WCV655369:WCV655424 WMR655369:WMR655424 WWN655369:WWN655424 AF720905:AF720960 KB720905:KB720960 TX720905:TX720960 ADT720905:ADT720960 ANP720905:ANP720960 AXL720905:AXL720960 BHH720905:BHH720960 BRD720905:BRD720960 CAZ720905:CAZ720960 CKV720905:CKV720960 CUR720905:CUR720960 DEN720905:DEN720960 DOJ720905:DOJ720960 DYF720905:DYF720960 EIB720905:EIB720960 ERX720905:ERX720960 FBT720905:FBT720960 FLP720905:FLP720960 FVL720905:FVL720960 GFH720905:GFH720960 GPD720905:GPD720960 GYZ720905:GYZ720960 HIV720905:HIV720960 HSR720905:HSR720960 ICN720905:ICN720960 IMJ720905:IMJ720960 IWF720905:IWF720960 JGB720905:JGB720960 JPX720905:JPX720960 JZT720905:JZT720960 KJP720905:KJP720960 KTL720905:KTL720960 LDH720905:LDH720960 LND720905:LND720960 LWZ720905:LWZ720960 MGV720905:MGV720960 MQR720905:MQR720960 NAN720905:NAN720960 NKJ720905:NKJ720960 NUF720905:NUF720960 OEB720905:OEB720960 ONX720905:ONX720960 OXT720905:OXT720960 PHP720905:PHP720960 PRL720905:PRL720960 QBH720905:QBH720960 QLD720905:QLD720960 QUZ720905:QUZ720960 REV720905:REV720960 ROR720905:ROR720960 RYN720905:RYN720960 SIJ720905:SIJ720960 SSF720905:SSF720960 TCB720905:TCB720960 TLX720905:TLX720960 TVT720905:TVT720960 UFP720905:UFP720960 UPL720905:UPL720960 UZH720905:UZH720960 VJD720905:VJD720960 VSZ720905:VSZ720960 WCV720905:WCV720960 WMR720905:WMR720960 WWN720905:WWN720960 AF786441:AF786496 KB786441:KB786496 TX786441:TX786496 ADT786441:ADT786496 ANP786441:ANP786496 AXL786441:AXL786496 BHH786441:BHH786496 BRD786441:BRD786496 CAZ786441:CAZ786496 CKV786441:CKV786496 CUR786441:CUR786496 DEN786441:DEN786496 DOJ786441:DOJ786496 DYF786441:DYF786496 EIB786441:EIB786496 ERX786441:ERX786496 FBT786441:FBT786496 FLP786441:FLP786496 FVL786441:FVL786496 GFH786441:GFH786496 GPD786441:GPD786496 GYZ786441:GYZ786496 HIV786441:HIV786496 HSR786441:HSR786496 ICN786441:ICN786496 IMJ786441:IMJ786496 IWF786441:IWF786496 JGB786441:JGB786496 JPX786441:JPX786496 JZT786441:JZT786496 KJP786441:KJP786496 KTL786441:KTL786496 LDH786441:LDH786496 LND786441:LND786496 LWZ786441:LWZ786496 MGV786441:MGV786496 MQR786441:MQR786496 NAN786441:NAN786496 NKJ786441:NKJ786496 NUF786441:NUF786496 OEB786441:OEB786496 ONX786441:ONX786496 OXT786441:OXT786496 PHP786441:PHP786496 PRL786441:PRL786496 QBH786441:QBH786496 QLD786441:QLD786496 QUZ786441:QUZ786496 REV786441:REV786496 ROR786441:ROR786496 RYN786441:RYN786496 SIJ786441:SIJ786496 SSF786441:SSF786496 TCB786441:TCB786496 TLX786441:TLX786496 TVT786441:TVT786496 UFP786441:UFP786496 UPL786441:UPL786496 UZH786441:UZH786496 VJD786441:VJD786496 VSZ786441:VSZ786496 WCV786441:WCV786496 WMR786441:WMR786496 WWN786441:WWN786496 AF851977:AF852032 KB851977:KB852032 TX851977:TX852032 ADT851977:ADT852032 ANP851977:ANP852032 AXL851977:AXL852032 BHH851977:BHH852032 BRD851977:BRD852032 CAZ851977:CAZ852032 CKV851977:CKV852032 CUR851977:CUR852032 DEN851977:DEN852032 DOJ851977:DOJ852032 DYF851977:DYF852032 EIB851977:EIB852032 ERX851977:ERX852032 FBT851977:FBT852032 FLP851977:FLP852032 FVL851977:FVL852032 GFH851977:GFH852032 GPD851977:GPD852032 GYZ851977:GYZ852032 HIV851977:HIV852032 HSR851977:HSR852032 ICN851977:ICN852032 IMJ851977:IMJ852032 IWF851977:IWF852032 JGB851977:JGB852032 JPX851977:JPX852032 JZT851977:JZT852032 KJP851977:KJP852032 KTL851977:KTL852032 LDH851977:LDH852032 LND851977:LND852032 LWZ851977:LWZ852032 MGV851977:MGV852032 MQR851977:MQR852032 NAN851977:NAN852032 NKJ851977:NKJ852032 NUF851977:NUF852032 OEB851977:OEB852032 ONX851977:ONX852032 OXT851977:OXT852032 PHP851977:PHP852032 PRL851977:PRL852032 QBH851977:QBH852032 QLD851977:QLD852032 QUZ851977:QUZ852032 REV851977:REV852032 ROR851977:ROR852032 RYN851977:RYN852032 SIJ851977:SIJ852032 SSF851977:SSF852032 TCB851977:TCB852032 TLX851977:TLX852032 TVT851977:TVT852032 UFP851977:UFP852032 UPL851977:UPL852032 UZH851977:UZH852032 VJD851977:VJD852032 VSZ851977:VSZ852032 WCV851977:WCV852032 WMR851977:WMR852032 WWN851977:WWN852032 AF917513:AF917568 KB917513:KB917568 TX917513:TX917568 ADT917513:ADT917568 ANP917513:ANP917568 AXL917513:AXL917568 BHH917513:BHH917568 BRD917513:BRD917568 CAZ917513:CAZ917568 CKV917513:CKV917568 CUR917513:CUR917568 DEN917513:DEN917568 DOJ917513:DOJ917568 DYF917513:DYF917568 EIB917513:EIB917568 ERX917513:ERX917568 FBT917513:FBT917568 FLP917513:FLP917568 FVL917513:FVL917568 GFH917513:GFH917568 GPD917513:GPD917568 GYZ917513:GYZ917568 HIV917513:HIV917568 HSR917513:HSR917568 ICN917513:ICN917568 IMJ917513:IMJ917568 IWF917513:IWF917568 JGB917513:JGB917568 JPX917513:JPX917568 JZT917513:JZT917568 KJP917513:KJP917568 KTL917513:KTL917568 LDH917513:LDH917568 LND917513:LND917568 LWZ917513:LWZ917568 MGV917513:MGV917568 MQR917513:MQR917568 NAN917513:NAN917568 NKJ917513:NKJ917568 NUF917513:NUF917568 OEB917513:OEB917568 ONX917513:ONX917568 OXT917513:OXT917568 PHP917513:PHP917568 PRL917513:PRL917568 QBH917513:QBH917568 QLD917513:QLD917568 QUZ917513:QUZ917568 REV917513:REV917568 ROR917513:ROR917568 RYN917513:RYN917568 SIJ917513:SIJ917568 SSF917513:SSF917568 TCB917513:TCB917568 TLX917513:TLX917568 TVT917513:TVT917568 UFP917513:UFP917568 UPL917513:UPL917568 UZH917513:UZH917568 VJD917513:VJD917568 VSZ917513:VSZ917568 WCV917513:WCV917568 WMR917513:WMR917568 WWN917513:WWN917568 AF983049:AF983104 KB983049:KB983104 TX983049:TX983104 ADT983049:ADT983104 ANP983049:ANP983104 AXL983049:AXL983104 BHH983049:BHH983104 BRD983049:BRD983104 CAZ983049:CAZ983104 CKV983049:CKV983104 CUR983049:CUR983104 DEN983049:DEN983104 DOJ983049:DOJ983104 DYF983049:DYF983104 EIB983049:EIB983104 ERX983049:ERX983104 FBT983049:FBT983104 FLP983049:FLP983104 FVL983049:FVL983104 GFH983049:GFH983104 GPD983049:GPD983104 GYZ983049:GYZ983104 HIV983049:HIV983104 HSR983049:HSR983104 ICN983049:ICN983104 IMJ983049:IMJ983104 IWF983049:IWF983104 JGB983049:JGB983104 JPX983049:JPX983104 JZT983049:JZT983104 KJP983049:KJP983104 KTL983049:KTL983104 LDH983049:LDH983104 LND983049:LND983104 LWZ983049:LWZ983104 MGV983049:MGV983104 MQR983049:MQR983104 NAN983049:NAN983104 NKJ983049:NKJ983104 NUF983049:NUF983104 OEB983049:OEB983104 ONX983049:ONX983104 OXT983049:OXT983104 PHP983049:PHP983104 PRL983049:PRL983104 QBH983049:QBH983104 QLD983049:QLD983104 QUZ983049:QUZ983104 REV983049:REV983104 ROR983049:ROR983104 RYN983049:RYN983104 SIJ983049:SIJ983104 SSF983049:SSF983104 TCB983049:TCB983104 TLX983049:TLX983104 TVT983049:TVT983104 UFP983049:UFP983104 UPL983049:UPL983104 UZH983049:UZH983104 VJD983049:VJD983104 VSZ983049:VSZ983104 WCV983049:WCV983104 WMR983049:WMR983104 KB94:KB98 TX94:TX98 ADT94:ADT98 ANP94:ANP98 AXL94:AXL98 BHH94:BHH98 BRD94:BRD98 CAZ94:CAZ98 CKV94:CKV98 CUR94:CUR98 DEN94:DEN98 DOJ94:DOJ98 DYF94:DYF98 EIB94:EIB98 ERX94:ERX98 FBT94:FBT98 FLP94:FLP98 FVL94:FVL98 GFH94:GFH98 GPD94:GPD98 GYZ94:GYZ98 HIV94:HIV98 HSR94:HSR98 ICN94:ICN98 IMJ94:IMJ98 IWF94:IWF98 JGB94:JGB98 JPX94:JPX98 JZT94:JZT98 KJP94:KJP98 KTL94:KTL98 LDH94:LDH98 LND94:LND98 LWZ94:LWZ98 MGV94:MGV98 MQR94:MQR98 NAN94:NAN98 NKJ94:NKJ98 NUF94:NUF98 OEB94:OEB98 ONX94:ONX98 OXT94:OXT98 PHP94:PHP98 PRL94:PRL98 QBH94:QBH98 QLD94:QLD98 QUZ94:QUZ98 REV94:REV98 ROR94:ROR98 RYN94:RYN98 SIJ94:SIJ98 SSF94:SSF98 TCB94:TCB98 TLX94:TLX98 TVT94:TVT98 UFP94:UFP98 UPL94:UPL98 UZH94:UZH98 VJD94:VJD98 VSZ94:VSZ98 WCV94:WCV98 WMR94:WMR98 WWN94:WWN98 AF94:AF98 AF170:AF173</xm:sqref>
        </x14:dataValidation>
        <x14:dataValidation type="list" allowBlank="1" showInputMessage="1" showErrorMessage="1">
          <x14:formula1>
            <xm:f>$D$210:$D$214</xm:f>
          </x14:formula1>
          <xm:sqref>AH66:AH74 AH76:AH87 TZ5:TZ62 ADV5:ADV62 ANR5:ANR62 AXN5:AXN62 BHJ5:BHJ62 BRF5:BRF62 CBB5:CBB62 CKX5:CKX62 CUT5:CUT62 DEP5:DEP62 DOL5:DOL62 DYH5:DYH62 EID5:EID62 ERZ5:ERZ62 FBV5:FBV62 FLR5:FLR62 FVN5:FVN62 GFJ5:GFJ62 GPF5:GPF62 GZB5:GZB62 HIX5:HIX62 HST5:HST62 ICP5:ICP62 IML5:IML62 IWH5:IWH62 JGD5:JGD62 JPZ5:JPZ62 JZV5:JZV62 KJR5:KJR62 KTN5:KTN62 LDJ5:LDJ62 LNF5:LNF62 LXB5:LXB62 MGX5:MGX62 MQT5:MQT62 NAP5:NAP62 NKL5:NKL62 NUH5:NUH62 OED5:OED62 ONZ5:ONZ62 OXV5:OXV62 PHR5:PHR62 PRN5:PRN62 QBJ5:QBJ62 QLF5:QLF62 QVB5:QVB62 REX5:REX62 ROT5:ROT62 RYP5:RYP62 SIL5:SIL62 SSH5:SSH62 TCD5:TCD62 TLZ5:TLZ62 TVV5:TVV62 UFR5:UFR62 UPN5:UPN62 UZJ5:UZJ62 VJF5:VJF62 VTB5:VTB62 WCX5:WCX62 WMT5:WMT62 WWP5:WWP62 KD5:KD62 ADV66:ADV74 ANR66:ANR74 AXN66:AXN74 BHJ66:BHJ74 BRF66:BRF74 CBB66:CBB74 CKX66:CKX74 CUT66:CUT74 DEP66:DEP74 DOL66:DOL74 DYH66:DYH74 EID66:EID74 ERZ66:ERZ74 FBV66:FBV74 FLR66:FLR74 FVN66:FVN74 GFJ66:GFJ74 GPF66:GPF74 GZB66:GZB74 HIX66:HIX74 HST66:HST74 ICP66:ICP74 IML66:IML74 IWH66:IWH74 JGD66:JGD74 JPZ66:JPZ74 JZV66:JZV74 KJR66:KJR74 KTN66:KTN74 LDJ66:LDJ74 LNF66:LNF74 LXB66:LXB74 MGX66:MGX74 MQT66:MQT74 NAP66:NAP74 NKL66:NKL74 NUH66:NUH74 OED66:OED74 ONZ66:ONZ74 OXV66:OXV74 PHR66:PHR74 PRN66:PRN74 QBJ66:QBJ74 QLF66:QLF74 QVB66:QVB74 REX66:REX74 ROT66:ROT74 RYP66:RYP74 SIL66:SIL74 SSH66:SSH74 TCD66:TCD74 TLZ66:TLZ74 TVV66:TVV74 UFR66:UFR74 UPN66:UPN74 UZJ66:UZJ74 VJF66:VJF74 VTB66:VTB74 WCX66:WCX74 WMT66:WMT74 WWP66:WWP74 AH65604:AH65612 KD65604:KD65612 TZ65604:TZ65612 ADV65604:ADV65612 ANR65604:ANR65612 AXN65604:AXN65612 BHJ65604:BHJ65612 BRF65604:BRF65612 CBB65604:CBB65612 CKX65604:CKX65612 CUT65604:CUT65612 DEP65604:DEP65612 DOL65604:DOL65612 DYH65604:DYH65612 EID65604:EID65612 ERZ65604:ERZ65612 FBV65604:FBV65612 FLR65604:FLR65612 FVN65604:FVN65612 GFJ65604:GFJ65612 GPF65604:GPF65612 GZB65604:GZB65612 HIX65604:HIX65612 HST65604:HST65612 ICP65604:ICP65612 IML65604:IML65612 IWH65604:IWH65612 JGD65604:JGD65612 JPZ65604:JPZ65612 JZV65604:JZV65612 KJR65604:KJR65612 KTN65604:KTN65612 LDJ65604:LDJ65612 LNF65604:LNF65612 LXB65604:LXB65612 MGX65604:MGX65612 MQT65604:MQT65612 NAP65604:NAP65612 NKL65604:NKL65612 NUH65604:NUH65612 OED65604:OED65612 ONZ65604:ONZ65612 OXV65604:OXV65612 PHR65604:PHR65612 PRN65604:PRN65612 QBJ65604:QBJ65612 QLF65604:QLF65612 QVB65604:QVB65612 REX65604:REX65612 ROT65604:ROT65612 RYP65604:RYP65612 SIL65604:SIL65612 SSH65604:SSH65612 TCD65604:TCD65612 TLZ65604:TLZ65612 TVV65604:TVV65612 UFR65604:UFR65612 UPN65604:UPN65612 UZJ65604:UZJ65612 VJF65604:VJF65612 VTB65604:VTB65612 WCX65604:WCX65612 WMT65604:WMT65612 WWP65604:WWP65612 AH131140:AH131148 KD131140:KD131148 TZ131140:TZ131148 ADV131140:ADV131148 ANR131140:ANR131148 AXN131140:AXN131148 BHJ131140:BHJ131148 BRF131140:BRF131148 CBB131140:CBB131148 CKX131140:CKX131148 CUT131140:CUT131148 DEP131140:DEP131148 DOL131140:DOL131148 DYH131140:DYH131148 EID131140:EID131148 ERZ131140:ERZ131148 FBV131140:FBV131148 FLR131140:FLR131148 FVN131140:FVN131148 GFJ131140:GFJ131148 GPF131140:GPF131148 GZB131140:GZB131148 HIX131140:HIX131148 HST131140:HST131148 ICP131140:ICP131148 IML131140:IML131148 IWH131140:IWH131148 JGD131140:JGD131148 JPZ131140:JPZ131148 JZV131140:JZV131148 KJR131140:KJR131148 KTN131140:KTN131148 LDJ131140:LDJ131148 LNF131140:LNF131148 LXB131140:LXB131148 MGX131140:MGX131148 MQT131140:MQT131148 NAP131140:NAP131148 NKL131140:NKL131148 NUH131140:NUH131148 OED131140:OED131148 ONZ131140:ONZ131148 OXV131140:OXV131148 PHR131140:PHR131148 PRN131140:PRN131148 QBJ131140:QBJ131148 QLF131140:QLF131148 QVB131140:QVB131148 REX131140:REX131148 ROT131140:ROT131148 RYP131140:RYP131148 SIL131140:SIL131148 SSH131140:SSH131148 TCD131140:TCD131148 TLZ131140:TLZ131148 TVV131140:TVV131148 UFR131140:UFR131148 UPN131140:UPN131148 UZJ131140:UZJ131148 VJF131140:VJF131148 VTB131140:VTB131148 WCX131140:WCX131148 WMT131140:WMT131148 WWP131140:WWP131148 AH196676:AH196684 KD196676:KD196684 TZ196676:TZ196684 ADV196676:ADV196684 ANR196676:ANR196684 AXN196676:AXN196684 BHJ196676:BHJ196684 BRF196676:BRF196684 CBB196676:CBB196684 CKX196676:CKX196684 CUT196676:CUT196684 DEP196676:DEP196684 DOL196676:DOL196684 DYH196676:DYH196684 EID196676:EID196684 ERZ196676:ERZ196684 FBV196676:FBV196684 FLR196676:FLR196684 FVN196676:FVN196684 GFJ196676:GFJ196684 GPF196676:GPF196684 GZB196676:GZB196684 HIX196676:HIX196684 HST196676:HST196684 ICP196676:ICP196684 IML196676:IML196684 IWH196676:IWH196684 JGD196676:JGD196684 JPZ196676:JPZ196684 JZV196676:JZV196684 KJR196676:KJR196684 KTN196676:KTN196684 LDJ196676:LDJ196684 LNF196676:LNF196684 LXB196676:LXB196684 MGX196676:MGX196684 MQT196676:MQT196684 NAP196676:NAP196684 NKL196676:NKL196684 NUH196676:NUH196684 OED196676:OED196684 ONZ196676:ONZ196684 OXV196676:OXV196684 PHR196676:PHR196684 PRN196676:PRN196684 QBJ196676:QBJ196684 QLF196676:QLF196684 QVB196676:QVB196684 REX196676:REX196684 ROT196676:ROT196684 RYP196676:RYP196684 SIL196676:SIL196684 SSH196676:SSH196684 TCD196676:TCD196684 TLZ196676:TLZ196684 TVV196676:TVV196684 UFR196676:UFR196684 UPN196676:UPN196684 UZJ196676:UZJ196684 VJF196676:VJF196684 VTB196676:VTB196684 WCX196676:WCX196684 WMT196676:WMT196684 WWP196676:WWP196684 AH262212:AH262220 KD262212:KD262220 TZ262212:TZ262220 ADV262212:ADV262220 ANR262212:ANR262220 AXN262212:AXN262220 BHJ262212:BHJ262220 BRF262212:BRF262220 CBB262212:CBB262220 CKX262212:CKX262220 CUT262212:CUT262220 DEP262212:DEP262220 DOL262212:DOL262220 DYH262212:DYH262220 EID262212:EID262220 ERZ262212:ERZ262220 FBV262212:FBV262220 FLR262212:FLR262220 FVN262212:FVN262220 GFJ262212:GFJ262220 GPF262212:GPF262220 GZB262212:GZB262220 HIX262212:HIX262220 HST262212:HST262220 ICP262212:ICP262220 IML262212:IML262220 IWH262212:IWH262220 JGD262212:JGD262220 JPZ262212:JPZ262220 JZV262212:JZV262220 KJR262212:KJR262220 KTN262212:KTN262220 LDJ262212:LDJ262220 LNF262212:LNF262220 LXB262212:LXB262220 MGX262212:MGX262220 MQT262212:MQT262220 NAP262212:NAP262220 NKL262212:NKL262220 NUH262212:NUH262220 OED262212:OED262220 ONZ262212:ONZ262220 OXV262212:OXV262220 PHR262212:PHR262220 PRN262212:PRN262220 QBJ262212:QBJ262220 QLF262212:QLF262220 QVB262212:QVB262220 REX262212:REX262220 ROT262212:ROT262220 RYP262212:RYP262220 SIL262212:SIL262220 SSH262212:SSH262220 TCD262212:TCD262220 TLZ262212:TLZ262220 TVV262212:TVV262220 UFR262212:UFR262220 UPN262212:UPN262220 UZJ262212:UZJ262220 VJF262212:VJF262220 VTB262212:VTB262220 WCX262212:WCX262220 WMT262212:WMT262220 WWP262212:WWP262220 AH327748:AH327756 KD327748:KD327756 TZ327748:TZ327756 ADV327748:ADV327756 ANR327748:ANR327756 AXN327748:AXN327756 BHJ327748:BHJ327756 BRF327748:BRF327756 CBB327748:CBB327756 CKX327748:CKX327756 CUT327748:CUT327756 DEP327748:DEP327756 DOL327748:DOL327756 DYH327748:DYH327756 EID327748:EID327756 ERZ327748:ERZ327756 FBV327748:FBV327756 FLR327748:FLR327756 FVN327748:FVN327756 GFJ327748:GFJ327756 GPF327748:GPF327756 GZB327748:GZB327756 HIX327748:HIX327756 HST327748:HST327756 ICP327748:ICP327756 IML327748:IML327756 IWH327748:IWH327756 JGD327748:JGD327756 JPZ327748:JPZ327756 JZV327748:JZV327756 KJR327748:KJR327756 KTN327748:KTN327756 LDJ327748:LDJ327756 LNF327748:LNF327756 LXB327748:LXB327756 MGX327748:MGX327756 MQT327748:MQT327756 NAP327748:NAP327756 NKL327748:NKL327756 NUH327748:NUH327756 OED327748:OED327756 ONZ327748:ONZ327756 OXV327748:OXV327756 PHR327748:PHR327756 PRN327748:PRN327756 QBJ327748:QBJ327756 QLF327748:QLF327756 QVB327748:QVB327756 REX327748:REX327756 ROT327748:ROT327756 RYP327748:RYP327756 SIL327748:SIL327756 SSH327748:SSH327756 TCD327748:TCD327756 TLZ327748:TLZ327756 TVV327748:TVV327756 UFR327748:UFR327756 UPN327748:UPN327756 UZJ327748:UZJ327756 VJF327748:VJF327756 VTB327748:VTB327756 WCX327748:WCX327756 WMT327748:WMT327756 WWP327748:WWP327756 AH393284:AH393292 KD393284:KD393292 TZ393284:TZ393292 ADV393284:ADV393292 ANR393284:ANR393292 AXN393284:AXN393292 BHJ393284:BHJ393292 BRF393284:BRF393292 CBB393284:CBB393292 CKX393284:CKX393292 CUT393284:CUT393292 DEP393284:DEP393292 DOL393284:DOL393292 DYH393284:DYH393292 EID393284:EID393292 ERZ393284:ERZ393292 FBV393284:FBV393292 FLR393284:FLR393292 FVN393284:FVN393292 GFJ393284:GFJ393292 GPF393284:GPF393292 GZB393284:GZB393292 HIX393284:HIX393292 HST393284:HST393292 ICP393284:ICP393292 IML393284:IML393292 IWH393284:IWH393292 JGD393284:JGD393292 JPZ393284:JPZ393292 JZV393284:JZV393292 KJR393284:KJR393292 KTN393284:KTN393292 LDJ393284:LDJ393292 LNF393284:LNF393292 LXB393284:LXB393292 MGX393284:MGX393292 MQT393284:MQT393292 NAP393284:NAP393292 NKL393284:NKL393292 NUH393284:NUH393292 OED393284:OED393292 ONZ393284:ONZ393292 OXV393284:OXV393292 PHR393284:PHR393292 PRN393284:PRN393292 QBJ393284:QBJ393292 QLF393284:QLF393292 QVB393284:QVB393292 REX393284:REX393292 ROT393284:ROT393292 RYP393284:RYP393292 SIL393284:SIL393292 SSH393284:SSH393292 TCD393284:TCD393292 TLZ393284:TLZ393292 TVV393284:TVV393292 UFR393284:UFR393292 UPN393284:UPN393292 UZJ393284:UZJ393292 VJF393284:VJF393292 VTB393284:VTB393292 WCX393284:WCX393292 WMT393284:WMT393292 WWP393284:WWP393292 AH458820:AH458828 KD458820:KD458828 TZ458820:TZ458828 ADV458820:ADV458828 ANR458820:ANR458828 AXN458820:AXN458828 BHJ458820:BHJ458828 BRF458820:BRF458828 CBB458820:CBB458828 CKX458820:CKX458828 CUT458820:CUT458828 DEP458820:DEP458828 DOL458820:DOL458828 DYH458820:DYH458828 EID458820:EID458828 ERZ458820:ERZ458828 FBV458820:FBV458828 FLR458820:FLR458828 FVN458820:FVN458828 GFJ458820:GFJ458828 GPF458820:GPF458828 GZB458820:GZB458828 HIX458820:HIX458828 HST458820:HST458828 ICP458820:ICP458828 IML458820:IML458828 IWH458820:IWH458828 JGD458820:JGD458828 JPZ458820:JPZ458828 JZV458820:JZV458828 KJR458820:KJR458828 KTN458820:KTN458828 LDJ458820:LDJ458828 LNF458820:LNF458828 LXB458820:LXB458828 MGX458820:MGX458828 MQT458820:MQT458828 NAP458820:NAP458828 NKL458820:NKL458828 NUH458820:NUH458828 OED458820:OED458828 ONZ458820:ONZ458828 OXV458820:OXV458828 PHR458820:PHR458828 PRN458820:PRN458828 QBJ458820:QBJ458828 QLF458820:QLF458828 QVB458820:QVB458828 REX458820:REX458828 ROT458820:ROT458828 RYP458820:RYP458828 SIL458820:SIL458828 SSH458820:SSH458828 TCD458820:TCD458828 TLZ458820:TLZ458828 TVV458820:TVV458828 UFR458820:UFR458828 UPN458820:UPN458828 UZJ458820:UZJ458828 VJF458820:VJF458828 VTB458820:VTB458828 WCX458820:WCX458828 WMT458820:WMT458828 WWP458820:WWP458828 AH524356:AH524364 KD524356:KD524364 TZ524356:TZ524364 ADV524356:ADV524364 ANR524356:ANR524364 AXN524356:AXN524364 BHJ524356:BHJ524364 BRF524356:BRF524364 CBB524356:CBB524364 CKX524356:CKX524364 CUT524356:CUT524364 DEP524356:DEP524364 DOL524356:DOL524364 DYH524356:DYH524364 EID524356:EID524364 ERZ524356:ERZ524364 FBV524356:FBV524364 FLR524356:FLR524364 FVN524356:FVN524364 GFJ524356:GFJ524364 GPF524356:GPF524364 GZB524356:GZB524364 HIX524356:HIX524364 HST524356:HST524364 ICP524356:ICP524364 IML524356:IML524364 IWH524356:IWH524364 JGD524356:JGD524364 JPZ524356:JPZ524364 JZV524356:JZV524364 KJR524356:KJR524364 KTN524356:KTN524364 LDJ524356:LDJ524364 LNF524356:LNF524364 LXB524356:LXB524364 MGX524356:MGX524364 MQT524356:MQT524364 NAP524356:NAP524364 NKL524356:NKL524364 NUH524356:NUH524364 OED524356:OED524364 ONZ524356:ONZ524364 OXV524356:OXV524364 PHR524356:PHR524364 PRN524356:PRN524364 QBJ524356:QBJ524364 QLF524356:QLF524364 QVB524356:QVB524364 REX524356:REX524364 ROT524356:ROT524364 RYP524356:RYP524364 SIL524356:SIL524364 SSH524356:SSH524364 TCD524356:TCD524364 TLZ524356:TLZ524364 TVV524356:TVV524364 UFR524356:UFR524364 UPN524356:UPN524364 UZJ524356:UZJ524364 VJF524356:VJF524364 VTB524356:VTB524364 WCX524356:WCX524364 WMT524356:WMT524364 WWP524356:WWP524364 AH589892:AH589900 KD589892:KD589900 TZ589892:TZ589900 ADV589892:ADV589900 ANR589892:ANR589900 AXN589892:AXN589900 BHJ589892:BHJ589900 BRF589892:BRF589900 CBB589892:CBB589900 CKX589892:CKX589900 CUT589892:CUT589900 DEP589892:DEP589900 DOL589892:DOL589900 DYH589892:DYH589900 EID589892:EID589900 ERZ589892:ERZ589900 FBV589892:FBV589900 FLR589892:FLR589900 FVN589892:FVN589900 GFJ589892:GFJ589900 GPF589892:GPF589900 GZB589892:GZB589900 HIX589892:HIX589900 HST589892:HST589900 ICP589892:ICP589900 IML589892:IML589900 IWH589892:IWH589900 JGD589892:JGD589900 JPZ589892:JPZ589900 JZV589892:JZV589900 KJR589892:KJR589900 KTN589892:KTN589900 LDJ589892:LDJ589900 LNF589892:LNF589900 LXB589892:LXB589900 MGX589892:MGX589900 MQT589892:MQT589900 NAP589892:NAP589900 NKL589892:NKL589900 NUH589892:NUH589900 OED589892:OED589900 ONZ589892:ONZ589900 OXV589892:OXV589900 PHR589892:PHR589900 PRN589892:PRN589900 QBJ589892:QBJ589900 QLF589892:QLF589900 QVB589892:QVB589900 REX589892:REX589900 ROT589892:ROT589900 RYP589892:RYP589900 SIL589892:SIL589900 SSH589892:SSH589900 TCD589892:TCD589900 TLZ589892:TLZ589900 TVV589892:TVV589900 UFR589892:UFR589900 UPN589892:UPN589900 UZJ589892:UZJ589900 VJF589892:VJF589900 VTB589892:VTB589900 WCX589892:WCX589900 WMT589892:WMT589900 WWP589892:WWP589900 AH655428:AH655436 KD655428:KD655436 TZ655428:TZ655436 ADV655428:ADV655436 ANR655428:ANR655436 AXN655428:AXN655436 BHJ655428:BHJ655436 BRF655428:BRF655436 CBB655428:CBB655436 CKX655428:CKX655436 CUT655428:CUT655436 DEP655428:DEP655436 DOL655428:DOL655436 DYH655428:DYH655436 EID655428:EID655436 ERZ655428:ERZ655436 FBV655428:FBV655436 FLR655428:FLR655436 FVN655428:FVN655436 GFJ655428:GFJ655436 GPF655428:GPF655436 GZB655428:GZB655436 HIX655428:HIX655436 HST655428:HST655436 ICP655428:ICP655436 IML655428:IML655436 IWH655428:IWH655436 JGD655428:JGD655436 JPZ655428:JPZ655436 JZV655428:JZV655436 KJR655428:KJR655436 KTN655428:KTN655436 LDJ655428:LDJ655436 LNF655428:LNF655436 LXB655428:LXB655436 MGX655428:MGX655436 MQT655428:MQT655436 NAP655428:NAP655436 NKL655428:NKL655436 NUH655428:NUH655436 OED655428:OED655436 ONZ655428:ONZ655436 OXV655428:OXV655436 PHR655428:PHR655436 PRN655428:PRN655436 QBJ655428:QBJ655436 QLF655428:QLF655436 QVB655428:QVB655436 REX655428:REX655436 ROT655428:ROT655436 RYP655428:RYP655436 SIL655428:SIL655436 SSH655428:SSH655436 TCD655428:TCD655436 TLZ655428:TLZ655436 TVV655428:TVV655436 UFR655428:UFR655436 UPN655428:UPN655436 UZJ655428:UZJ655436 VJF655428:VJF655436 VTB655428:VTB655436 WCX655428:WCX655436 WMT655428:WMT655436 WWP655428:WWP655436 AH720964:AH720972 KD720964:KD720972 TZ720964:TZ720972 ADV720964:ADV720972 ANR720964:ANR720972 AXN720964:AXN720972 BHJ720964:BHJ720972 BRF720964:BRF720972 CBB720964:CBB720972 CKX720964:CKX720972 CUT720964:CUT720972 DEP720964:DEP720972 DOL720964:DOL720972 DYH720964:DYH720972 EID720964:EID720972 ERZ720964:ERZ720972 FBV720964:FBV720972 FLR720964:FLR720972 FVN720964:FVN720972 GFJ720964:GFJ720972 GPF720964:GPF720972 GZB720964:GZB720972 HIX720964:HIX720972 HST720964:HST720972 ICP720964:ICP720972 IML720964:IML720972 IWH720964:IWH720972 JGD720964:JGD720972 JPZ720964:JPZ720972 JZV720964:JZV720972 KJR720964:KJR720972 KTN720964:KTN720972 LDJ720964:LDJ720972 LNF720964:LNF720972 LXB720964:LXB720972 MGX720964:MGX720972 MQT720964:MQT720972 NAP720964:NAP720972 NKL720964:NKL720972 NUH720964:NUH720972 OED720964:OED720972 ONZ720964:ONZ720972 OXV720964:OXV720972 PHR720964:PHR720972 PRN720964:PRN720972 QBJ720964:QBJ720972 QLF720964:QLF720972 QVB720964:QVB720972 REX720964:REX720972 ROT720964:ROT720972 RYP720964:RYP720972 SIL720964:SIL720972 SSH720964:SSH720972 TCD720964:TCD720972 TLZ720964:TLZ720972 TVV720964:TVV720972 UFR720964:UFR720972 UPN720964:UPN720972 UZJ720964:UZJ720972 VJF720964:VJF720972 VTB720964:VTB720972 WCX720964:WCX720972 WMT720964:WMT720972 WWP720964:WWP720972 AH786500:AH786508 KD786500:KD786508 TZ786500:TZ786508 ADV786500:ADV786508 ANR786500:ANR786508 AXN786500:AXN786508 BHJ786500:BHJ786508 BRF786500:BRF786508 CBB786500:CBB786508 CKX786500:CKX786508 CUT786500:CUT786508 DEP786500:DEP786508 DOL786500:DOL786508 DYH786500:DYH786508 EID786500:EID786508 ERZ786500:ERZ786508 FBV786500:FBV786508 FLR786500:FLR786508 FVN786500:FVN786508 GFJ786500:GFJ786508 GPF786500:GPF786508 GZB786500:GZB786508 HIX786500:HIX786508 HST786500:HST786508 ICP786500:ICP786508 IML786500:IML786508 IWH786500:IWH786508 JGD786500:JGD786508 JPZ786500:JPZ786508 JZV786500:JZV786508 KJR786500:KJR786508 KTN786500:KTN786508 LDJ786500:LDJ786508 LNF786500:LNF786508 LXB786500:LXB786508 MGX786500:MGX786508 MQT786500:MQT786508 NAP786500:NAP786508 NKL786500:NKL786508 NUH786500:NUH786508 OED786500:OED786508 ONZ786500:ONZ786508 OXV786500:OXV786508 PHR786500:PHR786508 PRN786500:PRN786508 QBJ786500:QBJ786508 QLF786500:QLF786508 QVB786500:QVB786508 REX786500:REX786508 ROT786500:ROT786508 RYP786500:RYP786508 SIL786500:SIL786508 SSH786500:SSH786508 TCD786500:TCD786508 TLZ786500:TLZ786508 TVV786500:TVV786508 UFR786500:UFR786508 UPN786500:UPN786508 UZJ786500:UZJ786508 VJF786500:VJF786508 VTB786500:VTB786508 WCX786500:WCX786508 WMT786500:WMT786508 WWP786500:WWP786508 AH852036:AH852044 KD852036:KD852044 TZ852036:TZ852044 ADV852036:ADV852044 ANR852036:ANR852044 AXN852036:AXN852044 BHJ852036:BHJ852044 BRF852036:BRF852044 CBB852036:CBB852044 CKX852036:CKX852044 CUT852036:CUT852044 DEP852036:DEP852044 DOL852036:DOL852044 DYH852036:DYH852044 EID852036:EID852044 ERZ852036:ERZ852044 FBV852036:FBV852044 FLR852036:FLR852044 FVN852036:FVN852044 GFJ852036:GFJ852044 GPF852036:GPF852044 GZB852036:GZB852044 HIX852036:HIX852044 HST852036:HST852044 ICP852036:ICP852044 IML852036:IML852044 IWH852036:IWH852044 JGD852036:JGD852044 JPZ852036:JPZ852044 JZV852036:JZV852044 KJR852036:KJR852044 KTN852036:KTN852044 LDJ852036:LDJ852044 LNF852036:LNF852044 LXB852036:LXB852044 MGX852036:MGX852044 MQT852036:MQT852044 NAP852036:NAP852044 NKL852036:NKL852044 NUH852036:NUH852044 OED852036:OED852044 ONZ852036:ONZ852044 OXV852036:OXV852044 PHR852036:PHR852044 PRN852036:PRN852044 QBJ852036:QBJ852044 QLF852036:QLF852044 QVB852036:QVB852044 REX852036:REX852044 ROT852036:ROT852044 RYP852036:RYP852044 SIL852036:SIL852044 SSH852036:SSH852044 TCD852036:TCD852044 TLZ852036:TLZ852044 TVV852036:TVV852044 UFR852036:UFR852044 UPN852036:UPN852044 UZJ852036:UZJ852044 VJF852036:VJF852044 VTB852036:VTB852044 WCX852036:WCX852044 WMT852036:WMT852044 WWP852036:WWP852044 AH917572:AH917580 KD917572:KD917580 TZ917572:TZ917580 ADV917572:ADV917580 ANR917572:ANR917580 AXN917572:AXN917580 BHJ917572:BHJ917580 BRF917572:BRF917580 CBB917572:CBB917580 CKX917572:CKX917580 CUT917572:CUT917580 DEP917572:DEP917580 DOL917572:DOL917580 DYH917572:DYH917580 EID917572:EID917580 ERZ917572:ERZ917580 FBV917572:FBV917580 FLR917572:FLR917580 FVN917572:FVN917580 GFJ917572:GFJ917580 GPF917572:GPF917580 GZB917572:GZB917580 HIX917572:HIX917580 HST917572:HST917580 ICP917572:ICP917580 IML917572:IML917580 IWH917572:IWH917580 JGD917572:JGD917580 JPZ917572:JPZ917580 JZV917572:JZV917580 KJR917572:KJR917580 KTN917572:KTN917580 LDJ917572:LDJ917580 LNF917572:LNF917580 LXB917572:LXB917580 MGX917572:MGX917580 MQT917572:MQT917580 NAP917572:NAP917580 NKL917572:NKL917580 NUH917572:NUH917580 OED917572:OED917580 ONZ917572:ONZ917580 OXV917572:OXV917580 PHR917572:PHR917580 PRN917572:PRN917580 QBJ917572:QBJ917580 QLF917572:QLF917580 QVB917572:QVB917580 REX917572:REX917580 ROT917572:ROT917580 RYP917572:RYP917580 SIL917572:SIL917580 SSH917572:SSH917580 TCD917572:TCD917580 TLZ917572:TLZ917580 TVV917572:TVV917580 UFR917572:UFR917580 UPN917572:UPN917580 UZJ917572:UZJ917580 VJF917572:VJF917580 VTB917572:VTB917580 WCX917572:WCX917580 WMT917572:WMT917580 WWP917572:WWP917580 AH983108:AH983116 KD983108:KD983116 TZ983108:TZ983116 ADV983108:ADV983116 ANR983108:ANR983116 AXN983108:AXN983116 BHJ983108:BHJ983116 BRF983108:BRF983116 CBB983108:CBB983116 CKX983108:CKX983116 CUT983108:CUT983116 DEP983108:DEP983116 DOL983108:DOL983116 DYH983108:DYH983116 EID983108:EID983116 ERZ983108:ERZ983116 FBV983108:FBV983116 FLR983108:FLR983116 FVN983108:FVN983116 GFJ983108:GFJ983116 GPF983108:GPF983116 GZB983108:GZB983116 HIX983108:HIX983116 HST983108:HST983116 ICP983108:ICP983116 IML983108:IML983116 IWH983108:IWH983116 JGD983108:JGD983116 JPZ983108:JPZ983116 JZV983108:JZV983116 KJR983108:KJR983116 KTN983108:KTN983116 LDJ983108:LDJ983116 LNF983108:LNF983116 LXB983108:LXB983116 MGX983108:MGX983116 MQT983108:MQT983116 NAP983108:NAP983116 NKL983108:NKL983116 NUH983108:NUH983116 OED983108:OED983116 ONZ983108:ONZ983116 OXV983108:OXV983116 PHR983108:PHR983116 PRN983108:PRN983116 QBJ983108:QBJ983116 QLF983108:QLF983116 QVB983108:QVB983116 REX983108:REX983116 ROT983108:ROT983116 RYP983108:RYP983116 SIL983108:SIL983116 SSH983108:SSH983116 TCD983108:TCD983116 TLZ983108:TLZ983116 TVV983108:TVV983116 UFR983108:UFR983116 UPN983108:UPN983116 UZJ983108:UZJ983116 VJF983108:VJF983116 VTB983108:VTB983116 WCX983108:WCX983116 WMT983108:WMT983116 WWP983108:WWP983116 AH179:AH186 KD179:KD186 TZ179:TZ186 ADV179:ADV186 ANR179:ANR186 AXN179:AXN186 BHJ179:BHJ186 BRF179:BRF186 CBB179:CBB186 CKX179:CKX186 CUT179:CUT186 DEP179:DEP186 DOL179:DOL186 DYH179:DYH186 EID179:EID186 ERZ179:ERZ186 FBV179:FBV186 FLR179:FLR186 FVN179:FVN186 GFJ179:GFJ186 GPF179:GPF186 GZB179:GZB186 HIX179:HIX186 HST179:HST186 ICP179:ICP186 IML179:IML186 IWH179:IWH186 JGD179:JGD186 JPZ179:JPZ186 JZV179:JZV186 KJR179:KJR186 KTN179:KTN186 LDJ179:LDJ186 LNF179:LNF186 LXB179:LXB186 MGX179:MGX186 MQT179:MQT186 NAP179:NAP186 NKL179:NKL186 NUH179:NUH186 OED179:OED186 ONZ179:ONZ186 OXV179:OXV186 PHR179:PHR186 PRN179:PRN186 QBJ179:QBJ186 QLF179:QLF186 QVB179:QVB186 REX179:REX186 ROT179:ROT186 RYP179:RYP186 SIL179:SIL186 SSH179:SSH186 TCD179:TCD186 TLZ179:TLZ186 TVV179:TVV186 UFR179:UFR186 UPN179:UPN186 UZJ179:UZJ186 VJF179:VJF186 VTB179:VTB186 WCX179:WCX186 WMT179:WMT186 WWP179:WWP186 AH65715:AH65722 KD65715:KD65722 TZ65715:TZ65722 ADV65715:ADV65722 ANR65715:ANR65722 AXN65715:AXN65722 BHJ65715:BHJ65722 BRF65715:BRF65722 CBB65715:CBB65722 CKX65715:CKX65722 CUT65715:CUT65722 DEP65715:DEP65722 DOL65715:DOL65722 DYH65715:DYH65722 EID65715:EID65722 ERZ65715:ERZ65722 FBV65715:FBV65722 FLR65715:FLR65722 FVN65715:FVN65722 GFJ65715:GFJ65722 GPF65715:GPF65722 GZB65715:GZB65722 HIX65715:HIX65722 HST65715:HST65722 ICP65715:ICP65722 IML65715:IML65722 IWH65715:IWH65722 JGD65715:JGD65722 JPZ65715:JPZ65722 JZV65715:JZV65722 KJR65715:KJR65722 KTN65715:KTN65722 LDJ65715:LDJ65722 LNF65715:LNF65722 LXB65715:LXB65722 MGX65715:MGX65722 MQT65715:MQT65722 NAP65715:NAP65722 NKL65715:NKL65722 NUH65715:NUH65722 OED65715:OED65722 ONZ65715:ONZ65722 OXV65715:OXV65722 PHR65715:PHR65722 PRN65715:PRN65722 QBJ65715:QBJ65722 QLF65715:QLF65722 QVB65715:QVB65722 REX65715:REX65722 ROT65715:ROT65722 RYP65715:RYP65722 SIL65715:SIL65722 SSH65715:SSH65722 TCD65715:TCD65722 TLZ65715:TLZ65722 TVV65715:TVV65722 UFR65715:UFR65722 UPN65715:UPN65722 UZJ65715:UZJ65722 VJF65715:VJF65722 VTB65715:VTB65722 WCX65715:WCX65722 WMT65715:WMT65722 WWP65715:WWP65722 AH131251:AH131258 KD131251:KD131258 TZ131251:TZ131258 ADV131251:ADV131258 ANR131251:ANR131258 AXN131251:AXN131258 BHJ131251:BHJ131258 BRF131251:BRF131258 CBB131251:CBB131258 CKX131251:CKX131258 CUT131251:CUT131258 DEP131251:DEP131258 DOL131251:DOL131258 DYH131251:DYH131258 EID131251:EID131258 ERZ131251:ERZ131258 FBV131251:FBV131258 FLR131251:FLR131258 FVN131251:FVN131258 GFJ131251:GFJ131258 GPF131251:GPF131258 GZB131251:GZB131258 HIX131251:HIX131258 HST131251:HST131258 ICP131251:ICP131258 IML131251:IML131258 IWH131251:IWH131258 JGD131251:JGD131258 JPZ131251:JPZ131258 JZV131251:JZV131258 KJR131251:KJR131258 KTN131251:KTN131258 LDJ131251:LDJ131258 LNF131251:LNF131258 LXB131251:LXB131258 MGX131251:MGX131258 MQT131251:MQT131258 NAP131251:NAP131258 NKL131251:NKL131258 NUH131251:NUH131258 OED131251:OED131258 ONZ131251:ONZ131258 OXV131251:OXV131258 PHR131251:PHR131258 PRN131251:PRN131258 QBJ131251:QBJ131258 QLF131251:QLF131258 QVB131251:QVB131258 REX131251:REX131258 ROT131251:ROT131258 RYP131251:RYP131258 SIL131251:SIL131258 SSH131251:SSH131258 TCD131251:TCD131258 TLZ131251:TLZ131258 TVV131251:TVV131258 UFR131251:UFR131258 UPN131251:UPN131258 UZJ131251:UZJ131258 VJF131251:VJF131258 VTB131251:VTB131258 WCX131251:WCX131258 WMT131251:WMT131258 WWP131251:WWP131258 AH196787:AH196794 KD196787:KD196794 TZ196787:TZ196794 ADV196787:ADV196794 ANR196787:ANR196794 AXN196787:AXN196794 BHJ196787:BHJ196794 BRF196787:BRF196794 CBB196787:CBB196794 CKX196787:CKX196794 CUT196787:CUT196794 DEP196787:DEP196794 DOL196787:DOL196794 DYH196787:DYH196794 EID196787:EID196794 ERZ196787:ERZ196794 FBV196787:FBV196794 FLR196787:FLR196794 FVN196787:FVN196794 GFJ196787:GFJ196794 GPF196787:GPF196794 GZB196787:GZB196794 HIX196787:HIX196794 HST196787:HST196794 ICP196787:ICP196794 IML196787:IML196794 IWH196787:IWH196794 JGD196787:JGD196794 JPZ196787:JPZ196794 JZV196787:JZV196794 KJR196787:KJR196794 KTN196787:KTN196794 LDJ196787:LDJ196794 LNF196787:LNF196794 LXB196787:LXB196794 MGX196787:MGX196794 MQT196787:MQT196794 NAP196787:NAP196794 NKL196787:NKL196794 NUH196787:NUH196794 OED196787:OED196794 ONZ196787:ONZ196794 OXV196787:OXV196794 PHR196787:PHR196794 PRN196787:PRN196794 QBJ196787:QBJ196794 QLF196787:QLF196794 QVB196787:QVB196794 REX196787:REX196794 ROT196787:ROT196794 RYP196787:RYP196794 SIL196787:SIL196794 SSH196787:SSH196794 TCD196787:TCD196794 TLZ196787:TLZ196794 TVV196787:TVV196794 UFR196787:UFR196794 UPN196787:UPN196794 UZJ196787:UZJ196794 VJF196787:VJF196794 VTB196787:VTB196794 WCX196787:WCX196794 WMT196787:WMT196794 WWP196787:WWP196794 AH262323:AH262330 KD262323:KD262330 TZ262323:TZ262330 ADV262323:ADV262330 ANR262323:ANR262330 AXN262323:AXN262330 BHJ262323:BHJ262330 BRF262323:BRF262330 CBB262323:CBB262330 CKX262323:CKX262330 CUT262323:CUT262330 DEP262323:DEP262330 DOL262323:DOL262330 DYH262323:DYH262330 EID262323:EID262330 ERZ262323:ERZ262330 FBV262323:FBV262330 FLR262323:FLR262330 FVN262323:FVN262330 GFJ262323:GFJ262330 GPF262323:GPF262330 GZB262323:GZB262330 HIX262323:HIX262330 HST262323:HST262330 ICP262323:ICP262330 IML262323:IML262330 IWH262323:IWH262330 JGD262323:JGD262330 JPZ262323:JPZ262330 JZV262323:JZV262330 KJR262323:KJR262330 KTN262323:KTN262330 LDJ262323:LDJ262330 LNF262323:LNF262330 LXB262323:LXB262330 MGX262323:MGX262330 MQT262323:MQT262330 NAP262323:NAP262330 NKL262323:NKL262330 NUH262323:NUH262330 OED262323:OED262330 ONZ262323:ONZ262330 OXV262323:OXV262330 PHR262323:PHR262330 PRN262323:PRN262330 QBJ262323:QBJ262330 QLF262323:QLF262330 QVB262323:QVB262330 REX262323:REX262330 ROT262323:ROT262330 RYP262323:RYP262330 SIL262323:SIL262330 SSH262323:SSH262330 TCD262323:TCD262330 TLZ262323:TLZ262330 TVV262323:TVV262330 UFR262323:UFR262330 UPN262323:UPN262330 UZJ262323:UZJ262330 VJF262323:VJF262330 VTB262323:VTB262330 WCX262323:WCX262330 WMT262323:WMT262330 WWP262323:WWP262330 AH327859:AH327866 KD327859:KD327866 TZ327859:TZ327866 ADV327859:ADV327866 ANR327859:ANR327866 AXN327859:AXN327866 BHJ327859:BHJ327866 BRF327859:BRF327866 CBB327859:CBB327866 CKX327859:CKX327866 CUT327859:CUT327866 DEP327859:DEP327866 DOL327859:DOL327866 DYH327859:DYH327866 EID327859:EID327866 ERZ327859:ERZ327866 FBV327859:FBV327866 FLR327859:FLR327866 FVN327859:FVN327866 GFJ327859:GFJ327866 GPF327859:GPF327866 GZB327859:GZB327866 HIX327859:HIX327866 HST327859:HST327866 ICP327859:ICP327866 IML327859:IML327866 IWH327859:IWH327866 JGD327859:JGD327866 JPZ327859:JPZ327866 JZV327859:JZV327866 KJR327859:KJR327866 KTN327859:KTN327866 LDJ327859:LDJ327866 LNF327859:LNF327866 LXB327859:LXB327866 MGX327859:MGX327866 MQT327859:MQT327866 NAP327859:NAP327866 NKL327859:NKL327866 NUH327859:NUH327866 OED327859:OED327866 ONZ327859:ONZ327866 OXV327859:OXV327866 PHR327859:PHR327866 PRN327859:PRN327866 QBJ327859:QBJ327866 QLF327859:QLF327866 QVB327859:QVB327866 REX327859:REX327866 ROT327859:ROT327866 RYP327859:RYP327866 SIL327859:SIL327866 SSH327859:SSH327866 TCD327859:TCD327866 TLZ327859:TLZ327866 TVV327859:TVV327866 UFR327859:UFR327866 UPN327859:UPN327866 UZJ327859:UZJ327866 VJF327859:VJF327866 VTB327859:VTB327866 WCX327859:WCX327866 WMT327859:WMT327866 WWP327859:WWP327866 AH393395:AH393402 KD393395:KD393402 TZ393395:TZ393402 ADV393395:ADV393402 ANR393395:ANR393402 AXN393395:AXN393402 BHJ393395:BHJ393402 BRF393395:BRF393402 CBB393395:CBB393402 CKX393395:CKX393402 CUT393395:CUT393402 DEP393395:DEP393402 DOL393395:DOL393402 DYH393395:DYH393402 EID393395:EID393402 ERZ393395:ERZ393402 FBV393395:FBV393402 FLR393395:FLR393402 FVN393395:FVN393402 GFJ393395:GFJ393402 GPF393395:GPF393402 GZB393395:GZB393402 HIX393395:HIX393402 HST393395:HST393402 ICP393395:ICP393402 IML393395:IML393402 IWH393395:IWH393402 JGD393395:JGD393402 JPZ393395:JPZ393402 JZV393395:JZV393402 KJR393395:KJR393402 KTN393395:KTN393402 LDJ393395:LDJ393402 LNF393395:LNF393402 LXB393395:LXB393402 MGX393395:MGX393402 MQT393395:MQT393402 NAP393395:NAP393402 NKL393395:NKL393402 NUH393395:NUH393402 OED393395:OED393402 ONZ393395:ONZ393402 OXV393395:OXV393402 PHR393395:PHR393402 PRN393395:PRN393402 QBJ393395:QBJ393402 QLF393395:QLF393402 QVB393395:QVB393402 REX393395:REX393402 ROT393395:ROT393402 RYP393395:RYP393402 SIL393395:SIL393402 SSH393395:SSH393402 TCD393395:TCD393402 TLZ393395:TLZ393402 TVV393395:TVV393402 UFR393395:UFR393402 UPN393395:UPN393402 UZJ393395:UZJ393402 VJF393395:VJF393402 VTB393395:VTB393402 WCX393395:WCX393402 WMT393395:WMT393402 WWP393395:WWP393402 AH458931:AH458938 KD458931:KD458938 TZ458931:TZ458938 ADV458931:ADV458938 ANR458931:ANR458938 AXN458931:AXN458938 BHJ458931:BHJ458938 BRF458931:BRF458938 CBB458931:CBB458938 CKX458931:CKX458938 CUT458931:CUT458938 DEP458931:DEP458938 DOL458931:DOL458938 DYH458931:DYH458938 EID458931:EID458938 ERZ458931:ERZ458938 FBV458931:FBV458938 FLR458931:FLR458938 FVN458931:FVN458938 GFJ458931:GFJ458938 GPF458931:GPF458938 GZB458931:GZB458938 HIX458931:HIX458938 HST458931:HST458938 ICP458931:ICP458938 IML458931:IML458938 IWH458931:IWH458938 JGD458931:JGD458938 JPZ458931:JPZ458938 JZV458931:JZV458938 KJR458931:KJR458938 KTN458931:KTN458938 LDJ458931:LDJ458938 LNF458931:LNF458938 LXB458931:LXB458938 MGX458931:MGX458938 MQT458931:MQT458938 NAP458931:NAP458938 NKL458931:NKL458938 NUH458931:NUH458938 OED458931:OED458938 ONZ458931:ONZ458938 OXV458931:OXV458938 PHR458931:PHR458938 PRN458931:PRN458938 QBJ458931:QBJ458938 QLF458931:QLF458938 QVB458931:QVB458938 REX458931:REX458938 ROT458931:ROT458938 RYP458931:RYP458938 SIL458931:SIL458938 SSH458931:SSH458938 TCD458931:TCD458938 TLZ458931:TLZ458938 TVV458931:TVV458938 UFR458931:UFR458938 UPN458931:UPN458938 UZJ458931:UZJ458938 VJF458931:VJF458938 VTB458931:VTB458938 WCX458931:WCX458938 WMT458931:WMT458938 WWP458931:WWP458938 AH524467:AH524474 KD524467:KD524474 TZ524467:TZ524474 ADV524467:ADV524474 ANR524467:ANR524474 AXN524467:AXN524474 BHJ524467:BHJ524474 BRF524467:BRF524474 CBB524467:CBB524474 CKX524467:CKX524474 CUT524467:CUT524474 DEP524467:DEP524474 DOL524467:DOL524474 DYH524467:DYH524474 EID524467:EID524474 ERZ524467:ERZ524474 FBV524467:FBV524474 FLR524467:FLR524474 FVN524467:FVN524474 GFJ524467:GFJ524474 GPF524467:GPF524474 GZB524467:GZB524474 HIX524467:HIX524474 HST524467:HST524474 ICP524467:ICP524474 IML524467:IML524474 IWH524467:IWH524474 JGD524467:JGD524474 JPZ524467:JPZ524474 JZV524467:JZV524474 KJR524467:KJR524474 KTN524467:KTN524474 LDJ524467:LDJ524474 LNF524467:LNF524474 LXB524467:LXB524474 MGX524467:MGX524474 MQT524467:MQT524474 NAP524467:NAP524474 NKL524467:NKL524474 NUH524467:NUH524474 OED524467:OED524474 ONZ524467:ONZ524474 OXV524467:OXV524474 PHR524467:PHR524474 PRN524467:PRN524474 QBJ524467:QBJ524474 QLF524467:QLF524474 QVB524467:QVB524474 REX524467:REX524474 ROT524467:ROT524474 RYP524467:RYP524474 SIL524467:SIL524474 SSH524467:SSH524474 TCD524467:TCD524474 TLZ524467:TLZ524474 TVV524467:TVV524474 UFR524467:UFR524474 UPN524467:UPN524474 UZJ524467:UZJ524474 VJF524467:VJF524474 VTB524467:VTB524474 WCX524467:WCX524474 WMT524467:WMT524474 WWP524467:WWP524474 AH590003:AH590010 KD590003:KD590010 TZ590003:TZ590010 ADV590003:ADV590010 ANR590003:ANR590010 AXN590003:AXN590010 BHJ590003:BHJ590010 BRF590003:BRF590010 CBB590003:CBB590010 CKX590003:CKX590010 CUT590003:CUT590010 DEP590003:DEP590010 DOL590003:DOL590010 DYH590003:DYH590010 EID590003:EID590010 ERZ590003:ERZ590010 FBV590003:FBV590010 FLR590003:FLR590010 FVN590003:FVN590010 GFJ590003:GFJ590010 GPF590003:GPF590010 GZB590003:GZB590010 HIX590003:HIX590010 HST590003:HST590010 ICP590003:ICP590010 IML590003:IML590010 IWH590003:IWH590010 JGD590003:JGD590010 JPZ590003:JPZ590010 JZV590003:JZV590010 KJR590003:KJR590010 KTN590003:KTN590010 LDJ590003:LDJ590010 LNF590003:LNF590010 LXB590003:LXB590010 MGX590003:MGX590010 MQT590003:MQT590010 NAP590003:NAP590010 NKL590003:NKL590010 NUH590003:NUH590010 OED590003:OED590010 ONZ590003:ONZ590010 OXV590003:OXV590010 PHR590003:PHR590010 PRN590003:PRN590010 QBJ590003:QBJ590010 QLF590003:QLF590010 QVB590003:QVB590010 REX590003:REX590010 ROT590003:ROT590010 RYP590003:RYP590010 SIL590003:SIL590010 SSH590003:SSH590010 TCD590003:TCD590010 TLZ590003:TLZ590010 TVV590003:TVV590010 UFR590003:UFR590010 UPN590003:UPN590010 UZJ590003:UZJ590010 VJF590003:VJF590010 VTB590003:VTB590010 WCX590003:WCX590010 WMT590003:WMT590010 WWP590003:WWP590010 AH655539:AH655546 KD655539:KD655546 TZ655539:TZ655546 ADV655539:ADV655546 ANR655539:ANR655546 AXN655539:AXN655546 BHJ655539:BHJ655546 BRF655539:BRF655546 CBB655539:CBB655546 CKX655539:CKX655546 CUT655539:CUT655546 DEP655539:DEP655546 DOL655539:DOL655546 DYH655539:DYH655546 EID655539:EID655546 ERZ655539:ERZ655546 FBV655539:FBV655546 FLR655539:FLR655546 FVN655539:FVN655546 GFJ655539:GFJ655546 GPF655539:GPF655546 GZB655539:GZB655546 HIX655539:HIX655546 HST655539:HST655546 ICP655539:ICP655546 IML655539:IML655546 IWH655539:IWH655546 JGD655539:JGD655546 JPZ655539:JPZ655546 JZV655539:JZV655546 KJR655539:KJR655546 KTN655539:KTN655546 LDJ655539:LDJ655546 LNF655539:LNF655546 LXB655539:LXB655546 MGX655539:MGX655546 MQT655539:MQT655546 NAP655539:NAP655546 NKL655539:NKL655546 NUH655539:NUH655546 OED655539:OED655546 ONZ655539:ONZ655546 OXV655539:OXV655546 PHR655539:PHR655546 PRN655539:PRN655546 QBJ655539:QBJ655546 QLF655539:QLF655546 QVB655539:QVB655546 REX655539:REX655546 ROT655539:ROT655546 RYP655539:RYP655546 SIL655539:SIL655546 SSH655539:SSH655546 TCD655539:TCD655546 TLZ655539:TLZ655546 TVV655539:TVV655546 UFR655539:UFR655546 UPN655539:UPN655546 UZJ655539:UZJ655546 VJF655539:VJF655546 VTB655539:VTB655546 WCX655539:WCX655546 WMT655539:WMT655546 WWP655539:WWP655546 AH721075:AH721082 KD721075:KD721082 TZ721075:TZ721082 ADV721075:ADV721082 ANR721075:ANR721082 AXN721075:AXN721082 BHJ721075:BHJ721082 BRF721075:BRF721082 CBB721075:CBB721082 CKX721075:CKX721082 CUT721075:CUT721082 DEP721075:DEP721082 DOL721075:DOL721082 DYH721075:DYH721082 EID721075:EID721082 ERZ721075:ERZ721082 FBV721075:FBV721082 FLR721075:FLR721082 FVN721075:FVN721082 GFJ721075:GFJ721082 GPF721075:GPF721082 GZB721075:GZB721082 HIX721075:HIX721082 HST721075:HST721082 ICP721075:ICP721082 IML721075:IML721082 IWH721075:IWH721082 JGD721075:JGD721082 JPZ721075:JPZ721082 JZV721075:JZV721082 KJR721075:KJR721082 KTN721075:KTN721082 LDJ721075:LDJ721082 LNF721075:LNF721082 LXB721075:LXB721082 MGX721075:MGX721082 MQT721075:MQT721082 NAP721075:NAP721082 NKL721075:NKL721082 NUH721075:NUH721082 OED721075:OED721082 ONZ721075:ONZ721082 OXV721075:OXV721082 PHR721075:PHR721082 PRN721075:PRN721082 QBJ721075:QBJ721082 QLF721075:QLF721082 QVB721075:QVB721082 REX721075:REX721082 ROT721075:ROT721082 RYP721075:RYP721082 SIL721075:SIL721082 SSH721075:SSH721082 TCD721075:TCD721082 TLZ721075:TLZ721082 TVV721075:TVV721082 UFR721075:UFR721082 UPN721075:UPN721082 UZJ721075:UZJ721082 VJF721075:VJF721082 VTB721075:VTB721082 WCX721075:WCX721082 WMT721075:WMT721082 WWP721075:WWP721082 AH786611:AH786618 KD786611:KD786618 TZ786611:TZ786618 ADV786611:ADV786618 ANR786611:ANR786618 AXN786611:AXN786618 BHJ786611:BHJ786618 BRF786611:BRF786618 CBB786611:CBB786618 CKX786611:CKX786618 CUT786611:CUT786618 DEP786611:DEP786618 DOL786611:DOL786618 DYH786611:DYH786618 EID786611:EID786618 ERZ786611:ERZ786618 FBV786611:FBV786618 FLR786611:FLR786618 FVN786611:FVN786618 GFJ786611:GFJ786618 GPF786611:GPF786618 GZB786611:GZB786618 HIX786611:HIX786618 HST786611:HST786618 ICP786611:ICP786618 IML786611:IML786618 IWH786611:IWH786618 JGD786611:JGD786618 JPZ786611:JPZ786618 JZV786611:JZV786618 KJR786611:KJR786618 KTN786611:KTN786618 LDJ786611:LDJ786618 LNF786611:LNF786618 LXB786611:LXB786618 MGX786611:MGX786618 MQT786611:MQT786618 NAP786611:NAP786618 NKL786611:NKL786618 NUH786611:NUH786618 OED786611:OED786618 ONZ786611:ONZ786618 OXV786611:OXV786618 PHR786611:PHR786618 PRN786611:PRN786618 QBJ786611:QBJ786618 QLF786611:QLF786618 QVB786611:QVB786618 REX786611:REX786618 ROT786611:ROT786618 RYP786611:RYP786618 SIL786611:SIL786618 SSH786611:SSH786618 TCD786611:TCD786618 TLZ786611:TLZ786618 TVV786611:TVV786618 UFR786611:UFR786618 UPN786611:UPN786618 UZJ786611:UZJ786618 VJF786611:VJF786618 VTB786611:VTB786618 WCX786611:WCX786618 WMT786611:WMT786618 WWP786611:WWP786618 AH852147:AH852154 KD852147:KD852154 TZ852147:TZ852154 ADV852147:ADV852154 ANR852147:ANR852154 AXN852147:AXN852154 BHJ852147:BHJ852154 BRF852147:BRF852154 CBB852147:CBB852154 CKX852147:CKX852154 CUT852147:CUT852154 DEP852147:DEP852154 DOL852147:DOL852154 DYH852147:DYH852154 EID852147:EID852154 ERZ852147:ERZ852154 FBV852147:FBV852154 FLR852147:FLR852154 FVN852147:FVN852154 GFJ852147:GFJ852154 GPF852147:GPF852154 GZB852147:GZB852154 HIX852147:HIX852154 HST852147:HST852154 ICP852147:ICP852154 IML852147:IML852154 IWH852147:IWH852154 JGD852147:JGD852154 JPZ852147:JPZ852154 JZV852147:JZV852154 KJR852147:KJR852154 KTN852147:KTN852154 LDJ852147:LDJ852154 LNF852147:LNF852154 LXB852147:LXB852154 MGX852147:MGX852154 MQT852147:MQT852154 NAP852147:NAP852154 NKL852147:NKL852154 NUH852147:NUH852154 OED852147:OED852154 ONZ852147:ONZ852154 OXV852147:OXV852154 PHR852147:PHR852154 PRN852147:PRN852154 QBJ852147:QBJ852154 QLF852147:QLF852154 QVB852147:QVB852154 REX852147:REX852154 ROT852147:ROT852154 RYP852147:RYP852154 SIL852147:SIL852154 SSH852147:SSH852154 TCD852147:TCD852154 TLZ852147:TLZ852154 TVV852147:TVV852154 UFR852147:UFR852154 UPN852147:UPN852154 UZJ852147:UZJ852154 VJF852147:VJF852154 VTB852147:VTB852154 WCX852147:WCX852154 WMT852147:WMT852154 WWP852147:WWP852154 AH917683:AH917690 KD917683:KD917690 TZ917683:TZ917690 ADV917683:ADV917690 ANR917683:ANR917690 AXN917683:AXN917690 BHJ917683:BHJ917690 BRF917683:BRF917690 CBB917683:CBB917690 CKX917683:CKX917690 CUT917683:CUT917690 DEP917683:DEP917690 DOL917683:DOL917690 DYH917683:DYH917690 EID917683:EID917690 ERZ917683:ERZ917690 FBV917683:FBV917690 FLR917683:FLR917690 FVN917683:FVN917690 GFJ917683:GFJ917690 GPF917683:GPF917690 GZB917683:GZB917690 HIX917683:HIX917690 HST917683:HST917690 ICP917683:ICP917690 IML917683:IML917690 IWH917683:IWH917690 JGD917683:JGD917690 JPZ917683:JPZ917690 JZV917683:JZV917690 KJR917683:KJR917690 KTN917683:KTN917690 LDJ917683:LDJ917690 LNF917683:LNF917690 LXB917683:LXB917690 MGX917683:MGX917690 MQT917683:MQT917690 NAP917683:NAP917690 NKL917683:NKL917690 NUH917683:NUH917690 OED917683:OED917690 ONZ917683:ONZ917690 OXV917683:OXV917690 PHR917683:PHR917690 PRN917683:PRN917690 QBJ917683:QBJ917690 QLF917683:QLF917690 QVB917683:QVB917690 REX917683:REX917690 ROT917683:ROT917690 RYP917683:RYP917690 SIL917683:SIL917690 SSH917683:SSH917690 TCD917683:TCD917690 TLZ917683:TLZ917690 TVV917683:TVV917690 UFR917683:UFR917690 UPN917683:UPN917690 UZJ917683:UZJ917690 VJF917683:VJF917690 VTB917683:VTB917690 WCX917683:WCX917690 WMT917683:WMT917690 WWP917683:WWP917690 AH983219:AH983226 KD983219:KD983226 TZ983219:TZ983226 ADV983219:ADV983226 ANR983219:ANR983226 AXN983219:AXN983226 BHJ983219:BHJ983226 BRF983219:BRF983226 CBB983219:CBB983226 CKX983219:CKX983226 CUT983219:CUT983226 DEP983219:DEP983226 DOL983219:DOL983226 DYH983219:DYH983226 EID983219:EID983226 ERZ983219:ERZ983226 FBV983219:FBV983226 FLR983219:FLR983226 FVN983219:FVN983226 GFJ983219:GFJ983226 GPF983219:GPF983226 GZB983219:GZB983226 HIX983219:HIX983226 HST983219:HST983226 ICP983219:ICP983226 IML983219:IML983226 IWH983219:IWH983226 JGD983219:JGD983226 JPZ983219:JPZ983226 JZV983219:JZV983226 KJR983219:KJR983226 KTN983219:KTN983226 LDJ983219:LDJ983226 LNF983219:LNF983226 LXB983219:LXB983226 MGX983219:MGX983226 MQT983219:MQT983226 NAP983219:NAP983226 NKL983219:NKL983226 NUH983219:NUH983226 OED983219:OED983226 ONZ983219:ONZ983226 OXV983219:OXV983226 PHR983219:PHR983226 PRN983219:PRN983226 QBJ983219:QBJ983226 QLF983219:QLF983226 QVB983219:QVB983226 REX983219:REX983226 ROT983219:ROT983226 RYP983219:RYP983226 SIL983219:SIL983226 SSH983219:SSH983226 TCD983219:TCD983226 TLZ983219:TLZ983226 TVV983219:TVV983226 UFR983219:UFR983226 UPN983219:UPN983226 UZJ983219:UZJ983226 VJF983219:VJF983226 VTB983219:VTB983226 WCX983219:WCX983226 WMT983219:WMT983226 WWP983219:WWP983226 AH175:AH177 KD175:KD177 TZ175:TZ177 ADV175:ADV177 ANR175:ANR177 AXN175:AXN177 BHJ175:BHJ177 BRF175:BRF177 CBB175:CBB177 CKX175:CKX177 CUT175:CUT177 DEP175:DEP177 DOL175:DOL177 DYH175:DYH177 EID175:EID177 ERZ175:ERZ177 FBV175:FBV177 FLR175:FLR177 FVN175:FVN177 GFJ175:GFJ177 GPF175:GPF177 GZB175:GZB177 HIX175:HIX177 HST175:HST177 ICP175:ICP177 IML175:IML177 IWH175:IWH177 JGD175:JGD177 JPZ175:JPZ177 JZV175:JZV177 KJR175:KJR177 KTN175:KTN177 LDJ175:LDJ177 LNF175:LNF177 LXB175:LXB177 MGX175:MGX177 MQT175:MQT177 NAP175:NAP177 NKL175:NKL177 NUH175:NUH177 OED175:OED177 ONZ175:ONZ177 OXV175:OXV177 PHR175:PHR177 PRN175:PRN177 QBJ175:QBJ177 QLF175:QLF177 QVB175:QVB177 REX175:REX177 ROT175:ROT177 RYP175:RYP177 SIL175:SIL177 SSH175:SSH177 TCD175:TCD177 TLZ175:TLZ177 TVV175:TVV177 UFR175:UFR177 UPN175:UPN177 UZJ175:UZJ177 VJF175:VJF177 VTB175:VTB177 WCX175:WCX177 WMT175:WMT177 WWP175:WWP177 AH65711:AH65713 KD65711:KD65713 TZ65711:TZ65713 ADV65711:ADV65713 ANR65711:ANR65713 AXN65711:AXN65713 BHJ65711:BHJ65713 BRF65711:BRF65713 CBB65711:CBB65713 CKX65711:CKX65713 CUT65711:CUT65713 DEP65711:DEP65713 DOL65711:DOL65713 DYH65711:DYH65713 EID65711:EID65713 ERZ65711:ERZ65713 FBV65711:FBV65713 FLR65711:FLR65713 FVN65711:FVN65713 GFJ65711:GFJ65713 GPF65711:GPF65713 GZB65711:GZB65713 HIX65711:HIX65713 HST65711:HST65713 ICP65711:ICP65713 IML65711:IML65713 IWH65711:IWH65713 JGD65711:JGD65713 JPZ65711:JPZ65713 JZV65711:JZV65713 KJR65711:KJR65713 KTN65711:KTN65713 LDJ65711:LDJ65713 LNF65711:LNF65713 LXB65711:LXB65713 MGX65711:MGX65713 MQT65711:MQT65713 NAP65711:NAP65713 NKL65711:NKL65713 NUH65711:NUH65713 OED65711:OED65713 ONZ65711:ONZ65713 OXV65711:OXV65713 PHR65711:PHR65713 PRN65711:PRN65713 QBJ65711:QBJ65713 QLF65711:QLF65713 QVB65711:QVB65713 REX65711:REX65713 ROT65711:ROT65713 RYP65711:RYP65713 SIL65711:SIL65713 SSH65711:SSH65713 TCD65711:TCD65713 TLZ65711:TLZ65713 TVV65711:TVV65713 UFR65711:UFR65713 UPN65711:UPN65713 UZJ65711:UZJ65713 VJF65711:VJF65713 VTB65711:VTB65713 WCX65711:WCX65713 WMT65711:WMT65713 WWP65711:WWP65713 AH131247:AH131249 KD131247:KD131249 TZ131247:TZ131249 ADV131247:ADV131249 ANR131247:ANR131249 AXN131247:AXN131249 BHJ131247:BHJ131249 BRF131247:BRF131249 CBB131247:CBB131249 CKX131247:CKX131249 CUT131247:CUT131249 DEP131247:DEP131249 DOL131247:DOL131249 DYH131247:DYH131249 EID131247:EID131249 ERZ131247:ERZ131249 FBV131247:FBV131249 FLR131247:FLR131249 FVN131247:FVN131249 GFJ131247:GFJ131249 GPF131247:GPF131249 GZB131247:GZB131249 HIX131247:HIX131249 HST131247:HST131249 ICP131247:ICP131249 IML131247:IML131249 IWH131247:IWH131249 JGD131247:JGD131249 JPZ131247:JPZ131249 JZV131247:JZV131249 KJR131247:KJR131249 KTN131247:KTN131249 LDJ131247:LDJ131249 LNF131247:LNF131249 LXB131247:LXB131249 MGX131247:MGX131249 MQT131247:MQT131249 NAP131247:NAP131249 NKL131247:NKL131249 NUH131247:NUH131249 OED131247:OED131249 ONZ131247:ONZ131249 OXV131247:OXV131249 PHR131247:PHR131249 PRN131247:PRN131249 QBJ131247:QBJ131249 QLF131247:QLF131249 QVB131247:QVB131249 REX131247:REX131249 ROT131247:ROT131249 RYP131247:RYP131249 SIL131247:SIL131249 SSH131247:SSH131249 TCD131247:TCD131249 TLZ131247:TLZ131249 TVV131247:TVV131249 UFR131247:UFR131249 UPN131247:UPN131249 UZJ131247:UZJ131249 VJF131247:VJF131249 VTB131247:VTB131249 WCX131247:WCX131249 WMT131247:WMT131249 WWP131247:WWP131249 AH196783:AH196785 KD196783:KD196785 TZ196783:TZ196785 ADV196783:ADV196785 ANR196783:ANR196785 AXN196783:AXN196785 BHJ196783:BHJ196785 BRF196783:BRF196785 CBB196783:CBB196785 CKX196783:CKX196785 CUT196783:CUT196785 DEP196783:DEP196785 DOL196783:DOL196785 DYH196783:DYH196785 EID196783:EID196785 ERZ196783:ERZ196785 FBV196783:FBV196785 FLR196783:FLR196785 FVN196783:FVN196785 GFJ196783:GFJ196785 GPF196783:GPF196785 GZB196783:GZB196785 HIX196783:HIX196785 HST196783:HST196785 ICP196783:ICP196785 IML196783:IML196785 IWH196783:IWH196785 JGD196783:JGD196785 JPZ196783:JPZ196785 JZV196783:JZV196785 KJR196783:KJR196785 KTN196783:KTN196785 LDJ196783:LDJ196785 LNF196783:LNF196785 LXB196783:LXB196785 MGX196783:MGX196785 MQT196783:MQT196785 NAP196783:NAP196785 NKL196783:NKL196785 NUH196783:NUH196785 OED196783:OED196785 ONZ196783:ONZ196785 OXV196783:OXV196785 PHR196783:PHR196785 PRN196783:PRN196785 QBJ196783:QBJ196785 QLF196783:QLF196785 QVB196783:QVB196785 REX196783:REX196785 ROT196783:ROT196785 RYP196783:RYP196785 SIL196783:SIL196785 SSH196783:SSH196785 TCD196783:TCD196785 TLZ196783:TLZ196785 TVV196783:TVV196785 UFR196783:UFR196785 UPN196783:UPN196785 UZJ196783:UZJ196785 VJF196783:VJF196785 VTB196783:VTB196785 WCX196783:WCX196785 WMT196783:WMT196785 WWP196783:WWP196785 AH262319:AH262321 KD262319:KD262321 TZ262319:TZ262321 ADV262319:ADV262321 ANR262319:ANR262321 AXN262319:AXN262321 BHJ262319:BHJ262321 BRF262319:BRF262321 CBB262319:CBB262321 CKX262319:CKX262321 CUT262319:CUT262321 DEP262319:DEP262321 DOL262319:DOL262321 DYH262319:DYH262321 EID262319:EID262321 ERZ262319:ERZ262321 FBV262319:FBV262321 FLR262319:FLR262321 FVN262319:FVN262321 GFJ262319:GFJ262321 GPF262319:GPF262321 GZB262319:GZB262321 HIX262319:HIX262321 HST262319:HST262321 ICP262319:ICP262321 IML262319:IML262321 IWH262319:IWH262321 JGD262319:JGD262321 JPZ262319:JPZ262321 JZV262319:JZV262321 KJR262319:KJR262321 KTN262319:KTN262321 LDJ262319:LDJ262321 LNF262319:LNF262321 LXB262319:LXB262321 MGX262319:MGX262321 MQT262319:MQT262321 NAP262319:NAP262321 NKL262319:NKL262321 NUH262319:NUH262321 OED262319:OED262321 ONZ262319:ONZ262321 OXV262319:OXV262321 PHR262319:PHR262321 PRN262319:PRN262321 QBJ262319:QBJ262321 QLF262319:QLF262321 QVB262319:QVB262321 REX262319:REX262321 ROT262319:ROT262321 RYP262319:RYP262321 SIL262319:SIL262321 SSH262319:SSH262321 TCD262319:TCD262321 TLZ262319:TLZ262321 TVV262319:TVV262321 UFR262319:UFR262321 UPN262319:UPN262321 UZJ262319:UZJ262321 VJF262319:VJF262321 VTB262319:VTB262321 WCX262319:WCX262321 WMT262319:WMT262321 WWP262319:WWP262321 AH327855:AH327857 KD327855:KD327857 TZ327855:TZ327857 ADV327855:ADV327857 ANR327855:ANR327857 AXN327855:AXN327857 BHJ327855:BHJ327857 BRF327855:BRF327857 CBB327855:CBB327857 CKX327855:CKX327857 CUT327855:CUT327857 DEP327855:DEP327857 DOL327855:DOL327857 DYH327855:DYH327857 EID327855:EID327857 ERZ327855:ERZ327857 FBV327855:FBV327857 FLR327855:FLR327857 FVN327855:FVN327857 GFJ327855:GFJ327857 GPF327855:GPF327857 GZB327855:GZB327857 HIX327855:HIX327857 HST327855:HST327857 ICP327855:ICP327857 IML327855:IML327857 IWH327855:IWH327857 JGD327855:JGD327857 JPZ327855:JPZ327857 JZV327855:JZV327857 KJR327855:KJR327857 KTN327855:KTN327857 LDJ327855:LDJ327857 LNF327855:LNF327857 LXB327855:LXB327857 MGX327855:MGX327857 MQT327855:MQT327857 NAP327855:NAP327857 NKL327855:NKL327857 NUH327855:NUH327857 OED327855:OED327857 ONZ327855:ONZ327857 OXV327855:OXV327857 PHR327855:PHR327857 PRN327855:PRN327857 QBJ327855:QBJ327857 QLF327855:QLF327857 QVB327855:QVB327857 REX327855:REX327857 ROT327855:ROT327857 RYP327855:RYP327857 SIL327855:SIL327857 SSH327855:SSH327857 TCD327855:TCD327857 TLZ327855:TLZ327857 TVV327855:TVV327857 UFR327855:UFR327857 UPN327855:UPN327857 UZJ327855:UZJ327857 VJF327855:VJF327857 VTB327855:VTB327857 WCX327855:WCX327857 WMT327855:WMT327857 WWP327855:WWP327857 AH393391:AH393393 KD393391:KD393393 TZ393391:TZ393393 ADV393391:ADV393393 ANR393391:ANR393393 AXN393391:AXN393393 BHJ393391:BHJ393393 BRF393391:BRF393393 CBB393391:CBB393393 CKX393391:CKX393393 CUT393391:CUT393393 DEP393391:DEP393393 DOL393391:DOL393393 DYH393391:DYH393393 EID393391:EID393393 ERZ393391:ERZ393393 FBV393391:FBV393393 FLR393391:FLR393393 FVN393391:FVN393393 GFJ393391:GFJ393393 GPF393391:GPF393393 GZB393391:GZB393393 HIX393391:HIX393393 HST393391:HST393393 ICP393391:ICP393393 IML393391:IML393393 IWH393391:IWH393393 JGD393391:JGD393393 JPZ393391:JPZ393393 JZV393391:JZV393393 KJR393391:KJR393393 KTN393391:KTN393393 LDJ393391:LDJ393393 LNF393391:LNF393393 LXB393391:LXB393393 MGX393391:MGX393393 MQT393391:MQT393393 NAP393391:NAP393393 NKL393391:NKL393393 NUH393391:NUH393393 OED393391:OED393393 ONZ393391:ONZ393393 OXV393391:OXV393393 PHR393391:PHR393393 PRN393391:PRN393393 QBJ393391:QBJ393393 QLF393391:QLF393393 QVB393391:QVB393393 REX393391:REX393393 ROT393391:ROT393393 RYP393391:RYP393393 SIL393391:SIL393393 SSH393391:SSH393393 TCD393391:TCD393393 TLZ393391:TLZ393393 TVV393391:TVV393393 UFR393391:UFR393393 UPN393391:UPN393393 UZJ393391:UZJ393393 VJF393391:VJF393393 VTB393391:VTB393393 WCX393391:WCX393393 WMT393391:WMT393393 WWP393391:WWP393393 AH458927:AH458929 KD458927:KD458929 TZ458927:TZ458929 ADV458927:ADV458929 ANR458927:ANR458929 AXN458927:AXN458929 BHJ458927:BHJ458929 BRF458927:BRF458929 CBB458927:CBB458929 CKX458927:CKX458929 CUT458927:CUT458929 DEP458927:DEP458929 DOL458927:DOL458929 DYH458927:DYH458929 EID458927:EID458929 ERZ458927:ERZ458929 FBV458927:FBV458929 FLR458927:FLR458929 FVN458927:FVN458929 GFJ458927:GFJ458929 GPF458927:GPF458929 GZB458927:GZB458929 HIX458927:HIX458929 HST458927:HST458929 ICP458927:ICP458929 IML458927:IML458929 IWH458927:IWH458929 JGD458927:JGD458929 JPZ458927:JPZ458929 JZV458927:JZV458929 KJR458927:KJR458929 KTN458927:KTN458929 LDJ458927:LDJ458929 LNF458927:LNF458929 LXB458927:LXB458929 MGX458927:MGX458929 MQT458927:MQT458929 NAP458927:NAP458929 NKL458927:NKL458929 NUH458927:NUH458929 OED458927:OED458929 ONZ458927:ONZ458929 OXV458927:OXV458929 PHR458927:PHR458929 PRN458927:PRN458929 QBJ458927:QBJ458929 QLF458927:QLF458929 QVB458927:QVB458929 REX458927:REX458929 ROT458927:ROT458929 RYP458927:RYP458929 SIL458927:SIL458929 SSH458927:SSH458929 TCD458927:TCD458929 TLZ458927:TLZ458929 TVV458927:TVV458929 UFR458927:UFR458929 UPN458927:UPN458929 UZJ458927:UZJ458929 VJF458927:VJF458929 VTB458927:VTB458929 WCX458927:WCX458929 WMT458927:WMT458929 WWP458927:WWP458929 AH524463:AH524465 KD524463:KD524465 TZ524463:TZ524465 ADV524463:ADV524465 ANR524463:ANR524465 AXN524463:AXN524465 BHJ524463:BHJ524465 BRF524463:BRF524465 CBB524463:CBB524465 CKX524463:CKX524465 CUT524463:CUT524465 DEP524463:DEP524465 DOL524463:DOL524465 DYH524463:DYH524465 EID524463:EID524465 ERZ524463:ERZ524465 FBV524463:FBV524465 FLR524463:FLR524465 FVN524463:FVN524465 GFJ524463:GFJ524465 GPF524463:GPF524465 GZB524463:GZB524465 HIX524463:HIX524465 HST524463:HST524465 ICP524463:ICP524465 IML524463:IML524465 IWH524463:IWH524465 JGD524463:JGD524465 JPZ524463:JPZ524465 JZV524463:JZV524465 KJR524463:KJR524465 KTN524463:KTN524465 LDJ524463:LDJ524465 LNF524463:LNF524465 LXB524463:LXB524465 MGX524463:MGX524465 MQT524463:MQT524465 NAP524463:NAP524465 NKL524463:NKL524465 NUH524463:NUH524465 OED524463:OED524465 ONZ524463:ONZ524465 OXV524463:OXV524465 PHR524463:PHR524465 PRN524463:PRN524465 QBJ524463:QBJ524465 QLF524463:QLF524465 QVB524463:QVB524465 REX524463:REX524465 ROT524463:ROT524465 RYP524463:RYP524465 SIL524463:SIL524465 SSH524463:SSH524465 TCD524463:TCD524465 TLZ524463:TLZ524465 TVV524463:TVV524465 UFR524463:UFR524465 UPN524463:UPN524465 UZJ524463:UZJ524465 VJF524463:VJF524465 VTB524463:VTB524465 WCX524463:WCX524465 WMT524463:WMT524465 WWP524463:WWP524465 AH589999:AH590001 KD589999:KD590001 TZ589999:TZ590001 ADV589999:ADV590001 ANR589999:ANR590001 AXN589999:AXN590001 BHJ589999:BHJ590001 BRF589999:BRF590001 CBB589999:CBB590001 CKX589999:CKX590001 CUT589999:CUT590001 DEP589999:DEP590001 DOL589999:DOL590001 DYH589999:DYH590001 EID589999:EID590001 ERZ589999:ERZ590001 FBV589999:FBV590001 FLR589999:FLR590001 FVN589999:FVN590001 GFJ589999:GFJ590001 GPF589999:GPF590001 GZB589999:GZB590001 HIX589999:HIX590001 HST589999:HST590001 ICP589999:ICP590001 IML589999:IML590001 IWH589999:IWH590001 JGD589999:JGD590001 JPZ589999:JPZ590001 JZV589999:JZV590001 KJR589999:KJR590001 KTN589999:KTN590001 LDJ589999:LDJ590001 LNF589999:LNF590001 LXB589999:LXB590001 MGX589999:MGX590001 MQT589999:MQT590001 NAP589999:NAP590001 NKL589999:NKL590001 NUH589999:NUH590001 OED589999:OED590001 ONZ589999:ONZ590001 OXV589999:OXV590001 PHR589999:PHR590001 PRN589999:PRN590001 QBJ589999:QBJ590001 QLF589999:QLF590001 QVB589999:QVB590001 REX589999:REX590001 ROT589999:ROT590001 RYP589999:RYP590001 SIL589999:SIL590001 SSH589999:SSH590001 TCD589999:TCD590001 TLZ589999:TLZ590001 TVV589999:TVV590001 UFR589999:UFR590001 UPN589999:UPN590001 UZJ589999:UZJ590001 VJF589999:VJF590001 VTB589999:VTB590001 WCX589999:WCX590001 WMT589999:WMT590001 WWP589999:WWP590001 AH655535:AH655537 KD655535:KD655537 TZ655535:TZ655537 ADV655535:ADV655537 ANR655535:ANR655537 AXN655535:AXN655537 BHJ655535:BHJ655537 BRF655535:BRF655537 CBB655535:CBB655537 CKX655535:CKX655537 CUT655535:CUT655537 DEP655535:DEP655537 DOL655535:DOL655537 DYH655535:DYH655537 EID655535:EID655537 ERZ655535:ERZ655537 FBV655535:FBV655537 FLR655535:FLR655537 FVN655535:FVN655537 GFJ655535:GFJ655537 GPF655535:GPF655537 GZB655535:GZB655537 HIX655535:HIX655537 HST655535:HST655537 ICP655535:ICP655537 IML655535:IML655537 IWH655535:IWH655537 JGD655535:JGD655537 JPZ655535:JPZ655537 JZV655535:JZV655537 KJR655535:KJR655537 KTN655535:KTN655537 LDJ655535:LDJ655537 LNF655535:LNF655537 LXB655535:LXB655537 MGX655535:MGX655537 MQT655535:MQT655537 NAP655535:NAP655537 NKL655535:NKL655537 NUH655535:NUH655537 OED655535:OED655537 ONZ655535:ONZ655537 OXV655535:OXV655537 PHR655535:PHR655537 PRN655535:PRN655537 QBJ655535:QBJ655537 QLF655535:QLF655537 QVB655535:QVB655537 REX655535:REX655537 ROT655535:ROT655537 RYP655535:RYP655537 SIL655535:SIL655537 SSH655535:SSH655537 TCD655535:TCD655537 TLZ655535:TLZ655537 TVV655535:TVV655537 UFR655535:UFR655537 UPN655535:UPN655537 UZJ655535:UZJ655537 VJF655535:VJF655537 VTB655535:VTB655537 WCX655535:WCX655537 WMT655535:WMT655537 WWP655535:WWP655537 AH721071:AH721073 KD721071:KD721073 TZ721071:TZ721073 ADV721071:ADV721073 ANR721071:ANR721073 AXN721071:AXN721073 BHJ721071:BHJ721073 BRF721071:BRF721073 CBB721071:CBB721073 CKX721071:CKX721073 CUT721071:CUT721073 DEP721071:DEP721073 DOL721071:DOL721073 DYH721071:DYH721073 EID721071:EID721073 ERZ721071:ERZ721073 FBV721071:FBV721073 FLR721071:FLR721073 FVN721071:FVN721073 GFJ721071:GFJ721073 GPF721071:GPF721073 GZB721071:GZB721073 HIX721071:HIX721073 HST721071:HST721073 ICP721071:ICP721073 IML721071:IML721073 IWH721071:IWH721073 JGD721071:JGD721073 JPZ721071:JPZ721073 JZV721071:JZV721073 KJR721071:KJR721073 KTN721071:KTN721073 LDJ721071:LDJ721073 LNF721071:LNF721073 LXB721071:LXB721073 MGX721071:MGX721073 MQT721071:MQT721073 NAP721071:NAP721073 NKL721071:NKL721073 NUH721071:NUH721073 OED721071:OED721073 ONZ721071:ONZ721073 OXV721071:OXV721073 PHR721071:PHR721073 PRN721071:PRN721073 QBJ721071:QBJ721073 QLF721071:QLF721073 QVB721071:QVB721073 REX721071:REX721073 ROT721071:ROT721073 RYP721071:RYP721073 SIL721071:SIL721073 SSH721071:SSH721073 TCD721071:TCD721073 TLZ721071:TLZ721073 TVV721071:TVV721073 UFR721071:UFR721073 UPN721071:UPN721073 UZJ721071:UZJ721073 VJF721071:VJF721073 VTB721071:VTB721073 WCX721071:WCX721073 WMT721071:WMT721073 WWP721071:WWP721073 AH786607:AH786609 KD786607:KD786609 TZ786607:TZ786609 ADV786607:ADV786609 ANR786607:ANR786609 AXN786607:AXN786609 BHJ786607:BHJ786609 BRF786607:BRF786609 CBB786607:CBB786609 CKX786607:CKX786609 CUT786607:CUT786609 DEP786607:DEP786609 DOL786607:DOL786609 DYH786607:DYH786609 EID786607:EID786609 ERZ786607:ERZ786609 FBV786607:FBV786609 FLR786607:FLR786609 FVN786607:FVN786609 GFJ786607:GFJ786609 GPF786607:GPF786609 GZB786607:GZB786609 HIX786607:HIX786609 HST786607:HST786609 ICP786607:ICP786609 IML786607:IML786609 IWH786607:IWH786609 JGD786607:JGD786609 JPZ786607:JPZ786609 JZV786607:JZV786609 KJR786607:KJR786609 KTN786607:KTN786609 LDJ786607:LDJ786609 LNF786607:LNF786609 LXB786607:LXB786609 MGX786607:MGX786609 MQT786607:MQT786609 NAP786607:NAP786609 NKL786607:NKL786609 NUH786607:NUH786609 OED786607:OED786609 ONZ786607:ONZ786609 OXV786607:OXV786609 PHR786607:PHR786609 PRN786607:PRN786609 QBJ786607:QBJ786609 QLF786607:QLF786609 QVB786607:QVB786609 REX786607:REX786609 ROT786607:ROT786609 RYP786607:RYP786609 SIL786607:SIL786609 SSH786607:SSH786609 TCD786607:TCD786609 TLZ786607:TLZ786609 TVV786607:TVV786609 UFR786607:UFR786609 UPN786607:UPN786609 UZJ786607:UZJ786609 VJF786607:VJF786609 VTB786607:VTB786609 WCX786607:WCX786609 WMT786607:WMT786609 WWP786607:WWP786609 AH852143:AH852145 KD852143:KD852145 TZ852143:TZ852145 ADV852143:ADV852145 ANR852143:ANR852145 AXN852143:AXN852145 BHJ852143:BHJ852145 BRF852143:BRF852145 CBB852143:CBB852145 CKX852143:CKX852145 CUT852143:CUT852145 DEP852143:DEP852145 DOL852143:DOL852145 DYH852143:DYH852145 EID852143:EID852145 ERZ852143:ERZ852145 FBV852143:FBV852145 FLR852143:FLR852145 FVN852143:FVN852145 GFJ852143:GFJ852145 GPF852143:GPF852145 GZB852143:GZB852145 HIX852143:HIX852145 HST852143:HST852145 ICP852143:ICP852145 IML852143:IML852145 IWH852143:IWH852145 JGD852143:JGD852145 JPZ852143:JPZ852145 JZV852143:JZV852145 KJR852143:KJR852145 KTN852143:KTN852145 LDJ852143:LDJ852145 LNF852143:LNF852145 LXB852143:LXB852145 MGX852143:MGX852145 MQT852143:MQT852145 NAP852143:NAP852145 NKL852143:NKL852145 NUH852143:NUH852145 OED852143:OED852145 ONZ852143:ONZ852145 OXV852143:OXV852145 PHR852143:PHR852145 PRN852143:PRN852145 QBJ852143:QBJ852145 QLF852143:QLF852145 QVB852143:QVB852145 REX852143:REX852145 ROT852143:ROT852145 RYP852143:RYP852145 SIL852143:SIL852145 SSH852143:SSH852145 TCD852143:TCD852145 TLZ852143:TLZ852145 TVV852143:TVV852145 UFR852143:UFR852145 UPN852143:UPN852145 UZJ852143:UZJ852145 VJF852143:VJF852145 VTB852143:VTB852145 WCX852143:WCX852145 WMT852143:WMT852145 WWP852143:WWP852145 AH917679:AH917681 KD917679:KD917681 TZ917679:TZ917681 ADV917679:ADV917681 ANR917679:ANR917681 AXN917679:AXN917681 BHJ917679:BHJ917681 BRF917679:BRF917681 CBB917679:CBB917681 CKX917679:CKX917681 CUT917679:CUT917681 DEP917679:DEP917681 DOL917679:DOL917681 DYH917679:DYH917681 EID917679:EID917681 ERZ917679:ERZ917681 FBV917679:FBV917681 FLR917679:FLR917681 FVN917679:FVN917681 GFJ917679:GFJ917681 GPF917679:GPF917681 GZB917679:GZB917681 HIX917679:HIX917681 HST917679:HST917681 ICP917679:ICP917681 IML917679:IML917681 IWH917679:IWH917681 JGD917679:JGD917681 JPZ917679:JPZ917681 JZV917679:JZV917681 KJR917679:KJR917681 KTN917679:KTN917681 LDJ917679:LDJ917681 LNF917679:LNF917681 LXB917679:LXB917681 MGX917679:MGX917681 MQT917679:MQT917681 NAP917679:NAP917681 NKL917679:NKL917681 NUH917679:NUH917681 OED917679:OED917681 ONZ917679:ONZ917681 OXV917679:OXV917681 PHR917679:PHR917681 PRN917679:PRN917681 QBJ917679:QBJ917681 QLF917679:QLF917681 QVB917679:QVB917681 REX917679:REX917681 ROT917679:ROT917681 RYP917679:RYP917681 SIL917679:SIL917681 SSH917679:SSH917681 TCD917679:TCD917681 TLZ917679:TLZ917681 TVV917679:TVV917681 UFR917679:UFR917681 UPN917679:UPN917681 UZJ917679:UZJ917681 VJF917679:VJF917681 VTB917679:VTB917681 WCX917679:WCX917681 WMT917679:WMT917681 WWP917679:WWP917681 AH983215:AH983217 KD983215:KD983217 TZ983215:TZ983217 ADV983215:ADV983217 ANR983215:ANR983217 AXN983215:AXN983217 BHJ983215:BHJ983217 BRF983215:BRF983217 CBB983215:CBB983217 CKX983215:CKX983217 CUT983215:CUT983217 DEP983215:DEP983217 DOL983215:DOL983217 DYH983215:DYH983217 EID983215:EID983217 ERZ983215:ERZ983217 FBV983215:FBV983217 FLR983215:FLR983217 FVN983215:FVN983217 GFJ983215:GFJ983217 GPF983215:GPF983217 GZB983215:GZB983217 HIX983215:HIX983217 HST983215:HST983217 ICP983215:ICP983217 IML983215:IML983217 IWH983215:IWH983217 JGD983215:JGD983217 JPZ983215:JPZ983217 JZV983215:JZV983217 KJR983215:KJR983217 KTN983215:KTN983217 LDJ983215:LDJ983217 LNF983215:LNF983217 LXB983215:LXB983217 MGX983215:MGX983217 MQT983215:MQT983217 NAP983215:NAP983217 NKL983215:NKL983217 NUH983215:NUH983217 OED983215:OED983217 ONZ983215:ONZ983217 OXV983215:OXV983217 PHR983215:PHR983217 PRN983215:PRN983217 QBJ983215:QBJ983217 QLF983215:QLF983217 QVB983215:QVB983217 REX983215:REX983217 ROT983215:ROT983217 RYP983215:RYP983217 SIL983215:SIL983217 SSH983215:SSH983217 TCD983215:TCD983217 TLZ983215:TLZ983217 TVV983215:TVV983217 UFR983215:UFR983217 UPN983215:UPN983217 UZJ983215:UZJ983217 VJF983215:VJF983217 VTB983215:VTB983217 WCX983215:WCX983217 WMT983215:WMT983217 WWP983215:WWP983217 TZ66:TZ74 KD170:KD173 TZ170:TZ173 ADV170:ADV173 ANR170:ANR173 AXN170:AXN173 BHJ170:BHJ173 BRF170:BRF173 CBB170:CBB173 CKX170:CKX173 CUT170:CUT173 DEP170:DEP173 DOL170:DOL173 DYH170:DYH173 EID170:EID173 ERZ170:ERZ173 FBV170:FBV173 FLR170:FLR173 FVN170:FVN173 GFJ170:GFJ173 GPF170:GPF173 GZB170:GZB173 HIX170:HIX173 HST170:HST173 ICP170:ICP173 IML170:IML173 IWH170:IWH173 JGD170:JGD173 JPZ170:JPZ173 JZV170:JZV173 KJR170:KJR173 KTN170:KTN173 LDJ170:LDJ173 LNF170:LNF173 LXB170:LXB173 MGX170:MGX173 MQT170:MQT173 NAP170:NAP173 NKL170:NKL173 NUH170:NUH173 OED170:OED173 ONZ170:ONZ173 OXV170:OXV173 PHR170:PHR173 PRN170:PRN173 QBJ170:QBJ173 QLF170:QLF173 QVB170:QVB173 REX170:REX173 ROT170:ROT173 RYP170:RYP173 SIL170:SIL173 SSH170:SSH173 TCD170:TCD173 TLZ170:TLZ173 TVV170:TVV173 UFR170:UFR173 UPN170:UPN173 UZJ170:UZJ173 VJF170:VJF173 VTB170:VTB173 WCX170:WCX173 WMT170:WMT173 WWP170:WWP173 AH65707:AH65709 KD65707:KD65709 TZ65707:TZ65709 ADV65707:ADV65709 ANR65707:ANR65709 AXN65707:AXN65709 BHJ65707:BHJ65709 BRF65707:BRF65709 CBB65707:CBB65709 CKX65707:CKX65709 CUT65707:CUT65709 DEP65707:DEP65709 DOL65707:DOL65709 DYH65707:DYH65709 EID65707:EID65709 ERZ65707:ERZ65709 FBV65707:FBV65709 FLR65707:FLR65709 FVN65707:FVN65709 GFJ65707:GFJ65709 GPF65707:GPF65709 GZB65707:GZB65709 HIX65707:HIX65709 HST65707:HST65709 ICP65707:ICP65709 IML65707:IML65709 IWH65707:IWH65709 JGD65707:JGD65709 JPZ65707:JPZ65709 JZV65707:JZV65709 KJR65707:KJR65709 KTN65707:KTN65709 LDJ65707:LDJ65709 LNF65707:LNF65709 LXB65707:LXB65709 MGX65707:MGX65709 MQT65707:MQT65709 NAP65707:NAP65709 NKL65707:NKL65709 NUH65707:NUH65709 OED65707:OED65709 ONZ65707:ONZ65709 OXV65707:OXV65709 PHR65707:PHR65709 PRN65707:PRN65709 QBJ65707:QBJ65709 QLF65707:QLF65709 QVB65707:QVB65709 REX65707:REX65709 ROT65707:ROT65709 RYP65707:RYP65709 SIL65707:SIL65709 SSH65707:SSH65709 TCD65707:TCD65709 TLZ65707:TLZ65709 TVV65707:TVV65709 UFR65707:UFR65709 UPN65707:UPN65709 UZJ65707:UZJ65709 VJF65707:VJF65709 VTB65707:VTB65709 WCX65707:WCX65709 WMT65707:WMT65709 WWP65707:WWP65709 AH131243:AH131245 KD131243:KD131245 TZ131243:TZ131245 ADV131243:ADV131245 ANR131243:ANR131245 AXN131243:AXN131245 BHJ131243:BHJ131245 BRF131243:BRF131245 CBB131243:CBB131245 CKX131243:CKX131245 CUT131243:CUT131245 DEP131243:DEP131245 DOL131243:DOL131245 DYH131243:DYH131245 EID131243:EID131245 ERZ131243:ERZ131245 FBV131243:FBV131245 FLR131243:FLR131245 FVN131243:FVN131245 GFJ131243:GFJ131245 GPF131243:GPF131245 GZB131243:GZB131245 HIX131243:HIX131245 HST131243:HST131245 ICP131243:ICP131245 IML131243:IML131245 IWH131243:IWH131245 JGD131243:JGD131245 JPZ131243:JPZ131245 JZV131243:JZV131245 KJR131243:KJR131245 KTN131243:KTN131245 LDJ131243:LDJ131245 LNF131243:LNF131245 LXB131243:LXB131245 MGX131243:MGX131245 MQT131243:MQT131245 NAP131243:NAP131245 NKL131243:NKL131245 NUH131243:NUH131245 OED131243:OED131245 ONZ131243:ONZ131245 OXV131243:OXV131245 PHR131243:PHR131245 PRN131243:PRN131245 QBJ131243:QBJ131245 QLF131243:QLF131245 QVB131243:QVB131245 REX131243:REX131245 ROT131243:ROT131245 RYP131243:RYP131245 SIL131243:SIL131245 SSH131243:SSH131245 TCD131243:TCD131245 TLZ131243:TLZ131245 TVV131243:TVV131245 UFR131243:UFR131245 UPN131243:UPN131245 UZJ131243:UZJ131245 VJF131243:VJF131245 VTB131243:VTB131245 WCX131243:WCX131245 WMT131243:WMT131245 WWP131243:WWP131245 AH196779:AH196781 KD196779:KD196781 TZ196779:TZ196781 ADV196779:ADV196781 ANR196779:ANR196781 AXN196779:AXN196781 BHJ196779:BHJ196781 BRF196779:BRF196781 CBB196779:CBB196781 CKX196779:CKX196781 CUT196779:CUT196781 DEP196779:DEP196781 DOL196779:DOL196781 DYH196779:DYH196781 EID196779:EID196781 ERZ196779:ERZ196781 FBV196779:FBV196781 FLR196779:FLR196781 FVN196779:FVN196781 GFJ196779:GFJ196781 GPF196779:GPF196781 GZB196779:GZB196781 HIX196779:HIX196781 HST196779:HST196781 ICP196779:ICP196781 IML196779:IML196781 IWH196779:IWH196781 JGD196779:JGD196781 JPZ196779:JPZ196781 JZV196779:JZV196781 KJR196779:KJR196781 KTN196779:KTN196781 LDJ196779:LDJ196781 LNF196779:LNF196781 LXB196779:LXB196781 MGX196779:MGX196781 MQT196779:MQT196781 NAP196779:NAP196781 NKL196779:NKL196781 NUH196779:NUH196781 OED196779:OED196781 ONZ196779:ONZ196781 OXV196779:OXV196781 PHR196779:PHR196781 PRN196779:PRN196781 QBJ196779:QBJ196781 QLF196779:QLF196781 QVB196779:QVB196781 REX196779:REX196781 ROT196779:ROT196781 RYP196779:RYP196781 SIL196779:SIL196781 SSH196779:SSH196781 TCD196779:TCD196781 TLZ196779:TLZ196781 TVV196779:TVV196781 UFR196779:UFR196781 UPN196779:UPN196781 UZJ196779:UZJ196781 VJF196779:VJF196781 VTB196779:VTB196781 WCX196779:WCX196781 WMT196779:WMT196781 WWP196779:WWP196781 AH262315:AH262317 KD262315:KD262317 TZ262315:TZ262317 ADV262315:ADV262317 ANR262315:ANR262317 AXN262315:AXN262317 BHJ262315:BHJ262317 BRF262315:BRF262317 CBB262315:CBB262317 CKX262315:CKX262317 CUT262315:CUT262317 DEP262315:DEP262317 DOL262315:DOL262317 DYH262315:DYH262317 EID262315:EID262317 ERZ262315:ERZ262317 FBV262315:FBV262317 FLR262315:FLR262317 FVN262315:FVN262317 GFJ262315:GFJ262317 GPF262315:GPF262317 GZB262315:GZB262317 HIX262315:HIX262317 HST262315:HST262317 ICP262315:ICP262317 IML262315:IML262317 IWH262315:IWH262317 JGD262315:JGD262317 JPZ262315:JPZ262317 JZV262315:JZV262317 KJR262315:KJR262317 KTN262315:KTN262317 LDJ262315:LDJ262317 LNF262315:LNF262317 LXB262315:LXB262317 MGX262315:MGX262317 MQT262315:MQT262317 NAP262315:NAP262317 NKL262315:NKL262317 NUH262315:NUH262317 OED262315:OED262317 ONZ262315:ONZ262317 OXV262315:OXV262317 PHR262315:PHR262317 PRN262315:PRN262317 QBJ262315:QBJ262317 QLF262315:QLF262317 QVB262315:QVB262317 REX262315:REX262317 ROT262315:ROT262317 RYP262315:RYP262317 SIL262315:SIL262317 SSH262315:SSH262317 TCD262315:TCD262317 TLZ262315:TLZ262317 TVV262315:TVV262317 UFR262315:UFR262317 UPN262315:UPN262317 UZJ262315:UZJ262317 VJF262315:VJF262317 VTB262315:VTB262317 WCX262315:WCX262317 WMT262315:WMT262317 WWP262315:WWP262317 AH327851:AH327853 KD327851:KD327853 TZ327851:TZ327853 ADV327851:ADV327853 ANR327851:ANR327853 AXN327851:AXN327853 BHJ327851:BHJ327853 BRF327851:BRF327853 CBB327851:CBB327853 CKX327851:CKX327853 CUT327851:CUT327853 DEP327851:DEP327853 DOL327851:DOL327853 DYH327851:DYH327853 EID327851:EID327853 ERZ327851:ERZ327853 FBV327851:FBV327853 FLR327851:FLR327853 FVN327851:FVN327853 GFJ327851:GFJ327853 GPF327851:GPF327853 GZB327851:GZB327853 HIX327851:HIX327853 HST327851:HST327853 ICP327851:ICP327853 IML327851:IML327853 IWH327851:IWH327853 JGD327851:JGD327853 JPZ327851:JPZ327853 JZV327851:JZV327853 KJR327851:KJR327853 KTN327851:KTN327853 LDJ327851:LDJ327853 LNF327851:LNF327853 LXB327851:LXB327853 MGX327851:MGX327853 MQT327851:MQT327853 NAP327851:NAP327853 NKL327851:NKL327853 NUH327851:NUH327853 OED327851:OED327853 ONZ327851:ONZ327853 OXV327851:OXV327853 PHR327851:PHR327853 PRN327851:PRN327853 QBJ327851:QBJ327853 QLF327851:QLF327853 QVB327851:QVB327853 REX327851:REX327853 ROT327851:ROT327853 RYP327851:RYP327853 SIL327851:SIL327853 SSH327851:SSH327853 TCD327851:TCD327853 TLZ327851:TLZ327853 TVV327851:TVV327853 UFR327851:UFR327853 UPN327851:UPN327853 UZJ327851:UZJ327853 VJF327851:VJF327853 VTB327851:VTB327853 WCX327851:WCX327853 WMT327851:WMT327853 WWP327851:WWP327853 AH393387:AH393389 KD393387:KD393389 TZ393387:TZ393389 ADV393387:ADV393389 ANR393387:ANR393389 AXN393387:AXN393389 BHJ393387:BHJ393389 BRF393387:BRF393389 CBB393387:CBB393389 CKX393387:CKX393389 CUT393387:CUT393389 DEP393387:DEP393389 DOL393387:DOL393389 DYH393387:DYH393389 EID393387:EID393389 ERZ393387:ERZ393389 FBV393387:FBV393389 FLR393387:FLR393389 FVN393387:FVN393389 GFJ393387:GFJ393389 GPF393387:GPF393389 GZB393387:GZB393389 HIX393387:HIX393389 HST393387:HST393389 ICP393387:ICP393389 IML393387:IML393389 IWH393387:IWH393389 JGD393387:JGD393389 JPZ393387:JPZ393389 JZV393387:JZV393389 KJR393387:KJR393389 KTN393387:KTN393389 LDJ393387:LDJ393389 LNF393387:LNF393389 LXB393387:LXB393389 MGX393387:MGX393389 MQT393387:MQT393389 NAP393387:NAP393389 NKL393387:NKL393389 NUH393387:NUH393389 OED393387:OED393389 ONZ393387:ONZ393389 OXV393387:OXV393389 PHR393387:PHR393389 PRN393387:PRN393389 QBJ393387:QBJ393389 QLF393387:QLF393389 QVB393387:QVB393389 REX393387:REX393389 ROT393387:ROT393389 RYP393387:RYP393389 SIL393387:SIL393389 SSH393387:SSH393389 TCD393387:TCD393389 TLZ393387:TLZ393389 TVV393387:TVV393389 UFR393387:UFR393389 UPN393387:UPN393389 UZJ393387:UZJ393389 VJF393387:VJF393389 VTB393387:VTB393389 WCX393387:WCX393389 WMT393387:WMT393389 WWP393387:WWP393389 AH458923:AH458925 KD458923:KD458925 TZ458923:TZ458925 ADV458923:ADV458925 ANR458923:ANR458925 AXN458923:AXN458925 BHJ458923:BHJ458925 BRF458923:BRF458925 CBB458923:CBB458925 CKX458923:CKX458925 CUT458923:CUT458925 DEP458923:DEP458925 DOL458923:DOL458925 DYH458923:DYH458925 EID458923:EID458925 ERZ458923:ERZ458925 FBV458923:FBV458925 FLR458923:FLR458925 FVN458923:FVN458925 GFJ458923:GFJ458925 GPF458923:GPF458925 GZB458923:GZB458925 HIX458923:HIX458925 HST458923:HST458925 ICP458923:ICP458925 IML458923:IML458925 IWH458923:IWH458925 JGD458923:JGD458925 JPZ458923:JPZ458925 JZV458923:JZV458925 KJR458923:KJR458925 KTN458923:KTN458925 LDJ458923:LDJ458925 LNF458923:LNF458925 LXB458923:LXB458925 MGX458923:MGX458925 MQT458923:MQT458925 NAP458923:NAP458925 NKL458923:NKL458925 NUH458923:NUH458925 OED458923:OED458925 ONZ458923:ONZ458925 OXV458923:OXV458925 PHR458923:PHR458925 PRN458923:PRN458925 QBJ458923:QBJ458925 QLF458923:QLF458925 QVB458923:QVB458925 REX458923:REX458925 ROT458923:ROT458925 RYP458923:RYP458925 SIL458923:SIL458925 SSH458923:SSH458925 TCD458923:TCD458925 TLZ458923:TLZ458925 TVV458923:TVV458925 UFR458923:UFR458925 UPN458923:UPN458925 UZJ458923:UZJ458925 VJF458923:VJF458925 VTB458923:VTB458925 WCX458923:WCX458925 WMT458923:WMT458925 WWP458923:WWP458925 AH524459:AH524461 KD524459:KD524461 TZ524459:TZ524461 ADV524459:ADV524461 ANR524459:ANR524461 AXN524459:AXN524461 BHJ524459:BHJ524461 BRF524459:BRF524461 CBB524459:CBB524461 CKX524459:CKX524461 CUT524459:CUT524461 DEP524459:DEP524461 DOL524459:DOL524461 DYH524459:DYH524461 EID524459:EID524461 ERZ524459:ERZ524461 FBV524459:FBV524461 FLR524459:FLR524461 FVN524459:FVN524461 GFJ524459:GFJ524461 GPF524459:GPF524461 GZB524459:GZB524461 HIX524459:HIX524461 HST524459:HST524461 ICP524459:ICP524461 IML524459:IML524461 IWH524459:IWH524461 JGD524459:JGD524461 JPZ524459:JPZ524461 JZV524459:JZV524461 KJR524459:KJR524461 KTN524459:KTN524461 LDJ524459:LDJ524461 LNF524459:LNF524461 LXB524459:LXB524461 MGX524459:MGX524461 MQT524459:MQT524461 NAP524459:NAP524461 NKL524459:NKL524461 NUH524459:NUH524461 OED524459:OED524461 ONZ524459:ONZ524461 OXV524459:OXV524461 PHR524459:PHR524461 PRN524459:PRN524461 QBJ524459:QBJ524461 QLF524459:QLF524461 QVB524459:QVB524461 REX524459:REX524461 ROT524459:ROT524461 RYP524459:RYP524461 SIL524459:SIL524461 SSH524459:SSH524461 TCD524459:TCD524461 TLZ524459:TLZ524461 TVV524459:TVV524461 UFR524459:UFR524461 UPN524459:UPN524461 UZJ524459:UZJ524461 VJF524459:VJF524461 VTB524459:VTB524461 WCX524459:WCX524461 WMT524459:WMT524461 WWP524459:WWP524461 AH589995:AH589997 KD589995:KD589997 TZ589995:TZ589997 ADV589995:ADV589997 ANR589995:ANR589997 AXN589995:AXN589997 BHJ589995:BHJ589997 BRF589995:BRF589997 CBB589995:CBB589997 CKX589995:CKX589997 CUT589995:CUT589997 DEP589995:DEP589997 DOL589995:DOL589997 DYH589995:DYH589997 EID589995:EID589997 ERZ589995:ERZ589997 FBV589995:FBV589997 FLR589995:FLR589997 FVN589995:FVN589997 GFJ589995:GFJ589997 GPF589995:GPF589997 GZB589995:GZB589997 HIX589995:HIX589997 HST589995:HST589997 ICP589995:ICP589997 IML589995:IML589997 IWH589995:IWH589997 JGD589995:JGD589997 JPZ589995:JPZ589997 JZV589995:JZV589997 KJR589995:KJR589997 KTN589995:KTN589997 LDJ589995:LDJ589997 LNF589995:LNF589997 LXB589995:LXB589997 MGX589995:MGX589997 MQT589995:MQT589997 NAP589995:NAP589997 NKL589995:NKL589997 NUH589995:NUH589997 OED589995:OED589997 ONZ589995:ONZ589997 OXV589995:OXV589997 PHR589995:PHR589997 PRN589995:PRN589997 QBJ589995:QBJ589997 QLF589995:QLF589997 QVB589995:QVB589997 REX589995:REX589997 ROT589995:ROT589997 RYP589995:RYP589997 SIL589995:SIL589997 SSH589995:SSH589997 TCD589995:TCD589997 TLZ589995:TLZ589997 TVV589995:TVV589997 UFR589995:UFR589997 UPN589995:UPN589997 UZJ589995:UZJ589997 VJF589995:VJF589997 VTB589995:VTB589997 WCX589995:WCX589997 WMT589995:WMT589997 WWP589995:WWP589997 AH655531:AH655533 KD655531:KD655533 TZ655531:TZ655533 ADV655531:ADV655533 ANR655531:ANR655533 AXN655531:AXN655533 BHJ655531:BHJ655533 BRF655531:BRF655533 CBB655531:CBB655533 CKX655531:CKX655533 CUT655531:CUT655533 DEP655531:DEP655533 DOL655531:DOL655533 DYH655531:DYH655533 EID655531:EID655533 ERZ655531:ERZ655533 FBV655531:FBV655533 FLR655531:FLR655533 FVN655531:FVN655533 GFJ655531:GFJ655533 GPF655531:GPF655533 GZB655531:GZB655533 HIX655531:HIX655533 HST655531:HST655533 ICP655531:ICP655533 IML655531:IML655533 IWH655531:IWH655533 JGD655531:JGD655533 JPZ655531:JPZ655533 JZV655531:JZV655533 KJR655531:KJR655533 KTN655531:KTN655533 LDJ655531:LDJ655533 LNF655531:LNF655533 LXB655531:LXB655533 MGX655531:MGX655533 MQT655531:MQT655533 NAP655531:NAP655533 NKL655531:NKL655533 NUH655531:NUH655533 OED655531:OED655533 ONZ655531:ONZ655533 OXV655531:OXV655533 PHR655531:PHR655533 PRN655531:PRN655533 QBJ655531:QBJ655533 QLF655531:QLF655533 QVB655531:QVB655533 REX655531:REX655533 ROT655531:ROT655533 RYP655531:RYP655533 SIL655531:SIL655533 SSH655531:SSH655533 TCD655531:TCD655533 TLZ655531:TLZ655533 TVV655531:TVV655533 UFR655531:UFR655533 UPN655531:UPN655533 UZJ655531:UZJ655533 VJF655531:VJF655533 VTB655531:VTB655533 WCX655531:WCX655533 WMT655531:WMT655533 WWP655531:WWP655533 AH721067:AH721069 KD721067:KD721069 TZ721067:TZ721069 ADV721067:ADV721069 ANR721067:ANR721069 AXN721067:AXN721069 BHJ721067:BHJ721069 BRF721067:BRF721069 CBB721067:CBB721069 CKX721067:CKX721069 CUT721067:CUT721069 DEP721067:DEP721069 DOL721067:DOL721069 DYH721067:DYH721069 EID721067:EID721069 ERZ721067:ERZ721069 FBV721067:FBV721069 FLR721067:FLR721069 FVN721067:FVN721069 GFJ721067:GFJ721069 GPF721067:GPF721069 GZB721067:GZB721069 HIX721067:HIX721069 HST721067:HST721069 ICP721067:ICP721069 IML721067:IML721069 IWH721067:IWH721069 JGD721067:JGD721069 JPZ721067:JPZ721069 JZV721067:JZV721069 KJR721067:KJR721069 KTN721067:KTN721069 LDJ721067:LDJ721069 LNF721067:LNF721069 LXB721067:LXB721069 MGX721067:MGX721069 MQT721067:MQT721069 NAP721067:NAP721069 NKL721067:NKL721069 NUH721067:NUH721069 OED721067:OED721069 ONZ721067:ONZ721069 OXV721067:OXV721069 PHR721067:PHR721069 PRN721067:PRN721069 QBJ721067:QBJ721069 QLF721067:QLF721069 QVB721067:QVB721069 REX721067:REX721069 ROT721067:ROT721069 RYP721067:RYP721069 SIL721067:SIL721069 SSH721067:SSH721069 TCD721067:TCD721069 TLZ721067:TLZ721069 TVV721067:TVV721069 UFR721067:UFR721069 UPN721067:UPN721069 UZJ721067:UZJ721069 VJF721067:VJF721069 VTB721067:VTB721069 WCX721067:WCX721069 WMT721067:WMT721069 WWP721067:WWP721069 AH786603:AH786605 KD786603:KD786605 TZ786603:TZ786605 ADV786603:ADV786605 ANR786603:ANR786605 AXN786603:AXN786605 BHJ786603:BHJ786605 BRF786603:BRF786605 CBB786603:CBB786605 CKX786603:CKX786605 CUT786603:CUT786605 DEP786603:DEP786605 DOL786603:DOL786605 DYH786603:DYH786605 EID786603:EID786605 ERZ786603:ERZ786605 FBV786603:FBV786605 FLR786603:FLR786605 FVN786603:FVN786605 GFJ786603:GFJ786605 GPF786603:GPF786605 GZB786603:GZB786605 HIX786603:HIX786605 HST786603:HST786605 ICP786603:ICP786605 IML786603:IML786605 IWH786603:IWH786605 JGD786603:JGD786605 JPZ786603:JPZ786605 JZV786603:JZV786605 KJR786603:KJR786605 KTN786603:KTN786605 LDJ786603:LDJ786605 LNF786603:LNF786605 LXB786603:LXB786605 MGX786603:MGX786605 MQT786603:MQT786605 NAP786603:NAP786605 NKL786603:NKL786605 NUH786603:NUH786605 OED786603:OED786605 ONZ786603:ONZ786605 OXV786603:OXV786605 PHR786603:PHR786605 PRN786603:PRN786605 QBJ786603:QBJ786605 QLF786603:QLF786605 QVB786603:QVB786605 REX786603:REX786605 ROT786603:ROT786605 RYP786603:RYP786605 SIL786603:SIL786605 SSH786603:SSH786605 TCD786603:TCD786605 TLZ786603:TLZ786605 TVV786603:TVV786605 UFR786603:UFR786605 UPN786603:UPN786605 UZJ786603:UZJ786605 VJF786603:VJF786605 VTB786603:VTB786605 WCX786603:WCX786605 WMT786603:WMT786605 WWP786603:WWP786605 AH852139:AH852141 KD852139:KD852141 TZ852139:TZ852141 ADV852139:ADV852141 ANR852139:ANR852141 AXN852139:AXN852141 BHJ852139:BHJ852141 BRF852139:BRF852141 CBB852139:CBB852141 CKX852139:CKX852141 CUT852139:CUT852141 DEP852139:DEP852141 DOL852139:DOL852141 DYH852139:DYH852141 EID852139:EID852141 ERZ852139:ERZ852141 FBV852139:FBV852141 FLR852139:FLR852141 FVN852139:FVN852141 GFJ852139:GFJ852141 GPF852139:GPF852141 GZB852139:GZB852141 HIX852139:HIX852141 HST852139:HST852141 ICP852139:ICP852141 IML852139:IML852141 IWH852139:IWH852141 JGD852139:JGD852141 JPZ852139:JPZ852141 JZV852139:JZV852141 KJR852139:KJR852141 KTN852139:KTN852141 LDJ852139:LDJ852141 LNF852139:LNF852141 LXB852139:LXB852141 MGX852139:MGX852141 MQT852139:MQT852141 NAP852139:NAP852141 NKL852139:NKL852141 NUH852139:NUH852141 OED852139:OED852141 ONZ852139:ONZ852141 OXV852139:OXV852141 PHR852139:PHR852141 PRN852139:PRN852141 QBJ852139:QBJ852141 QLF852139:QLF852141 QVB852139:QVB852141 REX852139:REX852141 ROT852139:ROT852141 RYP852139:RYP852141 SIL852139:SIL852141 SSH852139:SSH852141 TCD852139:TCD852141 TLZ852139:TLZ852141 TVV852139:TVV852141 UFR852139:UFR852141 UPN852139:UPN852141 UZJ852139:UZJ852141 VJF852139:VJF852141 VTB852139:VTB852141 WCX852139:WCX852141 WMT852139:WMT852141 WWP852139:WWP852141 AH917675:AH917677 KD917675:KD917677 TZ917675:TZ917677 ADV917675:ADV917677 ANR917675:ANR917677 AXN917675:AXN917677 BHJ917675:BHJ917677 BRF917675:BRF917677 CBB917675:CBB917677 CKX917675:CKX917677 CUT917675:CUT917677 DEP917675:DEP917677 DOL917675:DOL917677 DYH917675:DYH917677 EID917675:EID917677 ERZ917675:ERZ917677 FBV917675:FBV917677 FLR917675:FLR917677 FVN917675:FVN917677 GFJ917675:GFJ917677 GPF917675:GPF917677 GZB917675:GZB917677 HIX917675:HIX917677 HST917675:HST917677 ICP917675:ICP917677 IML917675:IML917677 IWH917675:IWH917677 JGD917675:JGD917677 JPZ917675:JPZ917677 JZV917675:JZV917677 KJR917675:KJR917677 KTN917675:KTN917677 LDJ917675:LDJ917677 LNF917675:LNF917677 LXB917675:LXB917677 MGX917675:MGX917677 MQT917675:MQT917677 NAP917675:NAP917677 NKL917675:NKL917677 NUH917675:NUH917677 OED917675:OED917677 ONZ917675:ONZ917677 OXV917675:OXV917677 PHR917675:PHR917677 PRN917675:PRN917677 QBJ917675:QBJ917677 QLF917675:QLF917677 QVB917675:QVB917677 REX917675:REX917677 ROT917675:ROT917677 RYP917675:RYP917677 SIL917675:SIL917677 SSH917675:SSH917677 TCD917675:TCD917677 TLZ917675:TLZ917677 TVV917675:TVV917677 UFR917675:UFR917677 UPN917675:UPN917677 UZJ917675:UZJ917677 VJF917675:VJF917677 VTB917675:VTB917677 WCX917675:WCX917677 WMT917675:WMT917677 WWP917675:WWP917677 AH983211:AH983213 KD983211:KD983213 TZ983211:TZ983213 ADV983211:ADV983213 ANR983211:ANR983213 AXN983211:AXN983213 BHJ983211:BHJ983213 BRF983211:BRF983213 CBB983211:CBB983213 CKX983211:CKX983213 CUT983211:CUT983213 DEP983211:DEP983213 DOL983211:DOL983213 DYH983211:DYH983213 EID983211:EID983213 ERZ983211:ERZ983213 FBV983211:FBV983213 FLR983211:FLR983213 FVN983211:FVN983213 GFJ983211:GFJ983213 GPF983211:GPF983213 GZB983211:GZB983213 HIX983211:HIX983213 HST983211:HST983213 ICP983211:ICP983213 IML983211:IML983213 IWH983211:IWH983213 JGD983211:JGD983213 JPZ983211:JPZ983213 JZV983211:JZV983213 KJR983211:KJR983213 KTN983211:KTN983213 LDJ983211:LDJ983213 LNF983211:LNF983213 LXB983211:LXB983213 MGX983211:MGX983213 MQT983211:MQT983213 NAP983211:NAP983213 NKL983211:NKL983213 NUH983211:NUH983213 OED983211:OED983213 ONZ983211:ONZ983213 OXV983211:OXV983213 PHR983211:PHR983213 PRN983211:PRN983213 QBJ983211:QBJ983213 QLF983211:QLF983213 QVB983211:QVB983213 REX983211:REX983213 ROT983211:ROT983213 RYP983211:RYP983213 SIL983211:SIL983213 SSH983211:SSH983213 TCD983211:TCD983213 TLZ983211:TLZ983213 TVV983211:TVV983213 UFR983211:UFR983213 UPN983211:UPN983213 UZJ983211:UZJ983213 VJF983211:VJF983213 VTB983211:VTB983213 WCX983211:WCX983213 WMT983211:WMT983213 WWP983211:WWP983213 AH157:AH168 KD157:KD168 TZ157:TZ168 ADV157:ADV168 ANR157:ANR168 AXN157:AXN168 BHJ157:BHJ168 BRF157:BRF168 CBB157:CBB168 CKX157:CKX168 CUT157:CUT168 DEP157:DEP168 DOL157:DOL168 DYH157:DYH168 EID157:EID168 ERZ157:ERZ168 FBV157:FBV168 FLR157:FLR168 FVN157:FVN168 GFJ157:GFJ168 GPF157:GPF168 GZB157:GZB168 HIX157:HIX168 HST157:HST168 ICP157:ICP168 IML157:IML168 IWH157:IWH168 JGD157:JGD168 JPZ157:JPZ168 JZV157:JZV168 KJR157:KJR168 KTN157:KTN168 LDJ157:LDJ168 LNF157:LNF168 LXB157:LXB168 MGX157:MGX168 MQT157:MQT168 NAP157:NAP168 NKL157:NKL168 NUH157:NUH168 OED157:OED168 ONZ157:ONZ168 OXV157:OXV168 PHR157:PHR168 PRN157:PRN168 QBJ157:QBJ168 QLF157:QLF168 QVB157:QVB168 REX157:REX168 ROT157:ROT168 RYP157:RYP168 SIL157:SIL168 SSH157:SSH168 TCD157:TCD168 TLZ157:TLZ168 TVV157:TVV168 UFR157:UFR168 UPN157:UPN168 UZJ157:UZJ168 VJF157:VJF168 VTB157:VTB168 WCX157:WCX168 WMT157:WMT168 WWP157:WWP168 AH65694:AH65705 KD65694:KD65705 TZ65694:TZ65705 ADV65694:ADV65705 ANR65694:ANR65705 AXN65694:AXN65705 BHJ65694:BHJ65705 BRF65694:BRF65705 CBB65694:CBB65705 CKX65694:CKX65705 CUT65694:CUT65705 DEP65694:DEP65705 DOL65694:DOL65705 DYH65694:DYH65705 EID65694:EID65705 ERZ65694:ERZ65705 FBV65694:FBV65705 FLR65694:FLR65705 FVN65694:FVN65705 GFJ65694:GFJ65705 GPF65694:GPF65705 GZB65694:GZB65705 HIX65694:HIX65705 HST65694:HST65705 ICP65694:ICP65705 IML65694:IML65705 IWH65694:IWH65705 JGD65694:JGD65705 JPZ65694:JPZ65705 JZV65694:JZV65705 KJR65694:KJR65705 KTN65694:KTN65705 LDJ65694:LDJ65705 LNF65694:LNF65705 LXB65694:LXB65705 MGX65694:MGX65705 MQT65694:MQT65705 NAP65694:NAP65705 NKL65694:NKL65705 NUH65694:NUH65705 OED65694:OED65705 ONZ65694:ONZ65705 OXV65694:OXV65705 PHR65694:PHR65705 PRN65694:PRN65705 QBJ65694:QBJ65705 QLF65694:QLF65705 QVB65694:QVB65705 REX65694:REX65705 ROT65694:ROT65705 RYP65694:RYP65705 SIL65694:SIL65705 SSH65694:SSH65705 TCD65694:TCD65705 TLZ65694:TLZ65705 TVV65694:TVV65705 UFR65694:UFR65705 UPN65694:UPN65705 UZJ65694:UZJ65705 VJF65694:VJF65705 VTB65694:VTB65705 WCX65694:WCX65705 WMT65694:WMT65705 WWP65694:WWP65705 AH131230:AH131241 KD131230:KD131241 TZ131230:TZ131241 ADV131230:ADV131241 ANR131230:ANR131241 AXN131230:AXN131241 BHJ131230:BHJ131241 BRF131230:BRF131241 CBB131230:CBB131241 CKX131230:CKX131241 CUT131230:CUT131241 DEP131230:DEP131241 DOL131230:DOL131241 DYH131230:DYH131241 EID131230:EID131241 ERZ131230:ERZ131241 FBV131230:FBV131241 FLR131230:FLR131241 FVN131230:FVN131241 GFJ131230:GFJ131241 GPF131230:GPF131241 GZB131230:GZB131241 HIX131230:HIX131241 HST131230:HST131241 ICP131230:ICP131241 IML131230:IML131241 IWH131230:IWH131241 JGD131230:JGD131241 JPZ131230:JPZ131241 JZV131230:JZV131241 KJR131230:KJR131241 KTN131230:KTN131241 LDJ131230:LDJ131241 LNF131230:LNF131241 LXB131230:LXB131241 MGX131230:MGX131241 MQT131230:MQT131241 NAP131230:NAP131241 NKL131230:NKL131241 NUH131230:NUH131241 OED131230:OED131241 ONZ131230:ONZ131241 OXV131230:OXV131241 PHR131230:PHR131241 PRN131230:PRN131241 QBJ131230:QBJ131241 QLF131230:QLF131241 QVB131230:QVB131241 REX131230:REX131241 ROT131230:ROT131241 RYP131230:RYP131241 SIL131230:SIL131241 SSH131230:SSH131241 TCD131230:TCD131241 TLZ131230:TLZ131241 TVV131230:TVV131241 UFR131230:UFR131241 UPN131230:UPN131241 UZJ131230:UZJ131241 VJF131230:VJF131241 VTB131230:VTB131241 WCX131230:WCX131241 WMT131230:WMT131241 WWP131230:WWP131241 AH196766:AH196777 KD196766:KD196777 TZ196766:TZ196777 ADV196766:ADV196777 ANR196766:ANR196777 AXN196766:AXN196777 BHJ196766:BHJ196777 BRF196766:BRF196777 CBB196766:CBB196777 CKX196766:CKX196777 CUT196766:CUT196777 DEP196766:DEP196777 DOL196766:DOL196777 DYH196766:DYH196777 EID196766:EID196777 ERZ196766:ERZ196777 FBV196766:FBV196777 FLR196766:FLR196777 FVN196766:FVN196777 GFJ196766:GFJ196777 GPF196766:GPF196777 GZB196766:GZB196777 HIX196766:HIX196777 HST196766:HST196777 ICP196766:ICP196777 IML196766:IML196777 IWH196766:IWH196777 JGD196766:JGD196777 JPZ196766:JPZ196777 JZV196766:JZV196777 KJR196766:KJR196777 KTN196766:KTN196777 LDJ196766:LDJ196777 LNF196766:LNF196777 LXB196766:LXB196777 MGX196766:MGX196777 MQT196766:MQT196777 NAP196766:NAP196777 NKL196766:NKL196777 NUH196766:NUH196777 OED196766:OED196777 ONZ196766:ONZ196777 OXV196766:OXV196777 PHR196766:PHR196777 PRN196766:PRN196777 QBJ196766:QBJ196777 QLF196766:QLF196777 QVB196766:QVB196777 REX196766:REX196777 ROT196766:ROT196777 RYP196766:RYP196777 SIL196766:SIL196777 SSH196766:SSH196777 TCD196766:TCD196777 TLZ196766:TLZ196777 TVV196766:TVV196777 UFR196766:UFR196777 UPN196766:UPN196777 UZJ196766:UZJ196777 VJF196766:VJF196777 VTB196766:VTB196777 WCX196766:WCX196777 WMT196766:WMT196777 WWP196766:WWP196777 AH262302:AH262313 KD262302:KD262313 TZ262302:TZ262313 ADV262302:ADV262313 ANR262302:ANR262313 AXN262302:AXN262313 BHJ262302:BHJ262313 BRF262302:BRF262313 CBB262302:CBB262313 CKX262302:CKX262313 CUT262302:CUT262313 DEP262302:DEP262313 DOL262302:DOL262313 DYH262302:DYH262313 EID262302:EID262313 ERZ262302:ERZ262313 FBV262302:FBV262313 FLR262302:FLR262313 FVN262302:FVN262313 GFJ262302:GFJ262313 GPF262302:GPF262313 GZB262302:GZB262313 HIX262302:HIX262313 HST262302:HST262313 ICP262302:ICP262313 IML262302:IML262313 IWH262302:IWH262313 JGD262302:JGD262313 JPZ262302:JPZ262313 JZV262302:JZV262313 KJR262302:KJR262313 KTN262302:KTN262313 LDJ262302:LDJ262313 LNF262302:LNF262313 LXB262302:LXB262313 MGX262302:MGX262313 MQT262302:MQT262313 NAP262302:NAP262313 NKL262302:NKL262313 NUH262302:NUH262313 OED262302:OED262313 ONZ262302:ONZ262313 OXV262302:OXV262313 PHR262302:PHR262313 PRN262302:PRN262313 QBJ262302:QBJ262313 QLF262302:QLF262313 QVB262302:QVB262313 REX262302:REX262313 ROT262302:ROT262313 RYP262302:RYP262313 SIL262302:SIL262313 SSH262302:SSH262313 TCD262302:TCD262313 TLZ262302:TLZ262313 TVV262302:TVV262313 UFR262302:UFR262313 UPN262302:UPN262313 UZJ262302:UZJ262313 VJF262302:VJF262313 VTB262302:VTB262313 WCX262302:WCX262313 WMT262302:WMT262313 WWP262302:WWP262313 AH327838:AH327849 KD327838:KD327849 TZ327838:TZ327849 ADV327838:ADV327849 ANR327838:ANR327849 AXN327838:AXN327849 BHJ327838:BHJ327849 BRF327838:BRF327849 CBB327838:CBB327849 CKX327838:CKX327849 CUT327838:CUT327849 DEP327838:DEP327849 DOL327838:DOL327849 DYH327838:DYH327849 EID327838:EID327849 ERZ327838:ERZ327849 FBV327838:FBV327849 FLR327838:FLR327849 FVN327838:FVN327849 GFJ327838:GFJ327849 GPF327838:GPF327849 GZB327838:GZB327849 HIX327838:HIX327849 HST327838:HST327849 ICP327838:ICP327849 IML327838:IML327849 IWH327838:IWH327849 JGD327838:JGD327849 JPZ327838:JPZ327849 JZV327838:JZV327849 KJR327838:KJR327849 KTN327838:KTN327849 LDJ327838:LDJ327849 LNF327838:LNF327849 LXB327838:LXB327849 MGX327838:MGX327849 MQT327838:MQT327849 NAP327838:NAP327849 NKL327838:NKL327849 NUH327838:NUH327849 OED327838:OED327849 ONZ327838:ONZ327849 OXV327838:OXV327849 PHR327838:PHR327849 PRN327838:PRN327849 QBJ327838:QBJ327849 QLF327838:QLF327849 QVB327838:QVB327849 REX327838:REX327849 ROT327838:ROT327849 RYP327838:RYP327849 SIL327838:SIL327849 SSH327838:SSH327849 TCD327838:TCD327849 TLZ327838:TLZ327849 TVV327838:TVV327849 UFR327838:UFR327849 UPN327838:UPN327849 UZJ327838:UZJ327849 VJF327838:VJF327849 VTB327838:VTB327849 WCX327838:WCX327849 WMT327838:WMT327849 WWP327838:WWP327849 AH393374:AH393385 KD393374:KD393385 TZ393374:TZ393385 ADV393374:ADV393385 ANR393374:ANR393385 AXN393374:AXN393385 BHJ393374:BHJ393385 BRF393374:BRF393385 CBB393374:CBB393385 CKX393374:CKX393385 CUT393374:CUT393385 DEP393374:DEP393385 DOL393374:DOL393385 DYH393374:DYH393385 EID393374:EID393385 ERZ393374:ERZ393385 FBV393374:FBV393385 FLR393374:FLR393385 FVN393374:FVN393385 GFJ393374:GFJ393385 GPF393374:GPF393385 GZB393374:GZB393385 HIX393374:HIX393385 HST393374:HST393385 ICP393374:ICP393385 IML393374:IML393385 IWH393374:IWH393385 JGD393374:JGD393385 JPZ393374:JPZ393385 JZV393374:JZV393385 KJR393374:KJR393385 KTN393374:KTN393385 LDJ393374:LDJ393385 LNF393374:LNF393385 LXB393374:LXB393385 MGX393374:MGX393385 MQT393374:MQT393385 NAP393374:NAP393385 NKL393374:NKL393385 NUH393374:NUH393385 OED393374:OED393385 ONZ393374:ONZ393385 OXV393374:OXV393385 PHR393374:PHR393385 PRN393374:PRN393385 QBJ393374:QBJ393385 QLF393374:QLF393385 QVB393374:QVB393385 REX393374:REX393385 ROT393374:ROT393385 RYP393374:RYP393385 SIL393374:SIL393385 SSH393374:SSH393385 TCD393374:TCD393385 TLZ393374:TLZ393385 TVV393374:TVV393385 UFR393374:UFR393385 UPN393374:UPN393385 UZJ393374:UZJ393385 VJF393374:VJF393385 VTB393374:VTB393385 WCX393374:WCX393385 WMT393374:WMT393385 WWP393374:WWP393385 AH458910:AH458921 KD458910:KD458921 TZ458910:TZ458921 ADV458910:ADV458921 ANR458910:ANR458921 AXN458910:AXN458921 BHJ458910:BHJ458921 BRF458910:BRF458921 CBB458910:CBB458921 CKX458910:CKX458921 CUT458910:CUT458921 DEP458910:DEP458921 DOL458910:DOL458921 DYH458910:DYH458921 EID458910:EID458921 ERZ458910:ERZ458921 FBV458910:FBV458921 FLR458910:FLR458921 FVN458910:FVN458921 GFJ458910:GFJ458921 GPF458910:GPF458921 GZB458910:GZB458921 HIX458910:HIX458921 HST458910:HST458921 ICP458910:ICP458921 IML458910:IML458921 IWH458910:IWH458921 JGD458910:JGD458921 JPZ458910:JPZ458921 JZV458910:JZV458921 KJR458910:KJR458921 KTN458910:KTN458921 LDJ458910:LDJ458921 LNF458910:LNF458921 LXB458910:LXB458921 MGX458910:MGX458921 MQT458910:MQT458921 NAP458910:NAP458921 NKL458910:NKL458921 NUH458910:NUH458921 OED458910:OED458921 ONZ458910:ONZ458921 OXV458910:OXV458921 PHR458910:PHR458921 PRN458910:PRN458921 QBJ458910:QBJ458921 QLF458910:QLF458921 QVB458910:QVB458921 REX458910:REX458921 ROT458910:ROT458921 RYP458910:RYP458921 SIL458910:SIL458921 SSH458910:SSH458921 TCD458910:TCD458921 TLZ458910:TLZ458921 TVV458910:TVV458921 UFR458910:UFR458921 UPN458910:UPN458921 UZJ458910:UZJ458921 VJF458910:VJF458921 VTB458910:VTB458921 WCX458910:WCX458921 WMT458910:WMT458921 WWP458910:WWP458921 AH524446:AH524457 KD524446:KD524457 TZ524446:TZ524457 ADV524446:ADV524457 ANR524446:ANR524457 AXN524446:AXN524457 BHJ524446:BHJ524457 BRF524446:BRF524457 CBB524446:CBB524457 CKX524446:CKX524457 CUT524446:CUT524457 DEP524446:DEP524457 DOL524446:DOL524457 DYH524446:DYH524457 EID524446:EID524457 ERZ524446:ERZ524457 FBV524446:FBV524457 FLR524446:FLR524457 FVN524446:FVN524457 GFJ524446:GFJ524457 GPF524446:GPF524457 GZB524446:GZB524457 HIX524446:HIX524457 HST524446:HST524457 ICP524446:ICP524457 IML524446:IML524457 IWH524446:IWH524457 JGD524446:JGD524457 JPZ524446:JPZ524457 JZV524446:JZV524457 KJR524446:KJR524457 KTN524446:KTN524457 LDJ524446:LDJ524457 LNF524446:LNF524457 LXB524446:LXB524457 MGX524446:MGX524457 MQT524446:MQT524457 NAP524446:NAP524457 NKL524446:NKL524457 NUH524446:NUH524457 OED524446:OED524457 ONZ524446:ONZ524457 OXV524446:OXV524457 PHR524446:PHR524457 PRN524446:PRN524457 QBJ524446:QBJ524457 QLF524446:QLF524457 QVB524446:QVB524457 REX524446:REX524457 ROT524446:ROT524457 RYP524446:RYP524457 SIL524446:SIL524457 SSH524446:SSH524457 TCD524446:TCD524457 TLZ524446:TLZ524457 TVV524446:TVV524457 UFR524446:UFR524457 UPN524446:UPN524457 UZJ524446:UZJ524457 VJF524446:VJF524457 VTB524446:VTB524457 WCX524446:WCX524457 WMT524446:WMT524457 WWP524446:WWP524457 AH589982:AH589993 KD589982:KD589993 TZ589982:TZ589993 ADV589982:ADV589993 ANR589982:ANR589993 AXN589982:AXN589993 BHJ589982:BHJ589993 BRF589982:BRF589993 CBB589982:CBB589993 CKX589982:CKX589993 CUT589982:CUT589993 DEP589982:DEP589993 DOL589982:DOL589993 DYH589982:DYH589993 EID589982:EID589993 ERZ589982:ERZ589993 FBV589982:FBV589993 FLR589982:FLR589993 FVN589982:FVN589993 GFJ589982:GFJ589993 GPF589982:GPF589993 GZB589982:GZB589993 HIX589982:HIX589993 HST589982:HST589993 ICP589982:ICP589993 IML589982:IML589993 IWH589982:IWH589993 JGD589982:JGD589993 JPZ589982:JPZ589993 JZV589982:JZV589993 KJR589982:KJR589993 KTN589982:KTN589993 LDJ589982:LDJ589993 LNF589982:LNF589993 LXB589982:LXB589993 MGX589982:MGX589993 MQT589982:MQT589993 NAP589982:NAP589993 NKL589982:NKL589993 NUH589982:NUH589993 OED589982:OED589993 ONZ589982:ONZ589993 OXV589982:OXV589993 PHR589982:PHR589993 PRN589982:PRN589993 QBJ589982:QBJ589993 QLF589982:QLF589993 QVB589982:QVB589993 REX589982:REX589993 ROT589982:ROT589993 RYP589982:RYP589993 SIL589982:SIL589993 SSH589982:SSH589993 TCD589982:TCD589993 TLZ589982:TLZ589993 TVV589982:TVV589993 UFR589982:UFR589993 UPN589982:UPN589993 UZJ589982:UZJ589993 VJF589982:VJF589993 VTB589982:VTB589993 WCX589982:WCX589993 WMT589982:WMT589993 WWP589982:WWP589993 AH655518:AH655529 KD655518:KD655529 TZ655518:TZ655529 ADV655518:ADV655529 ANR655518:ANR655529 AXN655518:AXN655529 BHJ655518:BHJ655529 BRF655518:BRF655529 CBB655518:CBB655529 CKX655518:CKX655529 CUT655518:CUT655529 DEP655518:DEP655529 DOL655518:DOL655529 DYH655518:DYH655529 EID655518:EID655529 ERZ655518:ERZ655529 FBV655518:FBV655529 FLR655518:FLR655529 FVN655518:FVN655529 GFJ655518:GFJ655529 GPF655518:GPF655529 GZB655518:GZB655529 HIX655518:HIX655529 HST655518:HST655529 ICP655518:ICP655529 IML655518:IML655529 IWH655518:IWH655529 JGD655518:JGD655529 JPZ655518:JPZ655529 JZV655518:JZV655529 KJR655518:KJR655529 KTN655518:KTN655529 LDJ655518:LDJ655529 LNF655518:LNF655529 LXB655518:LXB655529 MGX655518:MGX655529 MQT655518:MQT655529 NAP655518:NAP655529 NKL655518:NKL655529 NUH655518:NUH655529 OED655518:OED655529 ONZ655518:ONZ655529 OXV655518:OXV655529 PHR655518:PHR655529 PRN655518:PRN655529 QBJ655518:QBJ655529 QLF655518:QLF655529 QVB655518:QVB655529 REX655518:REX655529 ROT655518:ROT655529 RYP655518:RYP655529 SIL655518:SIL655529 SSH655518:SSH655529 TCD655518:TCD655529 TLZ655518:TLZ655529 TVV655518:TVV655529 UFR655518:UFR655529 UPN655518:UPN655529 UZJ655518:UZJ655529 VJF655518:VJF655529 VTB655518:VTB655529 WCX655518:WCX655529 WMT655518:WMT655529 WWP655518:WWP655529 AH721054:AH721065 KD721054:KD721065 TZ721054:TZ721065 ADV721054:ADV721065 ANR721054:ANR721065 AXN721054:AXN721065 BHJ721054:BHJ721065 BRF721054:BRF721065 CBB721054:CBB721065 CKX721054:CKX721065 CUT721054:CUT721065 DEP721054:DEP721065 DOL721054:DOL721065 DYH721054:DYH721065 EID721054:EID721065 ERZ721054:ERZ721065 FBV721054:FBV721065 FLR721054:FLR721065 FVN721054:FVN721065 GFJ721054:GFJ721065 GPF721054:GPF721065 GZB721054:GZB721065 HIX721054:HIX721065 HST721054:HST721065 ICP721054:ICP721065 IML721054:IML721065 IWH721054:IWH721065 JGD721054:JGD721065 JPZ721054:JPZ721065 JZV721054:JZV721065 KJR721054:KJR721065 KTN721054:KTN721065 LDJ721054:LDJ721065 LNF721054:LNF721065 LXB721054:LXB721065 MGX721054:MGX721065 MQT721054:MQT721065 NAP721054:NAP721065 NKL721054:NKL721065 NUH721054:NUH721065 OED721054:OED721065 ONZ721054:ONZ721065 OXV721054:OXV721065 PHR721054:PHR721065 PRN721054:PRN721065 QBJ721054:QBJ721065 QLF721054:QLF721065 QVB721054:QVB721065 REX721054:REX721065 ROT721054:ROT721065 RYP721054:RYP721065 SIL721054:SIL721065 SSH721054:SSH721065 TCD721054:TCD721065 TLZ721054:TLZ721065 TVV721054:TVV721065 UFR721054:UFR721065 UPN721054:UPN721065 UZJ721054:UZJ721065 VJF721054:VJF721065 VTB721054:VTB721065 WCX721054:WCX721065 WMT721054:WMT721065 WWP721054:WWP721065 AH786590:AH786601 KD786590:KD786601 TZ786590:TZ786601 ADV786590:ADV786601 ANR786590:ANR786601 AXN786590:AXN786601 BHJ786590:BHJ786601 BRF786590:BRF786601 CBB786590:CBB786601 CKX786590:CKX786601 CUT786590:CUT786601 DEP786590:DEP786601 DOL786590:DOL786601 DYH786590:DYH786601 EID786590:EID786601 ERZ786590:ERZ786601 FBV786590:FBV786601 FLR786590:FLR786601 FVN786590:FVN786601 GFJ786590:GFJ786601 GPF786590:GPF786601 GZB786590:GZB786601 HIX786590:HIX786601 HST786590:HST786601 ICP786590:ICP786601 IML786590:IML786601 IWH786590:IWH786601 JGD786590:JGD786601 JPZ786590:JPZ786601 JZV786590:JZV786601 KJR786590:KJR786601 KTN786590:KTN786601 LDJ786590:LDJ786601 LNF786590:LNF786601 LXB786590:LXB786601 MGX786590:MGX786601 MQT786590:MQT786601 NAP786590:NAP786601 NKL786590:NKL786601 NUH786590:NUH786601 OED786590:OED786601 ONZ786590:ONZ786601 OXV786590:OXV786601 PHR786590:PHR786601 PRN786590:PRN786601 QBJ786590:QBJ786601 QLF786590:QLF786601 QVB786590:QVB786601 REX786590:REX786601 ROT786590:ROT786601 RYP786590:RYP786601 SIL786590:SIL786601 SSH786590:SSH786601 TCD786590:TCD786601 TLZ786590:TLZ786601 TVV786590:TVV786601 UFR786590:UFR786601 UPN786590:UPN786601 UZJ786590:UZJ786601 VJF786590:VJF786601 VTB786590:VTB786601 WCX786590:WCX786601 WMT786590:WMT786601 WWP786590:WWP786601 AH852126:AH852137 KD852126:KD852137 TZ852126:TZ852137 ADV852126:ADV852137 ANR852126:ANR852137 AXN852126:AXN852137 BHJ852126:BHJ852137 BRF852126:BRF852137 CBB852126:CBB852137 CKX852126:CKX852137 CUT852126:CUT852137 DEP852126:DEP852137 DOL852126:DOL852137 DYH852126:DYH852137 EID852126:EID852137 ERZ852126:ERZ852137 FBV852126:FBV852137 FLR852126:FLR852137 FVN852126:FVN852137 GFJ852126:GFJ852137 GPF852126:GPF852137 GZB852126:GZB852137 HIX852126:HIX852137 HST852126:HST852137 ICP852126:ICP852137 IML852126:IML852137 IWH852126:IWH852137 JGD852126:JGD852137 JPZ852126:JPZ852137 JZV852126:JZV852137 KJR852126:KJR852137 KTN852126:KTN852137 LDJ852126:LDJ852137 LNF852126:LNF852137 LXB852126:LXB852137 MGX852126:MGX852137 MQT852126:MQT852137 NAP852126:NAP852137 NKL852126:NKL852137 NUH852126:NUH852137 OED852126:OED852137 ONZ852126:ONZ852137 OXV852126:OXV852137 PHR852126:PHR852137 PRN852126:PRN852137 QBJ852126:QBJ852137 QLF852126:QLF852137 QVB852126:QVB852137 REX852126:REX852137 ROT852126:ROT852137 RYP852126:RYP852137 SIL852126:SIL852137 SSH852126:SSH852137 TCD852126:TCD852137 TLZ852126:TLZ852137 TVV852126:TVV852137 UFR852126:UFR852137 UPN852126:UPN852137 UZJ852126:UZJ852137 VJF852126:VJF852137 VTB852126:VTB852137 WCX852126:WCX852137 WMT852126:WMT852137 WWP852126:WWP852137 AH917662:AH917673 KD917662:KD917673 TZ917662:TZ917673 ADV917662:ADV917673 ANR917662:ANR917673 AXN917662:AXN917673 BHJ917662:BHJ917673 BRF917662:BRF917673 CBB917662:CBB917673 CKX917662:CKX917673 CUT917662:CUT917673 DEP917662:DEP917673 DOL917662:DOL917673 DYH917662:DYH917673 EID917662:EID917673 ERZ917662:ERZ917673 FBV917662:FBV917673 FLR917662:FLR917673 FVN917662:FVN917673 GFJ917662:GFJ917673 GPF917662:GPF917673 GZB917662:GZB917673 HIX917662:HIX917673 HST917662:HST917673 ICP917662:ICP917673 IML917662:IML917673 IWH917662:IWH917673 JGD917662:JGD917673 JPZ917662:JPZ917673 JZV917662:JZV917673 KJR917662:KJR917673 KTN917662:KTN917673 LDJ917662:LDJ917673 LNF917662:LNF917673 LXB917662:LXB917673 MGX917662:MGX917673 MQT917662:MQT917673 NAP917662:NAP917673 NKL917662:NKL917673 NUH917662:NUH917673 OED917662:OED917673 ONZ917662:ONZ917673 OXV917662:OXV917673 PHR917662:PHR917673 PRN917662:PRN917673 QBJ917662:QBJ917673 QLF917662:QLF917673 QVB917662:QVB917673 REX917662:REX917673 ROT917662:ROT917673 RYP917662:RYP917673 SIL917662:SIL917673 SSH917662:SSH917673 TCD917662:TCD917673 TLZ917662:TLZ917673 TVV917662:TVV917673 UFR917662:UFR917673 UPN917662:UPN917673 UZJ917662:UZJ917673 VJF917662:VJF917673 VTB917662:VTB917673 WCX917662:WCX917673 WMT917662:WMT917673 WWP917662:WWP917673 AH983198:AH983209 KD983198:KD983209 TZ983198:TZ983209 ADV983198:ADV983209 ANR983198:ANR983209 AXN983198:AXN983209 BHJ983198:BHJ983209 BRF983198:BRF983209 CBB983198:CBB983209 CKX983198:CKX983209 CUT983198:CUT983209 DEP983198:DEP983209 DOL983198:DOL983209 DYH983198:DYH983209 EID983198:EID983209 ERZ983198:ERZ983209 FBV983198:FBV983209 FLR983198:FLR983209 FVN983198:FVN983209 GFJ983198:GFJ983209 GPF983198:GPF983209 GZB983198:GZB983209 HIX983198:HIX983209 HST983198:HST983209 ICP983198:ICP983209 IML983198:IML983209 IWH983198:IWH983209 JGD983198:JGD983209 JPZ983198:JPZ983209 JZV983198:JZV983209 KJR983198:KJR983209 KTN983198:KTN983209 LDJ983198:LDJ983209 LNF983198:LNF983209 LXB983198:LXB983209 MGX983198:MGX983209 MQT983198:MQT983209 NAP983198:NAP983209 NKL983198:NKL983209 NUH983198:NUH983209 OED983198:OED983209 ONZ983198:ONZ983209 OXV983198:OXV983209 PHR983198:PHR983209 PRN983198:PRN983209 QBJ983198:QBJ983209 QLF983198:QLF983209 QVB983198:QVB983209 REX983198:REX983209 ROT983198:ROT983209 RYP983198:RYP983209 SIL983198:SIL983209 SSH983198:SSH983209 TCD983198:TCD983209 TLZ983198:TLZ983209 TVV983198:TVV983209 UFR983198:UFR983209 UPN983198:UPN983209 UZJ983198:UZJ983209 VJF983198:VJF983209 VTB983198:VTB983209 WCX983198:WCX983209 WMT983198:WMT983209 WWP983198:WWP983209 AH153:AH155 KD153:KD155 TZ153:TZ155 ADV153:ADV155 ANR153:ANR155 AXN153:AXN155 BHJ153:BHJ155 BRF153:BRF155 CBB153:CBB155 CKX153:CKX155 CUT153:CUT155 DEP153:DEP155 DOL153:DOL155 DYH153:DYH155 EID153:EID155 ERZ153:ERZ155 FBV153:FBV155 FLR153:FLR155 FVN153:FVN155 GFJ153:GFJ155 GPF153:GPF155 GZB153:GZB155 HIX153:HIX155 HST153:HST155 ICP153:ICP155 IML153:IML155 IWH153:IWH155 JGD153:JGD155 JPZ153:JPZ155 JZV153:JZV155 KJR153:KJR155 KTN153:KTN155 LDJ153:LDJ155 LNF153:LNF155 LXB153:LXB155 MGX153:MGX155 MQT153:MQT155 NAP153:NAP155 NKL153:NKL155 NUH153:NUH155 OED153:OED155 ONZ153:ONZ155 OXV153:OXV155 PHR153:PHR155 PRN153:PRN155 QBJ153:QBJ155 QLF153:QLF155 QVB153:QVB155 REX153:REX155 ROT153:ROT155 RYP153:RYP155 SIL153:SIL155 SSH153:SSH155 TCD153:TCD155 TLZ153:TLZ155 TVV153:TVV155 UFR153:UFR155 UPN153:UPN155 UZJ153:UZJ155 VJF153:VJF155 VTB153:VTB155 WCX153:WCX155 WMT153:WMT155 WWP153:WWP155 AH65690:AH65692 KD65690:KD65692 TZ65690:TZ65692 ADV65690:ADV65692 ANR65690:ANR65692 AXN65690:AXN65692 BHJ65690:BHJ65692 BRF65690:BRF65692 CBB65690:CBB65692 CKX65690:CKX65692 CUT65690:CUT65692 DEP65690:DEP65692 DOL65690:DOL65692 DYH65690:DYH65692 EID65690:EID65692 ERZ65690:ERZ65692 FBV65690:FBV65692 FLR65690:FLR65692 FVN65690:FVN65692 GFJ65690:GFJ65692 GPF65690:GPF65692 GZB65690:GZB65692 HIX65690:HIX65692 HST65690:HST65692 ICP65690:ICP65692 IML65690:IML65692 IWH65690:IWH65692 JGD65690:JGD65692 JPZ65690:JPZ65692 JZV65690:JZV65692 KJR65690:KJR65692 KTN65690:KTN65692 LDJ65690:LDJ65692 LNF65690:LNF65692 LXB65690:LXB65692 MGX65690:MGX65692 MQT65690:MQT65692 NAP65690:NAP65692 NKL65690:NKL65692 NUH65690:NUH65692 OED65690:OED65692 ONZ65690:ONZ65692 OXV65690:OXV65692 PHR65690:PHR65692 PRN65690:PRN65692 QBJ65690:QBJ65692 QLF65690:QLF65692 QVB65690:QVB65692 REX65690:REX65692 ROT65690:ROT65692 RYP65690:RYP65692 SIL65690:SIL65692 SSH65690:SSH65692 TCD65690:TCD65692 TLZ65690:TLZ65692 TVV65690:TVV65692 UFR65690:UFR65692 UPN65690:UPN65692 UZJ65690:UZJ65692 VJF65690:VJF65692 VTB65690:VTB65692 WCX65690:WCX65692 WMT65690:WMT65692 WWP65690:WWP65692 AH131226:AH131228 KD131226:KD131228 TZ131226:TZ131228 ADV131226:ADV131228 ANR131226:ANR131228 AXN131226:AXN131228 BHJ131226:BHJ131228 BRF131226:BRF131228 CBB131226:CBB131228 CKX131226:CKX131228 CUT131226:CUT131228 DEP131226:DEP131228 DOL131226:DOL131228 DYH131226:DYH131228 EID131226:EID131228 ERZ131226:ERZ131228 FBV131226:FBV131228 FLR131226:FLR131228 FVN131226:FVN131228 GFJ131226:GFJ131228 GPF131226:GPF131228 GZB131226:GZB131228 HIX131226:HIX131228 HST131226:HST131228 ICP131226:ICP131228 IML131226:IML131228 IWH131226:IWH131228 JGD131226:JGD131228 JPZ131226:JPZ131228 JZV131226:JZV131228 KJR131226:KJR131228 KTN131226:KTN131228 LDJ131226:LDJ131228 LNF131226:LNF131228 LXB131226:LXB131228 MGX131226:MGX131228 MQT131226:MQT131228 NAP131226:NAP131228 NKL131226:NKL131228 NUH131226:NUH131228 OED131226:OED131228 ONZ131226:ONZ131228 OXV131226:OXV131228 PHR131226:PHR131228 PRN131226:PRN131228 QBJ131226:QBJ131228 QLF131226:QLF131228 QVB131226:QVB131228 REX131226:REX131228 ROT131226:ROT131228 RYP131226:RYP131228 SIL131226:SIL131228 SSH131226:SSH131228 TCD131226:TCD131228 TLZ131226:TLZ131228 TVV131226:TVV131228 UFR131226:UFR131228 UPN131226:UPN131228 UZJ131226:UZJ131228 VJF131226:VJF131228 VTB131226:VTB131228 WCX131226:WCX131228 WMT131226:WMT131228 WWP131226:WWP131228 AH196762:AH196764 KD196762:KD196764 TZ196762:TZ196764 ADV196762:ADV196764 ANR196762:ANR196764 AXN196762:AXN196764 BHJ196762:BHJ196764 BRF196762:BRF196764 CBB196762:CBB196764 CKX196762:CKX196764 CUT196762:CUT196764 DEP196762:DEP196764 DOL196762:DOL196764 DYH196762:DYH196764 EID196762:EID196764 ERZ196762:ERZ196764 FBV196762:FBV196764 FLR196762:FLR196764 FVN196762:FVN196764 GFJ196762:GFJ196764 GPF196762:GPF196764 GZB196762:GZB196764 HIX196762:HIX196764 HST196762:HST196764 ICP196762:ICP196764 IML196762:IML196764 IWH196762:IWH196764 JGD196762:JGD196764 JPZ196762:JPZ196764 JZV196762:JZV196764 KJR196762:KJR196764 KTN196762:KTN196764 LDJ196762:LDJ196764 LNF196762:LNF196764 LXB196762:LXB196764 MGX196762:MGX196764 MQT196762:MQT196764 NAP196762:NAP196764 NKL196762:NKL196764 NUH196762:NUH196764 OED196762:OED196764 ONZ196762:ONZ196764 OXV196762:OXV196764 PHR196762:PHR196764 PRN196762:PRN196764 QBJ196762:QBJ196764 QLF196762:QLF196764 QVB196762:QVB196764 REX196762:REX196764 ROT196762:ROT196764 RYP196762:RYP196764 SIL196762:SIL196764 SSH196762:SSH196764 TCD196762:TCD196764 TLZ196762:TLZ196764 TVV196762:TVV196764 UFR196762:UFR196764 UPN196762:UPN196764 UZJ196762:UZJ196764 VJF196762:VJF196764 VTB196762:VTB196764 WCX196762:WCX196764 WMT196762:WMT196764 WWP196762:WWP196764 AH262298:AH262300 KD262298:KD262300 TZ262298:TZ262300 ADV262298:ADV262300 ANR262298:ANR262300 AXN262298:AXN262300 BHJ262298:BHJ262300 BRF262298:BRF262300 CBB262298:CBB262300 CKX262298:CKX262300 CUT262298:CUT262300 DEP262298:DEP262300 DOL262298:DOL262300 DYH262298:DYH262300 EID262298:EID262300 ERZ262298:ERZ262300 FBV262298:FBV262300 FLR262298:FLR262300 FVN262298:FVN262300 GFJ262298:GFJ262300 GPF262298:GPF262300 GZB262298:GZB262300 HIX262298:HIX262300 HST262298:HST262300 ICP262298:ICP262300 IML262298:IML262300 IWH262298:IWH262300 JGD262298:JGD262300 JPZ262298:JPZ262300 JZV262298:JZV262300 KJR262298:KJR262300 KTN262298:KTN262300 LDJ262298:LDJ262300 LNF262298:LNF262300 LXB262298:LXB262300 MGX262298:MGX262300 MQT262298:MQT262300 NAP262298:NAP262300 NKL262298:NKL262300 NUH262298:NUH262300 OED262298:OED262300 ONZ262298:ONZ262300 OXV262298:OXV262300 PHR262298:PHR262300 PRN262298:PRN262300 QBJ262298:QBJ262300 QLF262298:QLF262300 QVB262298:QVB262300 REX262298:REX262300 ROT262298:ROT262300 RYP262298:RYP262300 SIL262298:SIL262300 SSH262298:SSH262300 TCD262298:TCD262300 TLZ262298:TLZ262300 TVV262298:TVV262300 UFR262298:UFR262300 UPN262298:UPN262300 UZJ262298:UZJ262300 VJF262298:VJF262300 VTB262298:VTB262300 WCX262298:WCX262300 WMT262298:WMT262300 WWP262298:WWP262300 AH327834:AH327836 KD327834:KD327836 TZ327834:TZ327836 ADV327834:ADV327836 ANR327834:ANR327836 AXN327834:AXN327836 BHJ327834:BHJ327836 BRF327834:BRF327836 CBB327834:CBB327836 CKX327834:CKX327836 CUT327834:CUT327836 DEP327834:DEP327836 DOL327834:DOL327836 DYH327834:DYH327836 EID327834:EID327836 ERZ327834:ERZ327836 FBV327834:FBV327836 FLR327834:FLR327836 FVN327834:FVN327836 GFJ327834:GFJ327836 GPF327834:GPF327836 GZB327834:GZB327836 HIX327834:HIX327836 HST327834:HST327836 ICP327834:ICP327836 IML327834:IML327836 IWH327834:IWH327836 JGD327834:JGD327836 JPZ327834:JPZ327836 JZV327834:JZV327836 KJR327834:KJR327836 KTN327834:KTN327836 LDJ327834:LDJ327836 LNF327834:LNF327836 LXB327834:LXB327836 MGX327834:MGX327836 MQT327834:MQT327836 NAP327834:NAP327836 NKL327834:NKL327836 NUH327834:NUH327836 OED327834:OED327836 ONZ327834:ONZ327836 OXV327834:OXV327836 PHR327834:PHR327836 PRN327834:PRN327836 QBJ327834:QBJ327836 QLF327834:QLF327836 QVB327834:QVB327836 REX327834:REX327836 ROT327834:ROT327836 RYP327834:RYP327836 SIL327834:SIL327836 SSH327834:SSH327836 TCD327834:TCD327836 TLZ327834:TLZ327836 TVV327834:TVV327836 UFR327834:UFR327836 UPN327834:UPN327836 UZJ327834:UZJ327836 VJF327834:VJF327836 VTB327834:VTB327836 WCX327834:WCX327836 WMT327834:WMT327836 WWP327834:WWP327836 AH393370:AH393372 KD393370:KD393372 TZ393370:TZ393372 ADV393370:ADV393372 ANR393370:ANR393372 AXN393370:AXN393372 BHJ393370:BHJ393372 BRF393370:BRF393372 CBB393370:CBB393372 CKX393370:CKX393372 CUT393370:CUT393372 DEP393370:DEP393372 DOL393370:DOL393372 DYH393370:DYH393372 EID393370:EID393372 ERZ393370:ERZ393372 FBV393370:FBV393372 FLR393370:FLR393372 FVN393370:FVN393372 GFJ393370:GFJ393372 GPF393370:GPF393372 GZB393370:GZB393372 HIX393370:HIX393372 HST393370:HST393372 ICP393370:ICP393372 IML393370:IML393372 IWH393370:IWH393372 JGD393370:JGD393372 JPZ393370:JPZ393372 JZV393370:JZV393372 KJR393370:KJR393372 KTN393370:KTN393372 LDJ393370:LDJ393372 LNF393370:LNF393372 LXB393370:LXB393372 MGX393370:MGX393372 MQT393370:MQT393372 NAP393370:NAP393372 NKL393370:NKL393372 NUH393370:NUH393372 OED393370:OED393372 ONZ393370:ONZ393372 OXV393370:OXV393372 PHR393370:PHR393372 PRN393370:PRN393372 QBJ393370:QBJ393372 QLF393370:QLF393372 QVB393370:QVB393372 REX393370:REX393372 ROT393370:ROT393372 RYP393370:RYP393372 SIL393370:SIL393372 SSH393370:SSH393372 TCD393370:TCD393372 TLZ393370:TLZ393372 TVV393370:TVV393372 UFR393370:UFR393372 UPN393370:UPN393372 UZJ393370:UZJ393372 VJF393370:VJF393372 VTB393370:VTB393372 WCX393370:WCX393372 WMT393370:WMT393372 WWP393370:WWP393372 AH458906:AH458908 KD458906:KD458908 TZ458906:TZ458908 ADV458906:ADV458908 ANR458906:ANR458908 AXN458906:AXN458908 BHJ458906:BHJ458908 BRF458906:BRF458908 CBB458906:CBB458908 CKX458906:CKX458908 CUT458906:CUT458908 DEP458906:DEP458908 DOL458906:DOL458908 DYH458906:DYH458908 EID458906:EID458908 ERZ458906:ERZ458908 FBV458906:FBV458908 FLR458906:FLR458908 FVN458906:FVN458908 GFJ458906:GFJ458908 GPF458906:GPF458908 GZB458906:GZB458908 HIX458906:HIX458908 HST458906:HST458908 ICP458906:ICP458908 IML458906:IML458908 IWH458906:IWH458908 JGD458906:JGD458908 JPZ458906:JPZ458908 JZV458906:JZV458908 KJR458906:KJR458908 KTN458906:KTN458908 LDJ458906:LDJ458908 LNF458906:LNF458908 LXB458906:LXB458908 MGX458906:MGX458908 MQT458906:MQT458908 NAP458906:NAP458908 NKL458906:NKL458908 NUH458906:NUH458908 OED458906:OED458908 ONZ458906:ONZ458908 OXV458906:OXV458908 PHR458906:PHR458908 PRN458906:PRN458908 QBJ458906:QBJ458908 QLF458906:QLF458908 QVB458906:QVB458908 REX458906:REX458908 ROT458906:ROT458908 RYP458906:RYP458908 SIL458906:SIL458908 SSH458906:SSH458908 TCD458906:TCD458908 TLZ458906:TLZ458908 TVV458906:TVV458908 UFR458906:UFR458908 UPN458906:UPN458908 UZJ458906:UZJ458908 VJF458906:VJF458908 VTB458906:VTB458908 WCX458906:WCX458908 WMT458906:WMT458908 WWP458906:WWP458908 AH524442:AH524444 KD524442:KD524444 TZ524442:TZ524444 ADV524442:ADV524444 ANR524442:ANR524444 AXN524442:AXN524444 BHJ524442:BHJ524444 BRF524442:BRF524444 CBB524442:CBB524444 CKX524442:CKX524444 CUT524442:CUT524444 DEP524442:DEP524444 DOL524442:DOL524444 DYH524442:DYH524444 EID524442:EID524444 ERZ524442:ERZ524444 FBV524442:FBV524444 FLR524442:FLR524444 FVN524442:FVN524444 GFJ524442:GFJ524444 GPF524442:GPF524444 GZB524442:GZB524444 HIX524442:HIX524444 HST524442:HST524444 ICP524442:ICP524444 IML524442:IML524444 IWH524442:IWH524444 JGD524442:JGD524444 JPZ524442:JPZ524444 JZV524442:JZV524444 KJR524442:KJR524444 KTN524442:KTN524444 LDJ524442:LDJ524444 LNF524442:LNF524444 LXB524442:LXB524444 MGX524442:MGX524444 MQT524442:MQT524444 NAP524442:NAP524444 NKL524442:NKL524444 NUH524442:NUH524444 OED524442:OED524444 ONZ524442:ONZ524444 OXV524442:OXV524444 PHR524442:PHR524444 PRN524442:PRN524444 QBJ524442:QBJ524444 QLF524442:QLF524444 QVB524442:QVB524444 REX524442:REX524444 ROT524442:ROT524444 RYP524442:RYP524444 SIL524442:SIL524444 SSH524442:SSH524444 TCD524442:TCD524444 TLZ524442:TLZ524444 TVV524442:TVV524444 UFR524442:UFR524444 UPN524442:UPN524444 UZJ524442:UZJ524444 VJF524442:VJF524444 VTB524442:VTB524444 WCX524442:WCX524444 WMT524442:WMT524444 WWP524442:WWP524444 AH589978:AH589980 KD589978:KD589980 TZ589978:TZ589980 ADV589978:ADV589980 ANR589978:ANR589980 AXN589978:AXN589980 BHJ589978:BHJ589980 BRF589978:BRF589980 CBB589978:CBB589980 CKX589978:CKX589980 CUT589978:CUT589980 DEP589978:DEP589980 DOL589978:DOL589980 DYH589978:DYH589980 EID589978:EID589980 ERZ589978:ERZ589980 FBV589978:FBV589980 FLR589978:FLR589980 FVN589978:FVN589980 GFJ589978:GFJ589980 GPF589978:GPF589980 GZB589978:GZB589980 HIX589978:HIX589980 HST589978:HST589980 ICP589978:ICP589980 IML589978:IML589980 IWH589978:IWH589980 JGD589978:JGD589980 JPZ589978:JPZ589980 JZV589978:JZV589980 KJR589978:KJR589980 KTN589978:KTN589980 LDJ589978:LDJ589980 LNF589978:LNF589980 LXB589978:LXB589980 MGX589978:MGX589980 MQT589978:MQT589980 NAP589978:NAP589980 NKL589978:NKL589980 NUH589978:NUH589980 OED589978:OED589980 ONZ589978:ONZ589980 OXV589978:OXV589980 PHR589978:PHR589980 PRN589978:PRN589980 QBJ589978:QBJ589980 QLF589978:QLF589980 QVB589978:QVB589980 REX589978:REX589980 ROT589978:ROT589980 RYP589978:RYP589980 SIL589978:SIL589980 SSH589978:SSH589980 TCD589978:TCD589980 TLZ589978:TLZ589980 TVV589978:TVV589980 UFR589978:UFR589980 UPN589978:UPN589980 UZJ589978:UZJ589980 VJF589978:VJF589980 VTB589978:VTB589980 WCX589978:WCX589980 WMT589978:WMT589980 WWP589978:WWP589980 AH655514:AH655516 KD655514:KD655516 TZ655514:TZ655516 ADV655514:ADV655516 ANR655514:ANR655516 AXN655514:AXN655516 BHJ655514:BHJ655516 BRF655514:BRF655516 CBB655514:CBB655516 CKX655514:CKX655516 CUT655514:CUT655516 DEP655514:DEP655516 DOL655514:DOL655516 DYH655514:DYH655516 EID655514:EID655516 ERZ655514:ERZ655516 FBV655514:FBV655516 FLR655514:FLR655516 FVN655514:FVN655516 GFJ655514:GFJ655516 GPF655514:GPF655516 GZB655514:GZB655516 HIX655514:HIX655516 HST655514:HST655516 ICP655514:ICP655516 IML655514:IML655516 IWH655514:IWH655516 JGD655514:JGD655516 JPZ655514:JPZ655516 JZV655514:JZV655516 KJR655514:KJR655516 KTN655514:KTN655516 LDJ655514:LDJ655516 LNF655514:LNF655516 LXB655514:LXB655516 MGX655514:MGX655516 MQT655514:MQT655516 NAP655514:NAP655516 NKL655514:NKL655516 NUH655514:NUH655516 OED655514:OED655516 ONZ655514:ONZ655516 OXV655514:OXV655516 PHR655514:PHR655516 PRN655514:PRN655516 QBJ655514:QBJ655516 QLF655514:QLF655516 QVB655514:QVB655516 REX655514:REX655516 ROT655514:ROT655516 RYP655514:RYP655516 SIL655514:SIL655516 SSH655514:SSH655516 TCD655514:TCD655516 TLZ655514:TLZ655516 TVV655514:TVV655516 UFR655514:UFR655516 UPN655514:UPN655516 UZJ655514:UZJ655516 VJF655514:VJF655516 VTB655514:VTB655516 WCX655514:WCX655516 WMT655514:WMT655516 WWP655514:WWP655516 AH721050:AH721052 KD721050:KD721052 TZ721050:TZ721052 ADV721050:ADV721052 ANR721050:ANR721052 AXN721050:AXN721052 BHJ721050:BHJ721052 BRF721050:BRF721052 CBB721050:CBB721052 CKX721050:CKX721052 CUT721050:CUT721052 DEP721050:DEP721052 DOL721050:DOL721052 DYH721050:DYH721052 EID721050:EID721052 ERZ721050:ERZ721052 FBV721050:FBV721052 FLR721050:FLR721052 FVN721050:FVN721052 GFJ721050:GFJ721052 GPF721050:GPF721052 GZB721050:GZB721052 HIX721050:HIX721052 HST721050:HST721052 ICP721050:ICP721052 IML721050:IML721052 IWH721050:IWH721052 JGD721050:JGD721052 JPZ721050:JPZ721052 JZV721050:JZV721052 KJR721050:KJR721052 KTN721050:KTN721052 LDJ721050:LDJ721052 LNF721050:LNF721052 LXB721050:LXB721052 MGX721050:MGX721052 MQT721050:MQT721052 NAP721050:NAP721052 NKL721050:NKL721052 NUH721050:NUH721052 OED721050:OED721052 ONZ721050:ONZ721052 OXV721050:OXV721052 PHR721050:PHR721052 PRN721050:PRN721052 QBJ721050:QBJ721052 QLF721050:QLF721052 QVB721050:QVB721052 REX721050:REX721052 ROT721050:ROT721052 RYP721050:RYP721052 SIL721050:SIL721052 SSH721050:SSH721052 TCD721050:TCD721052 TLZ721050:TLZ721052 TVV721050:TVV721052 UFR721050:UFR721052 UPN721050:UPN721052 UZJ721050:UZJ721052 VJF721050:VJF721052 VTB721050:VTB721052 WCX721050:WCX721052 WMT721050:WMT721052 WWP721050:WWP721052 AH786586:AH786588 KD786586:KD786588 TZ786586:TZ786588 ADV786586:ADV786588 ANR786586:ANR786588 AXN786586:AXN786588 BHJ786586:BHJ786588 BRF786586:BRF786588 CBB786586:CBB786588 CKX786586:CKX786588 CUT786586:CUT786588 DEP786586:DEP786588 DOL786586:DOL786588 DYH786586:DYH786588 EID786586:EID786588 ERZ786586:ERZ786588 FBV786586:FBV786588 FLR786586:FLR786588 FVN786586:FVN786588 GFJ786586:GFJ786588 GPF786586:GPF786588 GZB786586:GZB786588 HIX786586:HIX786588 HST786586:HST786588 ICP786586:ICP786588 IML786586:IML786588 IWH786586:IWH786588 JGD786586:JGD786588 JPZ786586:JPZ786588 JZV786586:JZV786588 KJR786586:KJR786588 KTN786586:KTN786588 LDJ786586:LDJ786588 LNF786586:LNF786588 LXB786586:LXB786588 MGX786586:MGX786588 MQT786586:MQT786588 NAP786586:NAP786588 NKL786586:NKL786588 NUH786586:NUH786588 OED786586:OED786588 ONZ786586:ONZ786588 OXV786586:OXV786588 PHR786586:PHR786588 PRN786586:PRN786588 QBJ786586:QBJ786588 QLF786586:QLF786588 QVB786586:QVB786588 REX786586:REX786588 ROT786586:ROT786588 RYP786586:RYP786588 SIL786586:SIL786588 SSH786586:SSH786588 TCD786586:TCD786588 TLZ786586:TLZ786588 TVV786586:TVV786588 UFR786586:UFR786588 UPN786586:UPN786588 UZJ786586:UZJ786588 VJF786586:VJF786588 VTB786586:VTB786588 WCX786586:WCX786588 WMT786586:WMT786588 WWP786586:WWP786588 AH852122:AH852124 KD852122:KD852124 TZ852122:TZ852124 ADV852122:ADV852124 ANR852122:ANR852124 AXN852122:AXN852124 BHJ852122:BHJ852124 BRF852122:BRF852124 CBB852122:CBB852124 CKX852122:CKX852124 CUT852122:CUT852124 DEP852122:DEP852124 DOL852122:DOL852124 DYH852122:DYH852124 EID852122:EID852124 ERZ852122:ERZ852124 FBV852122:FBV852124 FLR852122:FLR852124 FVN852122:FVN852124 GFJ852122:GFJ852124 GPF852122:GPF852124 GZB852122:GZB852124 HIX852122:HIX852124 HST852122:HST852124 ICP852122:ICP852124 IML852122:IML852124 IWH852122:IWH852124 JGD852122:JGD852124 JPZ852122:JPZ852124 JZV852122:JZV852124 KJR852122:KJR852124 KTN852122:KTN852124 LDJ852122:LDJ852124 LNF852122:LNF852124 LXB852122:LXB852124 MGX852122:MGX852124 MQT852122:MQT852124 NAP852122:NAP852124 NKL852122:NKL852124 NUH852122:NUH852124 OED852122:OED852124 ONZ852122:ONZ852124 OXV852122:OXV852124 PHR852122:PHR852124 PRN852122:PRN852124 QBJ852122:QBJ852124 QLF852122:QLF852124 QVB852122:QVB852124 REX852122:REX852124 ROT852122:ROT852124 RYP852122:RYP852124 SIL852122:SIL852124 SSH852122:SSH852124 TCD852122:TCD852124 TLZ852122:TLZ852124 TVV852122:TVV852124 UFR852122:UFR852124 UPN852122:UPN852124 UZJ852122:UZJ852124 VJF852122:VJF852124 VTB852122:VTB852124 WCX852122:WCX852124 WMT852122:WMT852124 WWP852122:WWP852124 AH917658:AH917660 KD917658:KD917660 TZ917658:TZ917660 ADV917658:ADV917660 ANR917658:ANR917660 AXN917658:AXN917660 BHJ917658:BHJ917660 BRF917658:BRF917660 CBB917658:CBB917660 CKX917658:CKX917660 CUT917658:CUT917660 DEP917658:DEP917660 DOL917658:DOL917660 DYH917658:DYH917660 EID917658:EID917660 ERZ917658:ERZ917660 FBV917658:FBV917660 FLR917658:FLR917660 FVN917658:FVN917660 GFJ917658:GFJ917660 GPF917658:GPF917660 GZB917658:GZB917660 HIX917658:HIX917660 HST917658:HST917660 ICP917658:ICP917660 IML917658:IML917660 IWH917658:IWH917660 JGD917658:JGD917660 JPZ917658:JPZ917660 JZV917658:JZV917660 KJR917658:KJR917660 KTN917658:KTN917660 LDJ917658:LDJ917660 LNF917658:LNF917660 LXB917658:LXB917660 MGX917658:MGX917660 MQT917658:MQT917660 NAP917658:NAP917660 NKL917658:NKL917660 NUH917658:NUH917660 OED917658:OED917660 ONZ917658:ONZ917660 OXV917658:OXV917660 PHR917658:PHR917660 PRN917658:PRN917660 QBJ917658:QBJ917660 QLF917658:QLF917660 QVB917658:QVB917660 REX917658:REX917660 ROT917658:ROT917660 RYP917658:RYP917660 SIL917658:SIL917660 SSH917658:SSH917660 TCD917658:TCD917660 TLZ917658:TLZ917660 TVV917658:TVV917660 UFR917658:UFR917660 UPN917658:UPN917660 UZJ917658:UZJ917660 VJF917658:VJF917660 VTB917658:VTB917660 WCX917658:WCX917660 WMT917658:WMT917660 WWP917658:WWP917660 AH983194:AH983196 KD983194:KD983196 TZ983194:TZ983196 ADV983194:ADV983196 ANR983194:ANR983196 AXN983194:AXN983196 BHJ983194:BHJ983196 BRF983194:BRF983196 CBB983194:CBB983196 CKX983194:CKX983196 CUT983194:CUT983196 DEP983194:DEP983196 DOL983194:DOL983196 DYH983194:DYH983196 EID983194:EID983196 ERZ983194:ERZ983196 FBV983194:FBV983196 FLR983194:FLR983196 FVN983194:FVN983196 GFJ983194:GFJ983196 GPF983194:GPF983196 GZB983194:GZB983196 HIX983194:HIX983196 HST983194:HST983196 ICP983194:ICP983196 IML983194:IML983196 IWH983194:IWH983196 JGD983194:JGD983196 JPZ983194:JPZ983196 JZV983194:JZV983196 KJR983194:KJR983196 KTN983194:KTN983196 LDJ983194:LDJ983196 LNF983194:LNF983196 LXB983194:LXB983196 MGX983194:MGX983196 MQT983194:MQT983196 NAP983194:NAP983196 NKL983194:NKL983196 NUH983194:NUH983196 OED983194:OED983196 ONZ983194:ONZ983196 OXV983194:OXV983196 PHR983194:PHR983196 PRN983194:PRN983196 QBJ983194:QBJ983196 QLF983194:QLF983196 QVB983194:QVB983196 REX983194:REX983196 ROT983194:ROT983196 RYP983194:RYP983196 SIL983194:SIL983196 SSH983194:SSH983196 TCD983194:TCD983196 TLZ983194:TLZ983196 TVV983194:TVV983196 UFR983194:UFR983196 UPN983194:UPN983196 UZJ983194:UZJ983196 VJF983194:VJF983196 VTB983194:VTB983196 WCX983194:WCX983196 WMT983194:WMT983196 WWP983194:WWP983196 KD66:KD74 KD141:KD151 TZ141:TZ151 ADV141:ADV151 ANR141:ANR151 AXN141:AXN151 BHJ141:BHJ151 BRF141:BRF151 CBB141:CBB151 CKX141:CKX151 CUT141:CUT151 DEP141:DEP151 DOL141:DOL151 DYH141:DYH151 EID141:EID151 ERZ141:ERZ151 FBV141:FBV151 FLR141:FLR151 FVN141:FVN151 GFJ141:GFJ151 GPF141:GPF151 GZB141:GZB151 HIX141:HIX151 HST141:HST151 ICP141:ICP151 IML141:IML151 IWH141:IWH151 JGD141:JGD151 JPZ141:JPZ151 JZV141:JZV151 KJR141:KJR151 KTN141:KTN151 LDJ141:LDJ151 LNF141:LNF151 LXB141:LXB151 MGX141:MGX151 MQT141:MQT151 NAP141:NAP151 NKL141:NKL151 NUH141:NUH151 OED141:OED151 ONZ141:ONZ151 OXV141:OXV151 PHR141:PHR151 PRN141:PRN151 QBJ141:QBJ151 QLF141:QLF151 QVB141:QVB151 REX141:REX151 ROT141:ROT151 RYP141:RYP151 SIL141:SIL151 SSH141:SSH151 TCD141:TCD151 TLZ141:TLZ151 TVV141:TVV151 UFR141:UFR151 UPN141:UPN151 UZJ141:UZJ151 VJF141:VJF151 VTB141:VTB151 WCX141:WCX151 WMT141:WMT151 WWP141:WWP151 AH65678:AH65688 KD65678:KD65688 TZ65678:TZ65688 ADV65678:ADV65688 ANR65678:ANR65688 AXN65678:AXN65688 BHJ65678:BHJ65688 BRF65678:BRF65688 CBB65678:CBB65688 CKX65678:CKX65688 CUT65678:CUT65688 DEP65678:DEP65688 DOL65678:DOL65688 DYH65678:DYH65688 EID65678:EID65688 ERZ65678:ERZ65688 FBV65678:FBV65688 FLR65678:FLR65688 FVN65678:FVN65688 GFJ65678:GFJ65688 GPF65678:GPF65688 GZB65678:GZB65688 HIX65678:HIX65688 HST65678:HST65688 ICP65678:ICP65688 IML65678:IML65688 IWH65678:IWH65688 JGD65678:JGD65688 JPZ65678:JPZ65688 JZV65678:JZV65688 KJR65678:KJR65688 KTN65678:KTN65688 LDJ65678:LDJ65688 LNF65678:LNF65688 LXB65678:LXB65688 MGX65678:MGX65688 MQT65678:MQT65688 NAP65678:NAP65688 NKL65678:NKL65688 NUH65678:NUH65688 OED65678:OED65688 ONZ65678:ONZ65688 OXV65678:OXV65688 PHR65678:PHR65688 PRN65678:PRN65688 QBJ65678:QBJ65688 QLF65678:QLF65688 QVB65678:QVB65688 REX65678:REX65688 ROT65678:ROT65688 RYP65678:RYP65688 SIL65678:SIL65688 SSH65678:SSH65688 TCD65678:TCD65688 TLZ65678:TLZ65688 TVV65678:TVV65688 UFR65678:UFR65688 UPN65678:UPN65688 UZJ65678:UZJ65688 VJF65678:VJF65688 VTB65678:VTB65688 WCX65678:WCX65688 WMT65678:WMT65688 WWP65678:WWP65688 AH131214:AH131224 KD131214:KD131224 TZ131214:TZ131224 ADV131214:ADV131224 ANR131214:ANR131224 AXN131214:AXN131224 BHJ131214:BHJ131224 BRF131214:BRF131224 CBB131214:CBB131224 CKX131214:CKX131224 CUT131214:CUT131224 DEP131214:DEP131224 DOL131214:DOL131224 DYH131214:DYH131224 EID131214:EID131224 ERZ131214:ERZ131224 FBV131214:FBV131224 FLR131214:FLR131224 FVN131214:FVN131224 GFJ131214:GFJ131224 GPF131214:GPF131224 GZB131214:GZB131224 HIX131214:HIX131224 HST131214:HST131224 ICP131214:ICP131224 IML131214:IML131224 IWH131214:IWH131224 JGD131214:JGD131224 JPZ131214:JPZ131224 JZV131214:JZV131224 KJR131214:KJR131224 KTN131214:KTN131224 LDJ131214:LDJ131224 LNF131214:LNF131224 LXB131214:LXB131224 MGX131214:MGX131224 MQT131214:MQT131224 NAP131214:NAP131224 NKL131214:NKL131224 NUH131214:NUH131224 OED131214:OED131224 ONZ131214:ONZ131224 OXV131214:OXV131224 PHR131214:PHR131224 PRN131214:PRN131224 QBJ131214:QBJ131224 QLF131214:QLF131224 QVB131214:QVB131224 REX131214:REX131224 ROT131214:ROT131224 RYP131214:RYP131224 SIL131214:SIL131224 SSH131214:SSH131224 TCD131214:TCD131224 TLZ131214:TLZ131224 TVV131214:TVV131224 UFR131214:UFR131224 UPN131214:UPN131224 UZJ131214:UZJ131224 VJF131214:VJF131224 VTB131214:VTB131224 WCX131214:WCX131224 WMT131214:WMT131224 WWP131214:WWP131224 AH196750:AH196760 KD196750:KD196760 TZ196750:TZ196760 ADV196750:ADV196760 ANR196750:ANR196760 AXN196750:AXN196760 BHJ196750:BHJ196760 BRF196750:BRF196760 CBB196750:CBB196760 CKX196750:CKX196760 CUT196750:CUT196760 DEP196750:DEP196760 DOL196750:DOL196760 DYH196750:DYH196760 EID196750:EID196760 ERZ196750:ERZ196760 FBV196750:FBV196760 FLR196750:FLR196760 FVN196750:FVN196760 GFJ196750:GFJ196760 GPF196750:GPF196760 GZB196750:GZB196760 HIX196750:HIX196760 HST196750:HST196760 ICP196750:ICP196760 IML196750:IML196760 IWH196750:IWH196760 JGD196750:JGD196760 JPZ196750:JPZ196760 JZV196750:JZV196760 KJR196750:KJR196760 KTN196750:KTN196760 LDJ196750:LDJ196760 LNF196750:LNF196760 LXB196750:LXB196760 MGX196750:MGX196760 MQT196750:MQT196760 NAP196750:NAP196760 NKL196750:NKL196760 NUH196750:NUH196760 OED196750:OED196760 ONZ196750:ONZ196760 OXV196750:OXV196760 PHR196750:PHR196760 PRN196750:PRN196760 QBJ196750:QBJ196760 QLF196750:QLF196760 QVB196750:QVB196760 REX196750:REX196760 ROT196750:ROT196760 RYP196750:RYP196760 SIL196750:SIL196760 SSH196750:SSH196760 TCD196750:TCD196760 TLZ196750:TLZ196760 TVV196750:TVV196760 UFR196750:UFR196760 UPN196750:UPN196760 UZJ196750:UZJ196760 VJF196750:VJF196760 VTB196750:VTB196760 WCX196750:WCX196760 WMT196750:WMT196760 WWP196750:WWP196760 AH262286:AH262296 KD262286:KD262296 TZ262286:TZ262296 ADV262286:ADV262296 ANR262286:ANR262296 AXN262286:AXN262296 BHJ262286:BHJ262296 BRF262286:BRF262296 CBB262286:CBB262296 CKX262286:CKX262296 CUT262286:CUT262296 DEP262286:DEP262296 DOL262286:DOL262296 DYH262286:DYH262296 EID262286:EID262296 ERZ262286:ERZ262296 FBV262286:FBV262296 FLR262286:FLR262296 FVN262286:FVN262296 GFJ262286:GFJ262296 GPF262286:GPF262296 GZB262286:GZB262296 HIX262286:HIX262296 HST262286:HST262296 ICP262286:ICP262296 IML262286:IML262296 IWH262286:IWH262296 JGD262286:JGD262296 JPZ262286:JPZ262296 JZV262286:JZV262296 KJR262286:KJR262296 KTN262286:KTN262296 LDJ262286:LDJ262296 LNF262286:LNF262296 LXB262286:LXB262296 MGX262286:MGX262296 MQT262286:MQT262296 NAP262286:NAP262296 NKL262286:NKL262296 NUH262286:NUH262296 OED262286:OED262296 ONZ262286:ONZ262296 OXV262286:OXV262296 PHR262286:PHR262296 PRN262286:PRN262296 QBJ262286:QBJ262296 QLF262286:QLF262296 QVB262286:QVB262296 REX262286:REX262296 ROT262286:ROT262296 RYP262286:RYP262296 SIL262286:SIL262296 SSH262286:SSH262296 TCD262286:TCD262296 TLZ262286:TLZ262296 TVV262286:TVV262296 UFR262286:UFR262296 UPN262286:UPN262296 UZJ262286:UZJ262296 VJF262286:VJF262296 VTB262286:VTB262296 WCX262286:WCX262296 WMT262286:WMT262296 WWP262286:WWP262296 AH327822:AH327832 KD327822:KD327832 TZ327822:TZ327832 ADV327822:ADV327832 ANR327822:ANR327832 AXN327822:AXN327832 BHJ327822:BHJ327832 BRF327822:BRF327832 CBB327822:CBB327832 CKX327822:CKX327832 CUT327822:CUT327832 DEP327822:DEP327832 DOL327822:DOL327832 DYH327822:DYH327832 EID327822:EID327832 ERZ327822:ERZ327832 FBV327822:FBV327832 FLR327822:FLR327832 FVN327822:FVN327832 GFJ327822:GFJ327832 GPF327822:GPF327832 GZB327822:GZB327832 HIX327822:HIX327832 HST327822:HST327832 ICP327822:ICP327832 IML327822:IML327832 IWH327822:IWH327832 JGD327822:JGD327832 JPZ327822:JPZ327832 JZV327822:JZV327832 KJR327822:KJR327832 KTN327822:KTN327832 LDJ327822:LDJ327832 LNF327822:LNF327832 LXB327822:LXB327832 MGX327822:MGX327832 MQT327822:MQT327832 NAP327822:NAP327832 NKL327822:NKL327832 NUH327822:NUH327832 OED327822:OED327832 ONZ327822:ONZ327832 OXV327822:OXV327832 PHR327822:PHR327832 PRN327822:PRN327832 QBJ327822:QBJ327832 QLF327822:QLF327832 QVB327822:QVB327832 REX327822:REX327832 ROT327822:ROT327832 RYP327822:RYP327832 SIL327822:SIL327832 SSH327822:SSH327832 TCD327822:TCD327832 TLZ327822:TLZ327832 TVV327822:TVV327832 UFR327822:UFR327832 UPN327822:UPN327832 UZJ327822:UZJ327832 VJF327822:VJF327832 VTB327822:VTB327832 WCX327822:WCX327832 WMT327822:WMT327832 WWP327822:WWP327832 AH393358:AH393368 KD393358:KD393368 TZ393358:TZ393368 ADV393358:ADV393368 ANR393358:ANR393368 AXN393358:AXN393368 BHJ393358:BHJ393368 BRF393358:BRF393368 CBB393358:CBB393368 CKX393358:CKX393368 CUT393358:CUT393368 DEP393358:DEP393368 DOL393358:DOL393368 DYH393358:DYH393368 EID393358:EID393368 ERZ393358:ERZ393368 FBV393358:FBV393368 FLR393358:FLR393368 FVN393358:FVN393368 GFJ393358:GFJ393368 GPF393358:GPF393368 GZB393358:GZB393368 HIX393358:HIX393368 HST393358:HST393368 ICP393358:ICP393368 IML393358:IML393368 IWH393358:IWH393368 JGD393358:JGD393368 JPZ393358:JPZ393368 JZV393358:JZV393368 KJR393358:KJR393368 KTN393358:KTN393368 LDJ393358:LDJ393368 LNF393358:LNF393368 LXB393358:LXB393368 MGX393358:MGX393368 MQT393358:MQT393368 NAP393358:NAP393368 NKL393358:NKL393368 NUH393358:NUH393368 OED393358:OED393368 ONZ393358:ONZ393368 OXV393358:OXV393368 PHR393358:PHR393368 PRN393358:PRN393368 QBJ393358:QBJ393368 QLF393358:QLF393368 QVB393358:QVB393368 REX393358:REX393368 ROT393358:ROT393368 RYP393358:RYP393368 SIL393358:SIL393368 SSH393358:SSH393368 TCD393358:TCD393368 TLZ393358:TLZ393368 TVV393358:TVV393368 UFR393358:UFR393368 UPN393358:UPN393368 UZJ393358:UZJ393368 VJF393358:VJF393368 VTB393358:VTB393368 WCX393358:WCX393368 WMT393358:WMT393368 WWP393358:WWP393368 AH458894:AH458904 KD458894:KD458904 TZ458894:TZ458904 ADV458894:ADV458904 ANR458894:ANR458904 AXN458894:AXN458904 BHJ458894:BHJ458904 BRF458894:BRF458904 CBB458894:CBB458904 CKX458894:CKX458904 CUT458894:CUT458904 DEP458894:DEP458904 DOL458894:DOL458904 DYH458894:DYH458904 EID458894:EID458904 ERZ458894:ERZ458904 FBV458894:FBV458904 FLR458894:FLR458904 FVN458894:FVN458904 GFJ458894:GFJ458904 GPF458894:GPF458904 GZB458894:GZB458904 HIX458894:HIX458904 HST458894:HST458904 ICP458894:ICP458904 IML458894:IML458904 IWH458894:IWH458904 JGD458894:JGD458904 JPZ458894:JPZ458904 JZV458894:JZV458904 KJR458894:KJR458904 KTN458894:KTN458904 LDJ458894:LDJ458904 LNF458894:LNF458904 LXB458894:LXB458904 MGX458894:MGX458904 MQT458894:MQT458904 NAP458894:NAP458904 NKL458894:NKL458904 NUH458894:NUH458904 OED458894:OED458904 ONZ458894:ONZ458904 OXV458894:OXV458904 PHR458894:PHR458904 PRN458894:PRN458904 QBJ458894:QBJ458904 QLF458894:QLF458904 QVB458894:QVB458904 REX458894:REX458904 ROT458894:ROT458904 RYP458894:RYP458904 SIL458894:SIL458904 SSH458894:SSH458904 TCD458894:TCD458904 TLZ458894:TLZ458904 TVV458894:TVV458904 UFR458894:UFR458904 UPN458894:UPN458904 UZJ458894:UZJ458904 VJF458894:VJF458904 VTB458894:VTB458904 WCX458894:WCX458904 WMT458894:WMT458904 WWP458894:WWP458904 AH524430:AH524440 KD524430:KD524440 TZ524430:TZ524440 ADV524430:ADV524440 ANR524430:ANR524440 AXN524430:AXN524440 BHJ524430:BHJ524440 BRF524430:BRF524440 CBB524430:CBB524440 CKX524430:CKX524440 CUT524430:CUT524440 DEP524430:DEP524440 DOL524430:DOL524440 DYH524430:DYH524440 EID524430:EID524440 ERZ524430:ERZ524440 FBV524430:FBV524440 FLR524430:FLR524440 FVN524430:FVN524440 GFJ524430:GFJ524440 GPF524430:GPF524440 GZB524430:GZB524440 HIX524430:HIX524440 HST524430:HST524440 ICP524430:ICP524440 IML524430:IML524440 IWH524430:IWH524440 JGD524430:JGD524440 JPZ524430:JPZ524440 JZV524430:JZV524440 KJR524430:KJR524440 KTN524430:KTN524440 LDJ524430:LDJ524440 LNF524430:LNF524440 LXB524430:LXB524440 MGX524430:MGX524440 MQT524430:MQT524440 NAP524430:NAP524440 NKL524430:NKL524440 NUH524430:NUH524440 OED524430:OED524440 ONZ524430:ONZ524440 OXV524430:OXV524440 PHR524430:PHR524440 PRN524430:PRN524440 QBJ524430:QBJ524440 QLF524430:QLF524440 QVB524430:QVB524440 REX524430:REX524440 ROT524430:ROT524440 RYP524430:RYP524440 SIL524430:SIL524440 SSH524430:SSH524440 TCD524430:TCD524440 TLZ524430:TLZ524440 TVV524430:TVV524440 UFR524430:UFR524440 UPN524430:UPN524440 UZJ524430:UZJ524440 VJF524430:VJF524440 VTB524430:VTB524440 WCX524430:WCX524440 WMT524430:WMT524440 WWP524430:WWP524440 AH589966:AH589976 KD589966:KD589976 TZ589966:TZ589976 ADV589966:ADV589976 ANR589966:ANR589976 AXN589966:AXN589976 BHJ589966:BHJ589976 BRF589966:BRF589976 CBB589966:CBB589976 CKX589966:CKX589976 CUT589966:CUT589976 DEP589966:DEP589976 DOL589966:DOL589976 DYH589966:DYH589976 EID589966:EID589976 ERZ589966:ERZ589976 FBV589966:FBV589976 FLR589966:FLR589976 FVN589966:FVN589976 GFJ589966:GFJ589976 GPF589966:GPF589976 GZB589966:GZB589976 HIX589966:HIX589976 HST589966:HST589976 ICP589966:ICP589976 IML589966:IML589976 IWH589966:IWH589976 JGD589966:JGD589976 JPZ589966:JPZ589976 JZV589966:JZV589976 KJR589966:KJR589976 KTN589966:KTN589976 LDJ589966:LDJ589976 LNF589966:LNF589976 LXB589966:LXB589976 MGX589966:MGX589976 MQT589966:MQT589976 NAP589966:NAP589976 NKL589966:NKL589976 NUH589966:NUH589976 OED589966:OED589976 ONZ589966:ONZ589976 OXV589966:OXV589976 PHR589966:PHR589976 PRN589966:PRN589976 QBJ589966:QBJ589976 QLF589966:QLF589976 QVB589966:QVB589976 REX589966:REX589976 ROT589966:ROT589976 RYP589966:RYP589976 SIL589966:SIL589976 SSH589966:SSH589976 TCD589966:TCD589976 TLZ589966:TLZ589976 TVV589966:TVV589976 UFR589966:UFR589976 UPN589966:UPN589976 UZJ589966:UZJ589976 VJF589966:VJF589976 VTB589966:VTB589976 WCX589966:WCX589976 WMT589966:WMT589976 WWP589966:WWP589976 AH655502:AH655512 KD655502:KD655512 TZ655502:TZ655512 ADV655502:ADV655512 ANR655502:ANR655512 AXN655502:AXN655512 BHJ655502:BHJ655512 BRF655502:BRF655512 CBB655502:CBB655512 CKX655502:CKX655512 CUT655502:CUT655512 DEP655502:DEP655512 DOL655502:DOL655512 DYH655502:DYH655512 EID655502:EID655512 ERZ655502:ERZ655512 FBV655502:FBV655512 FLR655502:FLR655512 FVN655502:FVN655512 GFJ655502:GFJ655512 GPF655502:GPF655512 GZB655502:GZB655512 HIX655502:HIX655512 HST655502:HST655512 ICP655502:ICP655512 IML655502:IML655512 IWH655502:IWH655512 JGD655502:JGD655512 JPZ655502:JPZ655512 JZV655502:JZV655512 KJR655502:KJR655512 KTN655502:KTN655512 LDJ655502:LDJ655512 LNF655502:LNF655512 LXB655502:LXB655512 MGX655502:MGX655512 MQT655502:MQT655512 NAP655502:NAP655512 NKL655502:NKL655512 NUH655502:NUH655512 OED655502:OED655512 ONZ655502:ONZ655512 OXV655502:OXV655512 PHR655502:PHR655512 PRN655502:PRN655512 QBJ655502:QBJ655512 QLF655502:QLF655512 QVB655502:QVB655512 REX655502:REX655512 ROT655502:ROT655512 RYP655502:RYP655512 SIL655502:SIL655512 SSH655502:SSH655512 TCD655502:TCD655512 TLZ655502:TLZ655512 TVV655502:TVV655512 UFR655502:UFR655512 UPN655502:UPN655512 UZJ655502:UZJ655512 VJF655502:VJF655512 VTB655502:VTB655512 WCX655502:WCX655512 WMT655502:WMT655512 WWP655502:WWP655512 AH721038:AH721048 KD721038:KD721048 TZ721038:TZ721048 ADV721038:ADV721048 ANR721038:ANR721048 AXN721038:AXN721048 BHJ721038:BHJ721048 BRF721038:BRF721048 CBB721038:CBB721048 CKX721038:CKX721048 CUT721038:CUT721048 DEP721038:DEP721048 DOL721038:DOL721048 DYH721038:DYH721048 EID721038:EID721048 ERZ721038:ERZ721048 FBV721038:FBV721048 FLR721038:FLR721048 FVN721038:FVN721048 GFJ721038:GFJ721048 GPF721038:GPF721048 GZB721038:GZB721048 HIX721038:HIX721048 HST721038:HST721048 ICP721038:ICP721048 IML721038:IML721048 IWH721038:IWH721048 JGD721038:JGD721048 JPZ721038:JPZ721048 JZV721038:JZV721048 KJR721038:KJR721048 KTN721038:KTN721048 LDJ721038:LDJ721048 LNF721038:LNF721048 LXB721038:LXB721048 MGX721038:MGX721048 MQT721038:MQT721048 NAP721038:NAP721048 NKL721038:NKL721048 NUH721038:NUH721048 OED721038:OED721048 ONZ721038:ONZ721048 OXV721038:OXV721048 PHR721038:PHR721048 PRN721038:PRN721048 QBJ721038:QBJ721048 QLF721038:QLF721048 QVB721038:QVB721048 REX721038:REX721048 ROT721038:ROT721048 RYP721038:RYP721048 SIL721038:SIL721048 SSH721038:SSH721048 TCD721038:TCD721048 TLZ721038:TLZ721048 TVV721038:TVV721048 UFR721038:UFR721048 UPN721038:UPN721048 UZJ721038:UZJ721048 VJF721038:VJF721048 VTB721038:VTB721048 WCX721038:WCX721048 WMT721038:WMT721048 WWP721038:WWP721048 AH786574:AH786584 KD786574:KD786584 TZ786574:TZ786584 ADV786574:ADV786584 ANR786574:ANR786584 AXN786574:AXN786584 BHJ786574:BHJ786584 BRF786574:BRF786584 CBB786574:CBB786584 CKX786574:CKX786584 CUT786574:CUT786584 DEP786574:DEP786584 DOL786574:DOL786584 DYH786574:DYH786584 EID786574:EID786584 ERZ786574:ERZ786584 FBV786574:FBV786584 FLR786574:FLR786584 FVN786574:FVN786584 GFJ786574:GFJ786584 GPF786574:GPF786584 GZB786574:GZB786584 HIX786574:HIX786584 HST786574:HST786584 ICP786574:ICP786584 IML786574:IML786584 IWH786574:IWH786584 JGD786574:JGD786584 JPZ786574:JPZ786584 JZV786574:JZV786584 KJR786574:KJR786584 KTN786574:KTN786584 LDJ786574:LDJ786584 LNF786574:LNF786584 LXB786574:LXB786584 MGX786574:MGX786584 MQT786574:MQT786584 NAP786574:NAP786584 NKL786574:NKL786584 NUH786574:NUH786584 OED786574:OED786584 ONZ786574:ONZ786584 OXV786574:OXV786584 PHR786574:PHR786584 PRN786574:PRN786584 QBJ786574:QBJ786584 QLF786574:QLF786584 QVB786574:QVB786584 REX786574:REX786584 ROT786574:ROT786584 RYP786574:RYP786584 SIL786574:SIL786584 SSH786574:SSH786584 TCD786574:TCD786584 TLZ786574:TLZ786584 TVV786574:TVV786584 UFR786574:UFR786584 UPN786574:UPN786584 UZJ786574:UZJ786584 VJF786574:VJF786584 VTB786574:VTB786584 WCX786574:WCX786584 WMT786574:WMT786584 WWP786574:WWP786584 AH852110:AH852120 KD852110:KD852120 TZ852110:TZ852120 ADV852110:ADV852120 ANR852110:ANR852120 AXN852110:AXN852120 BHJ852110:BHJ852120 BRF852110:BRF852120 CBB852110:CBB852120 CKX852110:CKX852120 CUT852110:CUT852120 DEP852110:DEP852120 DOL852110:DOL852120 DYH852110:DYH852120 EID852110:EID852120 ERZ852110:ERZ852120 FBV852110:FBV852120 FLR852110:FLR852120 FVN852110:FVN852120 GFJ852110:GFJ852120 GPF852110:GPF852120 GZB852110:GZB852120 HIX852110:HIX852120 HST852110:HST852120 ICP852110:ICP852120 IML852110:IML852120 IWH852110:IWH852120 JGD852110:JGD852120 JPZ852110:JPZ852120 JZV852110:JZV852120 KJR852110:KJR852120 KTN852110:KTN852120 LDJ852110:LDJ852120 LNF852110:LNF852120 LXB852110:LXB852120 MGX852110:MGX852120 MQT852110:MQT852120 NAP852110:NAP852120 NKL852110:NKL852120 NUH852110:NUH852120 OED852110:OED852120 ONZ852110:ONZ852120 OXV852110:OXV852120 PHR852110:PHR852120 PRN852110:PRN852120 QBJ852110:QBJ852120 QLF852110:QLF852120 QVB852110:QVB852120 REX852110:REX852120 ROT852110:ROT852120 RYP852110:RYP852120 SIL852110:SIL852120 SSH852110:SSH852120 TCD852110:TCD852120 TLZ852110:TLZ852120 TVV852110:TVV852120 UFR852110:UFR852120 UPN852110:UPN852120 UZJ852110:UZJ852120 VJF852110:VJF852120 VTB852110:VTB852120 WCX852110:WCX852120 WMT852110:WMT852120 WWP852110:WWP852120 AH917646:AH917656 KD917646:KD917656 TZ917646:TZ917656 ADV917646:ADV917656 ANR917646:ANR917656 AXN917646:AXN917656 BHJ917646:BHJ917656 BRF917646:BRF917656 CBB917646:CBB917656 CKX917646:CKX917656 CUT917646:CUT917656 DEP917646:DEP917656 DOL917646:DOL917656 DYH917646:DYH917656 EID917646:EID917656 ERZ917646:ERZ917656 FBV917646:FBV917656 FLR917646:FLR917656 FVN917646:FVN917656 GFJ917646:GFJ917656 GPF917646:GPF917656 GZB917646:GZB917656 HIX917646:HIX917656 HST917646:HST917656 ICP917646:ICP917656 IML917646:IML917656 IWH917646:IWH917656 JGD917646:JGD917656 JPZ917646:JPZ917656 JZV917646:JZV917656 KJR917646:KJR917656 KTN917646:KTN917656 LDJ917646:LDJ917656 LNF917646:LNF917656 LXB917646:LXB917656 MGX917646:MGX917656 MQT917646:MQT917656 NAP917646:NAP917656 NKL917646:NKL917656 NUH917646:NUH917656 OED917646:OED917656 ONZ917646:ONZ917656 OXV917646:OXV917656 PHR917646:PHR917656 PRN917646:PRN917656 QBJ917646:QBJ917656 QLF917646:QLF917656 QVB917646:QVB917656 REX917646:REX917656 ROT917646:ROT917656 RYP917646:RYP917656 SIL917646:SIL917656 SSH917646:SSH917656 TCD917646:TCD917656 TLZ917646:TLZ917656 TVV917646:TVV917656 UFR917646:UFR917656 UPN917646:UPN917656 UZJ917646:UZJ917656 VJF917646:VJF917656 VTB917646:VTB917656 WCX917646:WCX917656 WMT917646:WMT917656 WWP917646:WWP917656 AH983182:AH983192 KD983182:KD983192 TZ983182:TZ983192 ADV983182:ADV983192 ANR983182:ANR983192 AXN983182:AXN983192 BHJ983182:BHJ983192 BRF983182:BRF983192 CBB983182:CBB983192 CKX983182:CKX983192 CUT983182:CUT983192 DEP983182:DEP983192 DOL983182:DOL983192 DYH983182:DYH983192 EID983182:EID983192 ERZ983182:ERZ983192 FBV983182:FBV983192 FLR983182:FLR983192 FVN983182:FVN983192 GFJ983182:GFJ983192 GPF983182:GPF983192 GZB983182:GZB983192 HIX983182:HIX983192 HST983182:HST983192 ICP983182:ICP983192 IML983182:IML983192 IWH983182:IWH983192 JGD983182:JGD983192 JPZ983182:JPZ983192 JZV983182:JZV983192 KJR983182:KJR983192 KTN983182:KTN983192 LDJ983182:LDJ983192 LNF983182:LNF983192 LXB983182:LXB983192 MGX983182:MGX983192 MQT983182:MQT983192 NAP983182:NAP983192 NKL983182:NKL983192 NUH983182:NUH983192 OED983182:OED983192 ONZ983182:ONZ983192 OXV983182:OXV983192 PHR983182:PHR983192 PRN983182:PRN983192 QBJ983182:QBJ983192 QLF983182:QLF983192 QVB983182:QVB983192 REX983182:REX983192 ROT983182:ROT983192 RYP983182:RYP983192 SIL983182:SIL983192 SSH983182:SSH983192 TCD983182:TCD983192 TLZ983182:TLZ983192 TVV983182:TVV983192 UFR983182:UFR983192 UPN983182:UPN983192 UZJ983182:UZJ983192 VJF983182:VJF983192 VTB983182:VTB983192 WCX983182:WCX983192 WMT983182:WMT983192 WWP983182:WWP983192 KD137:KD139 TZ137:TZ139 ADV137:ADV139 ANR137:ANR139 AXN137:AXN139 BHJ137:BHJ139 BRF137:BRF139 CBB137:CBB139 CKX137:CKX139 CUT137:CUT139 DEP137:DEP139 DOL137:DOL139 DYH137:DYH139 EID137:EID139 ERZ137:ERZ139 FBV137:FBV139 FLR137:FLR139 FVN137:FVN139 GFJ137:GFJ139 GPF137:GPF139 GZB137:GZB139 HIX137:HIX139 HST137:HST139 ICP137:ICP139 IML137:IML139 IWH137:IWH139 JGD137:JGD139 JPZ137:JPZ139 JZV137:JZV139 KJR137:KJR139 KTN137:KTN139 LDJ137:LDJ139 LNF137:LNF139 LXB137:LXB139 MGX137:MGX139 MQT137:MQT139 NAP137:NAP139 NKL137:NKL139 NUH137:NUH139 OED137:OED139 ONZ137:ONZ139 OXV137:OXV139 PHR137:PHR139 PRN137:PRN139 QBJ137:QBJ139 QLF137:QLF139 QVB137:QVB139 REX137:REX139 ROT137:ROT139 RYP137:RYP139 SIL137:SIL139 SSH137:SSH139 TCD137:TCD139 TLZ137:TLZ139 TVV137:TVV139 UFR137:UFR139 UPN137:UPN139 UZJ137:UZJ139 VJF137:VJF139 VTB137:VTB139 WCX137:WCX139 WMT137:WMT139 WWP137:WWP139 AH65674:AH65676 KD65674:KD65676 TZ65674:TZ65676 ADV65674:ADV65676 ANR65674:ANR65676 AXN65674:AXN65676 BHJ65674:BHJ65676 BRF65674:BRF65676 CBB65674:CBB65676 CKX65674:CKX65676 CUT65674:CUT65676 DEP65674:DEP65676 DOL65674:DOL65676 DYH65674:DYH65676 EID65674:EID65676 ERZ65674:ERZ65676 FBV65674:FBV65676 FLR65674:FLR65676 FVN65674:FVN65676 GFJ65674:GFJ65676 GPF65674:GPF65676 GZB65674:GZB65676 HIX65674:HIX65676 HST65674:HST65676 ICP65674:ICP65676 IML65674:IML65676 IWH65674:IWH65676 JGD65674:JGD65676 JPZ65674:JPZ65676 JZV65674:JZV65676 KJR65674:KJR65676 KTN65674:KTN65676 LDJ65674:LDJ65676 LNF65674:LNF65676 LXB65674:LXB65676 MGX65674:MGX65676 MQT65674:MQT65676 NAP65674:NAP65676 NKL65674:NKL65676 NUH65674:NUH65676 OED65674:OED65676 ONZ65674:ONZ65676 OXV65674:OXV65676 PHR65674:PHR65676 PRN65674:PRN65676 QBJ65674:QBJ65676 QLF65674:QLF65676 QVB65674:QVB65676 REX65674:REX65676 ROT65674:ROT65676 RYP65674:RYP65676 SIL65674:SIL65676 SSH65674:SSH65676 TCD65674:TCD65676 TLZ65674:TLZ65676 TVV65674:TVV65676 UFR65674:UFR65676 UPN65674:UPN65676 UZJ65674:UZJ65676 VJF65674:VJF65676 VTB65674:VTB65676 WCX65674:WCX65676 WMT65674:WMT65676 WWP65674:WWP65676 AH131210:AH131212 KD131210:KD131212 TZ131210:TZ131212 ADV131210:ADV131212 ANR131210:ANR131212 AXN131210:AXN131212 BHJ131210:BHJ131212 BRF131210:BRF131212 CBB131210:CBB131212 CKX131210:CKX131212 CUT131210:CUT131212 DEP131210:DEP131212 DOL131210:DOL131212 DYH131210:DYH131212 EID131210:EID131212 ERZ131210:ERZ131212 FBV131210:FBV131212 FLR131210:FLR131212 FVN131210:FVN131212 GFJ131210:GFJ131212 GPF131210:GPF131212 GZB131210:GZB131212 HIX131210:HIX131212 HST131210:HST131212 ICP131210:ICP131212 IML131210:IML131212 IWH131210:IWH131212 JGD131210:JGD131212 JPZ131210:JPZ131212 JZV131210:JZV131212 KJR131210:KJR131212 KTN131210:KTN131212 LDJ131210:LDJ131212 LNF131210:LNF131212 LXB131210:LXB131212 MGX131210:MGX131212 MQT131210:MQT131212 NAP131210:NAP131212 NKL131210:NKL131212 NUH131210:NUH131212 OED131210:OED131212 ONZ131210:ONZ131212 OXV131210:OXV131212 PHR131210:PHR131212 PRN131210:PRN131212 QBJ131210:QBJ131212 QLF131210:QLF131212 QVB131210:QVB131212 REX131210:REX131212 ROT131210:ROT131212 RYP131210:RYP131212 SIL131210:SIL131212 SSH131210:SSH131212 TCD131210:TCD131212 TLZ131210:TLZ131212 TVV131210:TVV131212 UFR131210:UFR131212 UPN131210:UPN131212 UZJ131210:UZJ131212 VJF131210:VJF131212 VTB131210:VTB131212 WCX131210:WCX131212 WMT131210:WMT131212 WWP131210:WWP131212 AH196746:AH196748 KD196746:KD196748 TZ196746:TZ196748 ADV196746:ADV196748 ANR196746:ANR196748 AXN196746:AXN196748 BHJ196746:BHJ196748 BRF196746:BRF196748 CBB196746:CBB196748 CKX196746:CKX196748 CUT196746:CUT196748 DEP196746:DEP196748 DOL196746:DOL196748 DYH196746:DYH196748 EID196746:EID196748 ERZ196746:ERZ196748 FBV196746:FBV196748 FLR196746:FLR196748 FVN196746:FVN196748 GFJ196746:GFJ196748 GPF196746:GPF196748 GZB196746:GZB196748 HIX196746:HIX196748 HST196746:HST196748 ICP196746:ICP196748 IML196746:IML196748 IWH196746:IWH196748 JGD196746:JGD196748 JPZ196746:JPZ196748 JZV196746:JZV196748 KJR196746:KJR196748 KTN196746:KTN196748 LDJ196746:LDJ196748 LNF196746:LNF196748 LXB196746:LXB196748 MGX196746:MGX196748 MQT196746:MQT196748 NAP196746:NAP196748 NKL196746:NKL196748 NUH196746:NUH196748 OED196746:OED196748 ONZ196746:ONZ196748 OXV196746:OXV196748 PHR196746:PHR196748 PRN196746:PRN196748 QBJ196746:QBJ196748 QLF196746:QLF196748 QVB196746:QVB196748 REX196746:REX196748 ROT196746:ROT196748 RYP196746:RYP196748 SIL196746:SIL196748 SSH196746:SSH196748 TCD196746:TCD196748 TLZ196746:TLZ196748 TVV196746:TVV196748 UFR196746:UFR196748 UPN196746:UPN196748 UZJ196746:UZJ196748 VJF196746:VJF196748 VTB196746:VTB196748 WCX196746:WCX196748 WMT196746:WMT196748 WWP196746:WWP196748 AH262282:AH262284 KD262282:KD262284 TZ262282:TZ262284 ADV262282:ADV262284 ANR262282:ANR262284 AXN262282:AXN262284 BHJ262282:BHJ262284 BRF262282:BRF262284 CBB262282:CBB262284 CKX262282:CKX262284 CUT262282:CUT262284 DEP262282:DEP262284 DOL262282:DOL262284 DYH262282:DYH262284 EID262282:EID262284 ERZ262282:ERZ262284 FBV262282:FBV262284 FLR262282:FLR262284 FVN262282:FVN262284 GFJ262282:GFJ262284 GPF262282:GPF262284 GZB262282:GZB262284 HIX262282:HIX262284 HST262282:HST262284 ICP262282:ICP262284 IML262282:IML262284 IWH262282:IWH262284 JGD262282:JGD262284 JPZ262282:JPZ262284 JZV262282:JZV262284 KJR262282:KJR262284 KTN262282:KTN262284 LDJ262282:LDJ262284 LNF262282:LNF262284 LXB262282:LXB262284 MGX262282:MGX262284 MQT262282:MQT262284 NAP262282:NAP262284 NKL262282:NKL262284 NUH262282:NUH262284 OED262282:OED262284 ONZ262282:ONZ262284 OXV262282:OXV262284 PHR262282:PHR262284 PRN262282:PRN262284 QBJ262282:QBJ262284 QLF262282:QLF262284 QVB262282:QVB262284 REX262282:REX262284 ROT262282:ROT262284 RYP262282:RYP262284 SIL262282:SIL262284 SSH262282:SSH262284 TCD262282:TCD262284 TLZ262282:TLZ262284 TVV262282:TVV262284 UFR262282:UFR262284 UPN262282:UPN262284 UZJ262282:UZJ262284 VJF262282:VJF262284 VTB262282:VTB262284 WCX262282:WCX262284 WMT262282:WMT262284 WWP262282:WWP262284 AH327818:AH327820 KD327818:KD327820 TZ327818:TZ327820 ADV327818:ADV327820 ANR327818:ANR327820 AXN327818:AXN327820 BHJ327818:BHJ327820 BRF327818:BRF327820 CBB327818:CBB327820 CKX327818:CKX327820 CUT327818:CUT327820 DEP327818:DEP327820 DOL327818:DOL327820 DYH327818:DYH327820 EID327818:EID327820 ERZ327818:ERZ327820 FBV327818:FBV327820 FLR327818:FLR327820 FVN327818:FVN327820 GFJ327818:GFJ327820 GPF327818:GPF327820 GZB327818:GZB327820 HIX327818:HIX327820 HST327818:HST327820 ICP327818:ICP327820 IML327818:IML327820 IWH327818:IWH327820 JGD327818:JGD327820 JPZ327818:JPZ327820 JZV327818:JZV327820 KJR327818:KJR327820 KTN327818:KTN327820 LDJ327818:LDJ327820 LNF327818:LNF327820 LXB327818:LXB327820 MGX327818:MGX327820 MQT327818:MQT327820 NAP327818:NAP327820 NKL327818:NKL327820 NUH327818:NUH327820 OED327818:OED327820 ONZ327818:ONZ327820 OXV327818:OXV327820 PHR327818:PHR327820 PRN327818:PRN327820 QBJ327818:QBJ327820 QLF327818:QLF327820 QVB327818:QVB327820 REX327818:REX327820 ROT327818:ROT327820 RYP327818:RYP327820 SIL327818:SIL327820 SSH327818:SSH327820 TCD327818:TCD327820 TLZ327818:TLZ327820 TVV327818:TVV327820 UFR327818:UFR327820 UPN327818:UPN327820 UZJ327818:UZJ327820 VJF327818:VJF327820 VTB327818:VTB327820 WCX327818:WCX327820 WMT327818:WMT327820 WWP327818:WWP327820 AH393354:AH393356 KD393354:KD393356 TZ393354:TZ393356 ADV393354:ADV393356 ANR393354:ANR393356 AXN393354:AXN393356 BHJ393354:BHJ393356 BRF393354:BRF393356 CBB393354:CBB393356 CKX393354:CKX393356 CUT393354:CUT393356 DEP393354:DEP393356 DOL393354:DOL393356 DYH393354:DYH393356 EID393354:EID393356 ERZ393354:ERZ393356 FBV393354:FBV393356 FLR393354:FLR393356 FVN393354:FVN393356 GFJ393354:GFJ393356 GPF393354:GPF393356 GZB393354:GZB393356 HIX393354:HIX393356 HST393354:HST393356 ICP393354:ICP393356 IML393354:IML393356 IWH393354:IWH393356 JGD393354:JGD393356 JPZ393354:JPZ393356 JZV393354:JZV393356 KJR393354:KJR393356 KTN393354:KTN393356 LDJ393354:LDJ393356 LNF393354:LNF393356 LXB393354:LXB393356 MGX393354:MGX393356 MQT393354:MQT393356 NAP393354:NAP393356 NKL393354:NKL393356 NUH393354:NUH393356 OED393354:OED393356 ONZ393354:ONZ393356 OXV393354:OXV393356 PHR393354:PHR393356 PRN393354:PRN393356 QBJ393354:QBJ393356 QLF393354:QLF393356 QVB393354:QVB393356 REX393354:REX393356 ROT393354:ROT393356 RYP393354:RYP393356 SIL393354:SIL393356 SSH393354:SSH393356 TCD393354:TCD393356 TLZ393354:TLZ393356 TVV393354:TVV393356 UFR393354:UFR393356 UPN393354:UPN393356 UZJ393354:UZJ393356 VJF393354:VJF393356 VTB393354:VTB393356 WCX393354:WCX393356 WMT393354:WMT393356 WWP393354:WWP393356 AH458890:AH458892 KD458890:KD458892 TZ458890:TZ458892 ADV458890:ADV458892 ANR458890:ANR458892 AXN458890:AXN458892 BHJ458890:BHJ458892 BRF458890:BRF458892 CBB458890:CBB458892 CKX458890:CKX458892 CUT458890:CUT458892 DEP458890:DEP458892 DOL458890:DOL458892 DYH458890:DYH458892 EID458890:EID458892 ERZ458890:ERZ458892 FBV458890:FBV458892 FLR458890:FLR458892 FVN458890:FVN458892 GFJ458890:GFJ458892 GPF458890:GPF458892 GZB458890:GZB458892 HIX458890:HIX458892 HST458890:HST458892 ICP458890:ICP458892 IML458890:IML458892 IWH458890:IWH458892 JGD458890:JGD458892 JPZ458890:JPZ458892 JZV458890:JZV458892 KJR458890:KJR458892 KTN458890:KTN458892 LDJ458890:LDJ458892 LNF458890:LNF458892 LXB458890:LXB458892 MGX458890:MGX458892 MQT458890:MQT458892 NAP458890:NAP458892 NKL458890:NKL458892 NUH458890:NUH458892 OED458890:OED458892 ONZ458890:ONZ458892 OXV458890:OXV458892 PHR458890:PHR458892 PRN458890:PRN458892 QBJ458890:QBJ458892 QLF458890:QLF458892 QVB458890:QVB458892 REX458890:REX458892 ROT458890:ROT458892 RYP458890:RYP458892 SIL458890:SIL458892 SSH458890:SSH458892 TCD458890:TCD458892 TLZ458890:TLZ458892 TVV458890:TVV458892 UFR458890:UFR458892 UPN458890:UPN458892 UZJ458890:UZJ458892 VJF458890:VJF458892 VTB458890:VTB458892 WCX458890:WCX458892 WMT458890:WMT458892 WWP458890:WWP458892 AH524426:AH524428 KD524426:KD524428 TZ524426:TZ524428 ADV524426:ADV524428 ANR524426:ANR524428 AXN524426:AXN524428 BHJ524426:BHJ524428 BRF524426:BRF524428 CBB524426:CBB524428 CKX524426:CKX524428 CUT524426:CUT524428 DEP524426:DEP524428 DOL524426:DOL524428 DYH524426:DYH524428 EID524426:EID524428 ERZ524426:ERZ524428 FBV524426:FBV524428 FLR524426:FLR524428 FVN524426:FVN524428 GFJ524426:GFJ524428 GPF524426:GPF524428 GZB524426:GZB524428 HIX524426:HIX524428 HST524426:HST524428 ICP524426:ICP524428 IML524426:IML524428 IWH524426:IWH524428 JGD524426:JGD524428 JPZ524426:JPZ524428 JZV524426:JZV524428 KJR524426:KJR524428 KTN524426:KTN524428 LDJ524426:LDJ524428 LNF524426:LNF524428 LXB524426:LXB524428 MGX524426:MGX524428 MQT524426:MQT524428 NAP524426:NAP524428 NKL524426:NKL524428 NUH524426:NUH524428 OED524426:OED524428 ONZ524426:ONZ524428 OXV524426:OXV524428 PHR524426:PHR524428 PRN524426:PRN524428 QBJ524426:QBJ524428 QLF524426:QLF524428 QVB524426:QVB524428 REX524426:REX524428 ROT524426:ROT524428 RYP524426:RYP524428 SIL524426:SIL524428 SSH524426:SSH524428 TCD524426:TCD524428 TLZ524426:TLZ524428 TVV524426:TVV524428 UFR524426:UFR524428 UPN524426:UPN524428 UZJ524426:UZJ524428 VJF524426:VJF524428 VTB524426:VTB524428 WCX524426:WCX524428 WMT524426:WMT524428 WWP524426:WWP524428 AH589962:AH589964 KD589962:KD589964 TZ589962:TZ589964 ADV589962:ADV589964 ANR589962:ANR589964 AXN589962:AXN589964 BHJ589962:BHJ589964 BRF589962:BRF589964 CBB589962:CBB589964 CKX589962:CKX589964 CUT589962:CUT589964 DEP589962:DEP589964 DOL589962:DOL589964 DYH589962:DYH589964 EID589962:EID589964 ERZ589962:ERZ589964 FBV589962:FBV589964 FLR589962:FLR589964 FVN589962:FVN589964 GFJ589962:GFJ589964 GPF589962:GPF589964 GZB589962:GZB589964 HIX589962:HIX589964 HST589962:HST589964 ICP589962:ICP589964 IML589962:IML589964 IWH589962:IWH589964 JGD589962:JGD589964 JPZ589962:JPZ589964 JZV589962:JZV589964 KJR589962:KJR589964 KTN589962:KTN589964 LDJ589962:LDJ589964 LNF589962:LNF589964 LXB589962:LXB589964 MGX589962:MGX589964 MQT589962:MQT589964 NAP589962:NAP589964 NKL589962:NKL589964 NUH589962:NUH589964 OED589962:OED589964 ONZ589962:ONZ589964 OXV589962:OXV589964 PHR589962:PHR589964 PRN589962:PRN589964 QBJ589962:QBJ589964 QLF589962:QLF589964 QVB589962:QVB589964 REX589962:REX589964 ROT589962:ROT589964 RYP589962:RYP589964 SIL589962:SIL589964 SSH589962:SSH589964 TCD589962:TCD589964 TLZ589962:TLZ589964 TVV589962:TVV589964 UFR589962:UFR589964 UPN589962:UPN589964 UZJ589962:UZJ589964 VJF589962:VJF589964 VTB589962:VTB589964 WCX589962:WCX589964 WMT589962:WMT589964 WWP589962:WWP589964 AH655498:AH655500 KD655498:KD655500 TZ655498:TZ655500 ADV655498:ADV655500 ANR655498:ANR655500 AXN655498:AXN655500 BHJ655498:BHJ655500 BRF655498:BRF655500 CBB655498:CBB655500 CKX655498:CKX655500 CUT655498:CUT655500 DEP655498:DEP655500 DOL655498:DOL655500 DYH655498:DYH655500 EID655498:EID655500 ERZ655498:ERZ655500 FBV655498:FBV655500 FLR655498:FLR655500 FVN655498:FVN655500 GFJ655498:GFJ655500 GPF655498:GPF655500 GZB655498:GZB655500 HIX655498:HIX655500 HST655498:HST655500 ICP655498:ICP655500 IML655498:IML655500 IWH655498:IWH655500 JGD655498:JGD655500 JPZ655498:JPZ655500 JZV655498:JZV655500 KJR655498:KJR655500 KTN655498:KTN655500 LDJ655498:LDJ655500 LNF655498:LNF655500 LXB655498:LXB655500 MGX655498:MGX655500 MQT655498:MQT655500 NAP655498:NAP655500 NKL655498:NKL655500 NUH655498:NUH655500 OED655498:OED655500 ONZ655498:ONZ655500 OXV655498:OXV655500 PHR655498:PHR655500 PRN655498:PRN655500 QBJ655498:QBJ655500 QLF655498:QLF655500 QVB655498:QVB655500 REX655498:REX655500 ROT655498:ROT655500 RYP655498:RYP655500 SIL655498:SIL655500 SSH655498:SSH655500 TCD655498:TCD655500 TLZ655498:TLZ655500 TVV655498:TVV655500 UFR655498:UFR655500 UPN655498:UPN655500 UZJ655498:UZJ655500 VJF655498:VJF655500 VTB655498:VTB655500 WCX655498:WCX655500 WMT655498:WMT655500 WWP655498:WWP655500 AH721034:AH721036 KD721034:KD721036 TZ721034:TZ721036 ADV721034:ADV721036 ANR721034:ANR721036 AXN721034:AXN721036 BHJ721034:BHJ721036 BRF721034:BRF721036 CBB721034:CBB721036 CKX721034:CKX721036 CUT721034:CUT721036 DEP721034:DEP721036 DOL721034:DOL721036 DYH721034:DYH721036 EID721034:EID721036 ERZ721034:ERZ721036 FBV721034:FBV721036 FLR721034:FLR721036 FVN721034:FVN721036 GFJ721034:GFJ721036 GPF721034:GPF721036 GZB721034:GZB721036 HIX721034:HIX721036 HST721034:HST721036 ICP721034:ICP721036 IML721034:IML721036 IWH721034:IWH721036 JGD721034:JGD721036 JPZ721034:JPZ721036 JZV721034:JZV721036 KJR721034:KJR721036 KTN721034:KTN721036 LDJ721034:LDJ721036 LNF721034:LNF721036 LXB721034:LXB721036 MGX721034:MGX721036 MQT721034:MQT721036 NAP721034:NAP721036 NKL721034:NKL721036 NUH721034:NUH721036 OED721034:OED721036 ONZ721034:ONZ721036 OXV721034:OXV721036 PHR721034:PHR721036 PRN721034:PRN721036 QBJ721034:QBJ721036 QLF721034:QLF721036 QVB721034:QVB721036 REX721034:REX721036 ROT721034:ROT721036 RYP721034:RYP721036 SIL721034:SIL721036 SSH721034:SSH721036 TCD721034:TCD721036 TLZ721034:TLZ721036 TVV721034:TVV721036 UFR721034:UFR721036 UPN721034:UPN721036 UZJ721034:UZJ721036 VJF721034:VJF721036 VTB721034:VTB721036 WCX721034:WCX721036 WMT721034:WMT721036 WWP721034:WWP721036 AH786570:AH786572 KD786570:KD786572 TZ786570:TZ786572 ADV786570:ADV786572 ANR786570:ANR786572 AXN786570:AXN786572 BHJ786570:BHJ786572 BRF786570:BRF786572 CBB786570:CBB786572 CKX786570:CKX786572 CUT786570:CUT786572 DEP786570:DEP786572 DOL786570:DOL786572 DYH786570:DYH786572 EID786570:EID786572 ERZ786570:ERZ786572 FBV786570:FBV786572 FLR786570:FLR786572 FVN786570:FVN786572 GFJ786570:GFJ786572 GPF786570:GPF786572 GZB786570:GZB786572 HIX786570:HIX786572 HST786570:HST786572 ICP786570:ICP786572 IML786570:IML786572 IWH786570:IWH786572 JGD786570:JGD786572 JPZ786570:JPZ786572 JZV786570:JZV786572 KJR786570:KJR786572 KTN786570:KTN786572 LDJ786570:LDJ786572 LNF786570:LNF786572 LXB786570:LXB786572 MGX786570:MGX786572 MQT786570:MQT786572 NAP786570:NAP786572 NKL786570:NKL786572 NUH786570:NUH786572 OED786570:OED786572 ONZ786570:ONZ786572 OXV786570:OXV786572 PHR786570:PHR786572 PRN786570:PRN786572 QBJ786570:QBJ786572 QLF786570:QLF786572 QVB786570:QVB786572 REX786570:REX786572 ROT786570:ROT786572 RYP786570:RYP786572 SIL786570:SIL786572 SSH786570:SSH786572 TCD786570:TCD786572 TLZ786570:TLZ786572 TVV786570:TVV786572 UFR786570:UFR786572 UPN786570:UPN786572 UZJ786570:UZJ786572 VJF786570:VJF786572 VTB786570:VTB786572 WCX786570:WCX786572 WMT786570:WMT786572 WWP786570:WWP786572 AH852106:AH852108 KD852106:KD852108 TZ852106:TZ852108 ADV852106:ADV852108 ANR852106:ANR852108 AXN852106:AXN852108 BHJ852106:BHJ852108 BRF852106:BRF852108 CBB852106:CBB852108 CKX852106:CKX852108 CUT852106:CUT852108 DEP852106:DEP852108 DOL852106:DOL852108 DYH852106:DYH852108 EID852106:EID852108 ERZ852106:ERZ852108 FBV852106:FBV852108 FLR852106:FLR852108 FVN852106:FVN852108 GFJ852106:GFJ852108 GPF852106:GPF852108 GZB852106:GZB852108 HIX852106:HIX852108 HST852106:HST852108 ICP852106:ICP852108 IML852106:IML852108 IWH852106:IWH852108 JGD852106:JGD852108 JPZ852106:JPZ852108 JZV852106:JZV852108 KJR852106:KJR852108 KTN852106:KTN852108 LDJ852106:LDJ852108 LNF852106:LNF852108 LXB852106:LXB852108 MGX852106:MGX852108 MQT852106:MQT852108 NAP852106:NAP852108 NKL852106:NKL852108 NUH852106:NUH852108 OED852106:OED852108 ONZ852106:ONZ852108 OXV852106:OXV852108 PHR852106:PHR852108 PRN852106:PRN852108 QBJ852106:QBJ852108 QLF852106:QLF852108 QVB852106:QVB852108 REX852106:REX852108 ROT852106:ROT852108 RYP852106:RYP852108 SIL852106:SIL852108 SSH852106:SSH852108 TCD852106:TCD852108 TLZ852106:TLZ852108 TVV852106:TVV852108 UFR852106:UFR852108 UPN852106:UPN852108 UZJ852106:UZJ852108 VJF852106:VJF852108 VTB852106:VTB852108 WCX852106:WCX852108 WMT852106:WMT852108 WWP852106:WWP852108 AH917642:AH917644 KD917642:KD917644 TZ917642:TZ917644 ADV917642:ADV917644 ANR917642:ANR917644 AXN917642:AXN917644 BHJ917642:BHJ917644 BRF917642:BRF917644 CBB917642:CBB917644 CKX917642:CKX917644 CUT917642:CUT917644 DEP917642:DEP917644 DOL917642:DOL917644 DYH917642:DYH917644 EID917642:EID917644 ERZ917642:ERZ917644 FBV917642:FBV917644 FLR917642:FLR917644 FVN917642:FVN917644 GFJ917642:GFJ917644 GPF917642:GPF917644 GZB917642:GZB917644 HIX917642:HIX917644 HST917642:HST917644 ICP917642:ICP917644 IML917642:IML917644 IWH917642:IWH917644 JGD917642:JGD917644 JPZ917642:JPZ917644 JZV917642:JZV917644 KJR917642:KJR917644 KTN917642:KTN917644 LDJ917642:LDJ917644 LNF917642:LNF917644 LXB917642:LXB917644 MGX917642:MGX917644 MQT917642:MQT917644 NAP917642:NAP917644 NKL917642:NKL917644 NUH917642:NUH917644 OED917642:OED917644 ONZ917642:ONZ917644 OXV917642:OXV917644 PHR917642:PHR917644 PRN917642:PRN917644 QBJ917642:QBJ917644 QLF917642:QLF917644 QVB917642:QVB917644 REX917642:REX917644 ROT917642:ROT917644 RYP917642:RYP917644 SIL917642:SIL917644 SSH917642:SSH917644 TCD917642:TCD917644 TLZ917642:TLZ917644 TVV917642:TVV917644 UFR917642:UFR917644 UPN917642:UPN917644 UZJ917642:UZJ917644 VJF917642:VJF917644 VTB917642:VTB917644 WCX917642:WCX917644 WMT917642:WMT917644 WWP917642:WWP917644 AH983178:AH983180 KD983178:KD983180 TZ983178:TZ983180 ADV983178:ADV983180 ANR983178:ANR983180 AXN983178:AXN983180 BHJ983178:BHJ983180 BRF983178:BRF983180 CBB983178:CBB983180 CKX983178:CKX983180 CUT983178:CUT983180 DEP983178:DEP983180 DOL983178:DOL983180 DYH983178:DYH983180 EID983178:EID983180 ERZ983178:ERZ983180 FBV983178:FBV983180 FLR983178:FLR983180 FVN983178:FVN983180 GFJ983178:GFJ983180 GPF983178:GPF983180 GZB983178:GZB983180 HIX983178:HIX983180 HST983178:HST983180 ICP983178:ICP983180 IML983178:IML983180 IWH983178:IWH983180 JGD983178:JGD983180 JPZ983178:JPZ983180 JZV983178:JZV983180 KJR983178:KJR983180 KTN983178:KTN983180 LDJ983178:LDJ983180 LNF983178:LNF983180 LXB983178:LXB983180 MGX983178:MGX983180 MQT983178:MQT983180 NAP983178:NAP983180 NKL983178:NKL983180 NUH983178:NUH983180 OED983178:OED983180 ONZ983178:ONZ983180 OXV983178:OXV983180 PHR983178:PHR983180 PRN983178:PRN983180 QBJ983178:QBJ983180 QLF983178:QLF983180 QVB983178:QVB983180 REX983178:REX983180 ROT983178:ROT983180 RYP983178:RYP983180 SIL983178:SIL983180 SSH983178:SSH983180 TCD983178:TCD983180 TLZ983178:TLZ983180 TVV983178:TVV983180 UFR983178:UFR983180 UPN983178:UPN983180 UZJ983178:UZJ983180 VJF983178:VJF983180 VTB983178:VTB983180 WCX983178:WCX983180 WMT983178:WMT983180 WWP983178:WWP983180 AH133:AH135 KD133:KD135 TZ133:TZ135 ADV133:ADV135 ANR133:ANR135 AXN133:AXN135 BHJ133:BHJ135 BRF133:BRF135 CBB133:CBB135 CKX133:CKX135 CUT133:CUT135 DEP133:DEP135 DOL133:DOL135 DYH133:DYH135 EID133:EID135 ERZ133:ERZ135 FBV133:FBV135 FLR133:FLR135 FVN133:FVN135 GFJ133:GFJ135 GPF133:GPF135 GZB133:GZB135 HIX133:HIX135 HST133:HST135 ICP133:ICP135 IML133:IML135 IWH133:IWH135 JGD133:JGD135 JPZ133:JPZ135 JZV133:JZV135 KJR133:KJR135 KTN133:KTN135 LDJ133:LDJ135 LNF133:LNF135 LXB133:LXB135 MGX133:MGX135 MQT133:MQT135 NAP133:NAP135 NKL133:NKL135 NUH133:NUH135 OED133:OED135 ONZ133:ONZ135 OXV133:OXV135 PHR133:PHR135 PRN133:PRN135 QBJ133:QBJ135 QLF133:QLF135 QVB133:QVB135 REX133:REX135 ROT133:ROT135 RYP133:RYP135 SIL133:SIL135 SSH133:SSH135 TCD133:TCD135 TLZ133:TLZ135 TVV133:TVV135 UFR133:UFR135 UPN133:UPN135 UZJ133:UZJ135 VJF133:VJF135 VTB133:VTB135 WCX133:WCX135 WMT133:WMT135 WWP133:WWP135 AH65670:AH65672 KD65670:KD65672 TZ65670:TZ65672 ADV65670:ADV65672 ANR65670:ANR65672 AXN65670:AXN65672 BHJ65670:BHJ65672 BRF65670:BRF65672 CBB65670:CBB65672 CKX65670:CKX65672 CUT65670:CUT65672 DEP65670:DEP65672 DOL65670:DOL65672 DYH65670:DYH65672 EID65670:EID65672 ERZ65670:ERZ65672 FBV65670:FBV65672 FLR65670:FLR65672 FVN65670:FVN65672 GFJ65670:GFJ65672 GPF65670:GPF65672 GZB65670:GZB65672 HIX65670:HIX65672 HST65670:HST65672 ICP65670:ICP65672 IML65670:IML65672 IWH65670:IWH65672 JGD65670:JGD65672 JPZ65670:JPZ65672 JZV65670:JZV65672 KJR65670:KJR65672 KTN65670:KTN65672 LDJ65670:LDJ65672 LNF65670:LNF65672 LXB65670:LXB65672 MGX65670:MGX65672 MQT65670:MQT65672 NAP65670:NAP65672 NKL65670:NKL65672 NUH65670:NUH65672 OED65670:OED65672 ONZ65670:ONZ65672 OXV65670:OXV65672 PHR65670:PHR65672 PRN65670:PRN65672 QBJ65670:QBJ65672 QLF65670:QLF65672 QVB65670:QVB65672 REX65670:REX65672 ROT65670:ROT65672 RYP65670:RYP65672 SIL65670:SIL65672 SSH65670:SSH65672 TCD65670:TCD65672 TLZ65670:TLZ65672 TVV65670:TVV65672 UFR65670:UFR65672 UPN65670:UPN65672 UZJ65670:UZJ65672 VJF65670:VJF65672 VTB65670:VTB65672 WCX65670:WCX65672 WMT65670:WMT65672 WWP65670:WWP65672 AH131206:AH131208 KD131206:KD131208 TZ131206:TZ131208 ADV131206:ADV131208 ANR131206:ANR131208 AXN131206:AXN131208 BHJ131206:BHJ131208 BRF131206:BRF131208 CBB131206:CBB131208 CKX131206:CKX131208 CUT131206:CUT131208 DEP131206:DEP131208 DOL131206:DOL131208 DYH131206:DYH131208 EID131206:EID131208 ERZ131206:ERZ131208 FBV131206:FBV131208 FLR131206:FLR131208 FVN131206:FVN131208 GFJ131206:GFJ131208 GPF131206:GPF131208 GZB131206:GZB131208 HIX131206:HIX131208 HST131206:HST131208 ICP131206:ICP131208 IML131206:IML131208 IWH131206:IWH131208 JGD131206:JGD131208 JPZ131206:JPZ131208 JZV131206:JZV131208 KJR131206:KJR131208 KTN131206:KTN131208 LDJ131206:LDJ131208 LNF131206:LNF131208 LXB131206:LXB131208 MGX131206:MGX131208 MQT131206:MQT131208 NAP131206:NAP131208 NKL131206:NKL131208 NUH131206:NUH131208 OED131206:OED131208 ONZ131206:ONZ131208 OXV131206:OXV131208 PHR131206:PHR131208 PRN131206:PRN131208 QBJ131206:QBJ131208 QLF131206:QLF131208 QVB131206:QVB131208 REX131206:REX131208 ROT131206:ROT131208 RYP131206:RYP131208 SIL131206:SIL131208 SSH131206:SSH131208 TCD131206:TCD131208 TLZ131206:TLZ131208 TVV131206:TVV131208 UFR131206:UFR131208 UPN131206:UPN131208 UZJ131206:UZJ131208 VJF131206:VJF131208 VTB131206:VTB131208 WCX131206:WCX131208 WMT131206:WMT131208 WWP131206:WWP131208 AH196742:AH196744 KD196742:KD196744 TZ196742:TZ196744 ADV196742:ADV196744 ANR196742:ANR196744 AXN196742:AXN196744 BHJ196742:BHJ196744 BRF196742:BRF196744 CBB196742:CBB196744 CKX196742:CKX196744 CUT196742:CUT196744 DEP196742:DEP196744 DOL196742:DOL196744 DYH196742:DYH196744 EID196742:EID196744 ERZ196742:ERZ196744 FBV196742:FBV196744 FLR196742:FLR196744 FVN196742:FVN196744 GFJ196742:GFJ196744 GPF196742:GPF196744 GZB196742:GZB196744 HIX196742:HIX196744 HST196742:HST196744 ICP196742:ICP196744 IML196742:IML196744 IWH196742:IWH196744 JGD196742:JGD196744 JPZ196742:JPZ196744 JZV196742:JZV196744 KJR196742:KJR196744 KTN196742:KTN196744 LDJ196742:LDJ196744 LNF196742:LNF196744 LXB196742:LXB196744 MGX196742:MGX196744 MQT196742:MQT196744 NAP196742:NAP196744 NKL196742:NKL196744 NUH196742:NUH196744 OED196742:OED196744 ONZ196742:ONZ196744 OXV196742:OXV196744 PHR196742:PHR196744 PRN196742:PRN196744 QBJ196742:QBJ196744 QLF196742:QLF196744 QVB196742:QVB196744 REX196742:REX196744 ROT196742:ROT196744 RYP196742:RYP196744 SIL196742:SIL196744 SSH196742:SSH196744 TCD196742:TCD196744 TLZ196742:TLZ196744 TVV196742:TVV196744 UFR196742:UFR196744 UPN196742:UPN196744 UZJ196742:UZJ196744 VJF196742:VJF196744 VTB196742:VTB196744 WCX196742:WCX196744 WMT196742:WMT196744 WWP196742:WWP196744 AH262278:AH262280 KD262278:KD262280 TZ262278:TZ262280 ADV262278:ADV262280 ANR262278:ANR262280 AXN262278:AXN262280 BHJ262278:BHJ262280 BRF262278:BRF262280 CBB262278:CBB262280 CKX262278:CKX262280 CUT262278:CUT262280 DEP262278:DEP262280 DOL262278:DOL262280 DYH262278:DYH262280 EID262278:EID262280 ERZ262278:ERZ262280 FBV262278:FBV262280 FLR262278:FLR262280 FVN262278:FVN262280 GFJ262278:GFJ262280 GPF262278:GPF262280 GZB262278:GZB262280 HIX262278:HIX262280 HST262278:HST262280 ICP262278:ICP262280 IML262278:IML262280 IWH262278:IWH262280 JGD262278:JGD262280 JPZ262278:JPZ262280 JZV262278:JZV262280 KJR262278:KJR262280 KTN262278:KTN262280 LDJ262278:LDJ262280 LNF262278:LNF262280 LXB262278:LXB262280 MGX262278:MGX262280 MQT262278:MQT262280 NAP262278:NAP262280 NKL262278:NKL262280 NUH262278:NUH262280 OED262278:OED262280 ONZ262278:ONZ262280 OXV262278:OXV262280 PHR262278:PHR262280 PRN262278:PRN262280 QBJ262278:QBJ262280 QLF262278:QLF262280 QVB262278:QVB262280 REX262278:REX262280 ROT262278:ROT262280 RYP262278:RYP262280 SIL262278:SIL262280 SSH262278:SSH262280 TCD262278:TCD262280 TLZ262278:TLZ262280 TVV262278:TVV262280 UFR262278:UFR262280 UPN262278:UPN262280 UZJ262278:UZJ262280 VJF262278:VJF262280 VTB262278:VTB262280 WCX262278:WCX262280 WMT262278:WMT262280 WWP262278:WWP262280 AH327814:AH327816 KD327814:KD327816 TZ327814:TZ327816 ADV327814:ADV327816 ANR327814:ANR327816 AXN327814:AXN327816 BHJ327814:BHJ327816 BRF327814:BRF327816 CBB327814:CBB327816 CKX327814:CKX327816 CUT327814:CUT327816 DEP327814:DEP327816 DOL327814:DOL327816 DYH327814:DYH327816 EID327814:EID327816 ERZ327814:ERZ327816 FBV327814:FBV327816 FLR327814:FLR327816 FVN327814:FVN327816 GFJ327814:GFJ327816 GPF327814:GPF327816 GZB327814:GZB327816 HIX327814:HIX327816 HST327814:HST327816 ICP327814:ICP327816 IML327814:IML327816 IWH327814:IWH327816 JGD327814:JGD327816 JPZ327814:JPZ327816 JZV327814:JZV327816 KJR327814:KJR327816 KTN327814:KTN327816 LDJ327814:LDJ327816 LNF327814:LNF327816 LXB327814:LXB327816 MGX327814:MGX327816 MQT327814:MQT327816 NAP327814:NAP327816 NKL327814:NKL327816 NUH327814:NUH327816 OED327814:OED327816 ONZ327814:ONZ327816 OXV327814:OXV327816 PHR327814:PHR327816 PRN327814:PRN327816 QBJ327814:QBJ327816 QLF327814:QLF327816 QVB327814:QVB327816 REX327814:REX327816 ROT327814:ROT327816 RYP327814:RYP327816 SIL327814:SIL327816 SSH327814:SSH327816 TCD327814:TCD327816 TLZ327814:TLZ327816 TVV327814:TVV327816 UFR327814:UFR327816 UPN327814:UPN327816 UZJ327814:UZJ327816 VJF327814:VJF327816 VTB327814:VTB327816 WCX327814:WCX327816 WMT327814:WMT327816 WWP327814:WWP327816 AH393350:AH393352 KD393350:KD393352 TZ393350:TZ393352 ADV393350:ADV393352 ANR393350:ANR393352 AXN393350:AXN393352 BHJ393350:BHJ393352 BRF393350:BRF393352 CBB393350:CBB393352 CKX393350:CKX393352 CUT393350:CUT393352 DEP393350:DEP393352 DOL393350:DOL393352 DYH393350:DYH393352 EID393350:EID393352 ERZ393350:ERZ393352 FBV393350:FBV393352 FLR393350:FLR393352 FVN393350:FVN393352 GFJ393350:GFJ393352 GPF393350:GPF393352 GZB393350:GZB393352 HIX393350:HIX393352 HST393350:HST393352 ICP393350:ICP393352 IML393350:IML393352 IWH393350:IWH393352 JGD393350:JGD393352 JPZ393350:JPZ393352 JZV393350:JZV393352 KJR393350:KJR393352 KTN393350:KTN393352 LDJ393350:LDJ393352 LNF393350:LNF393352 LXB393350:LXB393352 MGX393350:MGX393352 MQT393350:MQT393352 NAP393350:NAP393352 NKL393350:NKL393352 NUH393350:NUH393352 OED393350:OED393352 ONZ393350:ONZ393352 OXV393350:OXV393352 PHR393350:PHR393352 PRN393350:PRN393352 QBJ393350:QBJ393352 QLF393350:QLF393352 QVB393350:QVB393352 REX393350:REX393352 ROT393350:ROT393352 RYP393350:RYP393352 SIL393350:SIL393352 SSH393350:SSH393352 TCD393350:TCD393352 TLZ393350:TLZ393352 TVV393350:TVV393352 UFR393350:UFR393352 UPN393350:UPN393352 UZJ393350:UZJ393352 VJF393350:VJF393352 VTB393350:VTB393352 WCX393350:WCX393352 WMT393350:WMT393352 WWP393350:WWP393352 AH458886:AH458888 KD458886:KD458888 TZ458886:TZ458888 ADV458886:ADV458888 ANR458886:ANR458888 AXN458886:AXN458888 BHJ458886:BHJ458888 BRF458886:BRF458888 CBB458886:CBB458888 CKX458886:CKX458888 CUT458886:CUT458888 DEP458886:DEP458888 DOL458886:DOL458888 DYH458886:DYH458888 EID458886:EID458888 ERZ458886:ERZ458888 FBV458886:FBV458888 FLR458886:FLR458888 FVN458886:FVN458888 GFJ458886:GFJ458888 GPF458886:GPF458888 GZB458886:GZB458888 HIX458886:HIX458888 HST458886:HST458888 ICP458886:ICP458888 IML458886:IML458888 IWH458886:IWH458888 JGD458886:JGD458888 JPZ458886:JPZ458888 JZV458886:JZV458888 KJR458886:KJR458888 KTN458886:KTN458888 LDJ458886:LDJ458888 LNF458886:LNF458888 LXB458886:LXB458888 MGX458886:MGX458888 MQT458886:MQT458888 NAP458886:NAP458888 NKL458886:NKL458888 NUH458886:NUH458888 OED458886:OED458888 ONZ458886:ONZ458888 OXV458886:OXV458888 PHR458886:PHR458888 PRN458886:PRN458888 QBJ458886:QBJ458888 QLF458886:QLF458888 QVB458886:QVB458888 REX458886:REX458888 ROT458886:ROT458888 RYP458886:RYP458888 SIL458886:SIL458888 SSH458886:SSH458888 TCD458886:TCD458888 TLZ458886:TLZ458888 TVV458886:TVV458888 UFR458886:UFR458888 UPN458886:UPN458888 UZJ458886:UZJ458888 VJF458886:VJF458888 VTB458886:VTB458888 WCX458886:WCX458888 WMT458886:WMT458888 WWP458886:WWP458888 AH524422:AH524424 KD524422:KD524424 TZ524422:TZ524424 ADV524422:ADV524424 ANR524422:ANR524424 AXN524422:AXN524424 BHJ524422:BHJ524424 BRF524422:BRF524424 CBB524422:CBB524424 CKX524422:CKX524424 CUT524422:CUT524424 DEP524422:DEP524424 DOL524422:DOL524424 DYH524422:DYH524424 EID524422:EID524424 ERZ524422:ERZ524424 FBV524422:FBV524424 FLR524422:FLR524424 FVN524422:FVN524424 GFJ524422:GFJ524424 GPF524422:GPF524424 GZB524422:GZB524424 HIX524422:HIX524424 HST524422:HST524424 ICP524422:ICP524424 IML524422:IML524424 IWH524422:IWH524424 JGD524422:JGD524424 JPZ524422:JPZ524424 JZV524422:JZV524424 KJR524422:KJR524424 KTN524422:KTN524424 LDJ524422:LDJ524424 LNF524422:LNF524424 LXB524422:LXB524424 MGX524422:MGX524424 MQT524422:MQT524424 NAP524422:NAP524424 NKL524422:NKL524424 NUH524422:NUH524424 OED524422:OED524424 ONZ524422:ONZ524424 OXV524422:OXV524424 PHR524422:PHR524424 PRN524422:PRN524424 QBJ524422:QBJ524424 QLF524422:QLF524424 QVB524422:QVB524424 REX524422:REX524424 ROT524422:ROT524424 RYP524422:RYP524424 SIL524422:SIL524424 SSH524422:SSH524424 TCD524422:TCD524424 TLZ524422:TLZ524424 TVV524422:TVV524424 UFR524422:UFR524424 UPN524422:UPN524424 UZJ524422:UZJ524424 VJF524422:VJF524424 VTB524422:VTB524424 WCX524422:WCX524424 WMT524422:WMT524424 WWP524422:WWP524424 AH589958:AH589960 KD589958:KD589960 TZ589958:TZ589960 ADV589958:ADV589960 ANR589958:ANR589960 AXN589958:AXN589960 BHJ589958:BHJ589960 BRF589958:BRF589960 CBB589958:CBB589960 CKX589958:CKX589960 CUT589958:CUT589960 DEP589958:DEP589960 DOL589958:DOL589960 DYH589958:DYH589960 EID589958:EID589960 ERZ589958:ERZ589960 FBV589958:FBV589960 FLR589958:FLR589960 FVN589958:FVN589960 GFJ589958:GFJ589960 GPF589958:GPF589960 GZB589958:GZB589960 HIX589958:HIX589960 HST589958:HST589960 ICP589958:ICP589960 IML589958:IML589960 IWH589958:IWH589960 JGD589958:JGD589960 JPZ589958:JPZ589960 JZV589958:JZV589960 KJR589958:KJR589960 KTN589958:KTN589960 LDJ589958:LDJ589960 LNF589958:LNF589960 LXB589958:LXB589960 MGX589958:MGX589960 MQT589958:MQT589960 NAP589958:NAP589960 NKL589958:NKL589960 NUH589958:NUH589960 OED589958:OED589960 ONZ589958:ONZ589960 OXV589958:OXV589960 PHR589958:PHR589960 PRN589958:PRN589960 QBJ589958:QBJ589960 QLF589958:QLF589960 QVB589958:QVB589960 REX589958:REX589960 ROT589958:ROT589960 RYP589958:RYP589960 SIL589958:SIL589960 SSH589958:SSH589960 TCD589958:TCD589960 TLZ589958:TLZ589960 TVV589958:TVV589960 UFR589958:UFR589960 UPN589958:UPN589960 UZJ589958:UZJ589960 VJF589958:VJF589960 VTB589958:VTB589960 WCX589958:WCX589960 WMT589958:WMT589960 WWP589958:WWP589960 AH655494:AH655496 KD655494:KD655496 TZ655494:TZ655496 ADV655494:ADV655496 ANR655494:ANR655496 AXN655494:AXN655496 BHJ655494:BHJ655496 BRF655494:BRF655496 CBB655494:CBB655496 CKX655494:CKX655496 CUT655494:CUT655496 DEP655494:DEP655496 DOL655494:DOL655496 DYH655494:DYH655496 EID655494:EID655496 ERZ655494:ERZ655496 FBV655494:FBV655496 FLR655494:FLR655496 FVN655494:FVN655496 GFJ655494:GFJ655496 GPF655494:GPF655496 GZB655494:GZB655496 HIX655494:HIX655496 HST655494:HST655496 ICP655494:ICP655496 IML655494:IML655496 IWH655494:IWH655496 JGD655494:JGD655496 JPZ655494:JPZ655496 JZV655494:JZV655496 KJR655494:KJR655496 KTN655494:KTN655496 LDJ655494:LDJ655496 LNF655494:LNF655496 LXB655494:LXB655496 MGX655494:MGX655496 MQT655494:MQT655496 NAP655494:NAP655496 NKL655494:NKL655496 NUH655494:NUH655496 OED655494:OED655496 ONZ655494:ONZ655496 OXV655494:OXV655496 PHR655494:PHR655496 PRN655494:PRN655496 QBJ655494:QBJ655496 QLF655494:QLF655496 QVB655494:QVB655496 REX655494:REX655496 ROT655494:ROT655496 RYP655494:RYP655496 SIL655494:SIL655496 SSH655494:SSH655496 TCD655494:TCD655496 TLZ655494:TLZ655496 TVV655494:TVV655496 UFR655494:UFR655496 UPN655494:UPN655496 UZJ655494:UZJ655496 VJF655494:VJF655496 VTB655494:VTB655496 WCX655494:WCX655496 WMT655494:WMT655496 WWP655494:WWP655496 AH721030:AH721032 KD721030:KD721032 TZ721030:TZ721032 ADV721030:ADV721032 ANR721030:ANR721032 AXN721030:AXN721032 BHJ721030:BHJ721032 BRF721030:BRF721032 CBB721030:CBB721032 CKX721030:CKX721032 CUT721030:CUT721032 DEP721030:DEP721032 DOL721030:DOL721032 DYH721030:DYH721032 EID721030:EID721032 ERZ721030:ERZ721032 FBV721030:FBV721032 FLR721030:FLR721032 FVN721030:FVN721032 GFJ721030:GFJ721032 GPF721030:GPF721032 GZB721030:GZB721032 HIX721030:HIX721032 HST721030:HST721032 ICP721030:ICP721032 IML721030:IML721032 IWH721030:IWH721032 JGD721030:JGD721032 JPZ721030:JPZ721032 JZV721030:JZV721032 KJR721030:KJR721032 KTN721030:KTN721032 LDJ721030:LDJ721032 LNF721030:LNF721032 LXB721030:LXB721032 MGX721030:MGX721032 MQT721030:MQT721032 NAP721030:NAP721032 NKL721030:NKL721032 NUH721030:NUH721032 OED721030:OED721032 ONZ721030:ONZ721032 OXV721030:OXV721032 PHR721030:PHR721032 PRN721030:PRN721032 QBJ721030:QBJ721032 QLF721030:QLF721032 QVB721030:QVB721032 REX721030:REX721032 ROT721030:ROT721032 RYP721030:RYP721032 SIL721030:SIL721032 SSH721030:SSH721032 TCD721030:TCD721032 TLZ721030:TLZ721032 TVV721030:TVV721032 UFR721030:UFR721032 UPN721030:UPN721032 UZJ721030:UZJ721032 VJF721030:VJF721032 VTB721030:VTB721032 WCX721030:WCX721032 WMT721030:WMT721032 WWP721030:WWP721032 AH786566:AH786568 KD786566:KD786568 TZ786566:TZ786568 ADV786566:ADV786568 ANR786566:ANR786568 AXN786566:AXN786568 BHJ786566:BHJ786568 BRF786566:BRF786568 CBB786566:CBB786568 CKX786566:CKX786568 CUT786566:CUT786568 DEP786566:DEP786568 DOL786566:DOL786568 DYH786566:DYH786568 EID786566:EID786568 ERZ786566:ERZ786568 FBV786566:FBV786568 FLR786566:FLR786568 FVN786566:FVN786568 GFJ786566:GFJ786568 GPF786566:GPF786568 GZB786566:GZB786568 HIX786566:HIX786568 HST786566:HST786568 ICP786566:ICP786568 IML786566:IML786568 IWH786566:IWH786568 JGD786566:JGD786568 JPZ786566:JPZ786568 JZV786566:JZV786568 KJR786566:KJR786568 KTN786566:KTN786568 LDJ786566:LDJ786568 LNF786566:LNF786568 LXB786566:LXB786568 MGX786566:MGX786568 MQT786566:MQT786568 NAP786566:NAP786568 NKL786566:NKL786568 NUH786566:NUH786568 OED786566:OED786568 ONZ786566:ONZ786568 OXV786566:OXV786568 PHR786566:PHR786568 PRN786566:PRN786568 QBJ786566:QBJ786568 QLF786566:QLF786568 QVB786566:QVB786568 REX786566:REX786568 ROT786566:ROT786568 RYP786566:RYP786568 SIL786566:SIL786568 SSH786566:SSH786568 TCD786566:TCD786568 TLZ786566:TLZ786568 TVV786566:TVV786568 UFR786566:UFR786568 UPN786566:UPN786568 UZJ786566:UZJ786568 VJF786566:VJF786568 VTB786566:VTB786568 WCX786566:WCX786568 WMT786566:WMT786568 WWP786566:WWP786568 AH852102:AH852104 KD852102:KD852104 TZ852102:TZ852104 ADV852102:ADV852104 ANR852102:ANR852104 AXN852102:AXN852104 BHJ852102:BHJ852104 BRF852102:BRF852104 CBB852102:CBB852104 CKX852102:CKX852104 CUT852102:CUT852104 DEP852102:DEP852104 DOL852102:DOL852104 DYH852102:DYH852104 EID852102:EID852104 ERZ852102:ERZ852104 FBV852102:FBV852104 FLR852102:FLR852104 FVN852102:FVN852104 GFJ852102:GFJ852104 GPF852102:GPF852104 GZB852102:GZB852104 HIX852102:HIX852104 HST852102:HST852104 ICP852102:ICP852104 IML852102:IML852104 IWH852102:IWH852104 JGD852102:JGD852104 JPZ852102:JPZ852104 JZV852102:JZV852104 KJR852102:KJR852104 KTN852102:KTN852104 LDJ852102:LDJ852104 LNF852102:LNF852104 LXB852102:LXB852104 MGX852102:MGX852104 MQT852102:MQT852104 NAP852102:NAP852104 NKL852102:NKL852104 NUH852102:NUH852104 OED852102:OED852104 ONZ852102:ONZ852104 OXV852102:OXV852104 PHR852102:PHR852104 PRN852102:PRN852104 QBJ852102:QBJ852104 QLF852102:QLF852104 QVB852102:QVB852104 REX852102:REX852104 ROT852102:ROT852104 RYP852102:RYP852104 SIL852102:SIL852104 SSH852102:SSH852104 TCD852102:TCD852104 TLZ852102:TLZ852104 TVV852102:TVV852104 UFR852102:UFR852104 UPN852102:UPN852104 UZJ852102:UZJ852104 VJF852102:VJF852104 VTB852102:VTB852104 WCX852102:WCX852104 WMT852102:WMT852104 WWP852102:WWP852104 AH917638:AH917640 KD917638:KD917640 TZ917638:TZ917640 ADV917638:ADV917640 ANR917638:ANR917640 AXN917638:AXN917640 BHJ917638:BHJ917640 BRF917638:BRF917640 CBB917638:CBB917640 CKX917638:CKX917640 CUT917638:CUT917640 DEP917638:DEP917640 DOL917638:DOL917640 DYH917638:DYH917640 EID917638:EID917640 ERZ917638:ERZ917640 FBV917638:FBV917640 FLR917638:FLR917640 FVN917638:FVN917640 GFJ917638:GFJ917640 GPF917638:GPF917640 GZB917638:GZB917640 HIX917638:HIX917640 HST917638:HST917640 ICP917638:ICP917640 IML917638:IML917640 IWH917638:IWH917640 JGD917638:JGD917640 JPZ917638:JPZ917640 JZV917638:JZV917640 KJR917638:KJR917640 KTN917638:KTN917640 LDJ917638:LDJ917640 LNF917638:LNF917640 LXB917638:LXB917640 MGX917638:MGX917640 MQT917638:MQT917640 NAP917638:NAP917640 NKL917638:NKL917640 NUH917638:NUH917640 OED917638:OED917640 ONZ917638:ONZ917640 OXV917638:OXV917640 PHR917638:PHR917640 PRN917638:PRN917640 QBJ917638:QBJ917640 QLF917638:QLF917640 QVB917638:QVB917640 REX917638:REX917640 ROT917638:ROT917640 RYP917638:RYP917640 SIL917638:SIL917640 SSH917638:SSH917640 TCD917638:TCD917640 TLZ917638:TLZ917640 TVV917638:TVV917640 UFR917638:UFR917640 UPN917638:UPN917640 UZJ917638:UZJ917640 VJF917638:VJF917640 VTB917638:VTB917640 WCX917638:WCX917640 WMT917638:WMT917640 WWP917638:WWP917640 AH983174:AH983176 KD983174:KD983176 TZ983174:TZ983176 ADV983174:ADV983176 ANR983174:ANR983176 AXN983174:AXN983176 BHJ983174:BHJ983176 BRF983174:BRF983176 CBB983174:CBB983176 CKX983174:CKX983176 CUT983174:CUT983176 DEP983174:DEP983176 DOL983174:DOL983176 DYH983174:DYH983176 EID983174:EID983176 ERZ983174:ERZ983176 FBV983174:FBV983176 FLR983174:FLR983176 FVN983174:FVN983176 GFJ983174:GFJ983176 GPF983174:GPF983176 GZB983174:GZB983176 HIX983174:HIX983176 HST983174:HST983176 ICP983174:ICP983176 IML983174:IML983176 IWH983174:IWH983176 JGD983174:JGD983176 JPZ983174:JPZ983176 JZV983174:JZV983176 KJR983174:KJR983176 KTN983174:KTN983176 LDJ983174:LDJ983176 LNF983174:LNF983176 LXB983174:LXB983176 MGX983174:MGX983176 MQT983174:MQT983176 NAP983174:NAP983176 NKL983174:NKL983176 NUH983174:NUH983176 OED983174:OED983176 ONZ983174:ONZ983176 OXV983174:OXV983176 PHR983174:PHR983176 PRN983174:PRN983176 QBJ983174:QBJ983176 QLF983174:QLF983176 QVB983174:QVB983176 REX983174:REX983176 ROT983174:ROT983176 RYP983174:RYP983176 SIL983174:SIL983176 SSH983174:SSH983176 TCD983174:TCD983176 TLZ983174:TLZ983176 TVV983174:TVV983176 UFR983174:UFR983176 UPN983174:UPN983176 UZJ983174:UZJ983176 VJF983174:VJF983176 VTB983174:VTB983176 WCX983174:WCX983176 WMT983174:WMT983176 WWP983174:WWP983176 AH130:AH131 KD130:KD131 TZ130:TZ131 ADV130:ADV131 ANR130:ANR131 AXN130:AXN131 BHJ130:BHJ131 BRF130:BRF131 CBB130:CBB131 CKX130:CKX131 CUT130:CUT131 DEP130:DEP131 DOL130:DOL131 DYH130:DYH131 EID130:EID131 ERZ130:ERZ131 FBV130:FBV131 FLR130:FLR131 FVN130:FVN131 GFJ130:GFJ131 GPF130:GPF131 GZB130:GZB131 HIX130:HIX131 HST130:HST131 ICP130:ICP131 IML130:IML131 IWH130:IWH131 JGD130:JGD131 JPZ130:JPZ131 JZV130:JZV131 KJR130:KJR131 KTN130:KTN131 LDJ130:LDJ131 LNF130:LNF131 LXB130:LXB131 MGX130:MGX131 MQT130:MQT131 NAP130:NAP131 NKL130:NKL131 NUH130:NUH131 OED130:OED131 ONZ130:ONZ131 OXV130:OXV131 PHR130:PHR131 PRN130:PRN131 QBJ130:QBJ131 QLF130:QLF131 QVB130:QVB131 REX130:REX131 ROT130:ROT131 RYP130:RYP131 SIL130:SIL131 SSH130:SSH131 TCD130:TCD131 TLZ130:TLZ131 TVV130:TVV131 UFR130:UFR131 UPN130:UPN131 UZJ130:UZJ131 VJF130:VJF131 VTB130:VTB131 WCX130:WCX131 WMT130:WMT131 WWP130:WWP131 AH65667:AH65668 KD65667:KD65668 TZ65667:TZ65668 ADV65667:ADV65668 ANR65667:ANR65668 AXN65667:AXN65668 BHJ65667:BHJ65668 BRF65667:BRF65668 CBB65667:CBB65668 CKX65667:CKX65668 CUT65667:CUT65668 DEP65667:DEP65668 DOL65667:DOL65668 DYH65667:DYH65668 EID65667:EID65668 ERZ65667:ERZ65668 FBV65667:FBV65668 FLR65667:FLR65668 FVN65667:FVN65668 GFJ65667:GFJ65668 GPF65667:GPF65668 GZB65667:GZB65668 HIX65667:HIX65668 HST65667:HST65668 ICP65667:ICP65668 IML65667:IML65668 IWH65667:IWH65668 JGD65667:JGD65668 JPZ65667:JPZ65668 JZV65667:JZV65668 KJR65667:KJR65668 KTN65667:KTN65668 LDJ65667:LDJ65668 LNF65667:LNF65668 LXB65667:LXB65668 MGX65667:MGX65668 MQT65667:MQT65668 NAP65667:NAP65668 NKL65667:NKL65668 NUH65667:NUH65668 OED65667:OED65668 ONZ65667:ONZ65668 OXV65667:OXV65668 PHR65667:PHR65668 PRN65667:PRN65668 QBJ65667:QBJ65668 QLF65667:QLF65668 QVB65667:QVB65668 REX65667:REX65668 ROT65667:ROT65668 RYP65667:RYP65668 SIL65667:SIL65668 SSH65667:SSH65668 TCD65667:TCD65668 TLZ65667:TLZ65668 TVV65667:TVV65668 UFR65667:UFR65668 UPN65667:UPN65668 UZJ65667:UZJ65668 VJF65667:VJF65668 VTB65667:VTB65668 WCX65667:WCX65668 WMT65667:WMT65668 WWP65667:WWP65668 AH131203:AH131204 KD131203:KD131204 TZ131203:TZ131204 ADV131203:ADV131204 ANR131203:ANR131204 AXN131203:AXN131204 BHJ131203:BHJ131204 BRF131203:BRF131204 CBB131203:CBB131204 CKX131203:CKX131204 CUT131203:CUT131204 DEP131203:DEP131204 DOL131203:DOL131204 DYH131203:DYH131204 EID131203:EID131204 ERZ131203:ERZ131204 FBV131203:FBV131204 FLR131203:FLR131204 FVN131203:FVN131204 GFJ131203:GFJ131204 GPF131203:GPF131204 GZB131203:GZB131204 HIX131203:HIX131204 HST131203:HST131204 ICP131203:ICP131204 IML131203:IML131204 IWH131203:IWH131204 JGD131203:JGD131204 JPZ131203:JPZ131204 JZV131203:JZV131204 KJR131203:KJR131204 KTN131203:KTN131204 LDJ131203:LDJ131204 LNF131203:LNF131204 LXB131203:LXB131204 MGX131203:MGX131204 MQT131203:MQT131204 NAP131203:NAP131204 NKL131203:NKL131204 NUH131203:NUH131204 OED131203:OED131204 ONZ131203:ONZ131204 OXV131203:OXV131204 PHR131203:PHR131204 PRN131203:PRN131204 QBJ131203:QBJ131204 QLF131203:QLF131204 QVB131203:QVB131204 REX131203:REX131204 ROT131203:ROT131204 RYP131203:RYP131204 SIL131203:SIL131204 SSH131203:SSH131204 TCD131203:TCD131204 TLZ131203:TLZ131204 TVV131203:TVV131204 UFR131203:UFR131204 UPN131203:UPN131204 UZJ131203:UZJ131204 VJF131203:VJF131204 VTB131203:VTB131204 WCX131203:WCX131204 WMT131203:WMT131204 WWP131203:WWP131204 AH196739:AH196740 KD196739:KD196740 TZ196739:TZ196740 ADV196739:ADV196740 ANR196739:ANR196740 AXN196739:AXN196740 BHJ196739:BHJ196740 BRF196739:BRF196740 CBB196739:CBB196740 CKX196739:CKX196740 CUT196739:CUT196740 DEP196739:DEP196740 DOL196739:DOL196740 DYH196739:DYH196740 EID196739:EID196740 ERZ196739:ERZ196740 FBV196739:FBV196740 FLR196739:FLR196740 FVN196739:FVN196740 GFJ196739:GFJ196740 GPF196739:GPF196740 GZB196739:GZB196740 HIX196739:HIX196740 HST196739:HST196740 ICP196739:ICP196740 IML196739:IML196740 IWH196739:IWH196740 JGD196739:JGD196740 JPZ196739:JPZ196740 JZV196739:JZV196740 KJR196739:KJR196740 KTN196739:KTN196740 LDJ196739:LDJ196740 LNF196739:LNF196740 LXB196739:LXB196740 MGX196739:MGX196740 MQT196739:MQT196740 NAP196739:NAP196740 NKL196739:NKL196740 NUH196739:NUH196740 OED196739:OED196740 ONZ196739:ONZ196740 OXV196739:OXV196740 PHR196739:PHR196740 PRN196739:PRN196740 QBJ196739:QBJ196740 QLF196739:QLF196740 QVB196739:QVB196740 REX196739:REX196740 ROT196739:ROT196740 RYP196739:RYP196740 SIL196739:SIL196740 SSH196739:SSH196740 TCD196739:TCD196740 TLZ196739:TLZ196740 TVV196739:TVV196740 UFR196739:UFR196740 UPN196739:UPN196740 UZJ196739:UZJ196740 VJF196739:VJF196740 VTB196739:VTB196740 WCX196739:WCX196740 WMT196739:WMT196740 WWP196739:WWP196740 AH262275:AH262276 KD262275:KD262276 TZ262275:TZ262276 ADV262275:ADV262276 ANR262275:ANR262276 AXN262275:AXN262276 BHJ262275:BHJ262276 BRF262275:BRF262276 CBB262275:CBB262276 CKX262275:CKX262276 CUT262275:CUT262276 DEP262275:DEP262276 DOL262275:DOL262276 DYH262275:DYH262276 EID262275:EID262276 ERZ262275:ERZ262276 FBV262275:FBV262276 FLR262275:FLR262276 FVN262275:FVN262276 GFJ262275:GFJ262276 GPF262275:GPF262276 GZB262275:GZB262276 HIX262275:HIX262276 HST262275:HST262276 ICP262275:ICP262276 IML262275:IML262276 IWH262275:IWH262276 JGD262275:JGD262276 JPZ262275:JPZ262276 JZV262275:JZV262276 KJR262275:KJR262276 KTN262275:KTN262276 LDJ262275:LDJ262276 LNF262275:LNF262276 LXB262275:LXB262276 MGX262275:MGX262276 MQT262275:MQT262276 NAP262275:NAP262276 NKL262275:NKL262276 NUH262275:NUH262276 OED262275:OED262276 ONZ262275:ONZ262276 OXV262275:OXV262276 PHR262275:PHR262276 PRN262275:PRN262276 QBJ262275:QBJ262276 QLF262275:QLF262276 QVB262275:QVB262276 REX262275:REX262276 ROT262275:ROT262276 RYP262275:RYP262276 SIL262275:SIL262276 SSH262275:SSH262276 TCD262275:TCD262276 TLZ262275:TLZ262276 TVV262275:TVV262276 UFR262275:UFR262276 UPN262275:UPN262276 UZJ262275:UZJ262276 VJF262275:VJF262276 VTB262275:VTB262276 WCX262275:WCX262276 WMT262275:WMT262276 WWP262275:WWP262276 AH327811:AH327812 KD327811:KD327812 TZ327811:TZ327812 ADV327811:ADV327812 ANR327811:ANR327812 AXN327811:AXN327812 BHJ327811:BHJ327812 BRF327811:BRF327812 CBB327811:CBB327812 CKX327811:CKX327812 CUT327811:CUT327812 DEP327811:DEP327812 DOL327811:DOL327812 DYH327811:DYH327812 EID327811:EID327812 ERZ327811:ERZ327812 FBV327811:FBV327812 FLR327811:FLR327812 FVN327811:FVN327812 GFJ327811:GFJ327812 GPF327811:GPF327812 GZB327811:GZB327812 HIX327811:HIX327812 HST327811:HST327812 ICP327811:ICP327812 IML327811:IML327812 IWH327811:IWH327812 JGD327811:JGD327812 JPZ327811:JPZ327812 JZV327811:JZV327812 KJR327811:KJR327812 KTN327811:KTN327812 LDJ327811:LDJ327812 LNF327811:LNF327812 LXB327811:LXB327812 MGX327811:MGX327812 MQT327811:MQT327812 NAP327811:NAP327812 NKL327811:NKL327812 NUH327811:NUH327812 OED327811:OED327812 ONZ327811:ONZ327812 OXV327811:OXV327812 PHR327811:PHR327812 PRN327811:PRN327812 QBJ327811:QBJ327812 QLF327811:QLF327812 QVB327811:QVB327812 REX327811:REX327812 ROT327811:ROT327812 RYP327811:RYP327812 SIL327811:SIL327812 SSH327811:SSH327812 TCD327811:TCD327812 TLZ327811:TLZ327812 TVV327811:TVV327812 UFR327811:UFR327812 UPN327811:UPN327812 UZJ327811:UZJ327812 VJF327811:VJF327812 VTB327811:VTB327812 WCX327811:WCX327812 WMT327811:WMT327812 WWP327811:WWP327812 AH393347:AH393348 KD393347:KD393348 TZ393347:TZ393348 ADV393347:ADV393348 ANR393347:ANR393348 AXN393347:AXN393348 BHJ393347:BHJ393348 BRF393347:BRF393348 CBB393347:CBB393348 CKX393347:CKX393348 CUT393347:CUT393348 DEP393347:DEP393348 DOL393347:DOL393348 DYH393347:DYH393348 EID393347:EID393348 ERZ393347:ERZ393348 FBV393347:FBV393348 FLR393347:FLR393348 FVN393347:FVN393348 GFJ393347:GFJ393348 GPF393347:GPF393348 GZB393347:GZB393348 HIX393347:HIX393348 HST393347:HST393348 ICP393347:ICP393348 IML393347:IML393348 IWH393347:IWH393348 JGD393347:JGD393348 JPZ393347:JPZ393348 JZV393347:JZV393348 KJR393347:KJR393348 KTN393347:KTN393348 LDJ393347:LDJ393348 LNF393347:LNF393348 LXB393347:LXB393348 MGX393347:MGX393348 MQT393347:MQT393348 NAP393347:NAP393348 NKL393347:NKL393348 NUH393347:NUH393348 OED393347:OED393348 ONZ393347:ONZ393348 OXV393347:OXV393348 PHR393347:PHR393348 PRN393347:PRN393348 QBJ393347:QBJ393348 QLF393347:QLF393348 QVB393347:QVB393348 REX393347:REX393348 ROT393347:ROT393348 RYP393347:RYP393348 SIL393347:SIL393348 SSH393347:SSH393348 TCD393347:TCD393348 TLZ393347:TLZ393348 TVV393347:TVV393348 UFR393347:UFR393348 UPN393347:UPN393348 UZJ393347:UZJ393348 VJF393347:VJF393348 VTB393347:VTB393348 WCX393347:WCX393348 WMT393347:WMT393348 WWP393347:WWP393348 AH458883:AH458884 KD458883:KD458884 TZ458883:TZ458884 ADV458883:ADV458884 ANR458883:ANR458884 AXN458883:AXN458884 BHJ458883:BHJ458884 BRF458883:BRF458884 CBB458883:CBB458884 CKX458883:CKX458884 CUT458883:CUT458884 DEP458883:DEP458884 DOL458883:DOL458884 DYH458883:DYH458884 EID458883:EID458884 ERZ458883:ERZ458884 FBV458883:FBV458884 FLR458883:FLR458884 FVN458883:FVN458884 GFJ458883:GFJ458884 GPF458883:GPF458884 GZB458883:GZB458884 HIX458883:HIX458884 HST458883:HST458884 ICP458883:ICP458884 IML458883:IML458884 IWH458883:IWH458884 JGD458883:JGD458884 JPZ458883:JPZ458884 JZV458883:JZV458884 KJR458883:KJR458884 KTN458883:KTN458884 LDJ458883:LDJ458884 LNF458883:LNF458884 LXB458883:LXB458884 MGX458883:MGX458884 MQT458883:MQT458884 NAP458883:NAP458884 NKL458883:NKL458884 NUH458883:NUH458884 OED458883:OED458884 ONZ458883:ONZ458884 OXV458883:OXV458884 PHR458883:PHR458884 PRN458883:PRN458884 QBJ458883:QBJ458884 QLF458883:QLF458884 QVB458883:QVB458884 REX458883:REX458884 ROT458883:ROT458884 RYP458883:RYP458884 SIL458883:SIL458884 SSH458883:SSH458884 TCD458883:TCD458884 TLZ458883:TLZ458884 TVV458883:TVV458884 UFR458883:UFR458884 UPN458883:UPN458884 UZJ458883:UZJ458884 VJF458883:VJF458884 VTB458883:VTB458884 WCX458883:WCX458884 WMT458883:WMT458884 WWP458883:WWP458884 AH524419:AH524420 KD524419:KD524420 TZ524419:TZ524420 ADV524419:ADV524420 ANR524419:ANR524420 AXN524419:AXN524420 BHJ524419:BHJ524420 BRF524419:BRF524420 CBB524419:CBB524420 CKX524419:CKX524420 CUT524419:CUT524420 DEP524419:DEP524420 DOL524419:DOL524420 DYH524419:DYH524420 EID524419:EID524420 ERZ524419:ERZ524420 FBV524419:FBV524420 FLR524419:FLR524420 FVN524419:FVN524420 GFJ524419:GFJ524420 GPF524419:GPF524420 GZB524419:GZB524420 HIX524419:HIX524420 HST524419:HST524420 ICP524419:ICP524420 IML524419:IML524420 IWH524419:IWH524420 JGD524419:JGD524420 JPZ524419:JPZ524420 JZV524419:JZV524420 KJR524419:KJR524420 KTN524419:KTN524420 LDJ524419:LDJ524420 LNF524419:LNF524420 LXB524419:LXB524420 MGX524419:MGX524420 MQT524419:MQT524420 NAP524419:NAP524420 NKL524419:NKL524420 NUH524419:NUH524420 OED524419:OED524420 ONZ524419:ONZ524420 OXV524419:OXV524420 PHR524419:PHR524420 PRN524419:PRN524420 QBJ524419:QBJ524420 QLF524419:QLF524420 QVB524419:QVB524420 REX524419:REX524420 ROT524419:ROT524420 RYP524419:RYP524420 SIL524419:SIL524420 SSH524419:SSH524420 TCD524419:TCD524420 TLZ524419:TLZ524420 TVV524419:TVV524420 UFR524419:UFR524420 UPN524419:UPN524420 UZJ524419:UZJ524420 VJF524419:VJF524420 VTB524419:VTB524420 WCX524419:WCX524420 WMT524419:WMT524420 WWP524419:WWP524420 AH589955:AH589956 KD589955:KD589956 TZ589955:TZ589956 ADV589955:ADV589956 ANR589955:ANR589956 AXN589955:AXN589956 BHJ589955:BHJ589956 BRF589955:BRF589956 CBB589955:CBB589956 CKX589955:CKX589956 CUT589955:CUT589956 DEP589955:DEP589956 DOL589955:DOL589956 DYH589955:DYH589956 EID589955:EID589956 ERZ589955:ERZ589956 FBV589955:FBV589956 FLR589955:FLR589956 FVN589955:FVN589956 GFJ589955:GFJ589956 GPF589955:GPF589956 GZB589955:GZB589956 HIX589955:HIX589956 HST589955:HST589956 ICP589955:ICP589956 IML589955:IML589956 IWH589955:IWH589956 JGD589955:JGD589956 JPZ589955:JPZ589956 JZV589955:JZV589956 KJR589955:KJR589956 KTN589955:KTN589956 LDJ589955:LDJ589956 LNF589955:LNF589956 LXB589955:LXB589956 MGX589955:MGX589956 MQT589955:MQT589956 NAP589955:NAP589956 NKL589955:NKL589956 NUH589955:NUH589956 OED589955:OED589956 ONZ589955:ONZ589956 OXV589955:OXV589956 PHR589955:PHR589956 PRN589955:PRN589956 QBJ589955:QBJ589956 QLF589955:QLF589956 QVB589955:QVB589956 REX589955:REX589956 ROT589955:ROT589956 RYP589955:RYP589956 SIL589955:SIL589956 SSH589955:SSH589956 TCD589955:TCD589956 TLZ589955:TLZ589956 TVV589955:TVV589956 UFR589955:UFR589956 UPN589955:UPN589956 UZJ589955:UZJ589956 VJF589955:VJF589956 VTB589955:VTB589956 WCX589955:WCX589956 WMT589955:WMT589956 WWP589955:WWP589956 AH655491:AH655492 KD655491:KD655492 TZ655491:TZ655492 ADV655491:ADV655492 ANR655491:ANR655492 AXN655491:AXN655492 BHJ655491:BHJ655492 BRF655491:BRF655492 CBB655491:CBB655492 CKX655491:CKX655492 CUT655491:CUT655492 DEP655491:DEP655492 DOL655491:DOL655492 DYH655491:DYH655492 EID655491:EID655492 ERZ655491:ERZ655492 FBV655491:FBV655492 FLR655491:FLR655492 FVN655491:FVN655492 GFJ655491:GFJ655492 GPF655491:GPF655492 GZB655491:GZB655492 HIX655491:HIX655492 HST655491:HST655492 ICP655491:ICP655492 IML655491:IML655492 IWH655491:IWH655492 JGD655491:JGD655492 JPZ655491:JPZ655492 JZV655491:JZV655492 KJR655491:KJR655492 KTN655491:KTN655492 LDJ655491:LDJ655492 LNF655491:LNF655492 LXB655491:LXB655492 MGX655491:MGX655492 MQT655491:MQT655492 NAP655491:NAP655492 NKL655491:NKL655492 NUH655491:NUH655492 OED655491:OED655492 ONZ655491:ONZ655492 OXV655491:OXV655492 PHR655491:PHR655492 PRN655491:PRN655492 QBJ655491:QBJ655492 QLF655491:QLF655492 QVB655491:QVB655492 REX655491:REX655492 ROT655491:ROT655492 RYP655491:RYP655492 SIL655491:SIL655492 SSH655491:SSH655492 TCD655491:TCD655492 TLZ655491:TLZ655492 TVV655491:TVV655492 UFR655491:UFR655492 UPN655491:UPN655492 UZJ655491:UZJ655492 VJF655491:VJF655492 VTB655491:VTB655492 WCX655491:WCX655492 WMT655491:WMT655492 WWP655491:WWP655492 AH721027:AH721028 KD721027:KD721028 TZ721027:TZ721028 ADV721027:ADV721028 ANR721027:ANR721028 AXN721027:AXN721028 BHJ721027:BHJ721028 BRF721027:BRF721028 CBB721027:CBB721028 CKX721027:CKX721028 CUT721027:CUT721028 DEP721027:DEP721028 DOL721027:DOL721028 DYH721027:DYH721028 EID721027:EID721028 ERZ721027:ERZ721028 FBV721027:FBV721028 FLR721027:FLR721028 FVN721027:FVN721028 GFJ721027:GFJ721028 GPF721027:GPF721028 GZB721027:GZB721028 HIX721027:HIX721028 HST721027:HST721028 ICP721027:ICP721028 IML721027:IML721028 IWH721027:IWH721028 JGD721027:JGD721028 JPZ721027:JPZ721028 JZV721027:JZV721028 KJR721027:KJR721028 KTN721027:KTN721028 LDJ721027:LDJ721028 LNF721027:LNF721028 LXB721027:LXB721028 MGX721027:MGX721028 MQT721027:MQT721028 NAP721027:NAP721028 NKL721027:NKL721028 NUH721027:NUH721028 OED721027:OED721028 ONZ721027:ONZ721028 OXV721027:OXV721028 PHR721027:PHR721028 PRN721027:PRN721028 QBJ721027:QBJ721028 QLF721027:QLF721028 QVB721027:QVB721028 REX721027:REX721028 ROT721027:ROT721028 RYP721027:RYP721028 SIL721027:SIL721028 SSH721027:SSH721028 TCD721027:TCD721028 TLZ721027:TLZ721028 TVV721027:TVV721028 UFR721027:UFR721028 UPN721027:UPN721028 UZJ721027:UZJ721028 VJF721027:VJF721028 VTB721027:VTB721028 WCX721027:WCX721028 WMT721027:WMT721028 WWP721027:WWP721028 AH786563:AH786564 KD786563:KD786564 TZ786563:TZ786564 ADV786563:ADV786564 ANR786563:ANR786564 AXN786563:AXN786564 BHJ786563:BHJ786564 BRF786563:BRF786564 CBB786563:CBB786564 CKX786563:CKX786564 CUT786563:CUT786564 DEP786563:DEP786564 DOL786563:DOL786564 DYH786563:DYH786564 EID786563:EID786564 ERZ786563:ERZ786564 FBV786563:FBV786564 FLR786563:FLR786564 FVN786563:FVN786564 GFJ786563:GFJ786564 GPF786563:GPF786564 GZB786563:GZB786564 HIX786563:HIX786564 HST786563:HST786564 ICP786563:ICP786564 IML786563:IML786564 IWH786563:IWH786564 JGD786563:JGD786564 JPZ786563:JPZ786564 JZV786563:JZV786564 KJR786563:KJR786564 KTN786563:KTN786564 LDJ786563:LDJ786564 LNF786563:LNF786564 LXB786563:LXB786564 MGX786563:MGX786564 MQT786563:MQT786564 NAP786563:NAP786564 NKL786563:NKL786564 NUH786563:NUH786564 OED786563:OED786564 ONZ786563:ONZ786564 OXV786563:OXV786564 PHR786563:PHR786564 PRN786563:PRN786564 QBJ786563:QBJ786564 QLF786563:QLF786564 QVB786563:QVB786564 REX786563:REX786564 ROT786563:ROT786564 RYP786563:RYP786564 SIL786563:SIL786564 SSH786563:SSH786564 TCD786563:TCD786564 TLZ786563:TLZ786564 TVV786563:TVV786564 UFR786563:UFR786564 UPN786563:UPN786564 UZJ786563:UZJ786564 VJF786563:VJF786564 VTB786563:VTB786564 WCX786563:WCX786564 WMT786563:WMT786564 WWP786563:WWP786564 AH852099:AH852100 KD852099:KD852100 TZ852099:TZ852100 ADV852099:ADV852100 ANR852099:ANR852100 AXN852099:AXN852100 BHJ852099:BHJ852100 BRF852099:BRF852100 CBB852099:CBB852100 CKX852099:CKX852100 CUT852099:CUT852100 DEP852099:DEP852100 DOL852099:DOL852100 DYH852099:DYH852100 EID852099:EID852100 ERZ852099:ERZ852100 FBV852099:FBV852100 FLR852099:FLR852100 FVN852099:FVN852100 GFJ852099:GFJ852100 GPF852099:GPF852100 GZB852099:GZB852100 HIX852099:HIX852100 HST852099:HST852100 ICP852099:ICP852100 IML852099:IML852100 IWH852099:IWH852100 JGD852099:JGD852100 JPZ852099:JPZ852100 JZV852099:JZV852100 KJR852099:KJR852100 KTN852099:KTN852100 LDJ852099:LDJ852100 LNF852099:LNF852100 LXB852099:LXB852100 MGX852099:MGX852100 MQT852099:MQT852100 NAP852099:NAP852100 NKL852099:NKL852100 NUH852099:NUH852100 OED852099:OED852100 ONZ852099:ONZ852100 OXV852099:OXV852100 PHR852099:PHR852100 PRN852099:PRN852100 QBJ852099:QBJ852100 QLF852099:QLF852100 QVB852099:QVB852100 REX852099:REX852100 ROT852099:ROT852100 RYP852099:RYP852100 SIL852099:SIL852100 SSH852099:SSH852100 TCD852099:TCD852100 TLZ852099:TLZ852100 TVV852099:TVV852100 UFR852099:UFR852100 UPN852099:UPN852100 UZJ852099:UZJ852100 VJF852099:VJF852100 VTB852099:VTB852100 WCX852099:WCX852100 WMT852099:WMT852100 WWP852099:WWP852100 AH917635:AH917636 KD917635:KD917636 TZ917635:TZ917636 ADV917635:ADV917636 ANR917635:ANR917636 AXN917635:AXN917636 BHJ917635:BHJ917636 BRF917635:BRF917636 CBB917635:CBB917636 CKX917635:CKX917636 CUT917635:CUT917636 DEP917635:DEP917636 DOL917635:DOL917636 DYH917635:DYH917636 EID917635:EID917636 ERZ917635:ERZ917636 FBV917635:FBV917636 FLR917635:FLR917636 FVN917635:FVN917636 GFJ917635:GFJ917636 GPF917635:GPF917636 GZB917635:GZB917636 HIX917635:HIX917636 HST917635:HST917636 ICP917635:ICP917636 IML917635:IML917636 IWH917635:IWH917636 JGD917635:JGD917636 JPZ917635:JPZ917636 JZV917635:JZV917636 KJR917635:KJR917636 KTN917635:KTN917636 LDJ917635:LDJ917636 LNF917635:LNF917636 LXB917635:LXB917636 MGX917635:MGX917636 MQT917635:MQT917636 NAP917635:NAP917636 NKL917635:NKL917636 NUH917635:NUH917636 OED917635:OED917636 ONZ917635:ONZ917636 OXV917635:OXV917636 PHR917635:PHR917636 PRN917635:PRN917636 QBJ917635:QBJ917636 QLF917635:QLF917636 QVB917635:QVB917636 REX917635:REX917636 ROT917635:ROT917636 RYP917635:RYP917636 SIL917635:SIL917636 SSH917635:SSH917636 TCD917635:TCD917636 TLZ917635:TLZ917636 TVV917635:TVV917636 UFR917635:UFR917636 UPN917635:UPN917636 UZJ917635:UZJ917636 VJF917635:VJF917636 VTB917635:VTB917636 WCX917635:WCX917636 WMT917635:WMT917636 WWP917635:WWP917636 AH983171:AH983172 KD983171:KD983172 TZ983171:TZ983172 ADV983171:ADV983172 ANR983171:ANR983172 AXN983171:AXN983172 BHJ983171:BHJ983172 BRF983171:BRF983172 CBB983171:CBB983172 CKX983171:CKX983172 CUT983171:CUT983172 DEP983171:DEP983172 DOL983171:DOL983172 DYH983171:DYH983172 EID983171:EID983172 ERZ983171:ERZ983172 FBV983171:FBV983172 FLR983171:FLR983172 FVN983171:FVN983172 GFJ983171:GFJ983172 GPF983171:GPF983172 GZB983171:GZB983172 HIX983171:HIX983172 HST983171:HST983172 ICP983171:ICP983172 IML983171:IML983172 IWH983171:IWH983172 JGD983171:JGD983172 JPZ983171:JPZ983172 JZV983171:JZV983172 KJR983171:KJR983172 KTN983171:KTN983172 LDJ983171:LDJ983172 LNF983171:LNF983172 LXB983171:LXB983172 MGX983171:MGX983172 MQT983171:MQT983172 NAP983171:NAP983172 NKL983171:NKL983172 NUH983171:NUH983172 OED983171:OED983172 ONZ983171:ONZ983172 OXV983171:OXV983172 PHR983171:PHR983172 PRN983171:PRN983172 QBJ983171:QBJ983172 QLF983171:QLF983172 QVB983171:QVB983172 REX983171:REX983172 ROT983171:ROT983172 RYP983171:RYP983172 SIL983171:SIL983172 SSH983171:SSH983172 TCD983171:TCD983172 TLZ983171:TLZ983172 TVV983171:TVV983172 UFR983171:UFR983172 UPN983171:UPN983172 UZJ983171:UZJ983172 VJF983171:VJF983172 VTB983171:VTB983172 WCX983171:WCX983172 WMT983171:WMT983172 WWP983171:WWP983172 AH126:AH128 KD126:KD128 TZ126:TZ128 ADV126:ADV128 ANR126:ANR128 AXN126:AXN128 BHJ126:BHJ128 BRF126:BRF128 CBB126:CBB128 CKX126:CKX128 CUT126:CUT128 DEP126:DEP128 DOL126:DOL128 DYH126:DYH128 EID126:EID128 ERZ126:ERZ128 FBV126:FBV128 FLR126:FLR128 FVN126:FVN128 GFJ126:GFJ128 GPF126:GPF128 GZB126:GZB128 HIX126:HIX128 HST126:HST128 ICP126:ICP128 IML126:IML128 IWH126:IWH128 JGD126:JGD128 JPZ126:JPZ128 JZV126:JZV128 KJR126:KJR128 KTN126:KTN128 LDJ126:LDJ128 LNF126:LNF128 LXB126:LXB128 MGX126:MGX128 MQT126:MQT128 NAP126:NAP128 NKL126:NKL128 NUH126:NUH128 OED126:OED128 ONZ126:ONZ128 OXV126:OXV128 PHR126:PHR128 PRN126:PRN128 QBJ126:QBJ128 QLF126:QLF128 QVB126:QVB128 REX126:REX128 ROT126:ROT128 RYP126:RYP128 SIL126:SIL128 SSH126:SSH128 TCD126:TCD128 TLZ126:TLZ128 TVV126:TVV128 UFR126:UFR128 UPN126:UPN128 UZJ126:UZJ128 VJF126:VJF128 VTB126:VTB128 WCX126:WCX128 WMT126:WMT128 WWP126:WWP128 AH65663:AH65665 KD65663:KD65665 TZ65663:TZ65665 ADV65663:ADV65665 ANR65663:ANR65665 AXN65663:AXN65665 BHJ65663:BHJ65665 BRF65663:BRF65665 CBB65663:CBB65665 CKX65663:CKX65665 CUT65663:CUT65665 DEP65663:DEP65665 DOL65663:DOL65665 DYH65663:DYH65665 EID65663:EID65665 ERZ65663:ERZ65665 FBV65663:FBV65665 FLR65663:FLR65665 FVN65663:FVN65665 GFJ65663:GFJ65665 GPF65663:GPF65665 GZB65663:GZB65665 HIX65663:HIX65665 HST65663:HST65665 ICP65663:ICP65665 IML65663:IML65665 IWH65663:IWH65665 JGD65663:JGD65665 JPZ65663:JPZ65665 JZV65663:JZV65665 KJR65663:KJR65665 KTN65663:KTN65665 LDJ65663:LDJ65665 LNF65663:LNF65665 LXB65663:LXB65665 MGX65663:MGX65665 MQT65663:MQT65665 NAP65663:NAP65665 NKL65663:NKL65665 NUH65663:NUH65665 OED65663:OED65665 ONZ65663:ONZ65665 OXV65663:OXV65665 PHR65663:PHR65665 PRN65663:PRN65665 QBJ65663:QBJ65665 QLF65663:QLF65665 QVB65663:QVB65665 REX65663:REX65665 ROT65663:ROT65665 RYP65663:RYP65665 SIL65663:SIL65665 SSH65663:SSH65665 TCD65663:TCD65665 TLZ65663:TLZ65665 TVV65663:TVV65665 UFR65663:UFR65665 UPN65663:UPN65665 UZJ65663:UZJ65665 VJF65663:VJF65665 VTB65663:VTB65665 WCX65663:WCX65665 WMT65663:WMT65665 WWP65663:WWP65665 AH131199:AH131201 KD131199:KD131201 TZ131199:TZ131201 ADV131199:ADV131201 ANR131199:ANR131201 AXN131199:AXN131201 BHJ131199:BHJ131201 BRF131199:BRF131201 CBB131199:CBB131201 CKX131199:CKX131201 CUT131199:CUT131201 DEP131199:DEP131201 DOL131199:DOL131201 DYH131199:DYH131201 EID131199:EID131201 ERZ131199:ERZ131201 FBV131199:FBV131201 FLR131199:FLR131201 FVN131199:FVN131201 GFJ131199:GFJ131201 GPF131199:GPF131201 GZB131199:GZB131201 HIX131199:HIX131201 HST131199:HST131201 ICP131199:ICP131201 IML131199:IML131201 IWH131199:IWH131201 JGD131199:JGD131201 JPZ131199:JPZ131201 JZV131199:JZV131201 KJR131199:KJR131201 KTN131199:KTN131201 LDJ131199:LDJ131201 LNF131199:LNF131201 LXB131199:LXB131201 MGX131199:MGX131201 MQT131199:MQT131201 NAP131199:NAP131201 NKL131199:NKL131201 NUH131199:NUH131201 OED131199:OED131201 ONZ131199:ONZ131201 OXV131199:OXV131201 PHR131199:PHR131201 PRN131199:PRN131201 QBJ131199:QBJ131201 QLF131199:QLF131201 QVB131199:QVB131201 REX131199:REX131201 ROT131199:ROT131201 RYP131199:RYP131201 SIL131199:SIL131201 SSH131199:SSH131201 TCD131199:TCD131201 TLZ131199:TLZ131201 TVV131199:TVV131201 UFR131199:UFR131201 UPN131199:UPN131201 UZJ131199:UZJ131201 VJF131199:VJF131201 VTB131199:VTB131201 WCX131199:WCX131201 WMT131199:WMT131201 WWP131199:WWP131201 AH196735:AH196737 KD196735:KD196737 TZ196735:TZ196737 ADV196735:ADV196737 ANR196735:ANR196737 AXN196735:AXN196737 BHJ196735:BHJ196737 BRF196735:BRF196737 CBB196735:CBB196737 CKX196735:CKX196737 CUT196735:CUT196737 DEP196735:DEP196737 DOL196735:DOL196737 DYH196735:DYH196737 EID196735:EID196737 ERZ196735:ERZ196737 FBV196735:FBV196737 FLR196735:FLR196737 FVN196735:FVN196737 GFJ196735:GFJ196737 GPF196735:GPF196737 GZB196735:GZB196737 HIX196735:HIX196737 HST196735:HST196737 ICP196735:ICP196737 IML196735:IML196737 IWH196735:IWH196737 JGD196735:JGD196737 JPZ196735:JPZ196737 JZV196735:JZV196737 KJR196735:KJR196737 KTN196735:KTN196737 LDJ196735:LDJ196737 LNF196735:LNF196737 LXB196735:LXB196737 MGX196735:MGX196737 MQT196735:MQT196737 NAP196735:NAP196737 NKL196735:NKL196737 NUH196735:NUH196737 OED196735:OED196737 ONZ196735:ONZ196737 OXV196735:OXV196737 PHR196735:PHR196737 PRN196735:PRN196737 QBJ196735:QBJ196737 QLF196735:QLF196737 QVB196735:QVB196737 REX196735:REX196737 ROT196735:ROT196737 RYP196735:RYP196737 SIL196735:SIL196737 SSH196735:SSH196737 TCD196735:TCD196737 TLZ196735:TLZ196737 TVV196735:TVV196737 UFR196735:UFR196737 UPN196735:UPN196737 UZJ196735:UZJ196737 VJF196735:VJF196737 VTB196735:VTB196737 WCX196735:WCX196737 WMT196735:WMT196737 WWP196735:WWP196737 AH262271:AH262273 KD262271:KD262273 TZ262271:TZ262273 ADV262271:ADV262273 ANR262271:ANR262273 AXN262271:AXN262273 BHJ262271:BHJ262273 BRF262271:BRF262273 CBB262271:CBB262273 CKX262271:CKX262273 CUT262271:CUT262273 DEP262271:DEP262273 DOL262271:DOL262273 DYH262271:DYH262273 EID262271:EID262273 ERZ262271:ERZ262273 FBV262271:FBV262273 FLR262271:FLR262273 FVN262271:FVN262273 GFJ262271:GFJ262273 GPF262271:GPF262273 GZB262271:GZB262273 HIX262271:HIX262273 HST262271:HST262273 ICP262271:ICP262273 IML262271:IML262273 IWH262271:IWH262273 JGD262271:JGD262273 JPZ262271:JPZ262273 JZV262271:JZV262273 KJR262271:KJR262273 KTN262271:KTN262273 LDJ262271:LDJ262273 LNF262271:LNF262273 LXB262271:LXB262273 MGX262271:MGX262273 MQT262271:MQT262273 NAP262271:NAP262273 NKL262271:NKL262273 NUH262271:NUH262273 OED262271:OED262273 ONZ262271:ONZ262273 OXV262271:OXV262273 PHR262271:PHR262273 PRN262271:PRN262273 QBJ262271:QBJ262273 QLF262271:QLF262273 QVB262271:QVB262273 REX262271:REX262273 ROT262271:ROT262273 RYP262271:RYP262273 SIL262271:SIL262273 SSH262271:SSH262273 TCD262271:TCD262273 TLZ262271:TLZ262273 TVV262271:TVV262273 UFR262271:UFR262273 UPN262271:UPN262273 UZJ262271:UZJ262273 VJF262271:VJF262273 VTB262271:VTB262273 WCX262271:WCX262273 WMT262271:WMT262273 WWP262271:WWP262273 AH327807:AH327809 KD327807:KD327809 TZ327807:TZ327809 ADV327807:ADV327809 ANR327807:ANR327809 AXN327807:AXN327809 BHJ327807:BHJ327809 BRF327807:BRF327809 CBB327807:CBB327809 CKX327807:CKX327809 CUT327807:CUT327809 DEP327807:DEP327809 DOL327807:DOL327809 DYH327807:DYH327809 EID327807:EID327809 ERZ327807:ERZ327809 FBV327807:FBV327809 FLR327807:FLR327809 FVN327807:FVN327809 GFJ327807:GFJ327809 GPF327807:GPF327809 GZB327807:GZB327809 HIX327807:HIX327809 HST327807:HST327809 ICP327807:ICP327809 IML327807:IML327809 IWH327807:IWH327809 JGD327807:JGD327809 JPZ327807:JPZ327809 JZV327807:JZV327809 KJR327807:KJR327809 KTN327807:KTN327809 LDJ327807:LDJ327809 LNF327807:LNF327809 LXB327807:LXB327809 MGX327807:MGX327809 MQT327807:MQT327809 NAP327807:NAP327809 NKL327807:NKL327809 NUH327807:NUH327809 OED327807:OED327809 ONZ327807:ONZ327809 OXV327807:OXV327809 PHR327807:PHR327809 PRN327807:PRN327809 QBJ327807:QBJ327809 QLF327807:QLF327809 QVB327807:QVB327809 REX327807:REX327809 ROT327807:ROT327809 RYP327807:RYP327809 SIL327807:SIL327809 SSH327807:SSH327809 TCD327807:TCD327809 TLZ327807:TLZ327809 TVV327807:TVV327809 UFR327807:UFR327809 UPN327807:UPN327809 UZJ327807:UZJ327809 VJF327807:VJF327809 VTB327807:VTB327809 WCX327807:WCX327809 WMT327807:WMT327809 WWP327807:WWP327809 AH393343:AH393345 KD393343:KD393345 TZ393343:TZ393345 ADV393343:ADV393345 ANR393343:ANR393345 AXN393343:AXN393345 BHJ393343:BHJ393345 BRF393343:BRF393345 CBB393343:CBB393345 CKX393343:CKX393345 CUT393343:CUT393345 DEP393343:DEP393345 DOL393343:DOL393345 DYH393343:DYH393345 EID393343:EID393345 ERZ393343:ERZ393345 FBV393343:FBV393345 FLR393343:FLR393345 FVN393343:FVN393345 GFJ393343:GFJ393345 GPF393343:GPF393345 GZB393343:GZB393345 HIX393343:HIX393345 HST393343:HST393345 ICP393343:ICP393345 IML393343:IML393345 IWH393343:IWH393345 JGD393343:JGD393345 JPZ393343:JPZ393345 JZV393343:JZV393345 KJR393343:KJR393345 KTN393343:KTN393345 LDJ393343:LDJ393345 LNF393343:LNF393345 LXB393343:LXB393345 MGX393343:MGX393345 MQT393343:MQT393345 NAP393343:NAP393345 NKL393343:NKL393345 NUH393343:NUH393345 OED393343:OED393345 ONZ393343:ONZ393345 OXV393343:OXV393345 PHR393343:PHR393345 PRN393343:PRN393345 QBJ393343:QBJ393345 QLF393343:QLF393345 QVB393343:QVB393345 REX393343:REX393345 ROT393343:ROT393345 RYP393343:RYP393345 SIL393343:SIL393345 SSH393343:SSH393345 TCD393343:TCD393345 TLZ393343:TLZ393345 TVV393343:TVV393345 UFR393343:UFR393345 UPN393343:UPN393345 UZJ393343:UZJ393345 VJF393343:VJF393345 VTB393343:VTB393345 WCX393343:WCX393345 WMT393343:WMT393345 WWP393343:WWP393345 AH458879:AH458881 KD458879:KD458881 TZ458879:TZ458881 ADV458879:ADV458881 ANR458879:ANR458881 AXN458879:AXN458881 BHJ458879:BHJ458881 BRF458879:BRF458881 CBB458879:CBB458881 CKX458879:CKX458881 CUT458879:CUT458881 DEP458879:DEP458881 DOL458879:DOL458881 DYH458879:DYH458881 EID458879:EID458881 ERZ458879:ERZ458881 FBV458879:FBV458881 FLR458879:FLR458881 FVN458879:FVN458881 GFJ458879:GFJ458881 GPF458879:GPF458881 GZB458879:GZB458881 HIX458879:HIX458881 HST458879:HST458881 ICP458879:ICP458881 IML458879:IML458881 IWH458879:IWH458881 JGD458879:JGD458881 JPZ458879:JPZ458881 JZV458879:JZV458881 KJR458879:KJR458881 KTN458879:KTN458881 LDJ458879:LDJ458881 LNF458879:LNF458881 LXB458879:LXB458881 MGX458879:MGX458881 MQT458879:MQT458881 NAP458879:NAP458881 NKL458879:NKL458881 NUH458879:NUH458881 OED458879:OED458881 ONZ458879:ONZ458881 OXV458879:OXV458881 PHR458879:PHR458881 PRN458879:PRN458881 QBJ458879:QBJ458881 QLF458879:QLF458881 QVB458879:QVB458881 REX458879:REX458881 ROT458879:ROT458881 RYP458879:RYP458881 SIL458879:SIL458881 SSH458879:SSH458881 TCD458879:TCD458881 TLZ458879:TLZ458881 TVV458879:TVV458881 UFR458879:UFR458881 UPN458879:UPN458881 UZJ458879:UZJ458881 VJF458879:VJF458881 VTB458879:VTB458881 WCX458879:WCX458881 WMT458879:WMT458881 WWP458879:WWP458881 AH524415:AH524417 KD524415:KD524417 TZ524415:TZ524417 ADV524415:ADV524417 ANR524415:ANR524417 AXN524415:AXN524417 BHJ524415:BHJ524417 BRF524415:BRF524417 CBB524415:CBB524417 CKX524415:CKX524417 CUT524415:CUT524417 DEP524415:DEP524417 DOL524415:DOL524417 DYH524415:DYH524417 EID524415:EID524417 ERZ524415:ERZ524417 FBV524415:FBV524417 FLR524415:FLR524417 FVN524415:FVN524417 GFJ524415:GFJ524417 GPF524415:GPF524417 GZB524415:GZB524417 HIX524415:HIX524417 HST524415:HST524417 ICP524415:ICP524417 IML524415:IML524417 IWH524415:IWH524417 JGD524415:JGD524417 JPZ524415:JPZ524417 JZV524415:JZV524417 KJR524415:KJR524417 KTN524415:KTN524417 LDJ524415:LDJ524417 LNF524415:LNF524417 LXB524415:LXB524417 MGX524415:MGX524417 MQT524415:MQT524417 NAP524415:NAP524417 NKL524415:NKL524417 NUH524415:NUH524417 OED524415:OED524417 ONZ524415:ONZ524417 OXV524415:OXV524417 PHR524415:PHR524417 PRN524415:PRN524417 QBJ524415:QBJ524417 QLF524415:QLF524417 QVB524415:QVB524417 REX524415:REX524417 ROT524415:ROT524417 RYP524415:RYP524417 SIL524415:SIL524417 SSH524415:SSH524417 TCD524415:TCD524417 TLZ524415:TLZ524417 TVV524415:TVV524417 UFR524415:UFR524417 UPN524415:UPN524417 UZJ524415:UZJ524417 VJF524415:VJF524417 VTB524415:VTB524417 WCX524415:WCX524417 WMT524415:WMT524417 WWP524415:WWP524417 AH589951:AH589953 KD589951:KD589953 TZ589951:TZ589953 ADV589951:ADV589953 ANR589951:ANR589953 AXN589951:AXN589953 BHJ589951:BHJ589953 BRF589951:BRF589953 CBB589951:CBB589953 CKX589951:CKX589953 CUT589951:CUT589953 DEP589951:DEP589953 DOL589951:DOL589953 DYH589951:DYH589953 EID589951:EID589953 ERZ589951:ERZ589953 FBV589951:FBV589953 FLR589951:FLR589953 FVN589951:FVN589953 GFJ589951:GFJ589953 GPF589951:GPF589953 GZB589951:GZB589953 HIX589951:HIX589953 HST589951:HST589953 ICP589951:ICP589953 IML589951:IML589953 IWH589951:IWH589953 JGD589951:JGD589953 JPZ589951:JPZ589953 JZV589951:JZV589953 KJR589951:KJR589953 KTN589951:KTN589953 LDJ589951:LDJ589953 LNF589951:LNF589953 LXB589951:LXB589953 MGX589951:MGX589953 MQT589951:MQT589953 NAP589951:NAP589953 NKL589951:NKL589953 NUH589951:NUH589953 OED589951:OED589953 ONZ589951:ONZ589953 OXV589951:OXV589953 PHR589951:PHR589953 PRN589951:PRN589953 QBJ589951:QBJ589953 QLF589951:QLF589953 QVB589951:QVB589953 REX589951:REX589953 ROT589951:ROT589953 RYP589951:RYP589953 SIL589951:SIL589953 SSH589951:SSH589953 TCD589951:TCD589953 TLZ589951:TLZ589953 TVV589951:TVV589953 UFR589951:UFR589953 UPN589951:UPN589953 UZJ589951:UZJ589953 VJF589951:VJF589953 VTB589951:VTB589953 WCX589951:WCX589953 WMT589951:WMT589953 WWP589951:WWP589953 AH655487:AH655489 KD655487:KD655489 TZ655487:TZ655489 ADV655487:ADV655489 ANR655487:ANR655489 AXN655487:AXN655489 BHJ655487:BHJ655489 BRF655487:BRF655489 CBB655487:CBB655489 CKX655487:CKX655489 CUT655487:CUT655489 DEP655487:DEP655489 DOL655487:DOL655489 DYH655487:DYH655489 EID655487:EID655489 ERZ655487:ERZ655489 FBV655487:FBV655489 FLR655487:FLR655489 FVN655487:FVN655489 GFJ655487:GFJ655489 GPF655487:GPF655489 GZB655487:GZB655489 HIX655487:HIX655489 HST655487:HST655489 ICP655487:ICP655489 IML655487:IML655489 IWH655487:IWH655489 JGD655487:JGD655489 JPZ655487:JPZ655489 JZV655487:JZV655489 KJR655487:KJR655489 KTN655487:KTN655489 LDJ655487:LDJ655489 LNF655487:LNF655489 LXB655487:LXB655489 MGX655487:MGX655489 MQT655487:MQT655489 NAP655487:NAP655489 NKL655487:NKL655489 NUH655487:NUH655489 OED655487:OED655489 ONZ655487:ONZ655489 OXV655487:OXV655489 PHR655487:PHR655489 PRN655487:PRN655489 QBJ655487:QBJ655489 QLF655487:QLF655489 QVB655487:QVB655489 REX655487:REX655489 ROT655487:ROT655489 RYP655487:RYP655489 SIL655487:SIL655489 SSH655487:SSH655489 TCD655487:TCD655489 TLZ655487:TLZ655489 TVV655487:TVV655489 UFR655487:UFR655489 UPN655487:UPN655489 UZJ655487:UZJ655489 VJF655487:VJF655489 VTB655487:VTB655489 WCX655487:WCX655489 WMT655487:WMT655489 WWP655487:WWP655489 AH721023:AH721025 KD721023:KD721025 TZ721023:TZ721025 ADV721023:ADV721025 ANR721023:ANR721025 AXN721023:AXN721025 BHJ721023:BHJ721025 BRF721023:BRF721025 CBB721023:CBB721025 CKX721023:CKX721025 CUT721023:CUT721025 DEP721023:DEP721025 DOL721023:DOL721025 DYH721023:DYH721025 EID721023:EID721025 ERZ721023:ERZ721025 FBV721023:FBV721025 FLR721023:FLR721025 FVN721023:FVN721025 GFJ721023:GFJ721025 GPF721023:GPF721025 GZB721023:GZB721025 HIX721023:HIX721025 HST721023:HST721025 ICP721023:ICP721025 IML721023:IML721025 IWH721023:IWH721025 JGD721023:JGD721025 JPZ721023:JPZ721025 JZV721023:JZV721025 KJR721023:KJR721025 KTN721023:KTN721025 LDJ721023:LDJ721025 LNF721023:LNF721025 LXB721023:LXB721025 MGX721023:MGX721025 MQT721023:MQT721025 NAP721023:NAP721025 NKL721023:NKL721025 NUH721023:NUH721025 OED721023:OED721025 ONZ721023:ONZ721025 OXV721023:OXV721025 PHR721023:PHR721025 PRN721023:PRN721025 QBJ721023:QBJ721025 QLF721023:QLF721025 QVB721023:QVB721025 REX721023:REX721025 ROT721023:ROT721025 RYP721023:RYP721025 SIL721023:SIL721025 SSH721023:SSH721025 TCD721023:TCD721025 TLZ721023:TLZ721025 TVV721023:TVV721025 UFR721023:UFR721025 UPN721023:UPN721025 UZJ721023:UZJ721025 VJF721023:VJF721025 VTB721023:VTB721025 WCX721023:WCX721025 WMT721023:WMT721025 WWP721023:WWP721025 AH786559:AH786561 KD786559:KD786561 TZ786559:TZ786561 ADV786559:ADV786561 ANR786559:ANR786561 AXN786559:AXN786561 BHJ786559:BHJ786561 BRF786559:BRF786561 CBB786559:CBB786561 CKX786559:CKX786561 CUT786559:CUT786561 DEP786559:DEP786561 DOL786559:DOL786561 DYH786559:DYH786561 EID786559:EID786561 ERZ786559:ERZ786561 FBV786559:FBV786561 FLR786559:FLR786561 FVN786559:FVN786561 GFJ786559:GFJ786561 GPF786559:GPF786561 GZB786559:GZB786561 HIX786559:HIX786561 HST786559:HST786561 ICP786559:ICP786561 IML786559:IML786561 IWH786559:IWH786561 JGD786559:JGD786561 JPZ786559:JPZ786561 JZV786559:JZV786561 KJR786559:KJR786561 KTN786559:KTN786561 LDJ786559:LDJ786561 LNF786559:LNF786561 LXB786559:LXB786561 MGX786559:MGX786561 MQT786559:MQT786561 NAP786559:NAP786561 NKL786559:NKL786561 NUH786559:NUH786561 OED786559:OED786561 ONZ786559:ONZ786561 OXV786559:OXV786561 PHR786559:PHR786561 PRN786559:PRN786561 QBJ786559:QBJ786561 QLF786559:QLF786561 QVB786559:QVB786561 REX786559:REX786561 ROT786559:ROT786561 RYP786559:RYP786561 SIL786559:SIL786561 SSH786559:SSH786561 TCD786559:TCD786561 TLZ786559:TLZ786561 TVV786559:TVV786561 UFR786559:UFR786561 UPN786559:UPN786561 UZJ786559:UZJ786561 VJF786559:VJF786561 VTB786559:VTB786561 WCX786559:WCX786561 WMT786559:WMT786561 WWP786559:WWP786561 AH852095:AH852097 KD852095:KD852097 TZ852095:TZ852097 ADV852095:ADV852097 ANR852095:ANR852097 AXN852095:AXN852097 BHJ852095:BHJ852097 BRF852095:BRF852097 CBB852095:CBB852097 CKX852095:CKX852097 CUT852095:CUT852097 DEP852095:DEP852097 DOL852095:DOL852097 DYH852095:DYH852097 EID852095:EID852097 ERZ852095:ERZ852097 FBV852095:FBV852097 FLR852095:FLR852097 FVN852095:FVN852097 GFJ852095:GFJ852097 GPF852095:GPF852097 GZB852095:GZB852097 HIX852095:HIX852097 HST852095:HST852097 ICP852095:ICP852097 IML852095:IML852097 IWH852095:IWH852097 JGD852095:JGD852097 JPZ852095:JPZ852097 JZV852095:JZV852097 KJR852095:KJR852097 KTN852095:KTN852097 LDJ852095:LDJ852097 LNF852095:LNF852097 LXB852095:LXB852097 MGX852095:MGX852097 MQT852095:MQT852097 NAP852095:NAP852097 NKL852095:NKL852097 NUH852095:NUH852097 OED852095:OED852097 ONZ852095:ONZ852097 OXV852095:OXV852097 PHR852095:PHR852097 PRN852095:PRN852097 QBJ852095:QBJ852097 QLF852095:QLF852097 QVB852095:QVB852097 REX852095:REX852097 ROT852095:ROT852097 RYP852095:RYP852097 SIL852095:SIL852097 SSH852095:SSH852097 TCD852095:TCD852097 TLZ852095:TLZ852097 TVV852095:TVV852097 UFR852095:UFR852097 UPN852095:UPN852097 UZJ852095:UZJ852097 VJF852095:VJF852097 VTB852095:VTB852097 WCX852095:WCX852097 WMT852095:WMT852097 WWP852095:WWP852097 AH917631:AH917633 KD917631:KD917633 TZ917631:TZ917633 ADV917631:ADV917633 ANR917631:ANR917633 AXN917631:AXN917633 BHJ917631:BHJ917633 BRF917631:BRF917633 CBB917631:CBB917633 CKX917631:CKX917633 CUT917631:CUT917633 DEP917631:DEP917633 DOL917631:DOL917633 DYH917631:DYH917633 EID917631:EID917633 ERZ917631:ERZ917633 FBV917631:FBV917633 FLR917631:FLR917633 FVN917631:FVN917633 GFJ917631:GFJ917633 GPF917631:GPF917633 GZB917631:GZB917633 HIX917631:HIX917633 HST917631:HST917633 ICP917631:ICP917633 IML917631:IML917633 IWH917631:IWH917633 JGD917631:JGD917633 JPZ917631:JPZ917633 JZV917631:JZV917633 KJR917631:KJR917633 KTN917631:KTN917633 LDJ917631:LDJ917633 LNF917631:LNF917633 LXB917631:LXB917633 MGX917631:MGX917633 MQT917631:MQT917633 NAP917631:NAP917633 NKL917631:NKL917633 NUH917631:NUH917633 OED917631:OED917633 ONZ917631:ONZ917633 OXV917631:OXV917633 PHR917631:PHR917633 PRN917631:PRN917633 QBJ917631:QBJ917633 QLF917631:QLF917633 QVB917631:QVB917633 REX917631:REX917633 ROT917631:ROT917633 RYP917631:RYP917633 SIL917631:SIL917633 SSH917631:SSH917633 TCD917631:TCD917633 TLZ917631:TLZ917633 TVV917631:TVV917633 UFR917631:UFR917633 UPN917631:UPN917633 UZJ917631:UZJ917633 VJF917631:VJF917633 VTB917631:VTB917633 WCX917631:WCX917633 WMT917631:WMT917633 WWP917631:WWP917633 AH983167:AH983169 KD983167:KD983169 TZ983167:TZ983169 ADV983167:ADV983169 ANR983167:ANR983169 AXN983167:AXN983169 BHJ983167:BHJ983169 BRF983167:BRF983169 CBB983167:CBB983169 CKX983167:CKX983169 CUT983167:CUT983169 DEP983167:DEP983169 DOL983167:DOL983169 DYH983167:DYH983169 EID983167:EID983169 ERZ983167:ERZ983169 FBV983167:FBV983169 FLR983167:FLR983169 FVN983167:FVN983169 GFJ983167:GFJ983169 GPF983167:GPF983169 GZB983167:GZB983169 HIX983167:HIX983169 HST983167:HST983169 ICP983167:ICP983169 IML983167:IML983169 IWH983167:IWH983169 JGD983167:JGD983169 JPZ983167:JPZ983169 JZV983167:JZV983169 KJR983167:KJR983169 KTN983167:KTN983169 LDJ983167:LDJ983169 LNF983167:LNF983169 LXB983167:LXB983169 MGX983167:MGX983169 MQT983167:MQT983169 NAP983167:NAP983169 NKL983167:NKL983169 NUH983167:NUH983169 OED983167:OED983169 ONZ983167:ONZ983169 OXV983167:OXV983169 PHR983167:PHR983169 PRN983167:PRN983169 QBJ983167:QBJ983169 QLF983167:QLF983169 QVB983167:QVB983169 REX983167:REX983169 ROT983167:ROT983169 RYP983167:RYP983169 SIL983167:SIL983169 SSH983167:SSH983169 TCD983167:TCD983169 TLZ983167:TLZ983169 TVV983167:TVV983169 UFR983167:UFR983169 UPN983167:UPN983169 UZJ983167:UZJ983169 VJF983167:VJF983169 VTB983167:VTB983169 WCX983167:WCX983169 WMT983167:WMT983169 WWP983167:WWP983169 AH122:AH124 KD122:KD124 TZ122:TZ124 ADV122:ADV124 ANR122:ANR124 AXN122:AXN124 BHJ122:BHJ124 BRF122:BRF124 CBB122:CBB124 CKX122:CKX124 CUT122:CUT124 DEP122:DEP124 DOL122:DOL124 DYH122:DYH124 EID122:EID124 ERZ122:ERZ124 FBV122:FBV124 FLR122:FLR124 FVN122:FVN124 GFJ122:GFJ124 GPF122:GPF124 GZB122:GZB124 HIX122:HIX124 HST122:HST124 ICP122:ICP124 IML122:IML124 IWH122:IWH124 JGD122:JGD124 JPZ122:JPZ124 JZV122:JZV124 KJR122:KJR124 KTN122:KTN124 LDJ122:LDJ124 LNF122:LNF124 LXB122:LXB124 MGX122:MGX124 MQT122:MQT124 NAP122:NAP124 NKL122:NKL124 NUH122:NUH124 OED122:OED124 ONZ122:ONZ124 OXV122:OXV124 PHR122:PHR124 PRN122:PRN124 QBJ122:QBJ124 QLF122:QLF124 QVB122:QVB124 REX122:REX124 ROT122:ROT124 RYP122:RYP124 SIL122:SIL124 SSH122:SSH124 TCD122:TCD124 TLZ122:TLZ124 TVV122:TVV124 UFR122:UFR124 UPN122:UPN124 UZJ122:UZJ124 VJF122:VJF124 VTB122:VTB124 WCX122:WCX124 WMT122:WMT124 WWP122:WWP124 AH65659:AH65661 KD65659:KD65661 TZ65659:TZ65661 ADV65659:ADV65661 ANR65659:ANR65661 AXN65659:AXN65661 BHJ65659:BHJ65661 BRF65659:BRF65661 CBB65659:CBB65661 CKX65659:CKX65661 CUT65659:CUT65661 DEP65659:DEP65661 DOL65659:DOL65661 DYH65659:DYH65661 EID65659:EID65661 ERZ65659:ERZ65661 FBV65659:FBV65661 FLR65659:FLR65661 FVN65659:FVN65661 GFJ65659:GFJ65661 GPF65659:GPF65661 GZB65659:GZB65661 HIX65659:HIX65661 HST65659:HST65661 ICP65659:ICP65661 IML65659:IML65661 IWH65659:IWH65661 JGD65659:JGD65661 JPZ65659:JPZ65661 JZV65659:JZV65661 KJR65659:KJR65661 KTN65659:KTN65661 LDJ65659:LDJ65661 LNF65659:LNF65661 LXB65659:LXB65661 MGX65659:MGX65661 MQT65659:MQT65661 NAP65659:NAP65661 NKL65659:NKL65661 NUH65659:NUH65661 OED65659:OED65661 ONZ65659:ONZ65661 OXV65659:OXV65661 PHR65659:PHR65661 PRN65659:PRN65661 QBJ65659:QBJ65661 QLF65659:QLF65661 QVB65659:QVB65661 REX65659:REX65661 ROT65659:ROT65661 RYP65659:RYP65661 SIL65659:SIL65661 SSH65659:SSH65661 TCD65659:TCD65661 TLZ65659:TLZ65661 TVV65659:TVV65661 UFR65659:UFR65661 UPN65659:UPN65661 UZJ65659:UZJ65661 VJF65659:VJF65661 VTB65659:VTB65661 WCX65659:WCX65661 WMT65659:WMT65661 WWP65659:WWP65661 AH131195:AH131197 KD131195:KD131197 TZ131195:TZ131197 ADV131195:ADV131197 ANR131195:ANR131197 AXN131195:AXN131197 BHJ131195:BHJ131197 BRF131195:BRF131197 CBB131195:CBB131197 CKX131195:CKX131197 CUT131195:CUT131197 DEP131195:DEP131197 DOL131195:DOL131197 DYH131195:DYH131197 EID131195:EID131197 ERZ131195:ERZ131197 FBV131195:FBV131197 FLR131195:FLR131197 FVN131195:FVN131197 GFJ131195:GFJ131197 GPF131195:GPF131197 GZB131195:GZB131197 HIX131195:HIX131197 HST131195:HST131197 ICP131195:ICP131197 IML131195:IML131197 IWH131195:IWH131197 JGD131195:JGD131197 JPZ131195:JPZ131197 JZV131195:JZV131197 KJR131195:KJR131197 KTN131195:KTN131197 LDJ131195:LDJ131197 LNF131195:LNF131197 LXB131195:LXB131197 MGX131195:MGX131197 MQT131195:MQT131197 NAP131195:NAP131197 NKL131195:NKL131197 NUH131195:NUH131197 OED131195:OED131197 ONZ131195:ONZ131197 OXV131195:OXV131197 PHR131195:PHR131197 PRN131195:PRN131197 QBJ131195:QBJ131197 QLF131195:QLF131197 QVB131195:QVB131197 REX131195:REX131197 ROT131195:ROT131197 RYP131195:RYP131197 SIL131195:SIL131197 SSH131195:SSH131197 TCD131195:TCD131197 TLZ131195:TLZ131197 TVV131195:TVV131197 UFR131195:UFR131197 UPN131195:UPN131197 UZJ131195:UZJ131197 VJF131195:VJF131197 VTB131195:VTB131197 WCX131195:WCX131197 WMT131195:WMT131197 WWP131195:WWP131197 AH196731:AH196733 KD196731:KD196733 TZ196731:TZ196733 ADV196731:ADV196733 ANR196731:ANR196733 AXN196731:AXN196733 BHJ196731:BHJ196733 BRF196731:BRF196733 CBB196731:CBB196733 CKX196731:CKX196733 CUT196731:CUT196733 DEP196731:DEP196733 DOL196731:DOL196733 DYH196731:DYH196733 EID196731:EID196733 ERZ196731:ERZ196733 FBV196731:FBV196733 FLR196731:FLR196733 FVN196731:FVN196733 GFJ196731:GFJ196733 GPF196731:GPF196733 GZB196731:GZB196733 HIX196731:HIX196733 HST196731:HST196733 ICP196731:ICP196733 IML196731:IML196733 IWH196731:IWH196733 JGD196731:JGD196733 JPZ196731:JPZ196733 JZV196731:JZV196733 KJR196731:KJR196733 KTN196731:KTN196733 LDJ196731:LDJ196733 LNF196731:LNF196733 LXB196731:LXB196733 MGX196731:MGX196733 MQT196731:MQT196733 NAP196731:NAP196733 NKL196731:NKL196733 NUH196731:NUH196733 OED196731:OED196733 ONZ196731:ONZ196733 OXV196731:OXV196733 PHR196731:PHR196733 PRN196731:PRN196733 QBJ196731:QBJ196733 QLF196731:QLF196733 QVB196731:QVB196733 REX196731:REX196733 ROT196731:ROT196733 RYP196731:RYP196733 SIL196731:SIL196733 SSH196731:SSH196733 TCD196731:TCD196733 TLZ196731:TLZ196733 TVV196731:TVV196733 UFR196731:UFR196733 UPN196731:UPN196733 UZJ196731:UZJ196733 VJF196731:VJF196733 VTB196731:VTB196733 WCX196731:WCX196733 WMT196731:WMT196733 WWP196731:WWP196733 AH262267:AH262269 KD262267:KD262269 TZ262267:TZ262269 ADV262267:ADV262269 ANR262267:ANR262269 AXN262267:AXN262269 BHJ262267:BHJ262269 BRF262267:BRF262269 CBB262267:CBB262269 CKX262267:CKX262269 CUT262267:CUT262269 DEP262267:DEP262269 DOL262267:DOL262269 DYH262267:DYH262269 EID262267:EID262269 ERZ262267:ERZ262269 FBV262267:FBV262269 FLR262267:FLR262269 FVN262267:FVN262269 GFJ262267:GFJ262269 GPF262267:GPF262269 GZB262267:GZB262269 HIX262267:HIX262269 HST262267:HST262269 ICP262267:ICP262269 IML262267:IML262269 IWH262267:IWH262269 JGD262267:JGD262269 JPZ262267:JPZ262269 JZV262267:JZV262269 KJR262267:KJR262269 KTN262267:KTN262269 LDJ262267:LDJ262269 LNF262267:LNF262269 LXB262267:LXB262269 MGX262267:MGX262269 MQT262267:MQT262269 NAP262267:NAP262269 NKL262267:NKL262269 NUH262267:NUH262269 OED262267:OED262269 ONZ262267:ONZ262269 OXV262267:OXV262269 PHR262267:PHR262269 PRN262267:PRN262269 QBJ262267:QBJ262269 QLF262267:QLF262269 QVB262267:QVB262269 REX262267:REX262269 ROT262267:ROT262269 RYP262267:RYP262269 SIL262267:SIL262269 SSH262267:SSH262269 TCD262267:TCD262269 TLZ262267:TLZ262269 TVV262267:TVV262269 UFR262267:UFR262269 UPN262267:UPN262269 UZJ262267:UZJ262269 VJF262267:VJF262269 VTB262267:VTB262269 WCX262267:WCX262269 WMT262267:WMT262269 WWP262267:WWP262269 AH327803:AH327805 KD327803:KD327805 TZ327803:TZ327805 ADV327803:ADV327805 ANR327803:ANR327805 AXN327803:AXN327805 BHJ327803:BHJ327805 BRF327803:BRF327805 CBB327803:CBB327805 CKX327803:CKX327805 CUT327803:CUT327805 DEP327803:DEP327805 DOL327803:DOL327805 DYH327803:DYH327805 EID327803:EID327805 ERZ327803:ERZ327805 FBV327803:FBV327805 FLR327803:FLR327805 FVN327803:FVN327805 GFJ327803:GFJ327805 GPF327803:GPF327805 GZB327803:GZB327805 HIX327803:HIX327805 HST327803:HST327805 ICP327803:ICP327805 IML327803:IML327805 IWH327803:IWH327805 JGD327803:JGD327805 JPZ327803:JPZ327805 JZV327803:JZV327805 KJR327803:KJR327805 KTN327803:KTN327805 LDJ327803:LDJ327805 LNF327803:LNF327805 LXB327803:LXB327805 MGX327803:MGX327805 MQT327803:MQT327805 NAP327803:NAP327805 NKL327803:NKL327805 NUH327803:NUH327805 OED327803:OED327805 ONZ327803:ONZ327805 OXV327803:OXV327805 PHR327803:PHR327805 PRN327803:PRN327805 QBJ327803:QBJ327805 QLF327803:QLF327805 QVB327803:QVB327805 REX327803:REX327805 ROT327803:ROT327805 RYP327803:RYP327805 SIL327803:SIL327805 SSH327803:SSH327805 TCD327803:TCD327805 TLZ327803:TLZ327805 TVV327803:TVV327805 UFR327803:UFR327805 UPN327803:UPN327805 UZJ327803:UZJ327805 VJF327803:VJF327805 VTB327803:VTB327805 WCX327803:WCX327805 WMT327803:WMT327805 WWP327803:WWP327805 AH393339:AH393341 KD393339:KD393341 TZ393339:TZ393341 ADV393339:ADV393341 ANR393339:ANR393341 AXN393339:AXN393341 BHJ393339:BHJ393341 BRF393339:BRF393341 CBB393339:CBB393341 CKX393339:CKX393341 CUT393339:CUT393341 DEP393339:DEP393341 DOL393339:DOL393341 DYH393339:DYH393341 EID393339:EID393341 ERZ393339:ERZ393341 FBV393339:FBV393341 FLR393339:FLR393341 FVN393339:FVN393341 GFJ393339:GFJ393341 GPF393339:GPF393341 GZB393339:GZB393341 HIX393339:HIX393341 HST393339:HST393341 ICP393339:ICP393341 IML393339:IML393341 IWH393339:IWH393341 JGD393339:JGD393341 JPZ393339:JPZ393341 JZV393339:JZV393341 KJR393339:KJR393341 KTN393339:KTN393341 LDJ393339:LDJ393341 LNF393339:LNF393341 LXB393339:LXB393341 MGX393339:MGX393341 MQT393339:MQT393341 NAP393339:NAP393341 NKL393339:NKL393341 NUH393339:NUH393341 OED393339:OED393341 ONZ393339:ONZ393341 OXV393339:OXV393341 PHR393339:PHR393341 PRN393339:PRN393341 QBJ393339:QBJ393341 QLF393339:QLF393341 QVB393339:QVB393341 REX393339:REX393341 ROT393339:ROT393341 RYP393339:RYP393341 SIL393339:SIL393341 SSH393339:SSH393341 TCD393339:TCD393341 TLZ393339:TLZ393341 TVV393339:TVV393341 UFR393339:UFR393341 UPN393339:UPN393341 UZJ393339:UZJ393341 VJF393339:VJF393341 VTB393339:VTB393341 WCX393339:WCX393341 WMT393339:WMT393341 WWP393339:WWP393341 AH458875:AH458877 KD458875:KD458877 TZ458875:TZ458877 ADV458875:ADV458877 ANR458875:ANR458877 AXN458875:AXN458877 BHJ458875:BHJ458877 BRF458875:BRF458877 CBB458875:CBB458877 CKX458875:CKX458877 CUT458875:CUT458877 DEP458875:DEP458877 DOL458875:DOL458877 DYH458875:DYH458877 EID458875:EID458877 ERZ458875:ERZ458877 FBV458875:FBV458877 FLR458875:FLR458877 FVN458875:FVN458877 GFJ458875:GFJ458877 GPF458875:GPF458877 GZB458875:GZB458877 HIX458875:HIX458877 HST458875:HST458877 ICP458875:ICP458877 IML458875:IML458877 IWH458875:IWH458877 JGD458875:JGD458877 JPZ458875:JPZ458877 JZV458875:JZV458877 KJR458875:KJR458877 KTN458875:KTN458877 LDJ458875:LDJ458877 LNF458875:LNF458877 LXB458875:LXB458877 MGX458875:MGX458877 MQT458875:MQT458877 NAP458875:NAP458877 NKL458875:NKL458877 NUH458875:NUH458877 OED458875:OED458877 ONZ458875:ONZ458877 OXV458875:OXV458877 PHR458875:PHR458877 PRN458875:PRN458877 QBJ458875:QBJ458877 QLF458875:QLF458877 QVB458875:QVB458877 REX458875:REX458877 ROT458875:ROT458877 RYP458875:RYP458877 SIL458875:SIL458877 SSH458875:SSH458877 TCD458875:TCD458877 TLZ458875:TLZ458877 TVV458875:TVV458877 UFR458875:UFR458877 UPN458875:UPN458877 UZJ458875:UZJ458877 VJF458875:VJF458877 VTB458875:VTB458877 WCX458875:WCX458877 WMT458875:WMT458877 WWP458875:WWP458877 AH524411:AH524413 KD524411:KD524413 TZ524411:TZ524413 ADV524411:ADV524413 ANR524411:ANR524413 AXN524411:AXN524413 BHJ524411:BHJ524413 BRF524411:BRF524413 CBB524411:CBB524413 CKX524411:CKX524413 CUT524411:CUT524413 DEP524411:DEP524413 DOL524411:DOL524413 DYH524411:DYH524413 EID524411:EID524413 ERZ524411:ERZ524413 FBV524411:FBV524413 FLR524411:FLR524413 FVN524411:FVN524413 GFJ524411:GFJ524413 GPF524411:GPF524413 GZB524411:GZB524413 HIX524411:HIX524413 HST524411:HST524413 ICP524411:ICP524413 IML524411:IML524413 IWH524411:IWH524413 JGD524411:JGD524413 JPZ524411:JPZ524413 JZV524411:JZV524413 KJR524411:KJR524413 KTN524411:KTN524413 LDJ524411:LDJ524413 LNF524411:LNF524413 LXB524411:LXB524413 MGX524411:MGX524413 MQT524411:MQT524413 NAP524411:NAP524413 NKL524411:NKL524413 NUH524411:NUH524413 OED524411:OED524413 ONZ524411:ONZ524413 OXV524411:OXV524413 PHR524411:PHR524413 PRN524411:PRN524413 QBJ524411:QBJ524413 QLF524411:QLF524413 QVB524411:QVB524413 REX524411:REX524413 ROT524411:ROT524413 RYP524411:RYP524413 SIL524411:SIL524413 SSH524411:SSH524413 TCD524411:TCD524413 TLZ524411:TLZ524413 TVV524411:TVV524413 UFR524411:UFR524413 UPN524411:UPN524413 UZJ524411:UZJ524413 VJF524411:VJF524413 VTB524411:VTB524413 WCX524411:WCX524413 WMT524411:WMT524413 WWP524411:WWP524413 AH589947:AH589949 KD589947:KD589949 TZ589947:TZ589949 ADV589947:ADV589949 ANR589947:ANR589949 AXN589947:AXN589949 BHJ589947:BHJ589949 BRF589947:BRF589949 CBB589947:CBB589949 CKX589947:CKX589949 CUT589947:CUT589949 DEP589947:DEP589949 DOL589947:DOL589949 DYH589947:DYH589949 EID589947:EID589949 ERZ589947:ERZ589949 FBV589947:FBV589949 FLR589947:FLR589949 FVN589947:FVN589949 GFJ589947:GFJ589949 GPF589947:GPF589949 GZB589947:GZB589949 HIX589947:HIX589949 HST589947:HST589949 ICP589947:ICP589949 IML589947:IML589949 IWH589947:IWH589949 JGD589947:JGD589949 JPZ589947:JPZ589949 JZV589947:JZV589949 KJR589947:KJR589949 KTN589947:KTN589949 LDJ589947:LDJ589949 LNF589947:LNF589949 LXB589947:LXB589949 MGX589947:MGX589949 MQT589947:MQT589949 NAP589947:NAP589949 NKL589947:NKL589949 NUH589947:NUH589949 OED589947:OED589949 ONZ589947:ONZ589949 OXV589947:OXV589949 PHR589947:PHR589949 PRN589947:PRN589949 QBJ589947:QBJ589949 QLF589947:QLF589949 QVB589947:QVB589949 REX589947:REX589949 ROT589947:ROT589949 RYP589947:RYP589949 SIL589947:SIL589949 SSH589947:SSH589949 TCD589947:TCD589949 TLZ589947:TLZ589949 TVV589947:TVV589949 UFR589947:UFR589949 UPN589947:UPN589949 UZJ589947:UZJ589949 VJF589947:VJF589949 VTB589947:VTB589949 WCX589947:WCX589949 WMT589947:WMT589949 WWP589947:WWP589949 AH655483:AH655485 KD655483:KD655485 TZ655483:TZ655485 ADV655483:ADV655485 ANR655483:ANR655485 AXN655483:AXN655485 BHJ655483:BHJ655485 BRF655483:BRF655485 CBB655483:CBB655485 CKX655483:CKX655485 CUT655483:CUT655485 DEP655483:DEP655485 DOL655483:DOL655485 DYH655483:DYH655485 EID655483:EID655485 ERZ655483:ERZ655485 FBV655483:FBV655485 FLR655483:FLR655485 FVN655483:FVN655485 GFJ655483:GFJ655485 GPF655483:GPF655485 GZB655483:GZB655485 HIX655483:HIX655485 HST655483:HST655485 ICP655483:ICP655485 IML655483:IML655485 IWH655483:IWH655485 JGD655483:JGD655485 JPZ655483:JPZ655485 JZV655483:JZV655485 KJR655483:KJR655485 KTN655483:KTN655485 LDJ655483:LDJ655485 LNF655483:LNF655485 LXB655483:LXB655485 MGX655483:MGX655485 MQT655483:MQT655485 NAP655483:NAP655485 NKL655483:NKL655485 NUH655483:NUH655485 OED655483:OED655485 ONZ655483:ONZ655485 OXV655483:OXV655485 PHR655483:PHR655485 PRN655483:PRN655485 QBJ655483:QBJ655485 QLF655483:QLF655485 QVB655483:QVB655485 REX655483:REX655485 ROT655483:ROT655485 RYP655483:RYP655485 SIL655483:SIL655485 SSH655483:SSH655485 TCD655483:TCD655485 TLZ655483:TLZ655485 TVV655483:TVV655485 UFR655483:UFR655485 UPN655483:UPN655485 UZJ655483:UZJ655485 VJF655483:VJF655485 VTB655483:VTB655485 WCX655483:WCX655485 WMT655483:WMT655485 WWP655483:WWP655485 AH721019:AH721021 KD721019:KD721021 TZ721019:TZ721021 ADV721019:ADV721021 ANR721019:ANR721021 AXN721019:AXN721021 BHJ721019:BHJ721021 BRF721019:BRF721021 CBB721019:CBB721021 CKX721019:CKX721021 CUT721019:CUT721021 DEP721019:DEP721021 DOL721019:DOL721021 DYH721019:DYH721021 EID721019:EID721021 ERZ721019:ERZ721021 FBV721019:FBV721021 FLR721019:FLR721021 FVN721019:FVN721021 GFJ721019:GFJ721021 GPF721019:GPF721021 GZB721019:GZB721021 HIX721019:HIX721021 HST721019:HST721021 ICP721019:ICP721021 IML721019:IML721021 IWH721019:IWH721021 JGD721019:JGD721021 JPZ721019:JPZ721021 JZV721019:JZV721021 KJR721019:KJR721021 KTN721019:KTN721021 LDJ721019:LDJ721021 LNF721019:LNF721021 LXB721019:LXB721021 MGX721019:MGX721021 MQT721019:MQT721021 NAP721019:NAP721021 NKL721019:NKL721021 NUH721019:NUH721021 OED721019:OED721021 ONZ721019:ONZ721021 OXV721019:OXV721021 PHR721019:PHR721021 PRN721019:PRN721021 QBJ721019:QBJ721021 QLF721019:QLF721021 QVB721019:QVB721021 REX721019:REX721021 ROT721019:ROT721021 RYP721019:RYP721021 SIL721019:SIL721021 SSH721019:SSH721021 TCD721019:TCD721021 TLZ721019:TLZ721021 TVV721019:TVV721021 UFR721019:UFR721021 UPN721019:UPN721021 UZJ721019:UZJ721021 VJF721019:VJF721021 VTB721019:VTB721021 WCX721019:WCX721021 WMT721019:WMT721021 WWP721019:WWP721021 AH786555:AH786557 KD786555:KD786557 TZ786555:TZ786557 ADV786555:ADV786557 ANR786555:ANR786557 AXN786555:AXN786557 BHJ786555:BHJ786557 BRF786555:BRF786557 CBB786555:CBB786557 CKX786555:CKX786557 CUT786555:CUT786557 DEP786555:DEP786557 DOL786555:DOL786557 DYH786555:DYH786557 EID786555:EID786557 ERZ786555:ERZ786557 FBV786555:FBV786557 FLR786555:FLR786557 FVN786555:FVN786557 GFJ786555:GFJ786557 GPF786555:GPF786557 GZB786555:GZB786557 HIX786555:HIX786557 HST786555:HST786557 ICP786555:ICP786557 IML786555:IML786557 IWH786555:IWH786557 JGD786555:JGD786557 JPZ786555:JPZ786557 JZV786555:JZV786557 KJR786555:KJR786557 KTN786555:KTN786557 LDJ786555:LDJ786557 LNF786555:LNF786557 LXB786555:LXB786557 MGX786555:MGX786557 MQT786555:MQT786557 NAP786555:NAP786557 NKL786555:NKL786557 NUH786555:NUH786557 OED786555:OED786557 ONZ786555:ONZ786557 OXV786555:OXV786557 PHR786555:PHR786557 PRN786555:PRN786557 QBJ786555:QBJ786557 QLF786555:QLF786557 QVB786555:QVB786557 REX786555:REX786557 ROT786555:ROT786557 RYP786555:RYP786557 SIL786555:SIL786557 SSH786555:SSH786557 TCD786555:TCD786557 TLZ786555:TLZ786557 TVV786555:TVV786557 UFR786555:UFR786557 UPN786555:UPN786557 UZJ786555:UZJ786557 VJF786555:VJF786557 VTB786555:VTB786557 WCX786555:WCX786557 WMT786555:WMT786557 WWP786555:WWP786557 AH852091:AH852093 KD852091:KD852093 TZ852091:TZ852093 ADV852091:ADV852093 ANR852091:ANR852093 AXN852091:AXN852093 BHJ852091:BHJ852093 BRF852091:BRF852093 CBB852091:CBB852093 CKX852091:CKX852093 CUT852091:CUT852093 DEP852091:DEP852093 DOL852091:DOL852093 DYH852091:DYH852093 EID852091:EID852093 ERZ852091:ERZ852093 FBV852091:FBV852093 FLR852091:FLR852093 FVN852091:FVN852093 GFJ852091:GFJ852093 GPF852091:GPF852093 GZB852091:GZB852093 HIX852091:HIX852093 HST852091:HST852093 ICP852091:ICP852093 IML852091:IML852093 IWH852091:IWH852093 JGD852091:JGD852093 JPZ852091:JPZ852093 JZV852091:JZV852093 KJR852091:KJR852093 KTN852091:KTN852093 LDJ852091:LDJ852093 LNF852091:LNF852093 LXB852091:LXB852093 MGX852091:MGX852093 MQT852091:MQT852093 NAP852091:NAP852093 NKL852091:NKL852093 NUH852091:NUH852093 OED852091:OED852093 ONZ852091:ONZ852093 OXV852091:OXV852093 PHR852091:PHR852093 PRN852091:PRN852093 QBJ852091:QBJ852093 QLF852091:QLF852093 QVB852091:QVB852093 REX852091:REX852093 ROT852091:ROT852093 RYP852091:RYP852093 SIL852091:SIL852093 SSH852091:SSH852093 TCD852091:TCD852093 TLZ852091:TLZ852093 TVV852091:TVV852093 UFR852091:UFR852093 UPN852091:UPN852093 UZJ852091:UZJ852093 VJF852091:VJF852093 VTB852091:VTB852093 WCX852091:WCX852093 WMT852091:WMT852093 WWP852091:WWP852093 AH917627:AH917629 KD917627:KD917629 TZ917627:TZ917629 ADV917627:ADV917629 ANR917627:ANR917629 AXN917627:AXN917629 BHJ917627:BHJ917629 BRF917627:BRF917629 CBB917627:CBB917629 CKX917627:CKX917629 CUT917627:CUT917629 DEP917627:DEP917629 DOL917627:DOL917629 DYH917627:DYH917629 EID917627:EID917629 ERZ917627:ERZ917629 FBV917627:FBV917629 FLR917627:FLR917629 FVN917627:FVN917629 GFJ917627:GFJ917629 GPF917627:GPF917629 GZB917627:GZB917629 HIX917627:HIX917629 HST917627:HST917629 ICP917627:ICP917629 IML917627:IML917629 IWH917627:IWH917629 JGD917627:JGD917629 JPZ917627:JPZ917629 JZV917627:JZV917629 KJR917627:KJR917629 KTN917627:KTN917629 LDJ917627:LDJ917629 LNF917627:LNF917629 LXB917627:LXB917629 MGX917627:MGX917629 MQT917627:MQT917629 NAP917627:NAP917629 NKL917627:NKL917629 NUH917627:NUH917629 OED917627:OED917629 ONZ917627:ONZ917629 OXV917627:OXV917629 PHR917627:PHR917629 PRN917627:PRN917629 QBJ917627:QBJ917629 QLF917627:QLF917629 QVB917627:QVB917629 REX917627:REX917629 ROT917627:ROT917629 RYP917627:RYP917629 SIL917627:SIL917629 SSH917627:SSH917629 TCD917627:TCD917629 TLZ917627:TLZ917629 TVV917627:TVV917629 UFR917627:UFR917629 UPN917627:UPN917629 UZJ917627:UZJ917629 VJF917627:VJF917629 VTB917627:VTB917629 WCX917627:WCX917629 WMT917627:WMT917629 WWP917627:WWP917629 AH983163:AH983165 KD983163:KD983165 TZ983163:TZ983165 ADV983163:ADV983165 ANR983163:ANR983165 AXN983163:AXN983165 BHJ983163:BHJ983165 BRF983163:BRF983165 CBB983163:CBB983165 CKX983163:CKX983165 CUT983163:CUT983165 DEP983163:DEP983165 DOL983163:DOL983165 DYH983163:DYH983165 EID983163:EID983165 ERZ983163:ERZ983165 FBV983163:FBV983165 FLR983163:FLR983165 FVN983163:FVN983165 GFJ983163:GFJ983165 GPF983163:GPF983165 GZB983163:GZB983165 HIX983163:HIX983165 HST983163:HST983165 ICP983163:ICP983165 IML983163:IML983165 IWH983163:IWH983165 JGD983163:JGD983165 JPZ983163:JPZ983165 JZV983163:JZV983165 KJR983163:KJR983165 KTN983163:KTN983165 LDJ983163:LDJ983165 LNF983163:LNF983165 LXB983163:LXB983165 MGX983163:MGX983165 MQT983163:MQT983165 NAP983163:NAP983165 NKL983163:NKL983165 NUH983163:NUH983165 OED983163:OED983165 ONZ983163:ONZ983165 OXV983163:OXV983165 PHR983163:PHR983165 PRN983163:PRN983165 QBJ983163:QBJ983165 QLF983163:QLF983165 QVB983163:QVB983165 REX983163:REX983165 ROT983163:ROT983165 RYP983163:RYP983165 SIL983163:SIL983165 SSH983163:SSH983165 TCD983163:TCD983165 TLZ983163:TLZ983165 TVV983163:TVV983165 UFR983163:UFR983165 UPN983163:UPN983165 UZJ983163:UZJ983165 VJF983163:VJF983165 VTB983163:VTB983165 WCX983163:WCX983165 WMT983163:WMT983165 WWP983163:WWP983165 AH104:AH118 KD104:KD118 TZ104:TZ118 ADV104:ADV118 ANR104:ANR118 AXN104:AXN118 BHJ104:BHJ118 BRF104:BRF118 CBB104:CBB118 CKX104:CKX118 CUT104:CUT118 DEP104:DEP118 DOL104:DOL118 DYH104:DYH118 EID104:EID118 ERZ104:ERZ118 FBV104:FBV118 FLR104:FLR118 FVN104:FVN118 GFJ104:GFJ118 GPF104:GPF118 GZB104:GZB118 HIX104:HIX118 HST104:HST118 ICP104:ICP118 IML104:IML118 IWH104:IWH118 JGD104:JGD118 JPZ104:JPZ118 JZV104:JZV118 KJR104:KJR118 KTN104:KTN118 LDJ104:LDJ118 LNF104:LNF118 LXB104:LXB118 MGX104:MGX118 MQT104:MQT118 NAP104:NAP118 NKL104:NKL118 NUH104:NUH118 OED104:OED118 ONZ104:ONZ118 OXV104:OXV118 PHR104:PHR118 PRN104:PRN118 QBJ104:QBJ118 QLF104:QLF118 QVB104:QVB118 REX104:REX118 ROT104:ROT118 RYP104:RYP118 SIL104:SIL118 SSH104:SSH118 TCD104:TCD118 TLZ104:TLZ118 TVV104:TVV118 UFR104:UFR118 UPN104:UPN118 UZJ104:UZJ118 VJF104:VJF118 VTB104:VTB118 WCX104:WCX118 WMT104:WMT118 WWP104:WWP118 AH65641:AH65655 KD65641:KD65655 TZ65641:TZ65655 ADV65641:ADV65655 ANR65641:ANR65655 AXN65641:AXN65655 BHJ65641:BHJ65655 BRF65641:BRF65655 CBB65641:CBB65655 CKX65641:CKX65655 CUT65641:CUT65655 DEP65641:DEP65655 DOL65641:DOL65655 DYH65641:DYH65655 EID65641:EID65655 ERZ65641:ERZ65655 FBV65641:FBV65655 FLR65641:FLR65655 FVN65641:FVN65655 GFJ65641:GFJ65655 GPF65641:GPF65655 GZB65641:GZB65655 HIX65641:HIX65655 HST65641:HST65655 ICP65641:ICP65655 IML65641:IML65655 IWH65641:IWH65655 JGD65641:JGD65655 JPZ65641:JPZ65655 JZV65641:JZV65655 KJR65641:KJR65655 KTN65641:KTN65655 LDJ65641:LDJ65655 LNF65641:LNF65655 LXB65641:LXB65655 MGX65641:MGX65655 MQT65641:MQT65655 NAP65641:NAP65655 NKL65641:NKL65655 NUH65641:NUH65655 OED65641:OED65655 ONZ65641:ONZ65655 OXV65641:OXV65655 PHR65641:PHR65655 PRN65641:PRN65655 QBJ65641:QBJ65655 QLF65641:QLF65655 QVB65641:QVB65655 REX65641:REX65655 ROT65641:ROT65655 RYP65641:RYP65655 SIL65641:SIL65655 SSH65641:SSH65655 TCD65641:TCD65655 TLZ65641:TLZ65655 TVV65641:TVV65655 UFR65641:UFR65655 UPN65641:UPN65655 UZJ65641:UZJ65655 VJF65641:VJF65655 VTB65641:VTB65655 WCX65641:WCX65655 WMT65641:WMT65655 WWP65641:WWP65655 AH131177:AH131191 KD131177:KD131191 TZ131177:TZ131191 ADV131177:ADV131191 ANR131177:ANR131191 AXN131177:AXN131191 BHJ131177:BHJ131191 BRF131177:BRF131191 CBB131177:CBB131191 CKX131177:CKX131191 CUT131177:CUT131191 DEP131177:DEP131191 DOL131177:DOL131191 DYH131177:DYH131191 EID131177:EID131191 ERZ131177:ERZ131191 FBV131177:FBV131191 FLR131177:FLR131191 FVN131177:FVN131191 GFJ131177:GFJ131191 GPF131177:GPF131191 GZB131177:GZB131191 HIX131177:HIX131191 HST131177:HST131191 ICP131177:ICP131191 IML131177:IML131191 IWH131177:IWH131191 JGD131177:JGD131191 JPZ131177:JPZ131191 JZV131177:JZV131191 KJR131177:KJR131191 KTN131177:KTN131191 LDJ131177:LDJ131191 LNF131177:LNF131191 LXB131177:LXB131191 MGX131177:MGX131191 MQT131177:MQT131191 NAP131177:NAP131191 NKL131177:NKL131191 NUH131177:NUH131191 OED131177:OED131191 ONZ131177:ONZ131191 OXV131177:OXV131191 PHR131177:PHR131191 PRN131177:PRN131191 QBJ131177:QBJ131191 QLF131177:QLF131191 QVB131177:QVB131191 REX131177:REX131191 ROT131177:ROT131191 RYP131177:RYP131191 SIL131177:SIL131191 SSH131177:SSH131191 TCD131177:TCD131191 TLZ131177:TLZ131191 TVV131177:TVV131191 UFR131177:UFR131191 UPN131177:UPN131191 UZJ131177:UZJ131191 VJF131177:VJF131191 VTB131177:VTB131191 WCX131177:WCX131191 WMT131177:WMT131191 WWP131177:WWP131191 AH196713:AH196727 KD196713:KD196727 TZ196713:TZ196727 ADV196713:ADV196727 ANR196713:ANR196727 AXN196713:AXN196727 BHJ196713:BHJ196727 BRF196713:BRF196727 CBB196713:CBB196727 CKX196713:CKX196727 CUT196713:CUT196727 DEP196713:DEP196727 DOL196713:DOL196727 DYH196713:DYH196727 EID196713:EID196727 ERZ196713:ERZ196727 FBV196713:FBV196727 FLR196713:FLR196727 FVN196713:FVN196727 GFJ196713:GFJ196727 GPF196713:GPF196727 GZB196713:GZB196727 HIX196713:HIX196727 HST196713:HST196727 ICP196713:ICP196727 IML196713:IML196727 IWH196713:IWH196727 JGD196713:JGD196727 JPZ196713:JPZ196727 JZV196713:JZV196727 KJR196713:KJR196727 KTN196713:KTN196727 LDJ196713:LDJ196727 LNF196713:LNF196727 LXB196713:LXB196727 MGX196713:MGX196727 MQT196713:MQT196727 NAP196713:NAP196727 NKL196713:NKL196727 NUH196713:NUH196727 OED196713:OED196727 ONZ196713:ONZ196727 OXV196713:OXV196727 PHR196713:PHR196727 PRN196713:PRN196727 QBJ196713:QBJ196727 QLF196713:QLF196727 QVB196713:QVB196727 REX196713:REX196727 ROT196713:ROT196727 RYP196713:RYP196727 SIL196713:SIL196727 SSH196713:SSH196727 TCD196713:TCD196727 TLZ196713:TLZ196727 TVV196713:TVV196727 UFR196713:UFR196727 UPN196713:UPN196727 UZJ196713:UZJ196727 VJF196713:VJF196727 VTB196713:VTB196727 WCX196713:WCX196727 WMT196713:WMT196727 WWP196713:WWP196727 AH262249:AH262263 KD262249:KD262263 TZ262249:TZ262263 ADV262249:ADV262263 ANR262249:ANR262263 AXN262249:AXN262263 BHJ262249:BHJ262263 BRF262249:BRF262263 CBB262249:CBB262263 CKX262249:CKX262263 CUT262249:CUT262263 DEP262249:DEP262263 DOL262249:DOL262263 DYH262249:DYH262263 EID262249:EID262263 ERZ262249:ERZ262263 FBV262249:FBV262263 FLR262249:FLR262263 FVN262249:FVN262263 GFJ262249:GFJ262263 GPF262249:GPF262263 GZB262249:GZB262263 HIX262249:HIX262263 HST262249:HST262263 ICP262249:ICP262263 IML262249:IML262263 IWH262249:IWH262263 JGD262249:JGD262263 JPZ262249:JPZ262263 JZV262249:JZV262263 KJR262249:KJR262263 KTN262249:KTN262263 LDJ262249:LDJ262263 LNF262249:LNF262263 LXB262249:LXB262263 MGX262249:MGX262263 MQT262249:MQT262263 NAP262249:NAP262263 NKL262249:NKL262263 NUH262249:NUH262263 OED262249:OED262263 ONZ262249:ONZ262263 OXV262249:OXV262263 PHR262249:PHR262263 PRN262249:PRN262263 QBJ262249:QBJ262263 QLF262249:QLF262263 QVB262249:QVB262263 REX262249:REX262263 ROT262249:ROT262263 RYP262249:RYP262263 SIL262249:SIL262263 SSH262249:SSH262263 TCD262249:TCD262263 TLZ262249:TLZ262263 TVV262249:TVV262263 UFR262249:UFR262263 UPN262249:UPN262263 UZJ262249:UZJ262263 VJF262249:VJF262263 VTB262249:VTB262263 WCX262249:WCX262263 WMT262249:WMT262263 WWP262249:WWP262263 AH327785:AH327799 KD327785:KD327799 TZ327785:TZ327799 ADV327785:ADV327799 ANR327785:ANR327799 AXN327785:AXN327799 BHJ327785:BHJ327799 BRF327785:BRF327799 CBB327785:CBB327799 CKX327785:CKX327799 CUT327785:CUT327799 DEP327785:DEP327799 DOL327785:DOL327799 DYH327785:DYH327799 EID327785:EID327799 ERZ327785:ERZ327799 FBV327785:FBV327799 FLR327785:FLR327799 FVN327785:FVN327799 GFJ327785:GFJ327799 GPF327785:GPF327799 GZB327785:GZB327799 HIX327785:HIX327799 HST327785:HST327799 ICP327785:ICP327799 IML327785:IML327799 IWH327785:IWH327799 JGD327785:JGD327799 JPZ327785:JPZ327799 JZV327785:JZV327799 KJR327785:KJR327799 KTN327785:KTN327799 LDJ327785:LDJ327799 LNF327785:LNF327799 LXB327785:LXB327799 MGX327785:MGX327799 MQT327785:MQT327799 NAP327785:NAP327799 NKL327785:NKL327799 NUH327785:NUH327799 OED327785:OED327799 ONZ327785:ONZ327799 OXV327785:OXV327799 PHR327785:PHR327799 PRN327785:PRN327799 QBJ327785:QBJ327799 QLF327785:QLF327799 QVB327785:QVB327799 REX327785:REX327799 ROT327785:ROT327799 RYP327785:RYP327799 SIL327785:SIL327799 SSH327785:SSH327799 TCD327785:TCD327799 TLZ327785:TLZ327799 TVV327785:TVV327799 UFR327785:UFR327799 UPN327785:UPN327799 UZJ327785:UZJ327799 VJF327785:VJF327799 VTB327785:VTB327799 WCX327785:WCX327799 WMT327785:WMT327799 WWP327785:WWP327799 AH393321:AH393335 KD393321:KD393335 TZ393321:TZ393335 ADV393321:ADV393335 ANR393321:ANR393335 AXN393321:AXN393335 BHJ393321:BHJ393335 BRF393321:BRF393335 CBB393321:CBB393335 CKX393321:CKX393335 CUT393321:CUT393335 DEP393321:DEP393335 DOL393321:DOL393335 DYH393321:DYH393335 EID393321:EID393335 ERZ393321:ERZ393335 FBV393321:FBV393335 FLR393321:FLR393335 FVN393321:FVN393335 GFJ393321:GFJ393335 GPF393321:GPF393335 GZB393321:GZB393335 HIX393321:HIX393335 HST393321:HST393335 ICP393321:ICP393335 IML393321:IML393335 IWH393321:IWH393335 JGD393321:JGD393335 JPZ393321:JPZ393335 JZV393321:JZV393335 KJR393321:KJR393335 KTN393321:KTN393335 LDJ393321:LDJ393335 LNF393321:LNF393335 LXB393321:LXB393335 MGX393321:MGX393335 MQT393321:MQT393335 NAP393321:NAP393335 NKL393321:NKL393335 NUH393321:NUH393335 OED393321:OED393335 ONZ393321:ONZ393335 OXV393321:OXV393335 PHR393321:PHR393335 PRN393321:PRN393335 QBJ393321:QBJ393335 QLF393321:QLF393335 QVB393321:QVB393335 REX393321:REX393335 ROT393321:ROT393335 RYP393321:RYP393335 SIL393321:SIL393335 SSH393321:SSH393335 TCD393321:TCD393335 TLZ393321:TLZ393335 TVV393321:TVV393335 UFR393321:UFR393335 UPN393321:UPN393335 UZJ393321:UZJ393335 VJF393321:VJF393335 VTB393321:VTB393335 WCX393321:WCX393335 WMT393321:WMT393335 WWP393321:WWP393335 AH458857:AH458871 KD458857:KD458871 TZ458857:TZ458871 ADV458857:ADV458871 ANR458857:ANR458871 AXN458857:AXN458871 BHJ458857:BHJ458871 BRF458857:BRF458871 CBB458857:CBB458871 CKX458857:CKX458871 CUT458857:CUT458871 DEP458857:DEP458871 DOL458857:DOL458871 DYH458857:DYH458871 EID458857:EID458871 ERZ458857:ERZ458871 FBV458857:FBV458871 FLR458857:FLR458871 FVN458857:FVN458871 GFJ458857:GFJ458871 GPF458857:GPF458871 GZB458857:GZB458871 HIX458857:HIX458871 HST458857:HST458871 ICP458857:ICP458871 IML458857:IML458871 IWH458857:IWH458871 JGD458857:JGD458871 JPZ458857:JPZ458871 JZV458857:JZV458871 KJR458857:KJR458871 KTN458857:KTN458871 LDJ458857:LDJ458871 LNF458857:LNF458871 LXB458857:LXB458871 MGX458857:MGX458871 MQT458857:MQT458871 NAP458857:NAP458871 NKL458857:NKL458871 NUH458857:NUH458871 OED458857:OED458871 ONZ458857:ONZ458871 OXV458857:OXV458871 PHR458857:PHR458871 PRN458857:PRN458871 QBJ458857:QBJ458871 QLF458857:QLF458871 QVB458857:QVB458871 REX458857:REX458871 ROT458857:ROT458871 RYP458857:RYP458871 SIL458857:SIL458871 SSH458857:SSH458871 TCD458857:TCD458871 TLZ458857:TLZ458871 TVV458857:TVV458871 UFR458857:UFR458871 UPN458857:UPN458871 UZJ458857:UZJ458871 VJF458857:VJF458871 VTB458857:VTB458871 WCX458857:WCX458871 WMT458857:WMT458871 WWP458857:WWP458871 AH524393:AH524407 KD524393:KD524407 TZ524393:TZ524407 ADV524393:ADV524407 ANR524393:ANR524407 AXN524393:AXN524407 BHJ524393:BHJ524407 BRF524393:BRF524407 CBB524393:CBB524407 CKX524393:CKX524407 CUT524393:CUT524407 DEP524393:DEP524407 DOL524393:DOL524407 DYH524393:DYH524407 EID524393:EID524407 ERZ524393:ERZ524407 FBV524393:FBV524407 FLR524393:FLR524407 FVN524393:FVN524407 GFJ524393:GFJ524407 GPF524393:GPF524407 GZB524393:GZB524407 HIX524393:HIX524407 HST524393:HST524407 ICP524393:ICP524407 IML524393:IML524407 IWH524393:IWH524407 JGD524393:JGD524407 JPZ524393:JPZ524407 JZV524393:JZV524407 KJR524393:KJR524407 KTN524393:KTN524407 LDJ524393:LDJ524407 LNF524393:LNF524407 LXB524393:LXB524407 MGX524393:MGX524407 MQT524393:MQT524407 NAP524393:NAP524407 NKL524393:NKL524407 NUH524393:NUH524407 OED524393:OED524407 ONZ524393:ONZ524407 OXV524393:OXV524407 PHR524393:PHR524407 PRN524393:PRN524407 QBJ524393:QBJ524407 QLF524393:QLF524407 QVB524393:QVB524407 REX524393:REX524407 ROT524393:ROT524407 RYP524393:RYP524407 SIL524393:SIL524407 SSH524393:SSH524407 TCD524393:TCD524407 TLZ524393:TLZ524407 TVV524393:TVV524407 UFR524393:UFR524407 UPN524393:UPN524407 UZJ524393:UZJ524407 VJF524393:VJF524407 VTB524393:VTB524407 WCX524393:WCX524407 WMT524393:WMT524407 WWP524393:WWP524407 AH589929:AH589943 KD589929:KD589943 TZ589929:TZ589943 ADV589929:ADV589943 ANR589929:ANR589943 AXN589929:AXN589943 BHJ589929:BHJ589943 BRF589929:BRF589943 CBB589929:CBB589943 CKX589929:CKX589943 CUT589929:CUT589943 DEP589929:DEP589943 DOL589929:DOL589943 DYH589929:DYH589943 EID589929:EID589943 ERZ589929:ERZ589943 FBV589929:FBV589943 FLR589929:FLR589943 FVN589929:FVN589943 GFJ589929:GFJ589943 GPF589929:GPF589943 GZB589929:GZB589943 HIX589929:HIX589943 HST589929:HST589943 ICP589929:ICP589943 IML589929:IML589943 IWH589929:IWH589943 JGD589929:JGD589943 JPZ589929:JPZ589943 JZV589929:JZV589943 KJR589929:KJR589943 KTN589929:KTN589943 LDJ589929:LDJ589943 LNF589929:LNF589943 LXB589929:LXB589943 MGX589929:MGX589943 MQT589929:MQT589943 NAP589929:NAP589943 NKL589929:NKL589943 NUH589929:NUH589943 OED589929:OED589943 ONZ589929:ONZ589943 OXV589929:OXV589943 PHR589929:PHR589943 PRN589929:PRN589943 QBJ589929:QBJ589943 QLF589929:QLF589943 QVB589929:QVB589943 REX589929:REX589943 ROT589929:ROT589943 RYP589929:RYP589943 SIL589929:SIL589943 SSH589929:SSH589943 TCD589929:TCD589943 TLZ589929:TLZ589943 TVV589929:TVV589943 UFR589929:UFR589943 UPN589929:UPN589943 UZJ589929:UZJ589943 VJF589929:VJF589943 VTB589929:VTB589943 WCX589929:WCX589943 WMT589929:WMT589943 WWP589929:WWP589943 AH655465:AH655479 KD655465:KD655479 TZ655465:TZ655479 ADV655465:ADV655479 ANR655465:ANR655479 AXN655465:AXN655479 BHJ655465:BHJ655479 BRF655465:BRF655479 CBB655465:CBB655479 CKX655465:CKX655479 CUT655465:CUT655479 DEP655465:DEP655479 DOL655465:DOL655479 DYH655465:DYH655479 EID655465:EID655479 ERZ655465:ERZ655479 FBV655465:FBV655479 FLR655465:FLR655479 FVN655465:FVN655479 GFJ655465:GFJ655479 GPF655465:GPF655479 GZB655465:GZB655479 HIX655465:HIX655479 HST655465:HST655479 ICP655465:ICP655479 IML655465:IML655479 IWH655465:IWH655479 JGD655465:JGD655479 JPZ655465:JPZ655479 JZV655465:JZV655479 KJR655465:KJR655479 KTN655465:KTN655479 LDJ655465:LDJ655479 LNF655465:LNF655479 LXB655465:LXB655479 MGX655465:MGX655479 MQT655465:MQT655479 NAP655465:NAP655479 NKL655465:NKL655479 NUH655465:NUH655479 OED655465:OED655479 ONZ655465:ONZ655479 OXV655465:OXV655479 PHR655465:PHR655479 PRN655465:PRN655479 QBJ655465:QBJ655479 QLF655465:QLF655479 QVB655465:QVB655479 REX655465:REX655479 ROT655465:ROT655479 RYP655465:RYP655479 SIL655465:SIL655479 SSH655465:SSH655479 TCD655465:TCD655479 TLZ655465:TLZ655479 TVV655465:TVV655479 UFR655465:UFR655479 UPN655465:UPN655479 UZJ655465:UZJ655479 VJF655465:VJF655479 VTB655465:VTB655479 WCX655465:WCX655479 WMT655465:WMT655479 WWP655465:WWP655479 AH721001:AH721015 KD721001:KD721015 TZ721001:TZ721015 ADV721001:ADV721015 ANR721001:ANR721015 AXN721001:AXN721015 BHJ721001:BHJ721015 BRF721001:BRF721015 CBB721001:CBB721015 CKX721001:CKX721015 CUT721001:CUT721015 DEP721001:DEP721015 DOL721001:DOL721015 DYH721001:DYH721015 EID721001:EID721015 ERZ721001:ERZ721015 FBV721001:FBV721015 FLR721001:FLR721015 FVN721001:FVN721015 GFJ721001:GFJ721015 GPF721001:GPF721015 GZB721001:GZB721015 HIX721001:HIX721015 HST721001:HST721015 ICP721001:ICP721015 IML721001:IML721015 IWH721001:IWH721015 JGD721001:JGD721015 JPZ721001:JPZ721015 JZV721001:JZV721015 KJR721001:KJR721015 KTN721001:KTN721015 LDJ721001:LDJ721015 LNF721001:LNF721015 LXB721001:LXB721015 MGX721001:MGX721015 MQT721001:MQT721015 NAP721001:NAP721015 NKL721001:NKL721015 NUH721001:NUH721015 OED721001:OED721015 ONZ721001:ONZ721015 OXV721001:OXV721015 PHR721001:PHR721015 PRN721001:PRN721015 QBJ721001:QBJ721015 QLF721001:QLF721015 QVB721001:QVB721015 REX721001:REX721015 ROT721001:ROT721015 RYP721001:RYP721015 SIL721001:SIL721015 SSH721001:SSH721015 TCD721001:TCD721015 TLZ721001:TLZ721015 TVV721001:TVV721015 UFR721001:UFR721015 UPN721001:UPN721015 UZJ721001:UZJ721015 VJF721001:VJF721015 VTB721001:VTB721015 WCX721001:WCX721015 WMT721001:WMT721015 WWP721001:WWP721015 AH786537:AH786551 KD786537:KD786551 TZ786537:TZ786551 ADV786537:ADV786551 ANR786537:ANR786551 AXN786537:AXN786551 BHJ786537:BHJ786551 BRF786537:BRF786551 CBB786537:CBB786551 CKX786537:CKX786551 CUT786537:CUT786551 DEP786537:DEP786551 DOL786537:DOL786551 DYH786537:DYH786551 EID786537:EID786551 ERZ786537:ERZ786551 FBV786537:FBV786551 FLR786537:FLR786551 FVN786537:FVN786551 GFJ786537:GFJ786551 GPF786537:GPF786551 GZB786537:GZB786551 HIX786537:HIX786551 HST786537:HST786551 ICP786537:ICP786551 IML786537:IML786551 IWH786537:IWH786551 JGD786537:JGD786551 JPZ786537:JPZ786551 JZV786537:JZV786551 KJR786537:KJR786551 KTN786537:KTN786551 LDJ786537:LDJ786551 LNF786537:LNF786551 LXB786537:LXB786551 MGX786537:MGX786551 MQT786537:MQT786551 NAP786537:NAP786551 NKL786537:NKL786551 NUH786537:NUH786551 OED786537:OED786551 ONZ786537:ONZ786551 OXV786537:OXV786551 PHR786537:PHR786551 PRN786537:PRN786551 QBJ786537:QBJ786551 QLF786537:QLF786551 QVB786537:QVB786551 REX786537:REX786551 ROT786537:ROT786551 RYP786537:RYP786551 SIL786537:SIL786551 SSH786537:SSH786551 TCD786537:TCD786551 TLZ786537:TLZ786551 TVV786537:TVV786551 UFR786537:UFR786551 UPN786537:UPN786551 UZJ786537:UZJ786551 VJF786537:VJF786551 VTB786537:VTB786551 WCX786537:WCX786551 WMT786537:WMT786551 WWP786537:WWP786551 AH852073:AH852087 KD852073:KD852087 TZ852073:TZ852087 ADV852073:ADV852087 ANR852073:ANR852087 AXN852073:AXN852087 BHJ852073:BHJ852087 BRF852073:BRF852087 CBB852073:CBB852087 CKX852073:CKX852087 CUT852073:CUT852087 DEP852073:DEP852087 DOL852073:DOL852087 DYH852073:DYH852087 EID852073:EID852087 ERZ852073:ERZ852087 FBV852073:FBV852087 FLR852073:FLR852087 FVN852073:FVN852087 GFJ852073:GFJ852087 GPF852073:GPF852087 GZB852073:GZB852087 HIX852073:HIX852087 HST852073:HST852087 ICP852073:ICP852087 IML852073:IML852087 IWH852073:IWH852087 JGD852073:JGD852087 JPZ852073:JPZ852087 JZV852073:JZV852087 KJR852073:KJR852087 KTN852073:KTN852087 LDJ852073:LDJ852087 LNF852073:LNF852087 LXB852073:LXB852087 MGX852073:MGX852087 MQT852073:MQT852087 NAP852073:NAP852087 NKL852073:NKL852087 NUH852073:NUH852087 OED852073:OED852087 ONZ852073:ONZ852087 OXV852073:OXV852087 PHR852073:PHR852087 PRN852073:PRN852087 QBJ852073:QBJ852087 QLF852073:QLF852087 QVB852073:QVB852087 REX852073:REX852087 ROT852073:ROT852087 RYP852073:RYP852087 SIL852073:SIL852087 SSH852073:SSH852087 TCD852073:TCD852087 TLZ852073:TLZ852087 TVV852073:TVV852087 UFR852073:UFR852087 UPN852073:UPN852087 UZJ852073:UZJ852087 VJF852073:VJF852087 VTB852073:VTB852087 WCX852073:WCX852087 WMT852073:WMT852087 WWP852073:WWP852087 AH917609:AH917623 KD917609:KD917623 TZ917609:TZ917623 ADV917609:ADV917623 ANR917609:ANR917623 AXN917609:AXN917623 BHJ917609:BHJ917623 BRF917609:BRF917623 CBB917609:CBB917623 CKX917609:CKX917623 CUT917609:CUT917623 DEP917609:DEP917623 DOL917609:DOL917623 DYH917609:DYH917623 EID917609:EID917623 ERZ917609:ERZ917623 FBV917609:FBV917623 FLR917609:FLR917623 FVN917609:FVN917623 GFJ917609:GFJ917623 GPF917609:GPF917623 GZB917609:GZB917623 HIX917609:HIX917623 HST917609:HST917623 ICP917609:ICP917623 IML917609:IML917623 IWH917609:IWH917623 JGD917609:JGD917623 JPZ917609:JPZ917623 JZV917609:JZV917623 KJR917609:KJR917623 KTN917609:KTN917623 LDJ917609:LDJ917623 LNF917609:LNF917623 LXB917609:LXB917623 MGX917609:MGX917623 MQT917609:MQT917623 NAP917609:NAP917623 NKL917609:NKL917623 NUH917609:NUH917623 OED917609:OED917623 ONZ917609:ONZ917623 OXV917609:OXV917623 PHR917609:PHR917623 PRN917609:PRN917623 QBJ917609:QBJ917623 QLF917609:QLF917623 QVB917609:QVB917623 REX917609:REX917623 ROT917609:ROT917623 RYP917609:RYP917623 SIL917609:SIL917623 SSH917609:SSH917623 TCD917609:TCD917623 TLZ917609:TLZ917623 TVV917609:TVV917623 UFR917609:UFR917623 UPN917609:UPN917623 UZJ917609:UZJ917623 VJF917609:VJF917623 VTB917609:VTB917623 WCX917609:WCX917623 WMT917609:WMT917623 WWP917609:WWP917623 AH983145:AH983159 KD983145:KD983159 TZ983145:TZ983159 ADV983145:ADV983159 ANR983145:ANR983159 AXN983145:AXN983159 BHJ983145:BHJ983159 BRF983145:BRF983159 CBB983145:CBB983159 CKX983145:CKX983159 CUT983145:CUT983159 DEP983145:DEP983159 DOL983145:DOL983159 DYH983145:DYH983159 EID983145:EID983159 ERZ983145:ERZ983159 FBV983145:FBV983159 FLR983145:FLR983159 FVN983145:FVN983159 GFJ983145:GFJ983159 GPF983145:GPF983159 GZB983145:GZB983159 HIX983145:HIX983159 HST983145:HST983159 ICP983145:ICP983159 IML983145:IML983159 IWH983145:IWH983159 JGD983145:JGD983159 JPZ983145:JPZ983159 JZV983145:JZV983159 KJR983145:KJR983159 KTN983145:KTN983159 LDJ983145:LDJ983159 LNF983145:LNF983159 LXB983145:LXB983159 MGX983145:MGX983159 MQT983145:MQT983159 NAP983145:NAP983159 NKL983145:NKL983159 NUH983145:NUH983159 OED983145:OED983159 ONZ983145:ONZ983159 OXV983145:OXV983159 PHR983145:PHR983159 PRN983145:PRN983159 QBJ983145:QBJ983159 QLF983145:QLF983159 QVB983145:QVB983159 REX983145:REX983159 ROT983145:ROT983159 RYP983145:RYP983159 SIL983145:SIL983159 SSH983145:SSH983159 TCD983145:TCD983159 TLZ983145:TLZ983159 TVV983145:TVV983159 UFR983145:UFR983159 UPN983145:UPN983159 UZJ983145:UZJ983159 VJF983145:VJF983159 VTB983145:VTB983159 WCX983145:WCX983159 WMT983145:WMT983159 WWP983145:WWP983159 AH100:AH102 KD100:KD102 TZ100:TZ102 ADV100:ADV102 ANR100:ANR102 AXN100:AXN102 BHJ100:BHJ102 BRF100:BRF102 CBB100:CBB102 CKX100:CKX102 CUT100:CUT102 DEP100:DEP102 DOL100:DOL102 DYH100:DYH102 EID100:EID102 ERZ100:ERZ102 FBV100:FBV102 FLR100:FLR102 FVN100:FVN102 GFJ100:GFJ102 GPF100:GPF102 GZB100:GZB102 HIX100:HIX102 HST100:HST102 ICP100:ICP102 IML100:IML102 IWH100:IWH102 JGD100:JGD102 JPZ100:JPZ102 JZV100:JZV102 KJR100:KJR102 KTN100:KTN102 LDJ100:LDJ102 LNF100:LNF102 LXB100:LXB102 MGX100:MGX102 MQT100:MQT102 NAP100:NAP102 NKL100:NKL102 NUH100:NUH102 OED100:OED102 ONZ100:ONZ102 OXV100:OXV102 PHR100:PHR102 PRN100:PRN102 QBJ100:QBJ102 QLF100:QLF102 QVB100:QVB102 REX100:REX102 ROT100:ROT102 RYP100:RYP102 SIL100:SIL102 SSH100:SSH102 TCD100:TCD102 TLZ100:TLZ102 TVV100:TVV102 UFR100:UFR102 UPN100:UPN102 UZJ100:UZJ102 VJF100:VJF102 VTB100:VTB102 WCX100:WCX102 WMT100:WMT102 WWP100:WWP102 AH65637:AH65639 KD65637:KD65639 TZ65637:TZ65639 ADV65637:ADV65639 ANR65637:ANR65639 AXN65637:AXN65639 BHJ65637:BHJ65639 BRF65637:BRF65639 CBB65637:CBB65639 CKX65637:CKX65639 CUT65637:CUT65639 DEP65637:DEP65639 DOL65637:DOL65639 DYH65637:DYH65639 EID65637:EID65639 ERZ65637:ERZ65639 FBV65637:FBV65639 FLR65637:FLR65639 FVN65637:FVN65639 GFJ65637:GFJ65639 GPF65637:GPF65639 GZB65637:GZB65639 HIX65637:HIX65639 HST65637:HST65639 ICP65637:ICP65639 IML65637:IML65639 IWH65637:IWH65639 JGD65637:JGD65639 JPZ65637:JPZ65639 JZV65637:JZV65639 KJR65637:KJR65639 KTN65637:KTN65639 LDJ65637:LDJ65639 LNF65637:LNF65639 LXB65637:LXB65639 MGX65637:MGX65639 MQT65637:MQT65639 NAP65637:NAP65639 NKL65637:NKL65639 NUH65637:NUH65639 OED65637:OED65639 ONZ65637:ONZ65639 OXV65637:OXV65639 PHR65637:PHR65639 PRN65637:PRN65639 QBJ65637:QBJ65639 QLF65637:QLF65639 QVB65637:QVB65639 REX65637:REX65639 ROT65637:ROT65639 RYP65637:RYP65639 SIL65637:SIL65639 SSH65637:SSH65639 TCD65637:TCD65639 TLZ65637:TLZ65639 TVV65637:TVV65639 UFR65637:UFR65639 UPN65637:UPN65639 UZJ65637:UZJ65639 VJF65637:VJF65639 VTB65637:VTB65639 WCX65637:WCX65639 WMT65637:WMT65639 WWP65637:WWP65639 AH131173:AH131175 KD131173:KD131175 TZ131173:TZ131175 ADV131173:ADV131175 ANR131173:ANR131175 AXN131173:AXN131175 BHJ131173:BHJ131175 BRF131173:BRF131175 CBB131173:CBB131175 CKX131173:CKX131175 CUT131173:CUT131175 DEP131173:DEP131175 DOL131173:DOL131175 DYH131173:DYH131175 EID131173:EID131175 ERZ131173:ERZ131175 FBV131173:FBV131175 FLR131173:FLR131175 FVN131173:FVN131175 GFJ131173:GFJ131175 GPF131173:GPF131175 GZB131173:GZB131175 HIX131173:HIX131175 HST131173:HST131175 ICP131173:ICP131175 IML131173:IML131175 IWH131173:IWH131175 JGD131173:JGD131175 JPZ131173:JPZ131175 JZV131173:JZV131175 KJR131173:KJR131175 KTN131173:KTN131175 LDJ131173:LDJ131175 LNF131173:LNF131175 LXB131173:LXB131175 MGX131173:MGX131175 MQT131173:MQT131175 NAP131173:NAP131175 NKL131173:NKL131175 NUH131173:NUH131175 OED131173:OED131175 ONZ131173:ONZ131175 OXV131173:OXV131175 PHR131173:PHR131175 PRN131173:PRN131175 QBJ131173:QBJ131175 QLF131173:QLF131175 QVB131173:QVB131175 REX131173:REX131175 ROT131173:ROT131175 RYP131173:RYP131175 SIL131173:SIL131175 SSH131173:SSH131175 TCD131173:TCD131175 TLZ131173:TLZ131175 TVV131173:TVV131175 UFR131173:UFR131175 UPN131173:UPN131175 UZJ131173:UZJ131175 VJF131173:VJF131175 VTB131173:VTB131175 WCX131173:WCX131175 WMT131173:WMT131175 WWP131173:WWP131175 AH196709:AH196711 KD196709:KD196711 TZ196709:TZ196711 ADV196709:ADV196711 ANR196709:ANR196711 AXN196709:AXN196711 BHJ196709:BHJ196711 BRF196709:BRF196711 CBB196709:CBB196711 CKX196709:CKX196711 CUT196709:CUT196711 DEP196709:DEP196711 DOL196709:DOL196711 DYH196709:DYH196711 EID196709:EID196711 ERZ196709:ERZ196711 FBV196709:FBV196711 FLR196709:FLR196711 FVN196709:FVN196711 GFJ196709:GFJ196711 GPF196709:GPF196711 GZB196709:GZB196711 HIX196709:HIX196711 HST196709:HST196711 ICP196709:ICP196711 IML196709:IML196711 IWH196709:IWH196711 JGD196709:JGD196711 JPZ196709:JPZ196711 JZV196709:JZV196711 KJR196709:KJR196711 KTN196709:KTN196711 LDJ196709:LDJ196711 LNF196709:LNF196711 LXB196709:LXB196711 MGX196709:MGX196711 MQT196709:MQT196711 NAP196709:NAP196711 NKL196709:NKL196711 NUH196709:NUH196711 OED196709:OED196711 ONZ196709:ONZ196711 OXV196709:OXV196711 PHR196709:PHR196711 PRN196709:PRN196711 QBJ196709:QBJ196711 QLF196709:QLF196711 QVB196709:QVB196711 REX196709:REX196711 ROT196709:ROT196711 RYP196709:RYP196711 SIL196709:SIL196711 SSH196709:SSH196711 TCD196709:TCD196711 TLZ196709:TLZ196711 TVV196709:TVV196711 UFR196709:UFR196711 UPN196709:UPN196711 UZJ196709:UZJ196711 VJF196709:VJF196711 VTB196709:VTB196711 WCX196709:WCX196711 WMT196709:WMT196711 WWP196709:WWP196711 AH262245:AH262247 KD262245:KD262247 TZ262245:TZ262247 ADV262245:ADV262247 ANR262245:ANR262247 AXN262245:AXN262247 BHJ262245:BHJ262247 BRF262245:BRF262247 CBB262245:CBB262247 CKX262245:CKX262247 CUT262245:CUT262247 DEP262245:DEP262247 DOL262245:DOL262247 DYH262245:DYH262247 EID262245:EID262247 ERZ262245:ERZ262247 FBV262245:FBV262247 FLR262245:FLR262247 FVN262245:FVN262247 GFJ262245:GFJ262247 GPF262245:GPF262247 GZB262245:GZB262247 HIX262245:HIX262247 HST262245:HST262247 ICP262245:ICP262247 IML262245:IML262247 IWH262245:IWH262247 JGD262245:JGD262247 JPZ262245:JPZ262247 JZV262245:JZV262247 KJR262245:KJR262247 KTN262245:KTN262247 LDJ262245:LDJ262247 LNF262245:LNF262247 LXB262245:LXB262247 MGX262245:MGX262247 MQT262245:MQT262247 NAP262245:NAP262247 NKL262245:NKL262247 NUH262245:NUH262247 OED262245:OED262247 ONZ262245:ONZ262247 OXV262245:OXV262247 PHR262245:PHR262247 PRN262245:PRN262247 QBJ262245:QBJ262247 QLF262245:QLF262247 QVB262245:QVB262247 REX262245:REX262247 ROT262245:ROT262247 RYP262245:RYP262247 SIL262245:SIL262247 SSH262245:SSH262247 TCD262245:TCD262247 TLZ262245:TLZ262247 TVV262245:TVV262247 UFR262245:UFR262247 UPN262245:UPN262247 UZJ262245:UZJ262247 VJF262245:VJF262247 VTB262245:VTB262247 WCX262245:WCX262247 WMT262245:WMT262247 WWP262245:WWP262247 AH327781:AH327783 KD327781:KD327783 TZ327781:TZ327783 ADV327781:ADV327783 ANR327781:ANR327783 AXN327781:AXN327783 BHJ327781:BHJ327783 BRF327781:BRF327783 CBB327781:CBB327783 CKX327781:CKX327783 CUT327781:CUT327783 DEP327781:DEP327783 DOL327781:DOL327783 DYH327781:DYH327783 EID327781:EID327783 ERZ327781:ERZ327783 FBV327781:FBV327783 FLR327781:FLR327783 FVN327781:FVN327783 GFJ327781:GFJ327783 GPF327781:GPF327783 GZB327781:GZB327783 HIX327781:HIX327783 HST327781:HST327783 ICP327781:ICP327783 IML327781:IML327783 IWH327781:IWH327783 JGD327781:JGD327783 JPZ327781:JPZ327783 JZV327781:JZV327783 KJR327781:KJR327783 KTN327781:KTN327783 LDJ327781:LDJ327783 LNF327781:LNF327783 LXB327781:LXB327783 MGX327781:MGX327783 MQT327781:MQT327783 NAP327781:NAP327783 NKL327781:NKL327783 NUH327781:NUH327783 OED327781:OED327783 ONZ327781:ONZ327783 OXV327781:OXV327783 PHR327781:PHR327783 PRN327781:PRN327783 QBJ327781:QBJ327783 QLF327781:QLF327783 QVB327781:QVB327783 REX327781:REX327783 ROT327781:ROT327783 RYP327781:RYP327783 SIL327781:SIL327783 SSH327781:SSH327783 TCD327781:TCD327783 TLZ327781:TLZ327783 TVV327781:TVV327783 UFR327781:UFR327783 UPN327781:UPN327783 UZJ327781:UZJ327783 VJF327781:VJF327783 VTB327781:VTB327783 WCX327781:WCX327783 WMT327781:WMT327783 WWP327781:WWP327783 AH393317:AH393319 KD393317:KD393319 TZ393317:TZ393319 ADV393317:ADV393319 ANR393317:ANR393319 AXN393317:AXN393319 BHJ393317:BHJ393319 BRF393317:BRF393319 CBB393317:CBB393319 CKX393317:CKX393319 CUT393317:CUT393319 DEP393317:DEP393319 DOL393317:DOL393319 DYH393317:DYH393319 EID393317:EID393319 ERZ393317:ERZ393319 FBV393317:FBV393319 FLR393317:FLR393319 FVN393317:FVN393319 GFJ393317:GFJ393319 GPF393317:GPF393319 GZB393317:GZB393319 HIX393317:HIX393319 HST393317:HST393319 ICP393317:ICP393319 IML393317:IML393319 IWH393317:IWH393319 JGD393317:JGD393319 JPZ393317:JPZ393319 JZV393317:JZV393319 KJR393317:KJR393319 KTN393317:KTN393319 LDJ393317:LDJ393319 LNF393317:LNF393319 LXB393317:LXB393319 MGX393317:MGX393319 MQT393317:MQT393319 NAP393317:NAP393319 NKL393317:NKL393319 NUH393317:NUH393319 OED393317:OED393319 ONZ393317:ONZ393319 OXV393317:OXV393319 PHR393317:PHR393319 PRN393317:PRN393319 QBJ393317:QBJ393319 QLF393317:QLF393319 QVB393317:QVB393319 REX393317:REX393319 ROT393317:ROT393319 RYP393317:RYP393319 SIL393317:SIL393319 SSH393317:SSH393319 TCD393317:TCD393319 TLZ393317:TLZ393319 TVV393317:TVV393319 UFR393317:UFR393319 UPN393317:UPN393319 UZJ393317:UZJ393319 VJF393317:VJF393319 VTB393317:VTB393319 WCX393317:WCX393319 WMT393317:WMT393319 WWP393317:WWP393319 AH458853:AH458855 KD458853:KD458855 TZ458853:TZ458855 ADV458853:ADV458855 ANR458853:ANR458855 AXN458853:AXN458855 BHJ458853:BHJ458855 BRF458853:BRF458855 CBB458853:CBB458855 CKX458853:CKX458855 CUT458853:CUT458855 DEP458853:DEP458855 DOL458853:DOL458855 DYH458853:DYH458855 EID458853:EID458855 ERZ458853:ERZ458855 FBV458853:FBV458855 FLR458853:FLR458855 FVN458853:FVN458855 GFJ458853:GFJ458855 GPF458853:GPF458855 GZB458853:GZB458855 HIX458853:HIX458855 HST458853:HST458855 ICP458853:ICP458855 IML458853:IML458855 IWH458853:IWH458855 JGD458853:JGD458855 JPZ458853:JPZ458855 JZV458853:JZV458855 KJR458853:KJR458855 KTN458853:KTN458855 LDJ458853:LDJ458855 LNF458853:LNF458855 LXB458853:LXB458855 MGX458853:MGX458855 MQT458853:MQT458855 NAP458853:NAP458855 NKL458853:NKL458855 NUH458853:NUH458855 OED458853:OED458855 ONZ458853:ONZ458855 OXV458853:OXV458855 PHR458853:PHR458855 PRN458853:PRN458855 QBJ458853:QBJ458855 QLF458853:QLF458855 QVB458853:QVB458855 REX458853:REX458855 ROT458853:ROT458855 RYP458853:RYP458855 SIL458853:SIL458855 SSH458853:SSH458855 TCD458853:TCD458855 TLZ458853:TLZ458855 TVV458853:TVV458855 UFR458853:UFR458855 UPN458853:UPN458855 UZJ458853:UZJ458855 VJF458853:VJF458855 VTB458853:VTB458855 WCX458853:WCX458855 WMT458853:WMT458855 WWP458853:WWP458855 AH524389:AH524391 KD524389:KD524391 TZ524389:TZ524391 ADV524389:ADV524391 ANR524389:ANR524391 AXN524389:AXN524391 BHJ524389:BHJ524391 BRF524389:BRF524391 CBB524389:CBB524391 CKX524389:CKX524391 CUT524389:CUT524391 DEP524389:DEP524391 DOL524389:DOL524391 DYH524389:DYH524391 EID524389:EID524391 ERZ524389:ERZ524391 FBV524389:FBV524391 FLR524389:FLR524391 FVN524389:FVN524391 GFJ524389:GFJ524391 GPF524389:GPF524391 GZB524389:GZB524391 HIX524389:HIX524391 HST524389:HST524391 ICP524389:ICP524391 IML524389:IML524391 IWH524389:IWH524391 JGD524389:JGD524391 JPZ524389:JPZ524391 JZV524389:JZV524391 KJR524389:KJR524391 KTN524389:KTN524391 LDJ524389:LDJ524391 LNF524389:LNF524391 LXB524389:LXB524391 MGX524389:MGX524391 MQT524389:MQT524391 NAP524389:NAP524391 NKL524389:NKL524391 NUH524389:NUH524391 OED524389:OED524391 ONZ524389:ONZ524391 OXV524389:OXV524391 PHR524389:PHR524391 PRN524389:PRN524391 QBJ524389:QBJ524391 QLF524389:QLF524391 QVB524389:QVB524391 REX524389:REX524391 ROT524389:ROT524391 RYP524389:RYP524391 SIL524389:SIL524391 SSH524389:SSH524391 TCD524389:TCD524391 TLZ524389:TLZ524391 TVV524389:TVV524391 UFR524389:UFR524391 UPN524389:UPN524391 UZJ524389:UZJ524391 VJF524389:VJF524391 VTB524389:VTB524391 WCX524389:WCX524391 WMT524389:WMT524391 WWP524389:WWP524391 AH589925:AH589927 KD589925:KD589927 TZ589925:TZ589927 ADV589925:ADV589927 ANR589925:ANR589927 AXN589925:AXN589927 BHJ589925:BHJ589927 BRF589925:BRF589927 CBB589925:CBB589927 CKX589925:CKX589927 CUT589925:CUT589927 DEP589925:DEP589927 DOL589925:DOL589927 DYH589925:DYH589927 EID589925:EID589927 ERZ589925:ERZ589927 FBV589925:FBV589927 FLR589925:FLR589927 FVN589925:FVN589927 GFJ589925:GFJ589927 GPF589925:GPF589927 GZB589925:GZB589927 HIX589925:HIX589927 HST589925:HST589927 ICP589925:ICP589927 IML589925:IML589927 IWH589925:IWH589927 JGD589925:JGD589927 JPZ589925:JPZ589927 JZV589925:JZV589927 KJR589925:KJR589927 KTN589925:KTN589927 LDJ589925:LDJ589927 LNF589925:LNF589927 LXB589925:LXB589927 MGX589925:MGX589927 MQT589925:MQT589927 NAP589925:NAP589927 NKL589925:NKL589927 NUH589925:NUH589927 OED589925:OED589927 ONZ589925:ONZ589927 OXV589925:OXV589927 PHR589925:PHR589927 PRN589925:PRN589927 QBJ589925:QBJ589927 QLF589925:QLF589927 QVB589925:QVB589927 REX589925:REX589927 ROT589925:ROT589927 RYP589925:RYP589927 SIL589925:SIL589927 SSH589925:SSH589927 TCD589925:TCD589927 TLZ589925:TLZ589927 TVV589925:TVV589927 UFR589925:UFR589927 UPN589925:UPN589927 UZJ589925:UZJ589927 VJF589925:VJF589927 VTB589925:VTB589927 WCX589925:WCX589927 WMT589925:WMT589927 WWP589925:WWP589927 AH655461:AH655463 KD655461:KD655463 TZ655461:TZ655463 ADV655461:ADV655463 ANR655461:ANR655463 AXN655461:AXN655463 BHJ655461:BHJ655463 BRF655461:BRF655463 CBB655461:CBB655463 CKX655461:CKX655463 CUT655461:CUT655463 DEP655461:DEP655463 DOL655461:DOL655463 DYH655461:DYH655463 EID655461:EID655463 ERZ655461:ERZ655463 FBV655461:FBV655463 FLR655461:FLR655463 FVN655461:FVN655463 GFJ655461:GFJ655463 GPF655461:GPF655463 GZB655461:GZB655463 HIX655461:HIX655463 HST655461:HST655463 ICP655461:ICP655463 IML655461:IML655463 IWH655461:IWH655463 JGD655461:JGD655463 JPZ655461:JPZ655463 JZV655461:JZV655463 KJR655461:KJR655463 KTN655461:KTN655463 LDJ655461:LDJ655463 LNF655461:LNF655463 LXB655461:LXB655463 MGX655461:MGX655463 MQT655461:MQT655463 NAP655461:NAP655463 NKL655461:NKL655463 NUH655461:NUH655463 OED655461:OED655463 ONZ655461:ONZ655463 OXV655461:OXV655463 PHR655461:PHR655463 PRN655461:PRN655463 QBJ655461:QBJ655463 QLF655461:QLF655463 QVB655461:QVB655463 REX655461:REX655463 ROT655461:ROT655463 RYP655461:RYP655463 SIL655461:SIL655463 SSH655461:SSH655463 TCD655461:TCD655463 TLZ655461:TLZ655463 TVV655461:TVV655463 UFR655461:UFR655463 UPN655461:UPN655463 UZJ655461:UZJ655463 VJF655461:VJF655463 VTB655461:VTB655463 WCX655461:WCX655463 WMT655461:WMT655463 WWP655461:WWP655463 AH720997:AH720999 KD720997:KD720999 TZ720997:TZ720999 ADV720997:ADV720999 ANR720997:ANR720999 AXN720997:AXN720999 BHJ720997:BHJ720999 BRF720997:BRF720999 CBB720997:CBB720999 CKX720997:CKX720999 CUT720997:CUT720999 DEP720997:DEP720999 DOL720997:DOL720999 DYH720997:DYH720999 EID720997:EID720999 ERZ720997:ERZ720999 FBV720997:FBV720999 FLR720997:FLR720999 FVN720997:FVN720999 GFJ720997:GFJ720999 GPF720997:GPF720999 GZB720997:GZB720999 HIX720997:HIX720999 HST720997:HST720999 ICP720997:ICP720999 IML720997:IML720999 IWH720997:IWH720999 JGD720997:JGD720999 JPZ720997:JPZ720999 JZV720997:JZV720999 KJR720997:KJR720999 KTN720997:KTN720999 LDJ720997:LDJ720999 LNF720997:LNF720999 LXB720997:LXB720999 MGX720997:MGX720999 MQT720997:MQT720999 NAP720997:NAP720999 NKL720997:NKL720999 NUH720997:NUH720999 OED720997:OED720999 ONZ720997:ONZ720999 OXV720997:OXV720999 PHR720997:PHR720999 PRN720997:PRN720999 QBJ720997:QBJ720999 QLF720997:QLF720999 QVB720997:QVB720999 REX720997:REX720999 ROT720997:ROT720999 RYP720997:RYP720999 SIL720997:SIL720999 SSH720997:SSH720999 TCD720997:TCD720999 TLZ720997:TLZ720999 TVV720997:TVV720999 UFR720997:UFR720999 UPN720997:UPN720999 UZJ720997:UZJ720999 VJF720997:VJF720999 VTB720997:VTB720999 WCX720997:WCX720999 WMT720997:WMT720999 WWP720997:WWP720999 AH786533:AH786535 KD786533:KD786535 TZ786533:TZ786535 ADV786533:ADV786535 ANR786533:ANR786535 AXN786533:AXN786535 BHJ786533:BHJ786535 BRF786533:BRF786535 CBB786533:CBB786535 CKX786533:CKX786535 CUT786533:CUT786535 DEP786533:DEP786535 DOL786533:DOL786535 DYH786533:DYH786535 EID786533:EID786535 ERZ786533:ERZ786535 FBV786533:FBV786535 FLR786533:FLR786535 FVN786533:FVN786535 GFJ786533:GFJ786535 GPF786533:GPF786535 GZB786533:GZB786535 HIX786533:HIX786535 HST786533:HST786535 ICP786533:ICP786535 IML786533:IML786535 IWH786533:IWH786535 JGD786533:JGD786535 JPZ786533:JPZ786535 JZV786533:JZV786535 KJR786533:KJR786535 KTN786533:KTN786535 LDJ786533:LDJ786535 LNF786533:LNF786535 LXB786533:LXB786535 MGX786533:MGX786535 MQT786533:MQT786535 NAP786533:NAP786535 NKL786533:NKL786535 NUH786533:NUH786535 OED786533:OED786535 ONZ786533:ONZ786535 OXV786533:OXV786535 PHR786533:PHR786535 PRN786533:PRN786535 QBJ786533:QBJ786535 QLF786533:QLF786535 QVB786533:QVB786535 REX786533:REX786535 ROT786533:ROT786535 RYP786533:RYP786535 SIL786533:SIL786535 SSH786533:SSH786535 TCD786533:TCD786535 TLZ786533:TLZ786535 TVV786533:TVV786535 UFR786533:UFR786535 UPN786533:UPN786535 UZJ786533:UZJ786535 VJF786533:VJF786535 VTB786533:VTB786535 WCX786533:WCX786535 WMT786533:WMT786535 WWP786533:WWP786535 AH852069:AH852071 KD852069:KD852071 TZ852069:TZ852071 ADV852069:ADV852071 ANR852069:ANR852071 AXN852069:AXN852071 BHJ852069:BHJ852071 BRF852069:BRF852071 CBB852069:CBB852071 CKX852069:CKX852071 CUT852069:CUT852071 DEP852069:DEP852071 DOL852069:DOL852071 DYH852069:DYH852071 EID852069:EID852071 ERZ852069:ERZ852071 FBV852069:FBV852071 FLR852069:FLR852071 FVN852069:FVN852071 GFJ852069:GFJ852071 GPF852069:GPF852071 GZB852069:GZB852071 HIX852069:HIX852071 HST852069:HST852071 ICP852069:ICP852071 IML852069:IML852071 IWH852069:IWH852071 JGD852069:JGD852071 JPZ852069:JPZ852071 JZV852069:JZV852071 KJR852069:KJR852071 KTN852069:KTN852071 LDJ852069:LDJ852071 LNF852069:LNF852071 LXB852069:LXB852071 MGX852069:MGX852071 MQT852069:MQT852071 NAP852069:NAP852071 NKL852069:NKL852071 NUH852069:NUH852071 OED852069:OED852071 ONZ852069:ONZ852071 OXV852069:OXV852071 PHR852069:PHR852071 PRN852069:PRN852071 QBJ852069:QBJ852071 QLF852069:QLF852071 QVB852069:QVB852071 REX852069:REX852071 ROT852069:ROT852071 RYP852069:RYP852071 SIL852069:SIL852071 SSH852069:SSH852071 TCD852069:TCD852071 TLZ852069:TLZ852071 TVV852069:TVV852071 UFR852069:UFR852071 UPN852069:UPN852071 UZJ852069:UZJ852071 VJF852069:VJF852071 VTB852069:VTB852071 WCX852069:WCX852071 WMT852069:WMT852071 WWP852069:WWP852071 AH917605:AH917607 KD917605:KD917607 TZ917605:TZ917607 ADV917605:ADV917607 ANR917605:ANR917607 AXN917605:AXN917607 BHJ917605:BHJ917607 BRF917605:BRF917607 CBB917605:CBB917607 CKX917605:CKX917607 CUT917605:CUT917607 DEP917605:DEP917607 DOL917605:DOL917607 DYH917605:DYH917607 EID917605:EID917607 ERZ917605:ERZ917607 FBV917605:FBV917607 FLR917605:FLR917607 FVN917605:FVN917607 GFJ917605:GFJ917607 GPF917605:GPF917607 GZB917605:GZB917607 HIX917605:HIX917607 HST917605:HST917607 ICP917605:ICP917607 IML917605:IML917607 IWH917605:IWH917607 JGD917605:JGD917607 JPZ917605:JPZ917607 JZV917605:JZV917607 KJR917605:KJR917607 KTN917605:KTN917607 LDJ917605:LDJ917607 LNF917605:LNF917607 LXB917605:LXB917607 MGX917605:MGX917607 MQT917605:MQT917607 NAP917605:NAP917607 NKL917605:NKL917607 NUH917605:NUH917607 OED917605:OED917607 ONZ917605:ONZ917607 OXV917605:OXV917607 PHR917605:PHR917607 PRN917605:PRN917607 QBJ917605:QBJ917607 QLF917605:QLF917607 QVB917605:QVB917607 REX917605:REX917607 ROT917605:ROT917607 RYP917605:RYP917607 SIL917605:SIL917607 SSH917605:SSH917607 TCD917605:TCD917607 TLZ917605:TLZ917607 TVV917605:TVV917607 UFR917605:UFR917607 UPN917605:UPN917607 UZJ917605:UZJ917607 VJF917605:VJF917607 VTB917605:VTB917607 WCX917605:WCX917607 WMT917605:WMT917607 WWP917605:WWP917607 AH983141:AH983143 KD983141:KD983143 TZ983141:TZ983143 ADV983141:ADV983143 ANR983141:ANR983143 AXN983141:AXN983143 BHJ983141:BHJ983143 BRF983141:BRF983143 CBB983141:CBB983143 CKX983141:CKX983143 CUT983141:CUT983143 DEP983141:DEP983143 DOL983141:DOL983143 DYH983141:DYH983143 EID983141:EID983143 ERZ983141:ERZ983143 FBV983141:FBV983143 FLR983141:FLR983143 FVN983141:FVN983143 GFJ983141:GFJ983143 GPF983141:GPF983143 GZB983141:GZB983143 HIX983141:HIX983143 HST983141:HST983143 ICP983141:ICP983143 IML983141:IML983143 IWH983141:IWH983143 JGD983141:JGD983143 JPZ983141:JPZ983143 JZV983141:JZV983143 KJR983141:KJR983143 KTN983141:KTN983143 LDJ983141:LDJ983143 LNF983141:LNF983143 LXB983141:LXB983143 MGX983141:MGX983143 MQT983141:MQT983143 NAP983141:NAP983143 NKL983141:NKL983143 NUH983141:NUH983143 OED983141:OED983143 ONZ983141:ONZ983143 OXV983141:OXV983143 PHR983141:PHR983143 PRN983141:PRN983143 QBJ983141:QBJ983143 QLF983141:QLF983143 QVB983141:QVB983143 REX983141:REX983143 ROT983141:ROT983143 RYP983141:RYP983143 SIL983141:SIL983143 SSH983141:SSH983143 TCD983141:TCD983143 TLZ983141:TLZ983143 TVV983141:TVV983143 UFR983141:UFR983143 UPN983141:UPN983143 UZJ983141:UZJ983143 VJF983141:VJF983143 VTB983141:VTB983143 WCX983141:WCX983143 WMT983141:WMT983143 WWP983141:WWP983143 AH137:AH139 AH141:AH151 AH65632:AH65635 KD65632:KD65635 TZ65632:TZ65635 ADV65632:ADV65635 ANR65632:ANR65635 AXN65632:AXN65635 BHJ65632:BHJ65635 BRF65632:BRF65635 CBB65632:CBB65635 CKX65632:CKX65635 CUT65632:CUT65635 DEP65632:DEP65635 DOL65632:DOL65635 DYH65632:DYH65635 EID65632:EID65635 ERZ65632:ERZ65635 FBV65632:FBV65635 FLR65632:FLR65635 FVN65632:FVN65635 GFJ65632:GFJ65635 GPF65632:GPF65635 GZB65632:GZB65635 HIX65632:HIX65635 HST65632:HST65635 ICP65632:ICP65635 IML65632:IML65635 IWH65632:IWH65635 JGD65632:JGD65635 JPZ65632:JPZ65635 JZV65632:JZV65635 KJR65632:KJR65635 KTN65632:KTN65635 LDJ65632:LDJ65635 LNF65632:LNF65635 LXB65632:LXB65635 MGX65632:MGX65635 MQT65632:MQT65635 NAP65632:NAP65635 NKL65632:NKL65635 NUH65632:NUH65635 OED65632:OED65635 ONZ65632:ONZ65635 OXV65632:OXV65635 PHR65632:PHR65635 PRN65632:PRN65635 QBJ65632:QBJ65635 QLF65632:QLF65635 QVB65632:QVB65635 REX65632:REX65635 ROT65632:ROT65635 RYP65632:RYP65635 SIL65632:SIL65635 SSH65632:SSH65635 TCD65632:TCD65635 TLZ65632:TLZ65635 TVV65632:TVV65635 UFR65632:UFR65635 UPN65632:UPN65635 UZJ65632:UZJ65635 VJF65632:VJF65635 VTB65632:VTB65635 WCX65632:WCX65635 WMT65632:WMT65635 WWP65632:WWP65635 AH131168:AH131171 KD131168:KD131171 TZ131168:TZ131171 ADV131168:ADV131171 ANR131168:ANR131171 AXN131168:AXN131171 BHJ131168:BHJ131171 BRF131168:BRF131171 CBB131168:CBB131171 CKX131168:CKX131171 CUT131168:CUT131171 DEP131168:DEP131171 DOL131168:DOL131171 DYH131168:DYH131171 EID131168:EID131171 ERZ131168:ERZ131171 FBV131168:FBV131171 FLR131168:FLR131171 FVN131168:FVN131171 GFJ131168:GFJ131171 GPF131168:GPF131171 GZB131168:GZB131171 HIX131168:HIX131171 HST131168:HST131171 ICP131168:ICP131171 IML131168:IML131171 IWH131168:IWH131171 JGD131168:JGD131171 JPZ131168:JPZ131171 JZV131168:JZV131171 KJR131168:KJR131171 KTN131168:KTN131171 LDJ131168:LDJ131171 LNF131168:LNF131171 LXB131168:LXB131171 MGX131168:MGX131171 MQT131168:MQT131171 NAP131168:NAP131171 NKL131168:NKL131171 NUH131168:NUH131171 OED131168:OED131171 ONZ131168:ONZ131171 OXV131168:OXV131171 PHR131168:PHR131171 PRN131168:PRN131171 QBJ131168:QBJ131171 QLF131168:QLF131171 QVB131168:QVB131171 REX131168:REX131171 ROT131168:ROT131171 RYP131168:RYP131171 SIL131168:SIL131171 SSH131168:SSH131171 TCD131168:TCD131171 TLZ131168:TLZ131171 TVV131168:TVV131171 UFR131168:UFR131171 UPN131168:UPN131171 UZJ131168:UZJ131171 VJF131168:VJF131171 VTB131168:VTB131171 WCX131168:WCX131171 WMT131168:WMT131171 WWP131168:WWP131171 AH196704:AH196707 KD196704:KD196707 TZ196704:TZ196707 ADV196704:ADV196707 ANR196704:ANR196707 AXN196704:AXN196707 BHJ196704:BHJ196707 BRF196704:BRF196707 CBB196704:CBB196707 CKX196704:CKX196707 CUT196704:CUT196707 DEP196704:DEP196707 DOL196704:DOL196707 DYH196704:DYH196707 EID196704:EID196707 ERZ196704:ERZ196707 FBV196704:FBV196707 FLR196704:FLR196707 FVN196704:FVN196707 GFJ196704:GFJ196707 GPF196704:GPF196707 GZB196704:GZB196707 HIX196704:HIX196707 HST196704:HST196707 ICP196704:ICP196707 IML196704:IML196707 IWH196704:IWH196707 JGD196704:JGD196707 JPZ196704:JPZ196707 JZV196704:JZV196707 KJR196704:KJR196707 KTN196704:KTN196707 LDJ196704:LDJ196707 LNF196704:LNF196707 LXB196704:LXB196707 MGX196704:MGX196707 MQT196704:MQT196707 NAP196704:NAP196707 NKL196704:NKL196707 NUH196704:NUH196707 OED196704:OED196707 ONZ196704:ONZ196707 OXV196704:OXV196707 PHR196704:PHR196707 PRN196704:PRN196707 QBJ196704:QBJ196707 QLF196704:QLF196707 QVB196704:QVB196707 REX196704:REX196707 ROT196704:ROT196707 RYP196704:RYP196707 SIL196704:SIL196707 SSH196704:SSH196707 TCD196704:TCD196707 TLZ196704:TLZ196707 TVV196704:TVV196707 UFR196704:UFR196707 UPN196704:UPN196707 UZJ196704:UZJ196707 VJF196704:VJF196707 VTB196704:VTB196707 WCX196704:WCX196707 WMT196704:WMT196707 WWP196704:WWP196707 AH262240:AH262243 KD262240:KD262243 TZ262240:TZ262243 ADV262240:ADV262243 ANR262240:ANR262243 AXN262240:AXN262243 BHJ262240:BHJ262243 BRF262240:BRF262243 CBB262240:CBB262243 CKX262240:CKX262243 CUT262240:CUT262243 DEP262240:DEP262243 DOL262240:DOL262243 DYH262240:DYH262243 EID262240:EID262243 ERZ262240:ERZ262243 FBV262240:FBV262243 FLR262240:FLR262243 FVN262240:FVN262243 GFJ262240:GFJ262243 GPF262240:GPF262243 GZB262240:GZB262243 HIX262240:HIX262243 HST262240:HST262243 ICP262240:ICP262243 IML262240:IML262243 IWH262240:IWH262243 JGD262240:JGD262243 JPZ262240:JPZ262243 JZV262240:JZV262243 KJR262240:KJR262243 KTN262240:KTN262243 LDJ262240:LDJ262243 LNF262240:LNF262243 LXB262240:LXB262243 MGX262240:MGX262243 MQT262240:MQT262243 NAP262240:NAP262243 NKL262240:NKL262243 NUH262240:NUH262243 OED262240:OED262243 ONZ262240:ONZ262243 OXV262240:OXV262243 PHR262240:PHR262243 PRN262240:PRN262243 QBJ262240:QBJ262243 QLF262240:QLF262243 QVB262240:QVB262243 REX262240:REX262243 ROT262240:ROT262243 RYP262240:RYP262243 SIL262240:SIL262243 SSH262240:SSH262243 TCD262240:TCD262243 TLZ262240:TLZ262243 TVV262240:TVV262243 UFR262240:UFR262243 UPN262240:UPN262243 UZJ262240:UZJ262243 VJF262240:VJF262243 VTB262240:VTB262243 WCX262240:WCX262243 WMT262240:WMT262243 WWP262240:WWP262243 AH327776:AH327779 KD327776:KD327779 TZ327776:TZ327779 ADV327776:ADV327779 ANR327776:ANR327779 AXN327776:AXN327779 BHJ327776:BHJ327779 BRF327776:BRF327779 CBB327776:CBB327779 CKX327776:CKX327779 CUT327776:CUT327779 DEP327776:DEP327779 DOL327776:DOL327779 DYH327776:DYH327779 EID327776:EID327779 ERZ327776:ERZ327779 FBV327776:FBV327779 FLR327776:FLR327779 FVN327776:FVN327779 GFJ327776:GFJ327779 GPF327776:GPF327779 GZB327776:GZB327779 HIX327776:HIX327779 HST327776:HST327779 ICP327776:ICP327779 IML327776:IML327779 IWH327776:IWH327779 JGD327776:JGD327779 JPZ327776:JPZ327779 JZV327776:JZV327779 KJR327776:KJR327779 KTN327776:KTN327779 LDJ327776:LDJ327779 LNF327776:LNF327779 LXB327776:LXB327779 MGX327776:MGX327779 MQT327776:MQT327779 NAP327776:NAP327779 NKL327776:NKL327779 NUH327776:NUH327779 OED327776:OED327779 ONZ327776:ONZ327779 OXV327776:OXV327779 PHR327776:PHR327779 PRN327776:PRN327779 QBJ327776:QBJ327779 QLF327776:QLF327779 QVB327776:QVB327779 REX327776:REX327779 ROT327776:ROT327779 RYP327776:RYP327779 SIL327776:SIL327779 SSH327776:SSH327779 TCD327776:TCD327779 TLZ327776:TLZ327779 TVV327776:TVV327779 UFR327776:UFR327779 UPN327776:UPN327779 UZJ327776:UZJ327779 VJF327776:VJF327779 VTB327776:VTB327779 WCX327776:WCX327779 WMT327776:WMT327779 WWP327776:WWP327779 AH393312:AH393315 KD393312:KD393315 TZ393312:TZ393315 ADV393312:ADV393315 ANR393312:ANR393315 AXN393312:AXN393315 BHJ393312:BHJ393315 BRF393312:BRF393315 CBB393312:CBB393315 CKX393312:CKX393315 CUT393312:CUT393315 DEP393312:DEP393315 DOL393312:DOL393315 DYH393312:DYH393315 EID393312:EID393315 ERZ393312:ERZ393315 FBV393312:FBV393315 FLR393312:FLR393315 FVN393312:FVN393315 GFJ393312:GFJ393315 GPF393312:GPF393315 GZB393312:GZB393315 HIX393312:HIX393315 HST393312:HST393315 ICP393312:ICP393315 IML393312:IML393315 IWH393312:IWH393315 JGD393312:JGD393315 JPZ393312:JPZ393315 JZV393312:JZV393315 KJR393312:KJR393315 KTN393312:KTN393315 LDJ393312:LDJ393315 LNF393312:LNF393315 LXB393312:LXB393315 MGX393312:MGX393315 MQT393312:MQT393315 NAP393312:NAP393315 NKL393312:NKL393315 NUH393312:NUH393315 OED393312:OED393315 ONZ393312:ONZ393315 OXV393312:OXV393315 PHR393312:PHR393315 PRN393312:PRN393315 QBJ393312:QBJ393315 QLF393312:QLF393315 QVB393312:QVB393315 REX393312:REX393315 ROT393312:ROT393315 RYP393312:RYP393315 SIL393312:SIL393315 SSH393312:SSH393315 TCD393312:TCD393315 TLZ393312:TLZ393315 TVV393312:TVV393315 UFR393312:UFR393315 UPN393312:UPN393315 UZJ393312:UZJ393315 VJF393312:VJF393315 VTB393312:VTB393315 WCX393312:WCX393315 WMT393312:WMT393315 WWP393312:WWP393315 AH458848:AH458851 KD458848:KD458851 TZ458848:TZ458851 ADV458848:ADV458851 ANR458848:ANR458851 AXN458848:AXN458851 BHJ458848:BHJ458851 BRF458848:BRF458851 CBB458848:CBB458851 CKX458848:CKX458851 CUT458848:CUT458851 DEP458848:DEP458851 DOL458848:DOL458851 DYH458848:DYH458851 EID458848:EID458851 ERZ458848:ERZ458851 FBV458848:FBV458851 FLR458848:FLR458851 FVN458848:FVN458851 GFJ458848:GFJ458851 GPF458848:GPF458851 GZB458848:GZB458851 HIX458848:HIX458851 HST458848:HST458851 ICP458848:ICP458851 IML458848:IML458851 IWH458848:IWH458851 JGD458848:JGD458851 JPZ458848:JPZ458851 JZV458848:JZV458851 KJR458848:KJR458851 KTN458848:KTN458851 LDJ458848:LDJ458851 LNF458848:LNF458851 LXB458848:LXB458851 MGX458848:MGX458851 MQT458848:MQT458851 NAP458848:NAP458851 NKL458848:NKL458851 NUH458848:NUH458851 OED458848:OED458851 ONZ458848:ONZ458851 OXV458848:OXV458851 PHR458848:PHR458851 PRN458848:PRN458851 QBJ458848:QBJ458851 QLF458848:QLF458851 QVB458848:QVB458851 REX458848:REX458851 ROT458848:ROT458851 RYP458848:RYP458851 SIL458848:SIL458851 SSH458848:SSH458851 TCD458848:TCD458851 TLZ458848:TLZ458851 TVV458848:TVV458851 UFR458848:UFR458851 UPN458848:UPN458851 UZJ458848:UZJ458851 VJF458848:VJF458851 VTB458848:VTB458851 WCX458848:WCX458851 WMT458848:WMT458851 WWP458848:WWP458851 AH524384:AH524387 KD524384:KD524387 TZ524384:TZ524387 ADV524384:ADV524387 ANR524384:ANR524387 AXN524384:AXN524387 BHJ524384:BHJ524387 BRF524384:BRF524387 CBB524384:CBB524387 CKX524384:CKX524387 CUT524384:CUT524387 DEP524384:DEP524387 DOL524384:DOL524387 DYH524384:DYH524387 EID524384:EID524387 ERZ524384:ERZ524387 FBV524384:FBV524387 FLR524384:FLR524387 FVN524384:FVN524387 GFJ524384:GFJ524387 GPF524384:GPF524387 GZB524384:GZB524387 HIX524384:HIX524387 HST524384:HST524387 ICP524384:ICP524387 IML524384:IML524387 IWH524384:IWH524387 JGD524384:JGD524387 JPZ524384:JPZ524387 JZV524384:JZV524387 KJR524384:KJR524387 KTN524384:KTN524387 LDJ524384:LDJ524387 LNF524384:LNF524387 LXB524384:LXB524387 MGX524384:MGX524387 MQT524384:MQT524387 NAP524384:NAP524387 NKL524384:NKL524387 NUH524384:NUH524387 OED524384:OED524387 ONZ524384:ONZ524387 OXV524384:OXV524387 PHR524384:PHR524387 PRN524384:PRN524387 QBJ524384:QBJ524387 QLF524384:QLF524387 QVB524384:QVB524387 REX524384:REX524387 ROT524384:ROT524387 RYP524384:RYP524387 SIL524384:SIL524387 SSH524384:SSH524387 TCD524384:TCD524387 TLZ524384:TLZ524387 TVV524384:TVV524387 UFR524384:UFR524387 UPN524384:UPN524387 UZJ524384:UZJ524387 VJF524384:VJF524387 VTB524384:VTB524387 WCX524384:WCX524387 WMT524384:WMT524387 WWP524384:WWP524387 AH589920:AH589923 KD589920:KD589923 TZ589920:TZ589923 ADV589920:ADV589923 ANR589920:ANR589923 AXN589920:AXN589923 BHJ589920:BHJ589923 BRF589920:BRF589923 CBB589920:CBB589923 CKX589920:CKX589923 CUT589920:CUT589923 DEP589920:DEP589923 DOL589920:DOL589923 DYH589920:DYH589923 EID589920:EID589923 ERZ589920:ERZ589923 FBV589920:FBV589923 FLR589920:FLR589923 FVN589920:FVN589923 GFJ589920:GFJ589923 GPF589920:GPF589923 GZB589920:GZB589923 HIX589920:HIX589923 HST589920:HST589923 ICP589920:ICP589923 IML589920:IML589923 IWH589920:IWH589923 JGD589920:JGD589923 JPZ589920:JPZ589923 JZV589920:JZV589923 KJR589920:KJR589923 KTN589920:KTN589923 LDJ589920:LDJ589923 LNF589920:LNF589923 LXB589920:LXB589923 MGX589920:MGX589923 MQT589920:MQT589923 NAP589920:NAP589923 NKL589920:NKL589923 NUH589920:NUH589923 OED589920:OED589923 ONZ589920:ONZ589923 OXV589920:OXV589923 PHR589920:PHR589923 PRN589920:PRN589923 QBJ589920:QBJ589923 QLF589920:QLF589923 QVB589920:QVB589923 REX589920:REX589923 ROT589920:ROT589923 RYP589920:RYP589923 SIL589920:SIL589923 SSH589920:SSH589923 TCD589920:TCD589923 TLZ589920:TLZ589923 TVV589920:TVV589923 UFR589920:UFR589923 UPN589920:UPN589923 UZJ589920:UZJ589923 VJF589920:VJF589923 VTB589920:VTB589923 WCX589920:WCX589923 WMT589920:WMT589923 WWP589920:WWP589923 AH655456:AH655459 KD655456:KD655459 TZ655456:TZ655459 ADV655456:ADV655459 ANR655456:ANR655459 AXN655456:AXN655459 BHJ655456:BHJ655459 BRF655456:BRF655459 CBB655456:CBB655459 CKX655456:CKX655459 CUT655456:CUT655459 DEP655456:DEP655459 DOL655456:DOL655459 DYH655456:DYH655459 EID655456:EID655459 ERZ655456:ERZ655459 FBV655456:FBV655459 FLR655456:FLR655459 FVN655456:FVN655459 GFJ655456:GFJ655459 GPF655456:GPF655459 GZB655456:GZB655459 HIX655456:HIX655459 HST655456:HST655459 ICP655456:ICP655459 IML655456:IML655459 IWH655456:IWH655459 JGD655456:JGD655459 JPZ655456:JPZ655459 JZV655456:JZV655459 KJR655456:KJR655459 KTN655456:KTN655459 LDJ655456:LDJ655459 LNF655456:LNF655459 LXB655456:LXB655459 MGX655456:MGX655459 MQT655456:MQT655459 NAP655456:NAP655459 NKL655456:NKL655459 NUH655456:NUH655459 OED655456:OED655459 ONZ655456:ONZ655459 OXV655456:OXV655459 PHR655456:PHR655459 PRN655456:PRN655459 QBJ655456:QBJ655459 QLF655456:QLF655459 QVB655456:QVB655459 REX655456:REX655459 ROT655456:ROT655459 RYP655456:RYP655459 SIL655456:SIL655459 SSH655456:SSH655459 TCD655456:TCD655459 TLZ655456:TLZ655459 TVV655456:TVV655459 UFR655456:UFR655459 UPN655456:UPN655459 UZJ655456:UZJ655459 VJF655456:VJF655459 VTB655456:VTB655459 WCX655456:WCX655459 WMT655456:WMT655459 WWP655456:WWP655459 AH720992:AH720995 KD720992:KD720995 TZ720992:TZ720995 ADV720992:ADV720995 ANR720992:ANR720995 AXN720992:AXN720995 BHJ720992:BHJ720995 BRF720992:BRF720995 CBB720992:CBB720995 CKX720992:CKX720995 CUT720992:CUT720995 DEP720992:DEP720995 DOL720992:DOL720995 DYH720992:DYH720995 EID720992:EID720995 ERZ720992:ERZ720995 FBV720992:FBV720995 FLR720992:FLR720995 FVN720992:FVN720995 GFJ720992:GFJ720995 GPF720992:GPF720995 GZB720992:GZB720995 HIX720992:HIX720995 HST720992:HST720995 ICP720992:ICP720995 IML720992:IML720995 IWH720992:IWH720995 JGD720992:JGD720995 JPZ720992:JPZ720995 JZV720992:JZV720995 KJR720992:KJR720995 KTN720992:KTN720995 LDJ720992:LDJ720995 LNF720992:LNF720995 LXB720992:LXB720995 MGX720992:MGX720995 MQT720992:MQT720995 NAP720992:NAP720995 NKL720992:NKL720995 NUH720992:NUH720995 OED720992:OED720995 ONZ720992:ONZ720995 OXV720992:OXV720995 PHR720992:PHR720995 PRN720992:PRN720995 QBJ720992:QBJ720995 QLF720992:QLF720995 QVB720992:QVB720995 REX720992:REX720995 ROT720992:ROT720995 RYP720992:RYP720995 SIL720992:SIL720995 SSH720992:SSH720995 TCD720992:TCD720995 TLZ720992:TLZ720995 TVV720992:TVV720995 UFR720992:UFR720995 UPN720992:UPN720995 UZJ720992:UZJ720995 VJF720992:VJF720995 VTB720992:VTB720995 WCX720992:WCX720995 WMT720992:WMT720995 WWP720992:WWP720995 AH786528:AH786531 KD786528:KD786531 TZ786528:TZ786531 ADV786528:ADV786531 ANR786528:ANR786531 AXN786528:AXN786531 BHJ786528:BHJ786531 BRF786528:BRF786531 CBB786528:CBB786531 CKX786528:CKX786531 CUT786528:CUT786531 DEP786528:DEP786531 DOL786528:DOL786531 DYH786528:DYH786531 EID786528:EID786531 ERZ786528:ERZ786531 FBV786528:FBV786531 FLR786528:FLR786531 FVN786528:FVN786531 GFJ786528:GFJ786531 GPF786528:GPF786531 GZB786528:GZB786531 HIX786528:HIX786531 HST786528:HST786531 ICP786528:ICP786531 IML786528:IML786531 IWH786528:IWH786531 JGD786528:JGD786531 JPZ786528:JPZ786531 JZV786528:JZV786531 KJR786528:KJR786531 KTN786528:KTN786531 LDJ786528:LDJ786531 LNF786528:LNF786531 LXB786528:LXB786531 MGX786528:MGX786531 MQT786528:MQT786531 NAP786528:NAP786531 NKL786528:NKL786531 NUH786528:NUH786531 OED786528:OED786531 ONZ786528:ONZ786531 OXV786528:OXV786531 PHR786528:PHR786531 PRN786528:PRN786531 QBJ786528:QBJ786531 QLF786528:QLF786531 QVB786528:QVB786531 REX786528:REX786531 ROT786528:ROT786531 RYP786528:RYP786531 SIL786528:SIL786531 SSH786528:SSH786531 TCD786528:TCD786531 TLZ786528:TLZ786531 TVV786528:TVV786531 UFR786528:UFR786531 UPN786528:UPN786531 UZJ786528:UZJ786531 VJF786528:VJF786531 VTB786528:VTB786531 WCX786528:WCX786531 WMT786528:WMT786531 WWP786528:WWP786531 AH852064:AH852067 KD852064:KD852067 TZ852064:TZ852067 ADV852064:ADV852067 ANR852064:ANR852067 AXN852064:AXN852067 BHJ852064:BHJ852067 BRF852064:BRF852067 CBB852064:CBB852067 CKX852064:CKX852067 CUT852064:CUT852067 DEP852064:DEP852067 DOL852064:DOL852067 DYH852064:DYH852067 EID852064:EID852067 ERZ852064:ERZ852067 FBV852064:FBV852067 FLR852064:FLR852067 FVN852064:FVN852067 GFJ852064:GFJ852067 GPF852064:GPF852067 GZB852064:GZB852067 HIX852064:HIX852067 HST852064:HST852067 ICP852064:ICP852067 IML852064:IML852067 IWH852064:IWH852067 JGD852064:JGD852067 JPZ852064:JPZ852067 JZV852064:JZV852067 KJR852064:KJR852067 KTN852064:KTN852067 LDJ852064:LDJ852067 LNF852064:LNF852067 LXB852064:LXB852067 MGX852064:MGX852067 MQT852064:MQT852067 NAP852064:NAP852067 NKL852064:NKL852067 NUH852064:NUH852067 OED852064:OED852067 ONZ852064:ONZ852067 OXV852064:OXV852067 PHR852064:PHR852067 PRN852064:PRN852067 QBJ852064:QBJ852067 QLF852064:QLF852067 QVB852064:QVB852067 REX852064:REX852067 ROT852064:ROT852067 RYP852064:RYP852067 SIL852064:SIL852067 SSH852064:SSH852067 TCD852064:TCD852067 TLZ852064:TLZ852067 TVV852064:TVV852067 UFR852064:UFR852067 UPN852064:UPN852067 UZJ852064:UZJ852067 VJF852064:VJF852067 VTB852064:VTB852067 WCX852064:WCX852067 WMT852064:WMT852067 WWP852064:WWP852067 AH917600:AH917603 KD917600:KD917603 TZ917600:TZ917603 ADV917600:ADV917603 ANR917600:ANR917603 AXN917600:AXN917603 BHJ917600:BHJ917603 BRF917600:BRF917603 CBB917600:CBB917603 CKX917600:CKX917603 CUT917600:CUT917603 DEP917600:DEP917603 DOL917600:DOL917603 DYH917600:DYH917603 EID917600:EID917603 ERZ917600:ERZ917603 FBV917600:FBV917603 FLR917600:FLR917603 FVN917600:FVN917603 GFJ917600:GFJ917603 GPF917600:GPF917603 GZB917600:GZB917603 HIX917600:HIX917603 HST917600:HST917603 ICP917600:ICP917603 IML917600:IML917603 IWH917600:IWH917603 JGD917600:JGD917603 JPZ917600:JPZ917603 JZV917600:JZV917603 KJR917600:KJR917603 KTN917600:KTN917603 LDJ917600:LDJ917603 LNF917600:LNF917603 LXB917600:LXB917603 MGX917600:MGX917603 MQT917600:MQT917603 NAP917600:NAP917603 NKL917600:NKL917603 NUH917600:NUH917603 OED917600:OED917603 ONZ917600:ONZ917603 OXV917600:OXV917603 PHR917600:PHR917603 PRN917600:PRN917603 QBJ917600:QBJ917603 QLF917600:QLF917603 QVB917600:QVB917603 REX917600:REX917603 ROT917600:ROT917603 RYP917600:RYP917603 SIL917600:SIL917603 SSH917600:SSH917603 TCD917600:TCD917603 TLZ917600:TLZ917603 TVV917600:TVV917603 UFR917600:UFR917603 UPN917600:UPN917603 UZJ917600:UZJ917603 VJF917600:VJF917603 VTB917600:VTB917603 WCX917600:WCX917603 WMT917600:WMT917603 WWP917600:WWP917603 AH983136:AH983139 KD983136:KD983139 TZ983136:TZ983139 ADV983136:ADV983139 ANR983136:ANR983139 AXN983136:AXN983139 BHJ983136:BHJ983139 BRF983136:BRF983139 CBB983136:CBB983139 CKX983136:CKX983139 CUT983136:CUT983139 DEP983136:DEP983139 DOL983136:DOL983139 DYH983136:DYH983139 EID983136:EID983139 ERZ983136:ERZ983139 FBV983136:FBV983139 FLR983136:FLR983139 FVN983136:FVN983139 GFJ983136:GFJ983139 GPF983136:GPF983139 GZB983136:GZB983139 HIX983136:HIX983139 HST983136:HST983139 ICP983136:ICP983139 IML983136:IML983139 IWH983136:IWH983139 JGD983136:JGD983139 JPZ983136:JPZ983139 JZV983136:JZV983139 KJR983136:KJR983139 KTN983136:KTN983139 LDJ983136:LDJ983139 LNF983136:LNF983139 LXB983136:LXB983139 MGX983136:MGX983139 MQT983136:MQT983139 NAP983136:NAP983139 NKL983136:NKL983139 NUH983136:NUH983139 OED983136:OED983139 ONZ983136:ONZ983139 OXV983136:OXV983139 PHR983136:PHR983139 PRN983136:PRN983139 QBJ983136:QBJ983139 QLF983136:QLF983139 QVB983136:QVB983139 REX983136:REX983139 ROT983136:ROT983139 RYP983136:RYP983139 SIL983136:SIL983139 SSH983136:SSH983139 TCD983136:TCD983139 TLZ983136:TLZ983139 TVV983136:TVV983139 UFR983136:UFR983139 UPN983136:UPN983139 UZJ983136:UZJ983139 VJF983136:VJF983139 VTB983136:VTB983139 WCX983136:WCX983139 WMT983136:WMT983139 WWP983136:WWP983139 AH90:AH92 KD90:KD92 TZ90:TZ92 ADV90:ADV92 ANR90:ANR92 AXN90:AXN92 BHJ90:BHJ92 BRF90:BRF92 CBB90:CBB92 CKX90:CKX92 CUT90:CUT92 DEP90:DEP92 DOL90:DOL92 DYH90:DYH92 EID90:EID92 ERZ90:ERZ92 FBV90:FBV92 FLR90:FLR92 FVN90:FVN92 GFJ90:GFJ92 GPF90:GPF92 GZB90:GZB92 HIX90:HIX92 HST90:HST92 ICP90:ICP92 IML90:IML92 IWH90:IWH92 JGD90:JGD92 JPZ90:JPZ92 JZV90:JZV92 KJR90:KJR92 KTN90:KTN92 LDJ90:LDJ92 LNF90:LNF92 LXB90:LXB92 MGX90:MGX92 MQT90:MQT92 NAP90:NAP92 NKL90:NKL92 NUH90:NUH92 OED90:OED92 ONZ90:ONZ92 OXV90:OXV92 PHR90:PHR92 PRN90:PRN92 QBJ90:QBJ92 QLF90:QLF92 QVB90:QVB92 REX90:REX92 ROT90:ROT92 RYP90:RYP92 SIL90:SIL92 SSH90:SSH92 TCD90:TCD92 TLZ90:TLZ92 TVV90:TVV92 UFR90:UFR92 UPN90:UPN92 UZJ90:UZJ92 VJF90:VJF92 VTB90:VTB92 WCX90:WCX92 WMT90:WMT92 WWP90:WWP92 AH65628:AH65630 KD65628:KD65630 TZ65628:TZ65630 ADV65628:ADV65630 ANR65628:ANR65630 AXN65628:AXN65630 BHJ65628:BHJ65630 BRF65628:BRF65630 CBB65628:CBB65630 CKX65628:CKX65630 CUT65628:CUT65630 DEP65628:DEP65630 DOL65628:DOL65630 DYH65628:DYH65630 EID65628:EID65630 ERZ65628:ERZ65630 FBV65628:FBV65630 FLR65628:FLR65630 FVN65628:FVN65630 GFJ65628:GFJ65630 GPF65628:GPF65630 GZB65628:GZB65630 HIX65628:HIX65630 HST65628:HST65630 ICP65628:ICP65630 IML65628:IML65630 IWH65628:IWH65630 JGD65628:JGD65630 JPZ65628:JPZ65630 JZV65628:JZV65630 KJR65628:KJR65630 KTN65628:KTN65630 LDJ65628:LDJ65630 LNF65628:LNF65630 LXB65628:LXB65630 MGX65628:MGX65630 MQT65628:MQT65630 NAP65628:NAP65630 NKL65628:NKL65630 NUH65628:NUH65630 OED65628:OED65630 ONZ65628:ONZ65630 OXV65628:OXV65630 PHR65628:PHR65630 PRN65628:PRN65630 QBJ65628:QBJ65630 QLF65628:QLF65630 QVB65628:QVB65630 REX65628:REX65630 ROT65628:ROT65630 RYP65628:RYP65630 SIL65628:SIL65630 SSH65628:SSH65630 TCD65628:TCD65630 TLZ65628:TLZ65630 TVV65628:TVV65630 UFR65628:UFR65630 UPN65628:UPN65630 UZJ65628:UZJ65630 VJF65628:VJF65630 VTB65628:VTB65630 WCX65628:WCX65630 WMT65628:WMT65630 WWP65628:WWP65630 AH131164:AH131166 KD131164:KD131166 TZ131164:TZ131166 ADV131164:ADV131166 ANR131164:ANR131166 AXN131164:AXN131166 BHJ131164:BHJ131166 BRF131164:BRF131166 CBB131164:CBB131166 CKX131164:CKX131166 CUT131164:CUT131166 DEP131164:DEP131166 DOL131164:DOL131166 DYH131164:DYH131166 EID131164:EID131166 ERZ131164:ERZ131166 FBV131164:FBV131166 FLR131164:FLR131166 FVN131164:FVN131166 GFJ131164:GFJ131166 GPF131164:GPF131166 GZB131164:GZB131166 HIX131164:HIX131166 HST131164:HST131166 ICP131164:ICP131166 IML131164:IML131166 IWH131164:IWH131166 JGD131164:JGD131166 JPZ131164:JPZ131166 JZV131164:JZV131166 KJR131164:KJR131166 KTN131164:KTN131166 LDJ131164:LDJ131166 LNF131164:LNF131166 LXB131164:LXB131166 MGX131164:MGX131166 MQT131164:MQT131166 NAP131164:NAP131166 NKL131164:NKL131166 NUH131164:NUH131166 OED131164:OED131166 ONZ131164:ONZ131166 OXV131164:OXV131166 PHR131164:PHR131166 PRN131164:PRN131166 QBJ131164:QBJ131166 QLF131164:QLF131166 QVB131164:QVB131166 REX131164:REX131166 ROT131164:ROT131166 RYP131164:RYP131166 SIL131164:SIL131166 SSH131164:SSH131166 TCD131164:TCD131166 TLZ131164:TLZ131166 TVV131164:TVV131166 UFR131164:UFR131166 UPN131164:UPN131166 UZJ131164:UZJ131166 VJF131164:VJF131166 VTB131164:VTB131166 WCX131164:WCX131166 WMT131164:WMT131166 WWP131164:WWP131166 AH196700:AH196702 KD196700:KD196702 TZ196700:TZ196702 ADV196700:ADV196702 ANR196700:ANR196702 AXN196700:AXN196702 BHJ196700:BHJ196702 BRF196700:BRF196702 CBB196700:CBB196702 CKX196700:CKX196702 CUT196700:CUT196702 DEP196700:DEP196702 DOL196700:DOL196702 DYH196700:DYH196702 EID196700:EID196702 ERZ196700:ERZ196702 FBV196700:FBV196702 FLR196700:FLR196702 FVN196700:FVN196702 GFJ196700:GFJ196702 GPF196700:GPF196702 GZB196700:GZB196702 HIX196700:HIX196702 HST196700:HST196702 ICP196700:ICP196702 IML196700:IML196702 IWH196700:IWH196702 JGD196700:JGD196702 JPZ196700:JPZ196702 JZV196700:JZV196702 KJR196700:KJR196702 KTN196700:KTN196702 LDJ196700:LDJ196702 LNF196700:LNF196702 LXB196700:LXB196702 MGX196700:MGX196702 MQT196700:MQT196702 NAP196700:NAP196702 NKL196700:NKL196702 NUH196700:NUH196702 OED196700:OED196702 ONZ196700:ONZ196702 OXV196700:OXV196702 PHR196700:PHR196702 PRN196700:PRN196702 QBJ196700:QBJ196702 QLF196700:QLF196702 QVB196700:QVB196702 REX196700:REX196702 ROT196700:ROT196702 RYP196700:RYP196702 SIL196700:SIL196702 SSH196700:SSH196702 TCD196700:TCD196702 TLZ196700:TLZ196702 TVV196700:TVV196702 UFR196700:UFR196702 UPN196700:UPN196702 UZJ196700:UZJ196702 VJF196700:VJF196702 VTB196700:VTB196702 WCX196700:WCX196702 WMT196700:WMT196702 WWP196700:WWP196702 AH262236:AH262238 KD262236:KD262238 TZ262236:TZ262238 ADV262236:ADV262238 ANR262236:ANR262238 AXN262236:AXN262238 BHJ262236:BHJ262238 BRF262236:BRF262238 CBB262236:CBB262238 CKX262236:CKX262238 CUT262236:CUT262238 DEP262236:DEP262238 DOL262236:DOL262238 DYH262236:DYH262238 EID262236:EID262238 ERZ262236:ERZ262238 FBV262236:FBV262238 FLR262236:FLR262238 FVN262236:FVN262238 GFJ262236:GFJ262238 GPF262236:GPF262238 GZB262236:GZB262238 HIX262236:HIX262238 HST262236:HST262238 ICP262236:ICP262238 IML262236:IML262238 IWH262236:IWH262238 JGD262236:JGD262238 JPZ262236:JPZ262238 JZV262236:JZV262238 KJR262236:KJR262238 KTN262236:KTN262238 LDJ262236:LDJ262238 LNF262236:LNF262238 LXB262236:LXB262238 MGX262236:MGX262238 MQT262236:MQT262238 NAP262236:NAP262238 NKL262236:NKL262238 NUH262236:NUH262238 OED262236:OED262238 ONZ262236:ONZ262238 OXV262236:OXV262238 PHR262236:PHR262238 PRN262236:PRN262238 QBJ262236:QBJ262238 QLF262236:QLF262238 QVB262236:QVB262238 REX262236:REX262238 ROT262236:ROT262238 RYP262236:RYP262238 SIL262236:SIL262238 SSH262236:SSH262238 TCD262236:TCD262238 TLZ262236:TLZ262238 TVV262236:TVV262238 UFR262236:UFR262238 UPN262236:UPN262238 UZJ262236:UZJ262238 VJF262236:VJF262238 VTB262236:VTB262238 WCX262236:WCX262238 WMT262236:WMT262238 WWP262236:WWP262238 AH327772:AH327774 KD327772:KD327774 TZ327772:TZ327774 ADV327772:ADV327774 ANR327772:ANR327774 AXN327772:AXN327774 BHJ327772:BHJ327774 BRF327772:BRF327774 CBB327772:CBB327774 CKX327772:CKX327774 CUT327772:CUT327774 DEP327772:DEP327774 DOL327772:DOL327774 DYH327772:DYH327774 EID327772:EID327774 ERZ327772:ERZ327774 FBV327772:FBV327774 FLR327772:FLR327774 FVN327772:FVN327774 GFJ327772:GFJ327774 GPF327772:GPF327774 GZB327772:GZB327774 HIX327772:HIX327774 HST327772:HST327774 ICP327772:ICP327774 IML327772:IML327774 IWH327772:IWH327774 JGD327772:JGD327774 JPZ327772:JPZ327774 JZV327772:JZV327774 KJR327772:KJR327774 KTN327772:KTN327774 LDJ327772:LDJ327774 LNF327772:LNF327774 LXB327772:LXB327774 MGX327772:MGX327774 MQT327772:MQT327774 NAP327772:NAP327774 NKL327772:NKL327774 NUH327772:NUH327774 OED327772:OED327774 ONZ327772:ONZ327774 OXV327772:OXV327774 PHR327772:PHR327774 PRN327772:PRN327774 QBJ327772:QBJ327774 QLF327772:QLF327774 QVB327772:QVB327774 REX327772:REX327774 ROT327772:ROT327774 RYP327772:RYP327774 SIL327772:SIL327774 SSH327772:SSH327774 TCD327772:TCD327774 TLZ327772:TLZ327774 TVV327772:TVV327774 UFR327772:UFR327774 UPN327772:UPN327774 UZJ327772:UZJ327774 VJF327772:VJF327774 VTB327772:VTB327774 WCX327772:WCX327774 WMT327772:WMT327774 WWP327772:WWP327774 AH393308:AH393310 KD393308:KD393310 TZ393308:TZ393310 ADV393308:ADV393310 ANR393308:ANR393310 AXN393308:AXN393310 BHJ393308:BHJ393310 BRF393308:BRF393310 CBB393308:CBB393310 CKX393308:CKX393310 CUT393308:CUT393310 DEP393308:DEP393310 DOL393308:DOL393310 DYH393308:DYH393310 EID393308:EID393310 ERZ393308:ERZ393310 FBV393308:FBV393310 FLR393308:FLR393310 FVN393308:FVN393310 GFJ393308:GFJ393310 GPF393308:GPF393310 GZB393308:GZB393310 HIX393308:HIX393310 HST393308:HST393310 ICP393308:ICP393310 IML393308:IML393310 IWH393308:IWH393310 JGD393308:JGD393310 JPZ393308:JPZ393310 JZV393308:JZV393310 KJR393308:KJR393310 KTN393308:KTN393310 LDJ393308:LDJ393310 LNF393308:LNF393310 LXB393308:LXB393310 MGX393308:MGX393310 MQT393308:MQT393310 NAP393308:NAP393310 NKL393308:NKL393310 NUH393308:NUH393310 OED393308:OED393310 ONZ393308:ONZ393310 OXV393308:OXV393310 PHR393308:PHR393310 PRN393308:PRN393310 QBJ393308:QBJ393310 QLF393308:QLF393310 QVB393308:QVB393310 REX393308:REX393310 ROT393308:ROT393310 RYP393308:RYP393310 SIL393308:SIL393310 SSH393308:SSH393310 TCD393308:TCD393310 TLZ393308:TLZ393310 TVV393308:TVV393310 UFR393308:UFR393310 UPN393308:UPN393310 UZJ393308:UZJ393310 VJF393308:VJF393310 VTB393308:VTB393310 WCX393308:WCX393310 WMT393308:WMT393310 WWP393308:WWP393310 AH458844:AH458846 KD458844:KD458846 TZ458844:TZ458846 ADV458844:ADV458846 ANR458844:ANR458846 AXN458844:AXN458846 BHJ458844:BHJ458846 BRF458844:BRF458846 CBB458844:CBB458846 CKX458844:CKX458846 CUT458844:CUT458846 DEP458844:DEP458846 DOL458844:DOL458846 DYH458844:DYH458846 EID458844:EID458846 ERZ458844:ERZ458846 FBV458844:FBV458846 FLR458844:FLR458846 FVN458844:FVN458846 GFJ458844:GFJ458846 GPF458844:GPF458846 GZB458844:GZB458846 HIX458844:HIX458846 HST458844:HST458846 ICP458844:ICP458846 IML458844:IML458846 IWH458844:IWH458846 JGD458844:JGD458846 JPZ458844:JPZ458846 JZV458844:JZV458846 KJR458844:KJR458846 KTN458844:KTN458846 LDJ458844:LDJ458846 LNF458844:LNF458846 LXB458844:LXB458846 MGX458844:MGX458846 MQT458844:MQT458846 NAP458844:NAP458846 NKL458844:NKL458846 NUH458844:NUH458846 OED458844:OED458846 ONZ458844:ONZ458846 OXV458844:OXV458846 PHR458844:PHR458846 PRN458844:PRN458846 QBJ458844:QBJ458846 QLF458844:QLF458846 QVB458844:QVB458846 REX458844:REX458846 ROT458844:ROT458846 RYP458844:RYP458846 SIL458844:SIL458846 SSH458844:SSH458846 TCD458844:TCD458846 TLZ458844:TLZ458846 TVV458844:TVV458846 UFR458844:UFR458846 UPN458844:UPN458846 UZJ458844:UZJ458846 VJF458844:VJF458846 VTB458844:VTB458846 WCX458844:WCX458846 WMT458844:WMT458846 WWP458844:WWP458846 AH524380:AH524382 KD524380:KD524382 TZ524380:TZ524382 ADV524380:ADV524382 ANR524380:ANR524382 AXN524380:AXN524382 BHJ524380:BHJ524382 BRF524380:BRF524382 CBB524380:CBB524382 CKX524380:CKX524382 CUT524380:CUT524382 DEP524380:DEP524382 DOL524380:DOL524382 DYH524380:DYH524382 EID524380:EID524382 ERZ524380:ERZ524382 FBV524380:FBV524382 FLR524380:FLR524382 FVN524380:FVN524382 GFJ524380:GFJ524382 GPF524380:GPF524382 GZB524380:GZB524382 HIX524380:HIX524382 HST524380:HST524382 ICP524380:ICP524382 IML524380:IML524382 IWH524380:IWH524382 JGD524380:JGD524382 JPZ524380:JPZ524382 JZV524380:JZV524382 KJR524380:KJR524382 KTN524380:KTN524382 LDJ524380:LDJ524382 LNF524380:LNF524382 LXB524380:LXB524382 MGX524380:MGX524382 MQT524380:MQT524382 NAP524380:NAP524382 NKL524380:NKL524382 NUH524380:NUH524382 OED524380:OED524382 ONZ524380:ONZ524382 OXV524380:OXV524382 PHR524380:PHR524382 PRN524380:PRN524382 QBJ524380:QBJ524382 QLF524380:QLF524382 QVB524380:QVB524382 REX524380:REX524382 ROT524380:ROT524382 RYP524380:RYP524382 SIL524380:SIL524382 SSH524380:SSH524382 TCD524380:TCD524382 TLZ524380:TLZ524382 TVV524380:TVV524382 UFR524380:UFR524382 UPN524380:UPN524382 UZJ524380:UZJ524382 VJF524380:VJF524382 VTB524380:VTB524382 WCX524380:WCX524382 WMT524380:WMT524382 WWP524380:WWP524382 AH589916:AH589918 KD589916:KD589918 TZ589916:TZ589918 ADV589916:ADV589918 ANR589916:ANR589918 AXN589916:AXN589918 BHJ589916:BHJ589918 BRF589916:BRF589918 CBB589916:CBB589918 CKX589916:CKX589918 CUT589916:CUT589918 DEP589916:DEP589918 DOL589916:DOL589918 DYH589916:DYH589918 EID589916:EID589918 ERZ589916:ERZ589918 FBV589916:FBV589918 FLR589916:FLR589918 FVN589916:FVN589918 GFJ589916:GFJ589918 GPF589916:GPF589918 GZB589916:GZB589918 HIX589916:HIX589918 HST589916:HST589918 ICP589916:ICP589918 IML589916:IML589918 IWH589916:IWH589918 JGD589916:JGD589918 JPZ589916:JPZ589918 JZV589916:JZV589918 KJR589916:KJR589918 KTN589916:KTN589918 LDJ589916:LDJ589918 LNF589916:LNF589918 LXB589916:LXB589918 MGX589916:MGX589918 MQT589916:MQT589918 NAP589916:NAP589918 NKL589916:NKL589918 NUH589916:NUH589918 OED589916:OED589918 ONZ589916:ONZ589918 OXV589916:OXV589918 PHR589916:PHR589918 PRN589916:PRN589918 QBJ589916:QBJ589918 QLF589916:QLF589918 QVB589916:QVB589918 REX589916:REX589918 ROT589916:ROT589918 RYP589916:RYP589918 SIL589916:SIL589918 SSH589916:SSH589918 TCD589916:TCD589918 TLZ589916:TLZ589918 TVV589916:TVV589918 UFR589916:UFR589918 UPN589916:UPN589918 UZJ589916:UZJ589918 VJF589916:VJF589918 VTB589916:VTB589918 WCX589916:WCX589918 WMT589916:WMT589918 WWP589916:WWP589918 AH655452:AH655454 KD655452:KD655454 TZ655452:TZ655454 ADV655452:ADV655454 ANR655452:ANR655454 AXN655452:AXN655454 BHJ655452:BHJ655454 BRF655452:BRF655454 CBB655452:CBB655454 CKX655452:CKX655454 CUT655452:CUT655454 DEP655452:DEP655454 DOL655452:DOL655454 DYH655452:DYH655454 EID655452:EID655454 ERZ655452:ERZ655454 FBV655452:FBV655454 FLR655452:FLR655454 FVN655452:FVN655454 GFJ655452:GFJ655454 GPF655452:GPF655454 GZB655452:GZB655454 HIX655452:HIX655454 HST655452:HST655454 ICP655452:ICP655454 IML655452:IML655454 IWH655452:IWH655454 JGD655452:JGD655454 JPZ655452:JPZ655454 JZV655452:JZV655454 KJR655452:KJR655454 KTN655452:KTN655454 LDJ655452:LDJ655454 LNF655452:LNF655454 LXB655452:LXB655454 MGX655452:MGX655454 MQT655452:MQT655454 NAP655452:NAP655454 NKL655452:NKL655454 NUH655452:NUH655454 OED655452:OED655454 ONZ655452:ONZ655454 OXV655452:OXV655454 PHR655452:PHR655454 PRN655452:PRN655454 QBJ655452:QBJ655454 QLF655452:QLF655454 QVB655452:QVB655454 REX655452:REX655454 ROT655452:ROT655454 RYP655452:RYP655454 SIL655452:SIL655454 SSH655452:SSH655454 TCD655452:TCD655454 TLZ655452:TLZ655454 TVV655452:TVV655454 UFR655452:UFR655454 UPN655452:UPN655454 UZJ655452:UZJ655454 VJF655452:VJF655454 VTB655452:VTB655454 WCX655452:WCX655454 WMT655452:WMT655454 WWP655452:WWP655454 AH720988:AH720990 KD720988:KD720990 TZ720988:TZ720990 ADV720988:ADV720990 ANR720988:ANR720990 AXN720988:AXN720990 BHJ720988:BHJ720990 BRF720988:BRF720990 CBB720988:CBB720990 CKX720988:CKX720990 CUT720988:CUT720990 DEP720988:DEP720990 DOL720988:DOL720990 DYH720988:DYH720990 EID720988:EID720990 ERZ720988:ERZ720990 FBV720988:FBV720990 FLR720988:FLR720990 FVN720988:FVN720990 GFJ720988:GFJ720990 GPF720988:GPF720990 GZB720988:GZB720990 HIX720988:HIX720990 HST720988:HST720990 ICP720988:ICP720990 IML720988:IML720990 IWH720988:IWH720990 JGD720988:JGD720990 JPZ720988:JPZ720990 JZV720988:JZV720990 KJR720988:KJR720990 KTN720988:KTN720990 LDJ720988:LDJ720990 LNF720988:LNF720990 LXB720988:LXB720990 MGX720988:MGX720990 MQT720988:MQT720990 NAP720988:NAP720990 NKL720988:NKL720990 NUH720988:NUH720990 OED720988:OED720990 ONZ720988:ONZ720990 OXV720988:OXV720990 PHR720988:PHR720990 PRN720988:PRN720990 QBJ720988:QBJ720990 QLF720988:QLF720990 QVB720988:QVB720990 REX720988:REX720990 ROT720988:ROT720990 RYP720988:RYP720990 SIL720988:SIL720990 SSH720988:SSH720990 TCD720988:TCD720990 TLZ720988:TLZ720990 TVV720988:TVV720990 UFR720988:UFR720990 UPN720988:UPN720990 UZJ720988:UZJ720990 VJF720988:VJF720990 VTB720988:VTB720990 WCX720988:WCX720990 WMT720988:WMT720990 WWP720988:WWP720990 AH786524:AH786526 KD786524:KD786526 TZ786524:TZ786526 ADV786524:ADV786526 ANR786524:ANR786526 AXN786524:AXN786526 BHJ786524:BHJ786526 BRF786524:BRF786526 CBB786524:CBB786526 CKX786524:CKX786526 CUT786524:CUT786526 DEP786524:DEP786526 DOL786524:DOL786526 DYH786524:DYH786526 EID786524:EID786526 ERZ786524:ERZ786526 FBV786524:FBV786526 FLR786524:FLR786526 FVN786524:FVN786526 GFJ786524:GFJ786526 GPF786524:GPF786526 GZB786524:GZB786526 HIX786524:HIX786526 HST786524:HST786526 ICP786524:ICP786526 IML786524:IML786526 IWH786524:IWH786526 JGD786524:JGD786526 JPZ786524:JPZ786526 JZV786524:JZV786526 KJR786524:KJR786526 KTN786524:KTN786526 LDJ786524:LDJ786526 LNF786524:LNF786526 LXB786524:LXB786526 MGX786524:MGX786526 MQT786524:MQT786526 NAP786524:NAP786526 NKL786524:NKL786526 NUH786524:NUH786526 OED786524:OED786526 ONZ786524:ONZ786526 OXV786524:OXV786526 PHR786524:PHR786526 PRN786524:PRN786526 QBJ786524:QBJ786526 QLF786524:QLF786526 QVB786524:QVB786526 REX786524:REX786526 ROT786524:ROT786526 RYP786524:RYP786526 SIL786524:SIL786526 SSH786524:SSH786526 TCD786524:TCD786526 TLZ786524:TLZ786526 TVV786524:TVV786526 UFR786524:UFR786526 UPN786524:UPN786526 UZJ786524:UZJ786526 VJF786524:VJF786526 VTB786524:VTB786526 WCX786524:WCX786526 WMT786524:WMT786526 WWP786524:WWP786526 AH852060:AH852062 KD852060:KD852062 TZ852060:TZ852062 ADV852060:ADV852062 ANR852060:ANR852062 AXN852060:AXN852062 BHJ852060:BHJ852062 BRF852060:BRF852062 CBB852060:CBB852062 CKX852060:CKX852062 CUT852060:CUT852062 DEP852060:DEP852062 DOL852060:DOL852062 DYH852060:DYH852062 EID852060:EID852062 ERZ852060:ERZ852062 FBV852060:FBV852062 FLR852060:FLR852062 FVN852060:FVN852062 GFJ852060:GFJ852062 GPF852060:GPF852062 GZB852060:GZB852062 HIX852060:HIX852062 HST852060:HST852062 ICP852060:ICP852062 IML852060:IML852062 IWH852060:IWH852062 JGD852060:JGD852062 JPZ852060:JPZ852062 JZV852060:JZV852062 KJR852060:KJR852062 KTN852060:KTN852062 LDJ852060:LDJ852062 LNF852060:LNF852062 LXB852060:LXB852062 MGX852060:MGX852062 MQT852060:MQT852062 NAP852060:NAP852062 NKL852060:NKL852062 NUH852060:NUH852062 OED852060:OED852062 ONZ852060:ONZ852062 OXV852060:OXV852062 PHR852060:PHR852062 PRN852060:PRN852062 QBJ852060:QBJ852062 QLF852060:QLF852062 QVB852060:QVB852062 REX852060:REX852062 ROT852060:ROT852062 RYP852060:RYP852062 SIL852060:SIL852062 SSH852060:SSH852062 TCD852060:TCD852062 TLZ852060:TLZ852062 TVV852060:TVV852062 UFR852060:UFR852062 UPN852060:UPN852062 UZJ852060:UZJ852062 VJF852060:VJF852062 VTB852060:VTB852062 WCX852060:WCX852062 WMT852060:WMT852062 WWP852060:WWP852062 AH917596:AH917598 KD917596:KD917598 TZ917596:TZ917598 ADV917596:ADV917598 ANR917596:ANR917598 AXN917596:AXN917598 BHJ917596:BHJ917598 BRF917596:BRF917598 CBB917596:CBB917598 CKX917596:CKX917598 CUT917596:CUT917598 DEP917596:DEP917598 DOL917596:DOL917598 DYH917596:DYH917598 EID917596:EID917598 ERZ917596:ERZ917598 FBV917596:FBV917598 FLR917596:FLR917598 FVN917596:FVN917598 GFJ917596:GFJ917598 GPF917596:GPF917598 GZB917596:GZB917598 HIX917596:HIX917598 HST917596:HST917598 ICP917596:ICP917598 IML917596:IML917598 IWH917596:IWH917598 JGD917596:JGD917598 JPZ917596:JPZ917598 JZV917596:JZV917598 KJR917596:KJR917598 KTN917596:KTN917598 LDJ917596:LDJ917598 LNF917596:LNF917598 LXB917596:LXB917598 MGX917596:MGX917598 MQT917596:MQT917598 NAP917596:NAP917598 NKL917596:NKL917598 NUH917596:NUH917598 OED917596:OED917598 ONZ917596:ONZ917598 OXV917596:OXV917598 PHR917596:PHR917598 PRN917596:PRN917598 QBJ917596:QBJ917598 QLF917596:QLF917598 QVB917596:QVB917598 REX917596:REX917598 ROT917596:ROT917598 RYP917596:RYP917598 SIL917596:SIL917598 SSH917596:SSH917598 TCD917596:TCD917598 TLZ917596:TLZ917598 TVV917596:TVV917598 UFR917596:UFR917598 UPN917596:UPN917598 UZJ917596:UZJ917598 VJF917596:VJF917598 VTB917596:VTB917598 WCX917596:WCX917598 WMT917596:WMT917598 WWP917596:WWP917598 AH983132:AH983134 KD983132:KD983134 TZ983132:TZ983134 ADV983132:ADV983134 ANR983132:ANR983134 AXN983132:AXN983134 BHJ983132:BHJ983134 BRF983132:BRF983134 CBB983132:CBB983134 CKX983132:CKX983134 CUT983132:CUT983134 DEP983132:DEP983134 DOL983132:DOL983134 DYH983132:DYH983134 EID983132:EID983134 ERZ983132:ERZ983134 FBV983132:FBV983134 FLR983132:FLR983134 FVN983132:FVN983134 GFJ983132:GFJ983134 GPF983132:GPF983134 GZB983132:GZB983134 HIX983132:HIX983134 HST983132:HST983134 ICP983132:ICP983134 IML983132:IML983134 IWH983132:IWH983134 JGD983132:JGD983134 JPZ983132:JPZ983134 JZV983132:JZV983134 KJR983132:KJR983134 KTN983132:KTN983134 LDJ983132:LDJ983134 LNF983132:LNF983134 LXB983132:LXB983134 MGX983132:MGX983134 MQT983132:MQT983134 NAP983132:NAP983134 NKL983132:NKL983134 NUH983132:NUH983134 OED983132:OED983134 ONZ983132:ONZ983134 OXV983132:OXV983134 PHR983132:PHR983134 PRN983132:PRN983134 QBJ983132:QBJ983134 QLF983132:QLF983134 QVB983132:QVB983134 REX983132:REX983134 ROT983132:ROT983134 RYP983132:RYP983134 SIL983132:SIL983134 SSH983132:SSH983134 TCD983132:TCD983134 TLZ983132:TLZ983134 TVV983132:TVV983134 UFR983132:UFR983134 UPN983132:UPN983134 UZJ983132:UZJ983134 VJF983132:VJF983134 VTB983132:VTB983134 WCX983132:WCX983134 WMT983132:WMT983134 WWP983132:WWP983134 AH5:AH62 KD76:KD85 TZ76:TZ85 ADV76:ADV85 ANR76:ANR85 AXN76:AXN85 BHJ76:BHJ85 BRF76:BRF85 CBB76:CBB85 CKX76:CKX85 CUT76:CUT85 DEP76:DEP85 DOL76:DOL85 DYH76:DYH85 EID76:EID85 ERZ76:ERZ85 FBV76:FBV85 FLR76:FLR85 FVN76:FVN85 GFJ76:GFJ85 GPF76:GPF85 GZB76:GZB85 HIX76:HIX85 HST76:HST85 ICP76:ICP85 IML76:IML85 IWH76:IWH85 JGD76:JGD85 JPZ76:JPZ85 JZV76:JZV85 KJR76:KJR85 KTN76:KTN85 LDJ76:LDJ85 LNF76:LNF85 LXB76:LXB85 MGX76:MGX85 MQT76:MQT85 NAP76:NAP85 NKL76:NKL85 NUH76:NUH85 OED76:OED85 ONZ76:ONZ85 OXV76:OXV85 PHR76:PHR85 PRN76:PRN85 QBJ76:QBJ85 QLF76:QLF85 QVB76:QVB85 REX76:REX85 ROT76:ROT85 RYP76:RYP85 SIL76:SIL85 SSH76:SSH85 TCD76:TCD85 TLZ76:TLZ85 TVV76:TVV85 UFR76:UFR85 UPN76:UPN85 UZJ76:UZJ85 VJF76:VJF85 VTB76:VTB85 WCX76:WCX85 WMT76:WMT85 WWP76:WWP85 AH65614:AH65623 KD65614:KD65623 TZ65614:TZ65623 ADV65614:ADV65623 ANR65614:ANR65623 AXN65614:AXN65623 BHJ65614:BHJ65623 BRF65614:BRF65623 CBB65614:CBB65623 CKX65614:CKX65623 CUT65614:CUT65623 DEP65614:DEP65623 DOL65614:DOL65623 DYH65614:DYH65623 EID65614:EID65623 ERZ65614:ERZ65623 FBV65614:FBV65623 FLR65614:FLR65623 FVN65614:FVN65623 GFJ65614:GFJ65623 GPF65614:GPF65623 GZB65614:GZB65623 HIX65614:HIX65623 HST65614:HST65623 ICP65614:ICP65623 IML65614:IML65623 IWH65614:IWH65623 JGD65614:JGD65623 JPZ65614:JPZ65623 JZV65614:JZV65623 KJR65614:KJR65623 KTN65614:KTN65623 LDJ65614:LDJ65623 LNF65614:LNF65623 LXB65614:LXB65623 MGX65614:MGX65623 MQT65614:MQT65623 NAP65614:NAP65623 NKL65614:NKL65623 NUH65614:NUH65623 OED65614:OED65623 ONZ65614:ONZ65623 OXV65614:OXV65623 PHR65614:PHR65623 PRN65614:PRN65623 QBJ65614:QBJ65623 QLF65614:QLF65623 QVB65614:QVB65623 REX65614:REX65623 ROT65614:ROT65623 RYP65614:RYP65623 SIL65614:SIL65623 SSH65614:SSH65623 TCD65614:TCD65623 TLZ65614:TLZ65623 TVV65614:TVV65623 UFR65614:UFR65623 UPN65614:UPN65623 UZJ65614:UZJ65623 VJF65614:VJF65623 VTB65614:VTB65623 WCX65614:WCX65623 WMT65614:WMT65623 WWP65614:WWP65623 AH131150:AH131159 KD131150:KD131159 TZ131150:TZ131159 ADV131150:ADV131159 ANR131150:ANR131159 AXN131150:AXN131159 BHJ131150:BHJ131159 BRF131150:BRF131159 CBB131150:CBB131159 CKX131150:CKX131159 CUT131150:CUT131159 DEP131150:DEP131159 DOL131150:DOL131159 DYH131150:DYH131159 EID131150:EID131159 ERZ131150:ERZ131159 FBV131150:FBV131159 FLR131150:FLR131159 FVN131150:FVN131159 GFJ131150:GFJ131159 GPF131150:GPF131159 GZB131150:GZB131159 HIX131150:HIX131159 HST131150:HST131159 ICP131150:ICP131159 IML131150:IML131159 IWH131150:IWH131159 JGD131150:JGD131159 JPZ131150:JPZ131159 JZV131150:JZV131159 KJR131150:KJR131159 KTN131150:KTN131159 LDJ131150:LDJ131159 LNF131150:LNF131159 LXB131150:LXB131159 MGX131150:MGX131159 MQT131150:MQT131159 NAP131150:NAP131159 NKL131150:NKL131159 NUH131150:NUH131159 OED131150:OED131159 ONZ131150:ONZ131159 OXV131150:OXV131159 PHR131150:PHR131159 PRN131150:PRN131159 QBJ131150:QBJ131159 QLF131150:QLF131159 QVB131150:QVB131159 REX131150:REX131159 ROT131150:ROT131159 RYP131150:RYP131159 SIL131150:SIL131159 SSH131150:SSH131159 TCD131150:TCD131159 TLZ131150:TLZ131159 TVV131150:TVV131159 UFR131150:UFR131159 UPN131150:UPN131159 UZJ131150:UZJ131159 VJF131150:VJF131159 VTB131150:VTB131159 WCX131150:WCX131159 WMT131150:WMT131159 WWP131150:WWP131159 AH196686:AH196695 KD196686:KD196695 TZ196686:TZ196695 ADV196686:ADV196695 ANR196686:ANR196695 AXN196686:AXN196695 BHJ196686:BHJ196695 BRF196686:BRF196695 CBB196686:CBB196695 CKX196686:CKX196695 CUT196686:CUT196695 DEP196686:DEP196695 DOL196686:DOL196695 DYH196686:DYH196695 EID196686:EID196695 ERZ196686:ERZ196695 FBV196686:FBV196695 FLR196686:FLR196695 FVN196686:FVN196695 GFJ196686:GFJ196695 GPF196686:GPF196695 GZB196686:GZB196695 HIX196686:HIX196695 HST196686:HST196695 ICP196686:ICP196695 IML196686:IML196695 IWH196686:IWH196695 JGD196686:JGD196695 JPZ196686:JPZ196695 JZV196686:JZV196695 KJR196686:KJR196695 KTN196686:KTN196695 LDJ196686:LDJ196695 LNF196686:LNF196695 LXB196686:LXB196695 MGX196686:MGX196695 MQT196686:MQT196695 NAP196686:NAP196695 NKL196686:NKL196695 NUH196686:NUH196695 OED196686:OED196695 ONZ196686:ONZ196695 OXV196686:OXV196695 PHR196686:PHR196695 PRN196686:PRN196695 QBJ196686:QBJ196695 QLF196686:QLF196695 QVB196686:QVB196695 REX196686:REX196695 ROT196686:ROT196695 RYP196686:RYP196695 SIL196686:SIL196695 SSH196686:SSH196695 TCD196686:TCD196695 TLZ196686:TLZ196695 TVV196686:TVV196695 UFR196686:UFR196695 UPN196686:UPN196695 UZJ196686:UZJ196695 VJF196686:VJF196695 VTB196686:VTB196695 WCX196686:WCX196695 WMT196686:WMT196695 WWP196686:WWP196695 AH262222:AH262231 KD262222:KD262231 TZ262222:TZ262231 ADV262222:ADV262231 ANR262222:ANR262231 AXN262222:AXN262231 BHJ262222:BHJ262231 BRF262222:BRF262231 CBB262222:CBB262231 CKX262222:CKX262231 CUT262222:CUT262231 DEP262222:DEP262231 DOL262222:DOL262231 DYH262222:DYH262231 EID262222:EID262231 ERZ262222:ERZ262231 FBV262222:FBV262231 FLR262222:FLR262231 FVN262222:FVN262231 GFJ262222:GFJ262231 GPF262222:GPF262231 GZB262222:GZB262231 HIX262222:HIX262231 HST262222:HST262231 ICP262222:ICP262231 IML262222:IML262231 IWH262222:IWH262231 JGD262222:JGD262231 JPZ262222:JPZ262231 JZV262222:JZV262231 KJR262222:KJR262231 KTN262222:KTN262231 LDJ262222:LDJ262231 LNF262222:LNF262231 LXB262222:LXB262231 MGX262222:MGX262231 MQT262222:MQT262231 NAP262222:NAP262231 NKL262222:NKL262231 NUH262222:NUH262231 OED262222:OED262231 ONZ262222:ONZ262231 OXV262222:OXV262231 PHR262222:PHR262231 PRN262222:PRN262231 QBJ262222:QBJ262231 QLF262222:QLF262231 QVB262222:QVB262231 REX262222:REX262231 ROT262222:ROT262231 RYP262222:RYP262231 SIL262222:SIL262231 SSH262222:SSH262231 TCD262222:TCD262231 TLZ262222:TLZ262231 TVV262222:TVV262231 UFR262222:UFR262231 UPN262222:UPN262231 UZJ262222:UZJ262231 VJF262222:VJF262231 VTB262222:VTB262231 WCX262222:WCX262231 WMT262222:WMT262231 WWP262222:WWP262231 AH327758:AH327767 KD327758:KD327767 TZ327758:TZ327767 ADV327758:ADV327767 ANR327758:ANR327767 AXN327758:AXN327767 BHJ327758:BHJ327767 BRF327758:BRF327767 CBB327758:CBB327767 CKX327758:CKX327767 CUT327758:CUT327767 DEP327758:DEP327767 DOL327758:DOL327767 DYH327758:DYH327767 EID327758:EID327767 ERZ327758:ERZ327767 FBV327758:FBV327767 FLR327758:FLR327767 FVN327758:FVN327767 GFJ327758:GFJ327767 GPF327758:GPF327767 GZB327758:GZB327767 HIX327758:HIX327767 HST327758:HST327767 ICP327758:ICP327767 IML327758:IML327767 IWH327758:IWH327767 JGD327758:JGD327767 JPZ327758:JPZ327767 JZV327758:JZV327767 KJR327758:KJR327767 KTN327758:KTN327767 LDJ327758:LDJ327767 LNF327758:LNF327767 LXB327758:LXB327767 MGX327758:MGX327767 MQT327758:MQT327767 NAP327758:NAP327767 NKL327758:NKL327767 NUH327758:NUH327767 OED327758:OED327767 ONZ327758:ONZ327767 OXV327758:OXV327767 PHR327758:PHR327767 PRN327758:PRN327767 QBJ327758:QBJ327767 QLF327758:QLF327767 QVB327758:QVB327767 REX327758:REX327767 ROT327758:ROT327767 RYP327758:RYP327767 SIL327758:SIL327767 SSH327758:SSH327767 TCD327758:TCD327767 TLZ327758:TLZ327767 TVV327758:TVV327767 UFR327758:UFR327767 UPN327758:UPN327767 UZJ327758:UZJ327767 VJF327758:VJF327767 VTB327758:VTB327767 WCX327758:WCX327767 WMT327758:WMT327767 WWP327758:WWP327767 AH393294:AH393303 KD393294:KD393303 TZ393294:TZ393303 ADV393294:ADV393303 ANR393294:ANR393303 AXN393294:AXN393303 BHJ393294:BHJ393303 BRF393294:BRF393303 CBB393294:CBB393303 CKX393294:CKX393303 CUT393294:CUT393303 DEP393294:DEP393303 DOL393294:DOL393303 DYH393294:DYH393303 EID393294:EID393303 ERZ393294:ERZ393303 FBV393294:FBV393303 FLR393294:FLR393303 FVN393294:FVN393303 GFJ393294:GFJ393303 GPF393294:GPF393303 GZB393294:GZB393303 HIX393294:HIX393303 HST393294:HST393303 ICP393294:ICP393303 IML393294:IML393303 IWH393294:IWH393303 JGD393294:JGD393303 JPZ393294:JPZ393303 JZV393294:JZV393303 KJR393294:KJR393303 KTN393294:KTN393303 LDJ393294:LDJ393303 LNF393294:LNF393303 LXB393294:LXB393303 MGX393294:MGX393303 MQT393294:MQT393303 NAP393294:NAP393303 NKL393294:NKL393303 NUH393294:NUH393303 OED393294:OED393303 ONZ393294:ONZ393303 OXV393294:OXV393303 PHR393294:PHR393303 PRN393294:PRN393303 QBJ393294:QBJ393303 QLF393294:QLF393303 QVB393294:QVB393303 REX393294:REX393303 ROT393294:ROT393303 RYP393294:RYP393303 SIL393294:SIL393303 SSH393294:SSH393303 TCD393294:TCD393303 TLZ393294:TLZ393303 TVV393294:TVV393303 UFR393294:UFR393303 UPN393294:UPN393303 UZJ393294:UZJ393303 VJF393294:VJF393303 VTB393294:VTB393303 WCX393294:WCX393303 WMT393294:WMT393303 WWP393294:WWP393303 AH458830:AH458839 KD458830:KD458839 TZ458830:TZ458839 ADV458830:ADV458839 ANR458830:ANR458839 AXN458830:AXN458839 BHJ458830:BHJ458839 BRF458830:BRF458839 CBB458830:CBB458839 CKX458830:CKX458839 CUT458830:CUT458839 DEP458830:DEP458839 DOL458830:DOL458839 DYH458830:DYH458839 EID458830:EID458839 ERZ458830:ERZ458839 FBV458830:FBV458839 FLR458830:FLR458839 FVN458830:FVN458839 GFJ458830:GFJ458839 GPF458830:GPF458839 GZB458830:GZB458839 HIX458830:HIX458839 HST458830:HST458839 ICP458830:ICP458839 IML458830:IML458839 IWH458830:IWH458839 JGD458830:JGD458839 JPZ458830:JPZ458839 JZV458830:JZV458839 KJR458830:KJR458839 KTN458830:KTN458839 LDJ458830:LDJ458839 LNF458830:LNF458839 LXB458830:LXB458839 MGX458830:MGX458839 MQT458830:MQT458839 NAP458830:NAP458839 NKL458830:NKL458839 NUH458830:NUH458839 OED458830:OED458839 ONZ458830:ONZ458839 OXV458830:OXV458839 PHR458830:PHR458839 PRN458830:PRN458839 QBJ458830:QBJ458839 QLF458830:QLF458839 QVB458830:QVB458839 REX458830:REX458839 ROT458830:ROT458839 RYP458830:RYP458839 SIL458830:SIL458839 SSH458830:SSH458839 TCD458830:TCD458839 TLZ458830:TLZ458839 TVV458830:TVV458839 UFR458830:UFR458839 UPN458830:UPN458839 UZJ458830:UZJ458839 VJF458830:VJF458839 VTB458830:VTB458839 WCX458830:WCX458839 WMT458830:WMT458839 WWP458830:WWP458839 AH524366:AH524375 KD524366:KD524375 TZ524366:TZ524375 ADV524366:ADV524375 ANR524366:ANR524375 AXN524366:AXN524375 BHJ524366:BHJ524375 BRF524366:BRF524375 CBB524366:CBB524375 CKX524366:CKX524375 CUT524366:CUT524375 DEP524366:DEP524375 DOL524366:DOL524375 DYH524366:DYH524375 EID524366:EID524375 ERZ524366:ERZ524375 FBV524366:FBV524375 FLR524366:FLR524375 FVN524366:FVN524375 GFJ524366:GFJ524375 GPF524366:GPF524375 GZB524366:GZB524375 HIX524366:HIX524375 HST524366:HST524375 ICP524366:ICP524375 IML524366:IML524375 IWH524366:IWH524375 JGD524366:JGD524375 JPZ524366:JPZ524375 JZV524366:JZV524375 KJR524366:KJR524375 KTN524366:KTN524375 LDJ524366:LDJ524375 LNF524366:LNF524375 LXB524366:LXB524375 MGX524366:MGX524375 MQT524366:MQT524375 NAP524366:NAP524375 NKL524366:NKL524375 NUH524366:NUH524375 OED524366:OED524375 ONZ524366:ONZ524375 OXV524366:OXV524375 PHR524366:PHR524375 PRN524366:PRN524375 QBJ524366:QBJ524375 QLF524366:QLF524375 QVB524366:QVB524375 REX524366:REX524375 ROT524366:ROT524375 RYP524366:RYP524375 SIL524366:SIL524375 SSH524366:SSH524375 TCD524366:TCD524375 TLZ524366:TLZ524375 TVV524366:TVV524375 UFR524366:UFR524375 UPN524366:UPN524375 UZJ524366:UZJ524375 VJF524366:VJF524375 VTB524366:VTB524375 WCX524366:WCX524375 WMT524366:WMT524375 WWP524366:WWP524375 AH589902:AH589911 KD589902:KD589911 TZ589902:TZ589911 ADV589902:ADV589911 ANR589902:ANR589911 AXN589902:AXN589911 BHJ589902:BHJ589911 BRF589902:BRF589911 CBB589902:CBB589911 CKX589902:CKX589911 CUT589902:CUT589911 DEP589902:DEP589911 DOL589902:DOL589911 DYH589902:DYH589911 EID589902:EID589911 ERZ589902:ERZ589911 FBV589902:FBV589911 FLR589902:FLR589911 FVN589902:FVN589911 GFJ589902:GFJ589911 GPF589902:GPF589911 GZB589902:GZB589911 HIX589902:HIX589911 HST589902:HST589911 ICP589902:ICP589911 IML589902:IML589911 IWH589902:IWH589911 JGD589902:JGD589911 JPZ589902:JPZ589911 JZV589902:JZV589911 KJR589902:KJR589911 KTN589902:KTN589911 LDJ589902:LDJ589911 LNF589902:LNF589911 LXB589902:LXB589911 MGX589902:MGX589911 MQT589902:MQT589911 NAP589902:NAP589911 NKL589902:NKL589911 NUH589902:NUH589911 OED589902:OED589911 ONZ589902:ONZ589911 OXV589902:OXV589911 PHR589902:PHR589911 PRN589902:PRN589911 QBJ589902:QBJ589911 QLF589902:QLF589911 QVB589902:QVB589911 REX589902:REX589911 ROT589902:ROT589911 RYP589902:RYP589911 SIL589902:SIL589911 SSH589902:SSH589911 TCD589902:TCD589911 TLZ589902:TLZ589911 TVV589902:TVV589911 UFR589902:UFR589911 UPN589902:UPN589911 UZJ589902:UZJ589911 VJF589902:VJF589911 VTB589902:VTB589911 WCX589902:WCX589911 WMT589902:WMT589911 WWP589902:WWP589911 AH655438:AH655447 KD655438:KD655447 TZ655438:TZ655447 ADV655438:ADV655447 ANR655438:ANR655447 AXN655438:AXN655447 BHJ655438:BHJ655447 BRF655438:BRF655447 CBB655438:CBB655447 CKX655438:CKX655447 CUT655438:CUT655447 DEP655438:DEP655447 DOL655438:DOL655447 DYH655438:DYH655447 EID655438:EID655447 ERZ655438:ERZ655447 FBV655438:FBV655447 FLR655438:FLR655447 FVN655438:FVN655447 GFJ655438:GFJ655447 GPF655438:GPF655447 GZB655438:GZB655447 HIX655438:HIX655447 HST655438:HST655447 ICP655438:ICP655447 IML655438:IML655447 IWH655438:IWH655447 JGD655438:JGD655447 JPZ655438:JPZ655447 JZV655438:JZV655447 KJR655438:KJR655447 KTN655438:KTN655447 LDJ655438:LDJ655447 LNF655438:LNF655447 LXB655438:LXB655447 MGX655438:MGX655447 MQT655438:MQT655447 NAP655438:NAP655447 NKL655438:NKL655447 NUH655438:NUH655447 OED655438:OED655447 ONZ655438:ONZ655447 OXV655438:OXV655447 PHR655438:PHR655447 PRN655438:PRN655447 QBJ655438:QBJ655447 QLF655438:QLF655447 QVB655438:QVB655447 REX655438:REX655447 ROT655438:ROT655447 RYP655438:RYP655447 SIL655438:SIL655447 SSH655438:SSH655447 TCD655438:TCD655447 TLZ655438:TLZ655447 TVV655438:TVV655447 UFR655438:UFR655447 UPN655438:UPN655447 UZJ655438:UZJ655447 VJF655438:VJF655447 VTB655438:VTB655447 WCX655438:WCX655447 WMT655438:WMT655447 WWP655438:WWP655447 AH720974:AH720983 KD720974:KD720983 TZ720974:TZ720983 ADV720974:ADV720983 ANR720974:ANR720983 AXN720974:AXN720983 BHJ720974:BHJ720983 BRF720974:BRF720983 CBB720974:CBB720983 CKX720974:CKX720983 CUT720974:CUT720983 DEP720974:DEP720983 DOL720974:DOL720983 DYH720974:DYH720983 EID720974:EID720983 ERZ720974:ERZ720983 FBV720974:FBV720983 FLR720974:FLR720983 FVN720974:FVN720983 GFJ720974:GFJ720983 GPF720974:GPF720983 GZB720974:GZB720983 HIX720974:HIX720983 HST720974:HST720983 ICP720974:ICP720983 IML720974:IML720983 IWH720974:IWH720983 JGD720974:JGD720983 JPZ720974:JPZ720983 JZV720974:JZV720983 KJR720974:KJR720983 KTN720974:KTN720983 LDJ720974:LDJ720983 LNF720974:LNF720983 LXB720974:LXB720983 MGX720974:MGX720983 MQT720974:MQT720983 NAP720974:NAP720983 NKL720974:NKL720983 NUH720974:NUH720983 OED720974:OED720983 ONZ720974:ONZ720983 OXV720974:OXV720983 PHR720974:PHR720983 PRN720974:PRN720983 QBJ720974:QBJ720983 QLF720974:QLF720983 QVB720974:QVB720983 REX720974:REX720983 ROT720974:ROT720983 RYP720974:RYP720983 SIL720974:SIL720983 SSH720974:SSH720983 TCD720974:TCD720983 TLZ720974:TLZ720983 TVV720974:TVV720983 UFR720974:UFR720983 UPN720974:UPN720983 UZJ720974:UZJ720983 VJF720974:VJF720983 VTB720974:VTB720983 WCX720974:WCX720983 WMT720974:WMT720983 WWP720974:WWP720983 AH786510:AH786519 KD786510:KD786519 TZ786510:TZ786519 ADV786510:ADV786519 ANR786510:ANR786519 AXN786510:AXN786519 BHJ786510:BHJ786519 BRF786510:BRF786519 CBB786510:CBB786519 CKX786510:CKX786519 CUT786510:CUT786519 DEP786510:DEP786519 DOL786510:DOL786519 DYH786510:DYH786519 EID786510:EID786519 ERZ786510:ERZ786519 FBV786510:FBV786519 FLR786510:FLR786519 FVN786510:FVN786519 GFJ786510:GFJ786519 GPF786510:GPF786519 GZB786510:GZB786519 HIX786510:HIX786519 HST786510:HST786519 ICP786510:ICP786519 IML786510:IML786519 IWH786510:IWH786519 JGD786510:JGD786519 JPZ786510:JPZ786519 JZV786510:JZV786519 KJR786510:KJR786519 KTN786510:KTN786519 LDJ786510:LDJ786519 LNF786510:LNF786519 LXB786510:LXB786519 MGX786510:MGX786519 MQT786510:MQT786519 NAP786510:NAP786519 NKL786510:NKL786519 NUH786510:NUH786519 OED786510:OED786519 ONZ786510:ONZ786519 OXV786510:OXV786519 PHR786510:PHR786519 PRN786510:PRN786519 QBJ786510:QBJ786519 QLF786510:QLF786519 QVB786510:QVB786519 REX786510:REX786519 ROT786510:ROT786519 RYP786510:RYP786519 SIL786510:SIL786519 SSH786510:SSH786519 TCD786510:TCD786519 TLZ786510:TLZ786519 TVV786510:TVV786519 UFR786510:UFR786519 UPN786510:UPN786519 UZJ786510:UZJ786519 VJF786510:VJF786519 VTB786510:VTB786519 WCX786510:WCX786519 WMT786510:WMT786519 WWP786510:WWP786519 AH852046:AH852055 KD852046:KD852055 TZ852046:TZ852055 ADV852046:ADV852055 ANR852046:ANR852055 AXN852046:AXN852055 BHJ852046:BHJ852055 BRF852046:BRF852055 CBB852046:CBB852055 CKX852046:CKX852055 CUT852046:CUT852055 DEP852046:DEP852055 DOL852046:DOL852055 DYH852046:DYH852055 EID852046:EID852055 ERZ852046:ERZ852055 FBV852046:FBV852055 FLR852046:FLR852055 FVN852046:FVN852055 GFJ852046:GFJ852055 GPF852046:GPF852055 GZB852046:GZB852055 HIX852046:HIX852055 HST852046:HST852055 ICP852046:ICP852055 IML852046:IML852055 IWH852046:IWH852055 JGD852046:JGD852055 JPZ852046:JPZ852055 JZV852046:JZV852055 KJR852046:KJR852055 KTN852046:KTN852055 LDJ852046:LDJ852055 LNF852046:LNF852055 LXB852046:LXB852055 MGX852046:MGX852055 MQT852046:MQT852055 NAP852046:NAP852055 NKL852046:NKL852055 NUH852046:NUH852055 OED852046:OED852055 ONZ852046:ONZ852055 OXV852046:OXV852055 PHR852046:PHR852055 PRN852046:PRN852055 QBJ852046:QBJ852055 QLF852046:QLF852055 QVB852046:QVB852055 REX852046:REX852055 ROT852046:ROT852055 RYP852046:RYP852055 SIL852046:SIL852055 SSH852046:SSH852055 TCD852046:TCD852055 TLZ852046:TLZ852055 TVV852046:TVV852055 UFR852046:UFR852055 UPN852046:UPN852055 UZJ852046:UZJ852055 VJF852046:VJF852055 VTB852046:VTB852055 WCX852046:WCX852055 WMT852046:WMT852055 WWP852046:WWP852055 AH917582:AH917591 KD917582:KD917591 TZ917582:TZ917591 ADV917582:ADV917591 ANR917582:ANR917591 AXN917582:AXN917591 BHJ917582:BHJ917591 BRF917582:BRF917591 CBB917582:CBB917591 CKX917582:CKX917591 CUT917582:CUT917591 DEP917582:DEP917591 DOL917582:DOL917591 DYH917582:DYH917591 EID917582:EID917591 ERZ917582:ERZ917591 FBV917582:FBV917591 FLR917582:FLR917591 FVN917582:FVN917591 GFJ917582:GFJ917591 GPF917582:GPF917591 GZB917582:GZB917591 HIX917582:HIX917591 HST917582:HST917591 ICP917582:ICP917591 IML917582:IML917591 IWH917582:IWH917591 JGD917582:JGD917591 JPZ917582:JPZ917591 JZV917582:JZV917591 KJR917582:KJR917591 KTN917582:KTN917591 LDJ917582:LDJ917591 LNF917582:LNF917591 LXB917582:LXB917591 MGX917582:MGX917591 MQT917582:MQT917591 NAP917582:NAP917591 NKL917582:NKL917591 NUH917582:NUH917591 OED917582:OED917591 ONZ917582:ONZ917591 OXV917582:OXV917591 PHR917582:PHR917591 PRN917582:PRN917591 QBJ917582:QBJ917591 QLF917582:QLF917591 QVB917582:QVB917591 REX917582:REX917591 ROT917582:ROT917591 RYP917582:RYP917591 SIL917582:SIL917591 SSH917582:SSH917591 TCD917582:TCD917591 TLZ917582:TLZ917591 TVV917582:TVV917591 UFR917582:UFR917591 UPN917582:UPN917591 UZJ917582:UZJ917591 VJF917582:VJF917591 VTB917582:VTB917591 WCX917582:WCX917591 WMT917582:WMT917591 WWP917582:WWP917591 AH983118:AH983127 KD983118:KD983127 TZ983118:TZ983127 ADV983118:ADV983127 ANR983118:ANR983127 AXN983118:AXN983127 BHJ983118:BHJ983127 BRF983118:BRF983127 CBB983118:CBB983127 CKX983118:CKX983127 CUT983118:CUT983127 DEP983118:DEP983127 DOL983118:DOL983127 DYH983118:DYH983127 EID983118:EID983127 ERZ983118:ERZ983127 FBV983118:FBV983127 FLR983118:FLR983127 FVN983118:FVN983127 GFJ983118:GFJ983127 GPF983118:GPF983127 GZB983118:GZB983127 HIX983118:HIX983127 HST983118:HST983127 ICP983118:ICP983127 IML983118:IML983127 IWH983118:IWH983127 JGD983118:JGD983127 JPZ983118:JPZ983127 JZV983118:JZV983127 KJR983118:KJR983127 KTN983118:KTN983127 LDJ983118:LDJ983127 LNF983118:LNF983127 LXB983118:LXB983127 MGX983118:MGX983127 MQT983118:MQT983127 NAP983118:NAP983127 NKL983118:NKL983127 NUH983118:NUH983127 OED983118:OED983127 ONZ983118:ONZ983127 OXV983118:OXV983127 PHR983118:PHR983127 PRN983118:PRN983127 QBJ983118:QBJ983127 QLF983118:QLF983127 QVB983118:QVB983127 REX983118:REX983127 ROT983118:ROT983127 RYP983118:RYP983127 SIL983118:SIL983127 SSH983118:SSH983127 TCD983118:TCD983127 TLZ983118:TLZ983127 TVV983118:TVV983127 UFR983118:UFR983127 UPN983118:UPN983127 UZJ983118:UZJ983127 VJF983118:VJF983127 VTB983118:VTB983127 WCX983118:WCX983127 WMT983118:WMT983127 WWP983118:WWP983127 WWP983049:WWP983104 AH65545:AH65600 KD65545:KD65600 TZ65545:TZ65600 ADV65545:ADV65600 ANR65545:ANR65600 AXN65545:AXN65600 BHJ65545:BHJ65600 BRF65545:BRF65600 CBB65545:CBB65600 CKX65545:CKX65600 CUT65545:CUT65600 DEP65545:DEP65600 DOL65545:DOL65600 DYH65545:DYH65600 EID65545:EID65600 ERZ65545:ERZ65600 FBV65545:FBV65600 FLR65545:FLR65600 FVN65545:FVN65600 GFJ65545:GFJ65600 GPF65545:GPF65600 GZB65545:GZB65600 HIX65545:HIX65600 HST65545:HST65600 ICP65545:ICP65600 IML65545:IML65600 IWH65545:IWH65600 JGD65545:JGD65600 JPZ65545:JPZ65600 JZV65545:JZV65600 KJR65545:KJR65600 KTN65545:KTN65600 LDJ65545:LDJ65600 LNF65545:LNF65600 LXB65545:LXB65600 MGX65545:MGX65600 MQT65545:MQT65600 NAP65545:NAP65600 NKL65545:NKL65600 NUH65545:NUH65600 OED65545:OED65600 ONZ65545:ONZ65600 OXV65545:OXV65600 PHR65545:PHR65600 PRN65545:PRN65600 QBJ65545:QBJ65600 QLF65545:QLF65600 QVB65545:QVB65600 REX65545:REX65600 ROT65545:ROT65600 RYP65545:RYP65600 SIL65545:SIL65600 SSH65545:SSH65600 TCD65545:TCD65600 TLZ65545:TLZ65600 TVV65545:TVV65600 UFR65545:UFR65600 UPN65545:UPN65600 UZJ65545:UZJ65600 VJF65545:VJF65600 VTB65545:VTB65600 WCX65545:WCX65600 WMT65545:WMT65600 WWP65545:WWP65600 AH131081:AH131136 KD131081:KD131136 TZ131081:TZ131136 ADV131081:ADV131136 ANR131081:ANR131136 AXN131081:AXN131136 BHJ131081:BHJ131136 BRF131081:BRF131136 CBB131081:CBB131136 CKX131081:CKX131136 CUT131081:CUT131136 DEP131081:DEP131136 DOL131081:DOL131136 DYH131081:DYH131136 EID131081:EID131136 ERZ131081:ERZ131136 FBV131081:FBV131136 FLR131081:FLR131136 FVN131081:FVN131136 GFJ131081:GFJ131136 GPF131081:GPF131136 GZB131081:GZB131136 HIX131081:HIX131136 HST131081:HST131136 ICP131081:ICP131136 IML131081:IML131136 IWH131081:IWH131136 JGD131081:JGD131136 JPZ131081:JPZ131136 JZV131081:JZV131136 KJR131081:KJR131136 KTN131081:KTN131136 LDJ131081:LDJ131136 LNF131081:LNF131136 LXB131081:LXB131136 MGX131081:MGX131136 MQT131081:MQT131136 NAP131081:NAP131136 NKL131081:NKL131136 NUH131081:NUH131136 OED131081:OED131136 ONZ131081:ONZ131136 OXV131081:OXV131136 PHR131081:PHR131136 PRN131081:PRN131136 QBJ131081:QBJ131136 QLF131081:QLF131136 QVB131081:QVB131136 REX131081:REX131136 ROT131081:ROT131136 RYP131081:RYP131136 SIL131081:SIL131136 SSH131081:SSH131136 TCD131081:TCD131136 TLZ131081:TLZ131136 TVV131081:TVV131136 UFR131081:UFR131136 UPN131081:UPN131136 UZJ131081:UZJ131136 VJF131081:VJF131136 VTB131081:VTB131136 WCX131081:WCX131136 WMT131081:WMT131136 WWP131081:WWP131136 AH196617:AH196672 KD196617:KD196672 TZ196617:TZ196672 ADV196617:ADV196672 ANR196617:ANR196672 AXN196617:AXN196672 BHJ196617:BHJ196672 BRF196617:BRF196672 CBB196617:CBB196672 CKX196617:CKX196672 CUT196617:CUT196672 DEP196617:DEP196672 DOL196617:DOL196672 DYH196617:DYH196672 EID196617:EID196672 ERZ196617:ERZ196672 FBV196617:FBV196672 FLR196617:FLR196672 FVN196617:FVN196672 GFJ196617:GFJ196672 GPF196617:GPF196672 GZB196617:GZB196672 HIX196617:HIX196672 HST196617:HST196672 ICP196617:ICP196672 IML196617:IML196672 IWH196617:IWH196672 JGD196617:JGD196672 JPZ196617:JPZ196672 JZV196617:JZV196672 KJR196617:KJR196672 KTN196617:KTN196672 LDJ196617:LDJ196672 LNF196617:LNF196672 LXB196617:LXB196672 MGX196617:MGX196672 MQT196617:MQT196672 NAP196617:NAP196672 NKL196617:NKL196672 NUH196617:NUH196672 OED196617:OED196672 ONZ196617:ONZ196672 OXV196617:OXV196672 PHR196617:PHR196672 PRN196617:PRN196672 QBJ196617:QBJ196672 QLF196617:QLF196672 QVB196617:QVB196672 REX196617:REX196672 ROT196617:ROT196672 RYP196617:RYP196672 SIL196617:SIL196672 SSH196617:SSH196672 TCD196617:TCD196672 TLZ196617:TLZ196672 TVV196617:TVV196672 UFR196617:UFR196672 UPN196617:UPN196672 UZJ196617:UZJ196672 VJF196617:VJF196672 VTB196617:VTB196672 WCX196617:WCX196672 WMT196617:WMT196672 WWP196617:WWP196672 AH262153:AH262208 KD262153:KD262208 TZ262153:TZ262208 ADV262153:ADV262208 ANR262153:ANR262208 AXN262153:AXN262208 BHJ262153:BHJ262208 BRF262153:BRF262208 CBB262153:CBB262208 CKX262153:CKX262208 CUT262153:CUT262208 DEP262153:DEP262208 DOL262153:DOL262208 DYH262153:DYH262208 EID262153:EID262208 ERZ262153:ERZ262208 FBV262153:FBV262208 FLR262153:FLR262208 FVN262153:FVN262208 GFJ262153:GFJ262208 GPF262153:GPF262208 GZB262153:GZB262208 HIX262153:HIX262208 HST262153:HST262208 ICP262153:ICP262208 IML262153:IML262208 IWH262153:IWH262208 JGD262153:JGD262208 JPZ262153:JPZ262208 JZV262153:JZV262208 KJR262153:KJR262208 KTN262153:KTN262208 LDJ262153:LDJ262208 LNF262153:LNF262208 LXB262153:LXB262208 MGX262153:MGX262208 MQT262153:MQT262208 NAP262153:NAP262208 NKL262153:NKL262208 NUH262153:NUH262208 OED262153:OED262208 ONZ262153:ONZ262208 OXV262153:OXV262208 PHR262153:PHR262208 PRN262153:PRN262208 QBJ262153:QBJ262208 QLF262153:QLF262208 QVB262153:QVB262208 REX262153:REX262208 ROT262153:ROT262208 RYP262153:RYP262208 SIL262153:SIL262208 SSH262153:SSH262208 TCD262153:TCD262208 TLZ262153:TLZ262208 TVV262153:TVV262208 UFR262153:UFR262208 UPN262153:UPN262208 UZJ262153:UZJ262208 VJF262153:VJF262208 VTB262153:VTB262208 WCX262153:WCX262208 WMT262153:WMT262208 WWP262153:WWP262208 AH327689:AH327744 KD327689:KD327744 TZ327689:TZ327744 ADV327689:ADV327744 ANR327689:ANR327744 AXN327689:AXN327744 BHJ327689:BHJ327744 BRF327689:BRF327744 CBB327689:CBB327744 CKX327689:CKX327744 CUT327689:CUT327744 DEP327689:DEP327744 DOL327689:DOL327744 DYH327689:DYH327744 EID327689:EID327744 ERZ327689:ERZ327744 FBV327689:FBV327744 FLR327689:FLR327744 FVN327689:FVN327744 GFJ327689:GFJ327744 GPF327689:GPF327744 GZB327689:GZB327744 HIX327689:HIX327744 HST327689:HST327744 ICP327689:ICP327744 IML327689:IML327744 IWH327689:IWH327744 JGD327689:JGD327744 JPZ327689:JPZ327744 JZV327689:JZV327744 KJR327689:KJR327744 KTN327689:KTN327744 LDJ327689:LDJ327744 LNF327689:LNF327744 LXB327689:LXB327744 MGX327689:MGX327744 MQT327689:MQT327744 NAP327689:NAP327744 NKL327689:NKL327744 NUH327689:NUH327744 OED327689:OED327744 ONZ327689:ONZ327744 OXV327689:OXV327744 PHR327689:PHR327744 PRN327689:PRN327744 QBJ327689:QBJ327744 QLF327689:QLF327744 QVB327689:QVB327744 REX327689:REX327744 ROT327689:ROT327744 RYP327689:RYP327744 SIL327689:SIL327744 SSH327689:SSH327744 TCD327689:TCD327744 TLZ327689:TLZ327744 TVV327689:TVV327744 UFR327689:UFR327744 UPN327689:UPN327744 UZJ327689:UZJ327744 VJF327689:VJF327744 VTB327689:VTB327744 WCX327689:WCX327744 WMT327689:WMT327744 WWP327689:WWP327744 AH393225:AH393280 KD393225:KD393280 TZ393225:TZ393280 ADV393225:ADV393280 ANR393225:ANR393280 AXN393225:AXN393280 BHJ393225:BHJ393280 BRF393225:BRF393280 CBB393225:CBB393280 CKX393225:CKX393280 CUT393225:CUT393280 DEP393225:DEP393280 DOL393225:DOL393280 DYH393225:DYH393280 EID393225:EID393280 ERZ393225:ERZ393280 FBV393225:FBV393280 FLR393225:FLR393280 FVN393225:FVN393280 GFJ393225:GFJ393280 GPF393225:GPF393280 GZB393225:GZB393280 HIX393225:HIX393280 HST393225:HST393280 ICP393225:ICP393280 IML393225:IML393280 IWH393225:IWH393280 JGD393225:JGD393280 JPZ393225:JPZ393280 JZV393225:JZV393280 KJR393225:KJR393280 KTN393225:KTN393280 LDJ393225:LDJ393280 LNF393225:LNF393280 LXB393225:LXB393280 MGX393225:MGX393280 MQT393225:MQT393280 NAP393225:NAP393280 NKL393225:NKL393280 NUH393225:NUH393280 OED393225:OED393280 ONZ393225:ONZ393280 OXV393225:OXV393280 PHR393225:PHR393280 PRN393225:PRN393280 QBJ393225:QBJ393280 QLF393225:QLF393280 QVB393225:QVB393280 REX393225:REX393280 ROT393225:ROT393280 RYP393225:RYP393280 SIL393225:SIL393280 SSH393225:SSH393280 TCD393225:TCD393280 TLZ393225:TLZ393280 TVV393225:TVV393280 UFR393225:UFR393280 UPN393225:UPN393280 UZJ393225:UZJ393280 VJF393225:VJF393280 VTB393225:VTB393280 WCX393225:WCX393280 WMT393225:WMT393280 WWP393225:WWP393280 AH458761:AH458816 KD458761:KD458816 TZ458761:TZ458816 ADV458761:ADV458816 ANR458761:ANR458816 AXN458761:AXN458816 BHJ458761:BHJ458816 BRF458761:BRF458816 CBB458761:CBB458816 CKX458761:CKX458816 CUT458761:CUT458816 DEP458761:DEP458816 DOL458761:DOL458816 DYH458761:DYH458816 EID458761:EID458816 ERZ458761:ERZ458816 FBV458761:FBV458816 FLR458761:FLR458816 FVN458761:FVN458816 GFJ458761:GFJ458816 GPF458761:GPF458816 GZB458761:GZB458816 HIX458761:HIX458816 HST458761:HST458816 ICP458761:ICP458816 IML458761:IML458816 IWH458761:IWH458816 JGD458761:JGD458816 JPZ458761:JPZ458816 JZV458761:JZV458816 KJR458761:KJR458816 KTN458761:KTN458816 LDJ458761:LDJ458816 LNF458761:LNF458816 LXB458761:LXB458816 MGX458761:MGX458816 MQT458761:MQT458816 NAP458761:NAP458816 NKL458761:NKL458816 NUH458761:NUH458816 OED458761:OED458816 ONZ458761:ONZ458816 OXV458761:OXV458816 PHR458761:PHR458816 PRN458761:PRN458816 QBJ458761:QBJ458816 QLF458761:QLF458816 QVB458761:QVB458816 REX458761:REX458816 ROT458761:ROT458816 RYP458761:RYP458816 SIL458761:SIL458816 SSH458761:SSH458816 TCD458761:TCD458816 TLZ458761:TLZ458816 TVV458761:TVV458816 UFR458761:UFR458816 UPN458761:UPN458816 UZJ458761:UZJ458816 VJF458761:VJF458816 VTB458761:VTB458816 WCX458761:WCX458816 WMT458761:WMT458816 WWP458761:WWP458816 AH524297:AH524352 KD524297:KD524352 TZ524297:TZ524352 ADV524297:ADV524352 ANR524297:ANR524352 AXN524297:AXN524352 BHJ524297:BHJ524352 BRF524297:BRF524352 CBB524297:CBB524352 CKX524297:CKX524352 CUT524297:CUT524352 DEP524297:DEP524352 DOL524297:DOL524352 DYH524297:DYH524352 EID524297:EID524352 ERZ524297:ERZ524352 FBV524297:FBV524352 FLR524297:FLR524352 FVN524297:FVN524352 GFJ524297:GFJ524352 GPF524297:GPF524352 GZB524297:GZB524352 HIX524297:HIX524352 HST524297:HST524352 ICP524297:ICP524352 IML524297:IML524352 IWH524297:IWH524352 JGD524297:JGD524352 JPZ524297:JPZ524352 JZV524297:JZV524352 KJR524297:KJR524352 KTN524297:KTN524352 LDJ524297:LDJ524352 LNF524297:LNF524352 LXB524297:LXB524352 MGX524297:MGX524352 MQT524297:MQT524352 NAP524297:NAP524352 NKL524297:NKL524352 NUH524297:NUH524352 OED524297:OED524352 ONZ524297:ONZ524352 OXV524297:OXV524352 PHR524297:PHR524352 PRN524297:PRN524352 QBJ524297:QBJ524352 QLF524297:QLF524352 QVB524297:QVB524352 REX524297:REX524352 ROT524297:ROT524352 RYP524297:RYP524352 SIL524297:SIL524352 SSH524297:SSH524352 TCD524297:TCD524352 TLZ524297:TLZ524352 TVV524297:TVV524352 UFR524297:UFR524352 UPN524297:UPN524352 UZJ524297:UZJ524352 VJF524297:VJF524352 VTB524297:VTB524352 WCX524297:WCX524352 WMT524297:WMT524352 WWP524297:WWP524352 AH589833:AH589888 KD589833:KD589888 TZ589833:TZ589888 ADV589833:ADV589888 ANR589833:ANR589888 AXN589833:AXN589888 BHJ589833:BHJ589888 BRF589833:BRF589888 CBB589833:CBB589888 CKX589833:CKX589888 CUT589833:CUT589888 DEP589833:DEP589888 DOL589833:DOL589888 DYH589833:DYH589888 EID589833:EID589888 ERZ589833:ERZ589888 FBV589833:FBV589888 FLR589833:FLR589888 FVN589833:FVN589888 GFJ589833:GFJ589888 GPF589833:GPF589888 GZB589833:GZB589888 HIX589833:HIX589888 HST589833:HST589888 ICP589833:ICP589888 IML589833:IML589888 IWH589833:IWH589888 JGD589833:JGD589888 JPZ589833:JPZ589888 JZV589833:JZV589888 KJR589833:KJR589888 KTN589833:KTN589888 LDJ589833:LDJ589888 LNF589833:LNF589888 LXB589833:LXB589888 MGX589833:MGX589888 MQT589833:MQT589888 NAP589833:NAP589888 NKL589833:NKL589888 NUH589833:NUH589888 OED589833:OED589888 ONZ589833:ONZ589888 OXV589833:OXV589888 PHR589833:PHR589888 PRN589833:PRN589888 QBJ589833:QBJ589888 QLF589833:QLF589888 QVB589833:QVB589888 REX589833:REX589888 ROT589833:ROT589888 RYP589833:RYP589888 SIL589833:SIL589888 SSH589833:SSH589888 TCD589833:TCD589888 TLZ589833:TLZ589888 TVV589833:TVV589888 UFR589833:UFR589888 UPN589833:UPN589888 UZJ589833:UZJ589888 VJF589833:VJF589888 VTB589833:VTB589888 WCX589833:WCX589888 WMT589833:WMT589888 WWP589833:WWP589888 AH655369:AH655424 KD655369:KD655424 TZ655369:TZ655424 ADV655369:ADV655424 ANR655369:ANR655424 AXN655369:AXN655424 BHJ655369:BHJ655424 BRF655369:BRF655424 CBB655369:CBB655424 CKX655369:CKX655424 CUT655369:CUT655424 DEP655369:DEP655424 DOL655369:DOL655424 DYH655369:DYH655424 EID655369:EID655424 ERZ655369:ERZ655424 FBV655369:FBV655424 FLR655369:FLR655424 FVN655369:FVN655424 GFJ655369:GFJ655424 GPF655369:GPF655424 GZB655369:GZB655424 HIX655369:HIX655424 HST655369:HST655424 ICP655369:ICP655424 IML655369:IML655424 IWH655369:IWH655424 JGD655369:JGD655424 JPZ655369:JPZ655424 JZV655369:JZV655424 KJR655369:KJR655424 KTN655369:KTN655424 LDJ655369:LDJ655424 LNF655369:LNF655424 LXB655369:LXB655424 MGX655369:MGX655424 MQT655369:MQT655424 NAP655369:NAP655424 NKL655369:NKL655424 NUH655369:NUH655424 OED655369:OED655424 ONZ655369:ONZ655424 OXV655369:OXV655424 PHR655369:PHR655424 PRN655369:PRN655424 QBJ655369:QBJ655424 QLF655369:QLF655424 QVB655369:QVB655424 REX655369:REX655424 ROT655369:ROT655424 RYP655369:RYP655424 SIL655369:SIL655424 SSH655369:SSH655424 TCD655369:TCD655424 TLZ655369:TLZ655424 TVV655369:TVV655424 UFR655369:UFR655424 UPN655369:UPN655424 UZJ655369:UZJ655424 VJF655369:VJF655424 VTB655369:VTB655424 WCX655369:WCX655424 WMT655369:WMT655424 WWP655369:WWP655424 AH720905:AH720960 KD720905:KD720960 TZ720905:TZ720960 ADV720905:ADV720960 ANR720905:ANR720960 AXN720905:AXN720960 BHJ720905:BHJ720960 BRF720905:BRF720960 CBB720905:CBB720960 CKX720905:CKX720960 CUT720905:CUT720960 DEP720905:DEP720960 DOL720905:DOL720960 DYH720905:DYH720960 EID720905:EID720960 ERZ720905:ERZ720960 FBV720905:FBV720960 FLR720905:FLR720960 FVN720905:FVN720960 GFJ720905:GFJ720960 GPF720905:GPF720960 GZB720905:GZB720960 HIX720905:HIX720960 HST720905:HST720960 ICP720905:ICP720960 IML720905:IML720960 IWH720905:IWH720960 JGD720905:JGD720960 JPZ720905:JPZ720960 JZV720905:JZV720960 KJR720905:KJR720960 KTN720905:KTN720960 LDJ720905:LDJ720960 LNF720905:LNF720960 LXB720905:LXB720960 MGX720905:MGX720960 MQT720905:MQT720960 NAP720905:NAP720960 NKL720905:NKL720960 NUH720905:NUH720960 OED720905:OED720960 ONZ720905:ONZ720960 OXV720905:OXV720960 PHR720905:PHR720960 PRN720905:PRN720960 QBJ720905:QBJ720960 QLF720905:QLF720960 QVB720905:QVB720960 REX720905:REX720960 ROT720905:ROT720960 RYP720905:RYP720960 SIL720905:SIL720960 SSH720905:SSH720960 TCD720905:TCD720960 TLZ720905:TLZ720960 TVV720905:TVV720960 UFR720905:UFR720960 UPN720905:UPN720960 UZJ720905:UZJ720960 VJF720905:VJF720960 VTB720905:VTB720960 WCX720905:WCX720960 WMT720905:WMT720960 WWP720905:WWP720960 AH786441:AH786496 KD786441:KD786496 TZ786441:TZ786496 ADV786441:ADV786496 ANR786441:ANR786496 AXN786441:AXN786496 BHJ786441:BHJ786496 BRF786441:BRF786496 CBB786441:CBB786496 CKX786441:CKX786496 CUT786441:CUT786496 DEP786441:DEP786496 DOL786441:DOL786496 DYH786441:DYH786496 EID786441:EID786496 ERZ786441:ERZ786496 FBV786441:FBV786496 FLR786441:FLR786496 FVN786441:FVN786496 GFJ786441:GFJ786496 GPF786441:GPF786496 GZB786441:GZB786496 HIX786441:HIX786496 HST786441:HST786496 ICP786441:ICP786496 IML786441:IML786496 IWH786441:IWH786496 JGD786441:JGD786496 JPZ786441:JPZ786496 JZV786441:JZV786496 KJR786441:KJR786496 KTN786441:KTN786496 LDJ786441:LDJ786496 LNF786441:LNF786496 LXB786441:LXB786496 MGX786441:MGX786496 MQT786441:MQT786496 NAP786441:NAP786496 NKL786441:NKL786496 NUH786441:NUH786496 OED786441:OED786496 ONZ786441:ONZ786496 OXV786441:OXV786496 PHR786441:PHR786496 PRN786441:PRN786496 QBJ786441:QBJ786496 QLF786441:QLF786496 QVB786441:QVB786496 REX786441:REX786496 ROT786441:ROT786496 RYP786441:RYP786496 SIL786441:SIL786496 SSH786441:SSH786496 TCD786441:TCD786496 TLZ786441:TLZ786496 TVV786441:TVV786496 UFR786441:UFR786496 UPN786441:UPN786496 UZJ786441:UZJ786496 VJF786441:VJF786496 VTB786441:VTB786496 WCX786441:WCX786496 WMT786441:WMT786496 WWP786441:WWP786496 AH851977:AH852032 KD851977:KD852032 TZ851977:TZ852032 ADV851977:ADV852032 ANR851977:ANR852032 AXN851977:AXN852032 BHJ851977:BHJ852032 BRF851977:BRF852032 CBB851977:CBB852032 CKX851977:CKX852032 CUT851977:CUT852032 DEP851977:DEP852032 DOL851977:DOL852032 DYH851977:DYH852032 EID851977:EID852032 ERZ851977:ERZ852032 FBV851977:FBV852032 FLR851977:FLR852032 FVN851977:FVN852032 GFJ851977:GFJ852032 GPF851977:GPF852032 GZB851977:GZB852032 HIX851977:HIX852032 HST851977:HST852032 ICP851977:ICP852032 IML851977:IML852032 IWH851977:IWH852032 JGD851977:JGD852032 JPZ851977:JPZ852032 JZV851977:JZV852032 KJR851977:KJR852032 KTN851977:KTN852032 LDJ851977:LDJ852032 LNF851977:LNF852032 LXB851977:LXB852032 MGX851977:MGX852032 MQT851977:MQT852032 NAP851977:NAP852032 NKL851977:NKL852032 NUH851977:NUH852032 OED851977:OED852032 ONZ851977:ONZ852032 OXV851977:OXV852032 PHR851977:PHR852032 PRN851977:PRN852032 QBJ851977:QBJ852032 QLF851977:QLF852032 QVB851977:QVB852032 REX851977:REX852032 ROT851977:ROT852032 RYP851977:RYP852032 SIL851977:SIL852032 SSH851977:SSH852032 TCD851977:TCD852032 TLZ851977:TLZ852032 TVV851977:TVV852032 UFR851977:UFR852032 UPN851977:UPN852032 UZJ851977:UZJ852032 VJF851977:VJF852032 VTB851977:VTB852032 WCX851977:WCX852032 WMT851977:WMT852032 WWP851977:WWP852032 AH917513:AH917568 KD917513:KD917568 TZ917513:TZ917568 ADV917513:ADV917568 ANR917513:ANR917568 AXN917513:AXN917568 BHJ917513:BHJ917568 BRF917513:BRF917568 CBB917513:CBB917568 CKX917513:CKX917568 CUT917513:CUT917568 DEP917513:DEP917568 DOL917513:DOL917568 DYH917513:DYH917568 EID917513:EID917568 ERZ917513:ERZ917568 FBV917513:FBV917568 FLR917513:FLR917568 FVN917513:FVN917568 GFJ917513:GFJ917568 GPF917513:GPF917568 GZB917513:GZB917568 HIX917513:HIX917568 HST917513:HST917568 ICP917513:ICP917568 IML917513:IML917568 IWH917513:IWH917568 JGD917513:JGD917568 JPZ917513:JPZ917568 JZV917513:JZV917568 KJR917513:KJR917568 KTN917513:KTN917568 LDJ917513:LDJ917568 LNF917513:LNF917568 LXB917513:LXB917568 MGX917513:MGX917568 MQT917513:MQT917568 NAP917513:NAP917568 NKL917513:NKL917568 NUH917513:NUH917568 OED917513:OED917568 ONZ917513:ONZ917568 OXV917513:OXV917568 PHR917513:PHR917568 PRN917513:PRN917568 QBJ917513:QBJ917568 QLF917513:QLF917568 QVB917513:QVB917568 REX917513:REX917568 ROT917513:ROT917568 RYP917513:RYP917568 SIL917513:SIL917568 SSH917513:SSH917568 TCD917513:TCD917568 TLZ917513:TLZ917568 TVV917513:TVV917568 UFR917513:UFR917568 UPN917513:UPN917568 UZJ917513:UZJ917568 VJF917513:VJF917568 VTB917513:VTB917568 WCX917513:WCX917568 WMT917513:WMT917568 WWP917513:WWP917568 AH983049:AH983104 KD983049:KD983104 TZ983049:TZ983104 ADV983049:ADV983104 ANR983049:ANR983104 AXN983049:AXN983104 BHJ983049:BHJ983104 BRF983049:BRF983104 CBB983049:CBB983104 CKX983049:CKX983104 CUT983049:CUT983104 DEP983049:DEP983104 DOL983049:DOL983104 DYH983049:DYH983104 EID983049:EID983104 ERZ983049:ERZ983104 FBV983049:FBV983104 FLR983049:FLR983104 FVN983049:FVN983104 GFJ983049:GFJ983104 GPF983049:GPF983104 GZB983049:GZB983104 HIX983049:HIX983104 HST983049:HST983104 ICP983049:ICP983104 IML983049:IML983104 IWH983049:IWH983104 JGD983049:JGD983104 JPZ983049:JPZ983104 JZV983049:JZV983104 KJR983049:KJR983104 KTN983049:KTN983104 LDJ983049:LDJ983104 LNF983049:LNF983104 LXB983049:LXB983104 MGX983049:MGX983104 MQT983049:MQT983104 NAP983049:NAP983104 NKL983049:NKL983104 NUH983049:NUH983104 OED983049:OED983104 ONZ983049:ONZ983104 OXV983049:OXV983104 PHR983049:PHR983104 PRN983049:PRN983104 QBJ983049:QBJ983104 QLF983049:QLF983104 QVB983049:QVB983104 REX983049:REX983104 ROT983049:ROT983104 RYP983049:RYP983104 SIL983049:SIL983104 SSH983049:SSH983104 TCD983049:TCD983104 TLZ983049:TLZ983104 TVV983049:TVV983104 UFR983049:UFR983104 UPN983049:UPN983104 UZJ983049:UZJ983104 VJF983049:VJF983104 VTB983049:VTB983104 WCX983049:WCX983104 WMT983049:WMT983104 KD94:KD98 TZ94:TZ98 ADV94:ADV98 ANR94:ANR98 AXN94:AXN98 BHJ94:BHJ98 BRF94:BRF98 CBB94:CBB98 CKX94:CKX98 CUT94:CUT98 DEP94:DEP98 DOL94:DOL98 DYH94:DYH98 EID94:EID98 ERZ94:ERZ98 FBV94:FBV98 FLR94:FLR98 FVN94:FVN98 GFJ94:GFJ98 GPF94:GPF98 GZB94:GZB98 HIX94:HIX98 HST94:HST98 ICP94:ICP98 IML94:IML98 IWH94:IWH98 JGD94:JGD98 JPZ94:JPZ98 JZV94:JZV98 KJR94:KJR98 KTN94:KTN98 LDJ94:LDJ98 LNF94:LNF98 LXB94:LXB98 MGX94:MGX98 MQT94:MQT98 NAP94:NAP98 NKL94:NKL98 NUH94:NUH98 OED94:OED98 ONZ94:ONZ98 OXV94:OXV98 PHR94:PHR98 PRN94:PRN98 QBJ94:QBJ98 QLF94:QLF98 QVB94:QVB98 REX94:REX98 ROT94:ROT98 RYP94:RYP98 SIL94:SIL98 SSH94:SSH98 TCD94:TCD98 TLZ94:TLZ98 TVV94:TVV98 UFR94:UFR98 UPN94:UPN98 UZJ94:UZJ98 VJF94:VJF98 VTB94:VTB98 WCX94:WCX98 WMT94:WMT98 WWP94:WWP98 AH94:AH98 AH170:AH173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0"/>
  <sheetViews>
    <sheetView topLeftCell="A15" zoomScale="118" zoomScaleNormal="118" zoomScaleSheetLayoutView="106" workbookViewId="0">
      <selection activeCell="H72" sqref="H72"/>
    </sheetView>
  </sheetViews>
  <sheetFormatPr defaultRowHeight="15.75" x14ac:dyDescent="0.25"/>
  <cols>
    <col min="1" max="1" width="10.28515625" style="23" customWidth="1"/>
    <col min="2" max="2" width="47.5703125" style="1" customWidth="1"/>
    <col min="3" max="3" width="16.42578125" style="1" customWidth="1"/>
    <col min="4" max="4" width="10.5703125" style="1" bestFit="1" customWidth="1"/>
    <col min="5" max="5" width="14.5703125" style="1" customWidth="1"/>
    <col min="6" max="6" width="11" style="1" customWidth="1"/>
    <col min="7" max="7" width="15.42578125" style="1" customWidth="1"/>
    <col min="8" max="8" width="23.7109375" style="1" bestFit="1" customWidth="1"/>
    <col min="9" max="9" width="29.140625" style="1" bestFit="1" customWidth="1"/>
    <col min="10" max="10" width="22.85546875" style="1" customWidth="1"/>
    <col min="11" max="11" width="15.5703125" style="2" customWidth="1"/>
    <col min="12" max="12" width="2" style="1" customWidth="1"/>
    <col min="13" max="13" width="7.28515625" style="1" customWidth="1"/>
    <col min="14" max="14" width="1.5703125" style="1" customWidth="1"/>
    <col min="15" max="15" width="1" style="1" customWidth="1"/>
    <col min="16" max="16" width="16.42578125" style="3" customWidth="1"/>
    <col min="17" max="17" width="1.42578125" style="3" customWidth="1"/>
    <col min="18" max="18" width="2.42578125" style="1" customWidth="1"/>
    <col min="19" max="19" width="13" style="1" customWidth="1"/>
    <col min="20" max="20" width="3.140625" style="1" customWidth="1"/>
    <col min="21" max="21" width="21.42578125" style="4" customWidth="1"/>
    <col min="22" max="22" width="9.140625" style="1"/>
    <col min="23" max="23" width="10" style="1" bestFit="1" customWidth="1"/>
    <col min="24" max="24" width="9.85546875" style="1" bestFit="1" customWidth="1"/>
    <col min="25" max="256" width="9.140625" style="1"/>
    <col min="257" max="257" width="10.28515625" style="1" customWidth="1"/>
    <col min="258" max="258" width="47.5703125" style="1" customWidth="1"/>
    <col min="259" max="259" width="16.42578125" style="1" customWidth="1"/>
    <col min="260" max="260" width="10.5703125" style="1" bestFit="1" customWidth="1"/>
    <col min="261" max="261" width="14.5703125" style="1" customWidth="1"/>
    <col min="262" max="262" width="11" style="1" customWidth="1"/>
    <col min="263" max="263" width="15.42578125" style="1" customWidth="1"/>
    <col min="264" max="264" width="23.7109375" style="1" bestFit="1" customWidth="1"/>
    <col min="265" max="265" width="29.140625" style="1" bestFit="1" customWidth="1"/>
    <col min="266" max="266" width="22.85546875" style="1" customWidth="1"/>
    <col min="267" max="267" width="15.5703125" style="1" customWidth="1"/>
    <col min="268" max="268" width="2" style="1" customWidth="1"/>
    <col min="269" max="269" width="7.28515625" style="1" customWidth="1"/>
    <col min="270" max="270" width="1.5703125" style="1" customWidth="1"/>
    <col min="271" max="271" width="1" style="1" customWidth="1"/>
    <col min="272" max="272" width="16.42578125" style="1" customWidth="1"/>
    <col min="273" max="273" width="1.42578125" style="1" customWidth="1"/>
    <col min="274" max="274" width="2.42578125" style="1" customWidth="1"/>
    <col min="275" max="275" width="13" style="1" customWidth="1"/>
    <col min="276" max="276" width="3.140625" style="1" customWidth="1"/>
    <col min="277" max="277" width="21.42578125" style="1" customWidth="1"/>
    <col min="278" max="278" width="9.140625" style="1"/>
    <col min="279" max="279" width="10" style="1" bestFit="1" customWidth="1"/>
    <col min="280" max="280" width="9.85546875" style="1" bestFit="1" customWidth="1"/>
    <col min="281" max="512" width="9.140625" style="1"/>
    <col min="513" max="513" width="10.28515625" style="1" customWidth="1"/>
    <col min="514" max="514" width="47.5703125" style="1" customWidth="1"/>
    <col min="515" max="515" width="16.42578125" style="1" customWidth="1"/>
    <col min="516" max="516" width="10.5703125" style="1" bestFit="1" customWidth="1"/>
    <col min="517" max="517" width="14.5703125" style="1" customWidth="1"/>
    <col min="518" max="518" width="11" style="1" customWidth="1"/>
    <col min="519" max="519" width="15.42578125" style="1" customWidth="1"/>
    <col min="520" max="520" width="23.7109375" style="1" bestFit="1" customWidth="1"/>
    <col min="521" max="521" width="29.140625" style="1" bestFit="1" customWidth="1"/>
    <col min="522" max="522" width="22.85546875" style="1" customWidth="1"/>
    <col min="523" max="523" width="15.5703125" style="1" customWidth="1"/>
    <col min="524" max="524" width="2" style="1" customWidth="1"/>
    <col min="525" max="525" width="7.28515625" style="1" customWidth="1"/>
    <col min="526" max="526" width="1.5703125" style="1" customWidth="1"/>
    <col min="527" max="527" width="1" style="1" customWidth="1"/>
    <col min="528" max="528" width="16.42578125" style="1" customWidth="1"/>
    <col min="529" max="529" width="1.42578125" style="1" customWidth="1"/>
    <col min="530" max="530" width="2.42578125" style="1" customWidth="1"/>
    <col min="531" max="531" width="13" style="1" customWidth="1"/>
    <col min="532" max="532" width="3.140625" style="1" customWidth="1"/>
    <col min="533" max="533" width="21.42578125" style="1" customWidth="1"/>
    <col min="534" max="534" width="9.140625" style="1"/>
    <col min="535" max="535" width="10" style="1" bestFit="1" customWidth="1"/>
    <col min="536" max="536" width="9.85546875" style="1" bestFit="1" customWidth="1"/>
    <col min="537" max="768" width="9.140625" style="1"/>
    <col min="769" max="769" width="10.28515625" style="1" customWidth="1"/>
    <col min="770" max="770" width="47.5703125" style="1" customWidth="1"/>
    <col min="771" max="771" width="16.42578125" style="1" customWidth="1"/>
    <col min="772" max="772" width="10.5703125" style="1" bestFit="1" customWidth="1"/>
    <col min="773" max="773" width="14.5703125" style="1" customWidth="1"/>
    <col min="774" max="774" width="11" style="1" customWidth="1"/>
    <col min="775" max="775" width="15.42578125" style="1" customWidth="1"/>
    <col min="776" max="776" width="23.7109375" style="1" bestFit="1" customWidth="1"/>
    <col min="777" max="777" width="29.140625" style="1" bestFit="1" customWidth="1"/>
    <col min="778" max="778" width="22.85546875" style="1" customWidth="1"/>
    <col min="779" max="779" width="15.5703125" style="1" customWidth="1"/>
    <col min="780" max="780" width="2" style="1" customWidth="1"/>
    <col min="781" max="781" width="7.28515625" style="1" customWidth="1"/>
    <col min="782" max="782" width="1.5703125" style="1" customWidth="1"/>
    <col min="783" max="783" width="1" style="1" customWidth="1"/>
    <col min="784" max="784" width="16.42578125" style="1" customWidth="1"/>
    <col min="785" max="785" width="1.42578125" style="1" customWidth="1"/>
    <col min="786" max="786" width="2.42578125" style="1" customWidth="1"/>
    <col min="787" max="787" width="13" style="1" customWidth="1"/>
    <col min="788" max="788" width="3.140625" style="1" customWidth="1"/>
    <col min="789" max="789" width="21.42578125" style="1" customWidth="1"/>
    <col min="790" max="790" width="9.140625" style="1"/>
    <col min="791" max="791" width="10" style="1" bestFit="1" customWidth="1"/>
    <col min="792" max="792" width="9.85546875" style="1" bestFit="1" customWidth="1"/>
    <col min="793" max="1024" width="9.140625" style="1"/>
    <col min="1025" max="1025" width="10.28515625" style="1" customWidth="1"/>
    <col min="1026" max="1026" width="47.5703125" style="1" customWidth="1"/>
    <col min="1027" max="1027" width="16.42578125" style="1" customWidth="1"/>
    <col min="1028" max="1028" width="10.5703125" style="1" bestFit="1" customWidth="1"/>
    <col min="1029" max="1029" width="14.5703125" style="1" customWidth="1"/>
    <col min="1030" max="1030" width="11" style="1" customWidth="1"/>
    <col min="1031" max="1031" width="15.42578125" style="1" customWidth="1"/>
    <col min="1032" max="1032" width="23.7109375" style="1" bestFit="1" customWidth="1"/>
    <col min="1033" max="1033" width="29.140625" style="1" bestFit="1" customWidth="1"/>
    <col min="1034" max="1034" width="22.85546875" style="1" customWidth="1"/>
    <col min="1035" max="1035" width="15.5703125" style="1" customWidth="1"/>
    <col min="1036" max="1036" width="2" style="1" customWidth="1"/>
    <col min="1037" max="1037" width="7.28515625" style="1" customWidth="1"/>
    <col min="1038" max="1038" width="1.5703125" style="1" customWidth="1"/>
    <col min="1039" max="1039" width="1" style="1" customWidth="1"/>
    <col min="1040" max="1040" width="16.42578125" style="1" customWidth="1"/>
    <col min="1041" max="1041" width="1.42578125" style="1" customWidth="1"/>
    <col min="1042" max="1042" width="2.42578125" style="1" customWidth="1"/>
    <col min="1043" max="1043" width="13" style="1" customWidth="1"/>
    <col min="1044" max="1044" width="3.140625" style="1" customWidth="1"/>
    <col min="1045" max="1045" width="21.42578125" style="1" customWidth="1"/>
    <col min="1046" max="1046" width="9.140625" style="1"/>
    <col min="1047" max="1047" width="10" style="1" bestFit="1" customWidth="1"/>
    <col min="1048" max="1048" width="9.85546875" style="1" bestFit="1" customWidth="1"/>
    <col min="1049" max="1280" width="9.140625" style="1"/>
    <col min="1281" max="1281" width="10.28515625" style="1" customWidth="1"/>
    <col min="1282" max="1282" width="47.5703125" style="1" customWidth="1"/>
    <col min="1283" max="1283" width="16.42578125" style="1" customWidth="1"/>
    <col min="1284" max="1284" width="10.5703125" style="1" bestFit="1" customWidth="1"/>
    <col min="1285" max="1285" width="14.5703125" style="1" customWidth="1"/>
    <col min="1286" max="1286" width="11" style="1" customWidth="1"/>
    <col min="1287" max="1287" width="15.42578125" style="1" customWidth="1"/>
    <col min="1288" max="1288" width="23.7109375" style="1" bestFit="1" customWidth="1"/>
    <col min="1289" max="1289" width="29.140625" style="1" bestFit="1" customWidth="1"/>
    <col min="1290" max="1290" width="22.85546875" style="1" customWidth="1"/>
    <col min="1291" max="1291" width="15.5703125" style="1" customWidth="1"/>
    <col min="1292" max="1292" width="2" style="1" customWidth="1"/>
    <col min="1293" max="1293" width="7.28515625" style="1" customWidth="1"/>
    <col min="1294" max="1294" width="1.5703125" style="1" customWidth="1"/>
    <col min="1295" max="1295" width="1" style="1" customWidth="1"/>
    <col min="1296" max="1296" width="16.42578125" style="1" customWidth="1"/>
    <col min="1297" max="1297" width="1.42578125" style="1" customWidth="1"/>
    <col min="1298" max="1298" width="2.42578125" style="1" customWidth="1"/>
    <col min="1299" max="1299" width="13" style="1" customWidth="1"/>
    <col min="1300" max="1300" width="3.140625" style="1" customWidth="1"/>
    <col min="1301" max="1301" width="21.42578125" style="1" customWidth="1"/>
    <col min="1302" max="1302" width="9.140625" style="1"/>
    <col min="1303" max="1303" width="10" style="1" bestFit="1" customWidth="1"/>
    <col min="1304" max="1304" width="9.85546875" style="1" bestFit="1" customWidth="1"/>
    <col min="1305" max="1536" width="9.140625" style="1"/>
    <col min="1537" max="1537" width="10.28515625" style="1" customWidth="1"/>
    <col min="1538" max="1538" width="47.5703125" style="1" customWidth="1"/>
    <col min="1539" max="1539" width="16.42578125" style="1" customWidth="1"/>
    <col min="1540" max="1540" width="10.5703125" style="1" bestFit="1" customWidth="1"/>
    <col min="1541" max="1541" width="14.5703125" style="1" customWidth="1"/>
    <col min="1542" max="1542" width="11" style="1" customWidth="1"/>
    <col min="1543" max="1543" width="15.42578125" style="1" customWidth="1"/>
    <col min="1544" max="1544" width="23.7109375" style="1" bestFit="1" customWidth="1"/>
    <col min="1545" max="1545" width="29.140625" style="1" bestFit="1" customWidth="1"/>
    <col min="1546" max="1546" width="22.85546875" style="1" customWidth="1"/>
    <col min="1547" max="1547" width="15.5703125" style="1" customWidth="1"/>
    <col min="1548" max="1548" width="2" style="1" customWidth="1"/>
    <col min="1549" max="1549" width="7.28515625" style="1" customWidth="1"/>
    <col min="1550" max="1550" width="1.5703125" style="1" customWidth="1"/>
    <col min="1551" max="1551" width="1" style="1" customWidth="1"/>
    <col min="1552" max="1552" width="16.42578125" style="1" customWidth="1"/>
    <col min="1553" max="1553" width="1.42578125" style="1" customWidth="1"/>
    <col min="1554" max="1554" width="2.42578125" style="1" customWidth="1"/>
    <col min="1555" max="1555" width="13" style="1" customWidth="1"/>
    <col min="1556" max="1556" width="3.140625" style="1" customWidth="1"/>
    <col min="1557" max="1557" width="21.42578125" style="1" customWidth="1"/>
    <col min="1558" max="1558" width="9.140625" style="1"/>
    <col min="1559" max="1559" width="10" style="1" bestFit="1" customWidth="1"/>
    <col min="1560" max="1560" width="9.85546875" style="1" bestFit="1" customWidth="1"/>
    <col min="1561" max="1792" width="9.140625" style="1"/>
    <col min="1793" max="1793" width="10.28515625" style="1" customWidth="1"/>
    <col min="1794" max="1794" width="47.5703125" style="1" customWidth="1"/>
    <col min="1795" max="1795" width="16.42578125" style="1" customWidth="1"/>
    <col min="1796" max="1796" width="10.5703125" style="1" bestFit="1" customWidth="1"/>
    <col min="1797" max="1797" width="14.5703125" style="1" customWidth="1"/>
    <col min="1798" max="1798" width="11" style="1" customWidth="1"/>
    <col min="1799" max="1799" width="15.42578125" style="1" customWidth="1"/>
    <col min="1800" max="1800" width="23.7109375" style="1" bestFit="1" customWidth="1"/>
    <col min="1801" max="1801" width="29.140625" style="1" bestFit="1" customWidth="1"/>
    <col min="1802" max="1802" width="22.85546875" style="1" customWidth="1"/>
    <col min="1803" max="1803" width="15.5703125" style="1" customWidth="1"/>
    <col min="1804" max="1804" width="2" style="1" customWidth="1"/>
    <col min="1805" max="1805" width="7.28515625" style="1" customWidth="1"/>
    <col min="1806" max="1806" width="1.5703125" style="1" customWidth="1"/>
    <col min="1807" max="1807" width="1" style="1" customWidth="1"/>
    <col min="1808" max="1808" width="16.42578125" style="1" customWidth="1"/>
    <col min="1809" max="1809" width="1.42578125" style="1" customWidth="1"/>
    <col min="1810" max="1810" width="2.42578125" style="1" customWidth="1"/>
    <col min="1811" max="1811" width="13" style="1" customWidth="1"/>
    <col min="1812" max="1812" width="3.140625" style="1" customWidth="1"/>
    <col min="1813" max="1813" width="21.42578125" style="1" customWidth="1"/>
    <col min="1814" max="1814" width="9.140625" style="1"/>
    <col min="1815" max="1815" width="10" style="1" bestFit="1" customWidth="1"/>
    <col min="1816" max="1816" width="9.85546875" style="1" bestFit="1" customWidth="1"/>
    <col min="1817" max="2048" width="9.140625" style="1"/>
    <col min="2049" max="2049" width="10.28515625" style="1" customWidth="1"/>
    <col min="2050" max="2050" width="47.5703125" style="1" customWidth="1"/>
    <col min="2051" max="2051" width="16.42578125" style="1" customWidth="1"/>
    <col min="2052" max="2052" width="10.5703125" style="1" bestFit="1" customWidth="1"/>
    <col min="2053" max="2053" width="14.5703125" style="1" customWidth="1"/>
    <col min="2054" max="2054" width="11" style="1" customWidth="1"/>
    <col min="2055" max="2055" width="15.42578125" style="1" customWidth="1"/>
    <col min="2056" max="2056" width="23.7109375" style="1" bestFit="1" customWidth="1"/>
    <col min="2057" max="2057" width="29.140625" style="1" bestFit="1" customWidth="1"/>
    <col min="2058" max="2058" width="22.85546875" style="1" customWidth="1"/>
    <col min="2059" max="2059" width="15.5703125" style="1" customWidth="1"/>
    <col min="2060" max="2060" width="2" style="1" customWidth="1"/>
    <col min="2061" max="2061" width="7.28515625" style="1" customWidth="1"/>
    <col min="2062" max="2062" width="1.5703125" style="1" customWidth="1"/>
    <col min="2063" max="2063" width="1" style="1" customWidth="1"/>
    <col min="2064" max="2064" width="16.42578125" style="1" customWidth="1"/>
    <col min="2065" max="2065" width="1.42578125" style="1" customWidth="1"/>
    <col min="2066" max="2066" width="2.42578125" style="1" customWidth="1"/>
    <col min="2067" max="2067" width="13" style="1" customWidth="1"/>
    <col min="2068" max="2068" width="3.140625" style="1" customWidth="1"/>
    <col min="2069" max="2069" width="21.42578125" style="1" customWidth="1"/>
    <col min="2070" max="2070" width="9.140625" style="1"/>
    <col min="2071" max="2071" width="10" style="1" bestFit="1" customWidth="1"/>
    <col min="2072" max="2072" width="9.85546875" style="1" bestFit="1" customWidth="1"/>
    <col min="2073" max="2304" width="9.140625" style="1"/>
    <col min="2305" max="2305" width="10.28515625" style="1" customWidth="1"/>
    <col min="2306" max="2306" width="47.5703125" style="1" customWidth="1"/>
    <col min="2307" max="2307" width="16.42578125" style="1" customWidth="1"/>
    <col min="2308" max="2308" width="10.5703125" style="1" bestFit="1" customWidth="1"/>
    <col min="2309" max="2309" width="14.5703125" style="1" customWidth="1"/>
    <col min="2310" max="2310" width="11" style="1" customWidth="1"/>
    <col min="2311" max="2311" width="15.42578125" style="1" customWidth="1"/>
    <col min="2312" max="2312" width="23.7109375" style="1" bestFit="1" customWidth="1"/>
    <col min="2313" max="2313" width="29.140625" style="1" bestFit="1" customWidth="1"/>
    <col min="2314" max="2314" width="22.85546875" style="1" customWidth="1"/>
    <col min="2315" max="2315" width="15.5703125" style="1" customWidth="1"/>
    <col min="2316" max="2316" width="2" style="1" customWidth="1"/>
    <col min="2317" max="2317" width="7.28515625" style="1" customWidth="1"/>
    <col min="2318" max="2318" width="1.5703125" style="1" customWidth="1"/>
    <col min="2319" max="2319" width="1" style="1" customWidth="1"/>
    <col min="2320" max="2320" width="16.42578125" style="1" customWidth="1"/>
    <col min="2321" max="2321" width="1.42578125" style="1" customWidth="1"/>
    <col min="2322" max="2322" width="2.42578125" style="1" customWidth="1"/>
    <col min="2323" max="2323" width="13" style="1" customWidth="1"/>
    <col min="2324" max="2324" width="3.140625" style="1" customWidth="1"/>
    <col min="2325" max="2325" width="21.42578125" style="1" customWidth="1"/>
    <col min="2326" max="2326" width="9.140625" style="1"/>
    <col min="2327" max="2327" width="10" style="1" bestFit="1" customWidth="1"/>
    <col min="2328" max="2328" width="9.85546875" style="1" bestFit="1" customWidth="1"/>
    <col min="2329" max="2560" width="9.140625" style="1"/>
    <col min="2561" max="2561" width="10.28515625" style="1" customWidth="1"/>
    <col min="2562" max="2562" width="47.5703125" style="1" customWidth="1"/>
    <col min="2563" max="2563" width="16.42578125" style="1" customWidth="1"/>
    <col min="2564" max="2564" width="10.5703125" style="1" bestFit="1" customWidth="1"/>
    <col min="2565" max="2565" width="14.5703125" style="1" customWidth="1"/>
    <col min="2566" max="2566" width="11" style="1" customWidth="1"/>
    <col min="2567" max="2567" width="15.42578125" style="1" customWidth="1"/>
    <col min="2568" max="2568" width="23.7109375" style="1" bestFit="1" customWidth="1"/>
    <col min="2569" max="2569" width="29.140625" style="1" bestFit="1" customWidth="1"/>
    <col min="2570" max="2570" width="22.85546875" style="1" customWidth="1"/>
    <col min="2571" max="2571" width="15.5703125" style="1" customWidth="1"/>
    <col min="2572" max="2572" width="2" style="1" customWidth="1"/>
    <col min="2573" max="2573" width="7.28515625" style="1" customWidth="1"/>
    <col min="2574" max="2574" width="1.5703125" style="1" customWidth="1"/>
    <col min="2575" max="2575" width="1" style="1" customWidth="1"/>
    <col min="2576" max="2576" width="16.42578125" style="1" customWidth="1"/>
    <col min="2577" max="2577" width="1.42578125" style="1" customWidth="1"/>
    <col min="2578" max="2578" width="2.42578125" style="1" customWidth="1"/>
    <col min="2579" max="2579" width="13" style="1" customWidth="1"/>
    <col min="2580" max="2580" width="3.140625" style="1" customWidth="1"/>
    <col min="2581" max="2581" width="21.42578125" style="1" customWidth="1"/>
    <col min="2582" max="2582" width="9.140625" style="1"/>
    <col min="2583" max="2583" width="10" style="1" bestFit="1" customWidth="1"/>
    <col min="2584" max="2584" width="9.85546875" style="1" bestFit="1" customWidth="1"/>
    <col min="2585" max="2816" width="9.140625" style="1"/>
    <col min="2817" max="2817" width="10.28515625" style="1" customWidth="1"/>
    <col min="2818" max="2818" width="47.5703125" style="1" customWidth="1"/>
    <col min="2819" max="2819" width="16.42578125" style="1" customWidth="1"/>
    <col min="2820" max="2820" width="10.5703125" style="1" bestFit="1" customWidth="1"/>
    <col min="2821" max="2821" width="14.5703125" style="1" customWidth="1"/>
    <col min="2822" max="2822" width="11" style="1" customWidth="1"/>
    <col min="2823" max="2823" width="15.42578125" style="1" customWidth="1"/>
    <col min="2824" max="2824" width="23.7109375" style="1" bestFit="1" customWidth="1"/>
    <col min="2825" max="2825" width="29.140625" style="1" bestFit="1" customWidth="1"/>
    <col min="2826" max="2826" width="22.85546875" style="1" customWidth="1"/>
    <col min="2827" max="2827" width="15.5703125" style="1" customWidth="1"/>
    <col min="2828" max="2828" width="2" style="1" customWidth="1"/>
    <col min="2829" max="2829" width="7.28515625" style="1" customWidth="1"/>
    <col min="2830" max="2830" width="1.5703125" style="1" customWidth="1"/>
    <col min="2831" max="2831" width="1" style="1" customWidth="1"/>
    <col min="2832" max="2832" width="16.42578125" style="1" customWidth="1"/>
    <col min="2833" max="2833" width="1.42578125" style="1" customWidth="1"/>
    <col min="2834" max="2834" width="2.42578125" style="1" customWidth="1"/>
    <col min="2835" max="2835" width="13" style="1" customWidth="1"/>
    <col min="2836" max="2836" width="3.140625" style="1" customWidth="1"/>
    <col min="2837" max="2837" width="21.42578125" style="1" customWidth="1"/>
    <col min="2838" max="2838" width="9.140625" style="1"/>
    <col min="2839" max="2839" width="10" style="1" bestFit="1" customWidth="1"/>
    <col min="2840" max="2840" width="9.85546875" style="1" bestFit="1" customWidth="1"/>
    <col min="2841" max="3072" width="9.140625" style="1"/>
    <col min="3073" max="3073" width="10.28515625" style="1" customWidth="1"/>
    <col min="3074" max="3074" width="47.5703125" style="1" customWidth="1"/>
    <col min="3075" max="3075" width="16.42578125" style="1" customWidth="1"/>
    <col min="3076" max="3076" width="10.5703125" style="1" bestFit="1" customWidth="1"/>
    <col min="3077" max="3077" width="14.5703125" style="1" customWidth="1"/>
    <col min="3078" max="3078" width="11" style="1" customWidth="1"/>
    <col min="3079" max="3079" width="15.42578125" style="1" customWidth="1"/>
    <col min="3080" max="3080" width="23.7109375" style="1" bestFit="1" customWidth="1"/>
    <col min="3081" max="3081" width="29.140625" style="1" bestFit="1" customWidth="1"/>
    <col min="3082" max="3082" width="22.85546875" style="1" customWidth="1"/>
    <col min="3083" max="3083" width="15.5703125" style="1" customWidth="1"/>
    <col min="3084" max="3084" width="2" style="1" customWidth="1"/>
    <col min="3085" max="3085" width="7.28515625" style="1" customWidth="1"/>
    <col min="3086" max="3086" width="1.5703125" style="1" customWidth="1"/>
    <col min="3087" max="3087" width="1" style="1" customWidth="1"/>
    <col min="3088" max="3088" width="16.42578125" style="1" customWidth="1"/>
    <col min="3089" max="3089" width="1.42578125" style="1" customWidth="1"/>
    <col min="3090" max="3090" width="2.42578125" style="1" customWidth="1"/>
    <col min="3091" max="3091" width="13" style="1" customWidth="1"/>
    <col min="3092" max="3092" width="3.140625" style="1" customWidth="1"/>
    <col min="3093" max="3093" width="21.42578125" style="1" customWidth="1"/>
    <col min="3094" max="3094" width="9.140625" style="1"/>
    <col min="3095" max="3095" width="10" style="1" bestFit="1" customWidth="1"/>
    <col min="3096" max="3096" width="9.85546875" style="1" bestFit="1" customWidth="1"/>
    <col min="3097" max="3328" width="9.140625" style="1"/>
    <col min="3329" max="3329" width="10.28515625" style="1" customWidth="1"/>
    <col min="3330" max="3330" width="47.5703125" style="1" customWidth="1"/>
    <col min="3331" max="3331" width="16.42578125" style="1" customWidth="1"/>
    <col min="3332" max="3332" width="10.5703125" style="1" bestFit="1" customWidth="1"/>
    <col min="3333" max="3333" width="14.5703125" style="1" customWidth="1"/>
    <col min="3334" max="3334" width="11" style="1" customWidth="1"/>
    <col min="3335" max="3335" width="15.42578125" style="1" customWidth="1"/>
    <col min="3336" max="3336" width="23.7109375" style="1" bestFit="1" customWidth="1"/>
    <col min="3337" max="3337" width="29.140625" style="1" bestFit="1" customWidth="1"/>
    <col min="3338" max="3338" width="22.85546875" style="1" customWidth="1"/>
    <col min="3339" max="3339" width="15.5703125" style="1" customWidth="1"/>
    <col min="3340" max="3340" width="2" style="1" customWidth="1"/>
    <col min="3341" max="3341" width="7.28515625" style="1" customWidth="1"/>
    <col min="3342" max="3342" width="1.5703125" style="1" customWidth="1"/>
    <col min="3343" max="3343" width="1" style="1" customWidth="1"/>
    <col min="3344" max="3344" width="16.42578125" style="1" customWidth="1"/>
    <col min="3345" max="3345" width="1.42578125" style="1" customWidth="1"/>
    <col min="3346" max="3346" width="2.42578125" style="1" customWidth="1"/>
    <col min="3347" max="3347" width="13" style="1" customWidth="1"/>
    <col min="3348" max="3348" width="3.140625" style="1" customWidth="1"/>
    <col min="3349" max="3349" width="21.42578125" style="1" customWidth="1"/>
    <col min="3350" max="3350" width="9.140625" style="1"/>
    <col min="3351" max="3351" width="10" style="1" bestFit="1" customWidth="1"/>
    <col min="3352" max="3352" width="9.85546875" style="1" bestFit="1" customWidth="1"/>
    <col min="3353" max="3584" width="9.140625" style="1"/>
    <col min="3585" max="3585" width="10.28515625" style="1" customWidth="1"/>
    <col min="3586" max="3586" width="47.5703125" style="1" customWidth="1"/>
    <col min="3587" max="3587" width="16.42578125" style="1" customWidth="1"/>
    <col min="3588" max="3588" width="10.5703125" style="1" bestFit="1" customWidth="1"/>
    <col min="3589" max="3589" width="14.5703125" style="1" customWidth="1"/>
    <col min="3590" max="3590" width="11" style="1" customWidth="1"/>
    <col min="3591" max="3591" width="15.42578125" style="1" customWidth="1"/>
    <col min="3592" max="3592" width="23.7109375" style="1" bestFit="1" customWidth="1"/>
    <col min="3593" max="3593" width="29.140625" style="1" bestFit="1" customWidth="1"/>
    <col min="3594" max="3594" width="22.85546875" style="1" customWidth="1"/>
    <col min="3595" max="3595" width="15.5703125" style="1" customWidth="1"/>
    <col min="3596" max="3596" width="2" style="1" customWidth="1"/>
    <col min="3597" max="3597" width="7.28515625" style="1" customWidth="1"/>
    <col min="3598" max="3598" width="1.5703125" style="1" customWidth="1"/>
    <col min="3599" max="3599" width="1" style="1" customWidth="1"/>
    <col min="3600" max="3600" width="16.42578125" style="1" customWidth="1"/>
    <col min="3601" max="3601" width="1.42578125" style="1" customWidth="1"/>
    <col min="3602" max="3602" width="2.42578125" style="1" customWidth="1"/>
    <col min="3603" max="3603" width="13" style="1" customWidth="1"/>
    <col min="3604" max="3604" width="3.140625" style="1" customWidth="1"/>
    <col min="3605" max="3605" width="21.42578125" style="1" customWidth="1"/>
    <col min="3606" max="3606" width="9.140625" style="1"/>
    <col min="3607" max="3607" width="10" style="1" bestFit="1" customWidth="1"/>
    <col min="3608" max="3608" width="9.85546875" style="1" bestFit="1" customWidth="1"/>
    <col min="3609" max="3840" width="9.140625" style="1"/>
    <col min="3841" max="3841" width="10.28515625" style="1" customWidth="1"/>
    <col min="3842" max="3842" width="47.5703125" style="1" customWidth="1"/>
    <col min="3843" max="3843" width="16.42578125" style="1" customWidth="1"/>
    <col min="3844" max="3844" width="10.5703125" style="1" bestFit="1" customWidth="1"/>
    <col min="3845" max="3845" width="14.5703125" style="1" customWidth="1"/>
    <col min="3846" max="3846" width="11" style="1" customWidth="1"/>
    <col min="3847" max="3847" width="15.42578125" style="1" customWidth="1"/>
    <col min="3848" max="3848" width="23.7109375" style="1" bestFit="1" customWidth="1"/>
    <col min="3849" max="3849" width="29.140625" style="1" bestFit="1" customWidth="1"/>
    <col min="3850" max="3850" width="22.85546875" style="1" customWidth="1"/>
    <col min="3851" max="3851" width="15.5703125" style="1" customWidth="1"/>
    <col min="3852" max="3852" width="2" style="1" customWidth="1"/>
    <col min="3853" max="3853" width="7.28515625" style="1" customWidth="1"/>
    <col min="3854" max="3854" width="1.5703125" style="1" customWidth="1"/>
    <col min="3855" max="3855" width="1" style="1" customWidth="1"/>
    <col min="3856" max="3856" width="16.42578125" style="1" customWidth="1"/>
    <col min="3857" max="3857" width="1.42578125" style="1" customWidth="1"/>
    <col min="3858" max="3858" width="2.42578125" style="1" customWidth="1"/>
    <col min="3859" max="3859" width="13" style="1" customWidth="1"/>
    <col min="3860" max="3860" width="3.140625" style="1" customWidth="1"/>
    <col min="3861" max="3861" width="21.42578125" style="1" customWidth="1"/>
    <col min="3862" max="3862" width="9.140625" style="1"/>
    <col min="3863" max="3863" width="10" style="1" bestFit="1" customWidth="1"/>
    <col min="3864" max="3864" width="9.85546875" style="1" bestFit="1" customWidth="1"/>
    <col min="3865" max="4096" width="9.140625" style="1"/>
    <col min="4097" max="4097" width="10.28515625" style="1" customWidth="1"/>
    <col min="4098" max="4098" width="47.5703125" style="1" customWidth="1"/>
    <col min="4099" max="4099" width="16.42578125" style="1" customWidth="1"/>
    <col min="4100" max="4100" width="10.5703125" style="1" bestFit="1" customWidth="1"/>
    <col min="4101" max="4101" width="14.5703125" style="1" customWidth="1"/>
    <col min="4102" max="4102" width="11" style="1" customWidth="1"/>
    <col min="4103" max="4103" width="15.42578125" style="1" customWidth="1"/>
    <col min="4104" max="4104" width="23.7109375" style="1" bestFit="1" customWidth="1"/>
    <col min="4105" max="4105" width="29.140625" style="1" bestFit="1" customWidth="1"/>
    <col min="4106" max="4106" width="22.85546875" style="1" customWidth="1"/>
    <col min="4107" max="4107" width="15.5703125" style="1" customWidth="1"/>
    <col min="4108" max="4108" width="2" style="1" customWidth="1"/>
    <col min="4109" max="4109" width="7.28515625" style="1" customWidth="1"/>
    <col min="4110" max="4110" width="1.5703125" style="1" customWidth="1"/>
    <col min="4111" max="4111" width="1" style="1" customWidth="1"/>
    <col min="4112" max="4112" width="16.42578125" style="1" customWidth="1"/>
    <col min="4113" max="4113" width="1.42578125" style="1" customWidth="1"/>
    <col min="4114" max="4114" width="2.42578125" style="1" customWidth="1"/>
    <col min="4115" max="4115" width="13" style="1" customWidth="1"/>
    <col min="4116" max="4116" width="3.140625" style="1" customWidth="1"/>
    <col min="4117" max="4117" width="21.42578125" style="1" customWidth="1"/>
    <col min="4118" max="4118" width="9.140625" style="1"/>
    <col min="4119" max="4119" width="10" style="1" bestFit="1" customWidth="1"/>
    <col min="4120" max="4120" width="9.85546875" style="1" bestFit="1" customWidth="1"/>
    <col min="4121" max="4352" width="9.140625" style="1"/>
    <col min="4353" max="4353" width="10.28515625" style="1" customWidth="1"/>
    <col min="4354" max="4354" width="47.5703125" style="1" customWidth="1"/>
    <col min="4355" max="4355" width="16.42578125" style="1" customWidth="1"/>
    <col min="4356" max="4356" width="10.5703125" style="1" bestFit="1" customWidth="1"/>
    <col min="4357" max="4357" width="14.5703125" style="1" customWidth="1"/>
    <col min="4358" max="4358" width="11" style="1" customWidth="1"/>
    <col min="4359" max="4359" width="15.42578125" style="1" customWidth="1"/>
    <col min="4360" max="4360" width="23.7109375" style="1" bestFit="1" customWidth="1"/>
    <col min="4361" max="4361" width="29.140625" style="1" bestFit="1" customWidth="1"/>
    <col min="4362" max="4362" width="22.85546875" style="1" customWidth="1"/>
    <col min="4363" max="4363" width="15.5703125" style="1" customWidth="1"/>
    <col min="4364" max="4364" width="2" style="1" customWidth="1"/>
    <col min="4365" max="4365" width="7.28515625" style="1" customWidth="1"/>
    <col min="4366" max="4366" width="1.5703125" style="1" customWidth="1"/>
    <col min="4367" max="4367" width="1" style="1" customWidth="1"/>
    <col min="4368" max="4368" width="16.42578125" style="1" customWidth="1"/>
    <col min="4369" max="4369" width="1.42578125" style="1" customWidth="1"/>
    <col min="4370" max="4370" width="2.42578125" style="1" customWidth="1"/>
    <col min="4371" max="4371" width="13" style="1" customWidth="1"/>
    <col min="4372" max="4372" width="3.140625" style="1" customWidth="1"/>
    <col min="4373" max="4373" width="21.42578125" style="1" customWidth="1"/>
    <col min="4374" max="4374" width="9.140625" style="1"/>
    <col min="4375" max="4375" width="10" style="1" bestFit="1" customWidth="1"/>
    <col min="4376" max="4376" width="9.85546875" style="1" bestFit="1" customWidth="1"/>
    <col min="4377" max="4608" width="9.140625" style="1"/>
    <col min="4609" max="4609" width="10.28515625" style="1" customWidth="1"/>
    <col min="4610" max="4610" width="47.5703125" style="1" customWidth="1"/>
    <col min="4611" max="4611" width="16.42578125" style="1" customWidth="1"/>
    <col min="4612" max="4612" width="10.5703125" style="1" bestFit="1" customWidth="1"/>
    <col min="4613" max="4613" width="14.5703125" style="1" customWidth="1"/>
    <col min="4614" max="4614" width="11" style="1" customWidth="1"/>
    <col min="4615" max="4615" width="15.42578125" style="1" customWidth="1"/>
    <col min="4616" max="4616" width="23.7109375" style="1" bestFit="1" customWidth="1"/>
    <col min="4617" max="4617" width="29.140625" style="1" bestFit="1" customWidth="1"/>
    <col min="4618" max="4618" width="22.85546875" style="1" customWidth="1"/>
    <col min="4619" max="4619" width="15.5703125" style="1" customWidth="1"/>
    <col min="4620" max="4620" width="2" style="1" customWidth="1"/>
    <col min="4621" max="4621" width="7.28515625" style="1" customWidth="1"/>
    <col min="4622" max="4622" width="1.5703125" style="1" customWidth="1"/>
    <col min="4623" max="4623" width="1" style="1" customWidth="1"/>
    <col min="4624" max="4624" width="16.42578125" style="1" customWidth="1"/>
    <col min="4625" max="4625" width="1.42578125" style="1" customWidth="1"/>
    <col min="4626" max="4626" width="2.42578125" style="1" customWidth="1"/>
    <col min="4627" max="4627" width="13" style="1" customWidth="1"/>
    <col min="4628" max="4628" width="3.140625" style="1" customWidth="1"/>
    <col min="4629" max="4629" width="21.42578125" style="1" customWidth="1"/>
    <col min="4630" max="4630" width="9.140625" style="1"/>
    <col min="4631" max="4631" width="10" style="1" bestFit="1" customWidth="1"/>
    <col min="4632" max="4632" width="9.85546875" style="1" bestFit="1" customWidth="1"/>
    <col min="4633" max="4864" width="9.140625" style="1"/>
    <col min="4865" max="4865" width="10.28515625" style="1" customWidth="1"/>
    <col min="4866" max="4866" width="47.5703125" style="1" customWidth="1"/>
    <col min="4867" max="4867" width="16.42578125" style="1" customWidth="1"/>
    <col min="4868" max="4868" width="10.5703125" style="1" bestFit="1" customWidth="1"/>
    <col min="4869" max="4869" width="14.5703125" style="1" customWidth="1"/>
    <col min="4870" max="4870" width="11" style="1" customWidth="1"/>
    <col min="4871" max="4871" width="15.42578125" style="1" customWidth="1"/>
    <col min="4872" max="4872" width="23.7109375" style="1" bestFit="1" customWidth="1"/>
    <col min="4873" max="4873" width="29.140625" style="1" bestFit="1" customWidth="1"/>
    <col min="4874" max="4874" width="22.85546875" style="1" customWidth="1"/>
    <col min="4875" max="4875" width="15.5703125" style="1" customWidth="1"/>
    <col min="4876" max="4876" width="2" style="1" customWidth="1"/>
    <col min="4877" max="4877" width="7.28515625" style="1" customWidth="1"/>
    <col min="4878" max="4878" width="1.5703125" style="1" customWidth="1"/>
    <col min="4879" max="4879" width="1" style="1" customWidth="1"/>
    <col min="4880" max="4880" width="16.42578125" style="1" customWidth="1"/>
    <col min="4881" max="4881" width="1.42578125" style="1" customWidth="1"/>
    <col min="4882" max="4882" width="2.42578125" style="1" customWidth="1"/>
    <col min="4883" max="4883" width="13" style="1" customWidth="1"/>
    <col min="4884" max="4884" width="3.140625" style="1" customWidth="1"/>
    <col min="4885" max="4885" width="21.42578125" style="1" customWidth="1"/>
    <col min="4886" max="4886" width="9.140625" style="1"/>
    <col min="4887" max="4887" width="10" style="1" bestFit="1" customWidth="1"/>
    <col min="4888" max="4888" width="9.85546875" style="1" bestFit="1" customWidth="1"/>
    <col min="4889" max="5120" width="9.140625" style="1"/>
    <col min="5121" max="5121" width="10.28515625" style="1" customWidth="1"/>
    <col min="5122" max="5122" width="47.5703125" style="1" customWidth="1"/>
    <col min="5123" max="5123" width="16.42578125" style="1" customWidth="1"/>
    <col min="5124" max="5124" width="10.5703125" style="1" bestFit="1" customWidth="1"/>
    <col min="5125" max="5125" width="14.5703125" style="1" customWidth="1"/>
    <col min="5126" max="5126" width="11" style="1" customWidth="1"/>
    <col min="5127" max="5127" width="15.42578125" style="1" customWidth="1"/>
    <col min="5128" max="5128" width="23.7109375" style="1" bestFit="1" customWidth="1"/>
    <col min="5129" max="5129" width="29.140625" style="1" bestFit="1" customWidth="1"/>
    <col min="5130" max="5130" width="22.85546875" style="1" customWidth="1"/>
    <col min="5131" max="5131" width="15.5703125" style="1" customWidth="1"/>
    <col min="5132" max="5132" width="2" style="1" customWidth="1"/>
    <col min="5133" max="5133" width="7.28515625" style="1" customWidth="1"/>
    <col min="5134" max="5134" width="1.5703125" style="1" customWidth="1"/>
    <col min="5135" max="5135" width="1" style="1" customWidth="1"/>
    <col min="5136" max="5136" width="16.42578125" style="1" customWidth="1"/>
    <col min="5137" max="5137" width="1.42578125" style="1" customWidth="1"/>
    <col min="5138" max="5138" width="2.42578125" style="1" customWidth="1"/>
    <col min="5139" max="5139" width="13" style="1" customWidth="1"/>
    <col min="5140" max="5140" width="3.140625" style="1" customWidth="1"/>
    <col min="5141" max="5141" width="21.42578125" style="1" customWidth="1"/>
    <col min="5142" max="5142" width="9.140625" style="1"/>
    <col min="5143" max="5143" width="10" style="1" bestFit="1" customWidth="1"/>
    <col min="5144" max="5144" width="9.85546875" style="1" bestFit="1" customWidth="1"/>
    <col min="5145" max="5376" width="9.140625" style="1"/>
    <col min="5377" max="5377" width="10.28515625" style="1" customWidth="1"/>
    <col min="5378" max="5378" width="47.5703125" style="1" customWidth="1"/>
    <col min="5379" max="5379" width="16.42578125" style="1" customWidth="1"/>
    <col min="5380" max="5380" width="10.5703125" style="1" bestFit="1" customWidth="1"/>
    <col min="5381" max="5381" width="14.5703125" style="1" customWidth="1"/>
    <col min="5382" max="5382" width="11" style="1" customWidth="1"/>
    <col min="5383" max="5383" width="15.42578125" style="1" customWidth="1"/>
    <col min="5384" max="5384" width="23.7109375" style="1" bestFit="1" customWidth="1"/>
    <col min="5385" max="5385" width="29.140625" style="1" bestFit="1" customWidth="1"/>
    <col min="5386" max="5386" width="22.85546875" style="1" customWidth="1"/>
    <col min="5387" max="5387" width="15.5703125" style="1" customWidth="1"/>
    <col min="5388" max="5388" width="2" style="1" customWidth="1"/>
    <col min="5389" max="5389" width="7.28515625" style="1" customWidth="1"/>
    <col min="5390" max="5390" width="1.5703125" style="1" customWidth="1"/>
    <col min="5391" max="5391" width="1" style="1" customWidth="1"/>
    <col min="5392" max="5392" width="16.42578125" style="1" customWidth="1"/>
    <col min="5393" max="5393" width="1.42578125" style="1" customWidth="1"/>
    <col min="5394" max="5394" width="2.42578125" style="1" customWidth="1"/>
    <col min="5395" max="5395" width="13" style="1" customWidth="1"/>
    <col min="5396" max="5396" width="3.140625" style="1" customWidth="1"/>
    <col min="5397" max="5397" width="21.42578125" style="1" customWidth="1"/>
    <col min="5398" max="5398" width="9.140625" style="1"/>
    <col min="5399" max="5399" width="10" style="1" bestFit="1" customWidth="1"/>
    <col min="5400" max="5400" width="9.85546875" style="1" bestFit="1" customWidth="1"/>
    <col min="5401" max="5632" width="9.140625" style="1"/>
    <col min="5633" max="5633" width="10.28515625" style="1" customWidth="1"/>
    <col min="5634" max="5634" width="47.5703125" style="1" customWidth="1"/>
    <col min="5635" max="5635" width="16.42578125" style="1" customWidth="1"/>
    <col min="5636" max="5636" width="10.5703125" style="1" bestFit="1" customWidth="1"/>
    <col min="5637" max="5637" width="14.5703125" style="1" customWidth="1"/>
    <col min="5638" max="5638" width="11" style="1" customWidth="1"/>
    <col min="5639" max="5639" width="15.42578125" style="1" customWidth="1"/>
    <col min="5640" max="5640" width="23.7109375" style="1" bestFit="1" customWidth="1"/>
    <col min="5641" max="5641" width="29.140625" style="1" bestFit="1" customWidth="1"/>
    <col min="5642" max="5642" width="22.85546875" style="1" customWidth="1"/>
    <col min="5643" max="5643" width="15.5703125" style="1" customWidth="1"/>
    <col min="5644" max="5644" width="2" style="1" customWidth="1"/>
    <col min="5645" max="5645" width="7.28515625" style="1" customWidth="1"/>
    <col min="5646" max="5646" width="1.5703125" style="1" customWidth="1"/>
    <col min="5647" max="5647" width="1" style="1" customWidth="1"/>
    <col min="5648" max="5648" width="16.42578125" style="1" customWidth="1"/>
    <col min="5649" max="5649" width="1.42578125" style="1" customWidth="1"/>
    <col min="5650" max="5650" width="2.42578125" style="1" customWidth="1"/>
    <col min="5651" max="5651" width="13" style="1" customWidth="1"/>
    <col min="5652" max="5652" width="3.140625" style="1" customWidth="1"/>
    <col min="5653" max="5653" width="21.42578125" style="1" customWidth="1"/>
    <col min="5654" max="5654" width="9.140625" style="1"/>
    <col min="5655" max="5655" width="10" style="1" bestFit="1" customWidth="1"/>
    <col min="5656" max="5656" width="9.85546875" style="1" bestFit="1" customWidth="1"/>
    <col min="5657" max="5888" width="9.140625" style="1"/>
    <col min="5889" max="5889" width="10.28515625" style="1" customWidth="1"/>
    <col min="5890" max="5890" width="47.5703125" style="1" customWidth="1"/>
    <col min="5891" max="5891" width="16.42578125" style="1" customWidth="1"/>
    <col min="5892" max="5892" width="10.5703125" style="1" bestFit="1" customWidth="1"/>
    <col min="5893" max="5893" width="14.5703125" style="1" customWidth="1"/>
    <col min="5894" max="5894" width="11" style="1" customWidth="1"/>
    <col min="5895" max="5895" width="15.42578125" style="1" customWidth="1"/>
    <col min="5896" max="5896" width="23.7109375" style="1" bestFit="1" customWidth="1"/>
    <col min="5897" max="5897" width="29.140625" style="1" bestFit="1" customWidth="1"/>
    <col min="5898" max="5898" width="22.85546875" style="1" customWidth="1"/>
    <col min="5899" max="5899" width="15.5703125" style="1" customWidth="1"/>
    <col min="5900" max="5900" width="2" style="1" customWidth="1"/>
    <col min="5901" max="5901" width="7.28515625" style="1" customWidth="1"/>
    <col min="5902" max="5902" width="1.5703125" style="1" customWidth="1"/>
    <col min="5903" max="5903" width="1" style="1" customWidth="1"/>
    <col min="5904" max="5904" width="16.42578125" style="1" customWidth="1"/>
    <col min="5905" max="5905" width="1.42578125" style="1" customWidth="1"/>
    <col min="5906" max="5906" width="2.42578125" style="1" customWidth="1"/>
    <col min="5907" max="5907" width="13" style="1" customWidth="1"/>
    <col min="5908" max="5908" width="3.140625" style="1" customWidth="1"/>
    <col min="5909" max="5909" width="21.42578125" style="1" customWidth="1"/>
    <col min="5910" max="5910" width="9.140625" style="1"/>
    <col min="5911" max="5911" width="10" style="1" bestFit="1" customWidth="1"/>
    <col min="5912" max="5912" width="9.85546875" style="1" bestFit="1" customWidth="1"/>
    <col min="5913" max="6144" width="9.140625" style="1"/>
    <col min="6145" max="6145" width="10.28515625" style="1" customWidth="1"/>
    <col min="6146" max="6146" width="47.5703125" style="1" customWidth="1"/>
    <col min="6147" max="6147" width="16.42578125" style="1" customWidth="1"/>
    <col min="6148" max="6148" width="10.5703125" style="1" bestFit="1" customWidth="1"/>
    <col min="6149" max="6149" width="14.5703125" style="1" customWidth="1"/>
    <col min="6150" max="6150" width="11" style="1" customWidth="1"/>
    <col min="6151" max="6151" width="15.42578125" style="1" customWidth="1"/>
    <col min="6152" max="6152" width="23.7109375" style="1" bestFit="1" customWidth="1"/>
    <col min="6153" max="6153" width="29.140625" style="1" bestFit="1" customWidth="1"/>
    <col min="6154" max="6154" width="22.85546875" style="1" customWidth="1"/>
    <col min="6155" max="6155" width="15.5703125" style="1" customWidth="1"/>
    <col min="6156" max="6156" width="2" style="1" customWidth="1"/>
    <col min="6157" max="6157" width="7.28515625" style="1" customWidth="1"/>
    <col min="6158" max="6158" width="1.5703125" style="1" customWidth="1"/>
    <col min="6159" max="6159" width="1" style="1" customWidth="1"/>
    <col min="6160" max="6160" width="16.42578125" style="1" customWidth="1"/>
    <col min="6161" max="6161" width="1.42578125" style="1" customWidth="1"/>
    <col min="6162" max="6162" width="2.42578125" style="1" customWidth="1"/>
    <col min="6163" max="6163" width="13" style="1" customWidth="1"/>
    <col min="6164" max="6164" width="3.140625" style="1" customWidth="1"/>
    <col min="6165" max="6165" width="21.42578125" style="1" customWidth="1"/>
    <col min="6166" max="6166" width="9.140625" style="1"/>
    <col min="6167" max="6167" width="10" style="1" bestFit="1" customWidth="1"/>
    <col min="6168" max="6168" width="9.85546875" style="1" bestFit="1" customWidth="1"/>
    <col min="6169" max="6400" width="9.140625" style="1"/>
    <col min="6401" max="6401" width="10.28515625" style="1" customWidth="1"/>
    <col min="6402" max="6402" width="47.5703125" style="1" customWidth="1"/>
    <col min="6403" max="6403" width="16.42578125" style="1" customWidth="1"/>
    <col min="6404" max="6404" width="10.5703125" style="1" bestFit="1" customWidth="1"/>
    <col min="6405" max="6405" width="14.5703125" style="1" customWidth="1"/>
    <col min="6406" max="6406" width="11" style="1" customWidth="1"/>
    <col min="6407" max="6407" width="15.42578125" style="1" customWidth="1"/>
    <col min="6408" max="6408" width="23.7109375" style="1" bestFit="1" customWidth="1"/>
    <col min="6409" max="6409" width="29.140625" style="1" bestFit="1" customWidth="1"/>
    <col min="6410" max="6410" width="22.85546875" style="1" customWidth="1"/>
    <col min="6411" max="6411" width="15.5703125" style="1" customWidth="1"/>
    <col min="6412" max="6412" width="2" style="1" customWidth="1"/>
    <col min="6413" max="6413" width="7.28515625" style="1" customWidth="1"/>
    <col min="6414" max="6414" width="1.5703125" style="1" customWidth="1"/>
    <col min="6415" max="6415" width="1" style="1" customWidth="1"/>
    <col min="6416" max="6416" width="16.42578125" style="1" customWidth="1"/>
    <col min="6417" max="6417" width="1.42578125" style="1" customWidth="1"/>
    <col min="6418" max="6418" width="2.42578125" style="1" customWidth="1"/>
    <col min="6419" max="6419" width="13" style="1" customWidth="1"/>
    <col min="6420" max="6420" width="3.140625" style="1" customWidth="1"/>
    <col min="6421" max="6421" width="21.42578125" style="1" customWidth="1"/>
    <col min="6422" max="6422" width="9.140625" style="1"/>
    <col min="6423" max="6423" width="10" style="1" bestFit="1" customWidth="1"/>
    <col min="6424" max="6424" width="9.85546875" style="1" bestFit="1" customWidth="1"/>
    <col min="6425" max="6656" width="9.140625" style="1"/>
    <col min="6657" max="6657" width="10.28515625" style="1" customWidth="1"/>
    <col min="6658" max="6658" width="47.5703125" style="1" customWidth="1"/>
    <col min="6659" max="6659" width="16.42578125" style="1" customWidth="1"/>
    <col min="6660" max="6660" width="10.5703125" style="1" bestFit="1" customWidth="1"/>
    <col min="6661" max="6661" width="14.5703125" style="1" customWidth="1"/>
    <col min="6662" max="6662" width="11" style="1" customWidth="1"/>
    <col min="6663" max="6663" width="15.42578125" style="1" customWidth="1"/>
    <col min="6664" max="6664" width="23.7109375" style="1" bestFit="1" customWidth="1"/>
    <col min="6665" max="6665" width="29.140625" style="1" bestFit="1" customWidth="1"/>
    <col min="6666" max="6666" width="22.85546875" style="1" customWidth="1"/>
    <col min="6667" max="6667" width="15.5703125" style="1" customWidth="1"/>
    <col min="6668" max="6668" width="2" style="1" customWidth="1"/>
    <col min="6669" max="6669" width="7.28515625" style="1" customWidth="1"/>
    <col min="6670" max="6670" width="1.5703125" style="1" customWidth="1"/>
    <col min="6671" max="6671" width="1" style="1" customWidth="1"/>
    <col min="6672" max="6672" width="16.42578125" style="1" customWidth="1"/>
    <col min="6673" max="6673" width="1.42578125" style="1" customWidth="1"/>
    <col min="6674" max="6674" width="2.42578125" style="1" customWidth="1"/>
    <col min="6675" max="6675" width="13" style="1" customWidth="1"/>
    <col min="6676" max="6676" width="3.140625" style="1" customWidth="1"/>
    <col min="6677" max="6677" width="21.42578125" style="1" customWidth="1"/>
    <col min="6678" max="6678" width="9.140625" style="1"/>
    <col min="6679" max="6679" width="10" style="1" bestFit="1" customWidth="1"/>
    <col min="6680" max="6680" width="9.85546875" style="1" bestFit="1" customWidth="1"/>
    <col min="6681" max="6912" width="9.140625" style="1"/>
    <col min="6913" max="6913" width="10.28515625" style="1" customWidth="1"/>
    <col min="6914" max="6914" width="47.5703125" style="1" customWidth="1"/>
    <col min="6915" max="6915" width="16.42578125" style="1" customWidth="1"/>
    <col min="6916" max="6916" width="10.5703125" style="1" bestFit="1" customWidth="1"/>
    <col min="6917" max="6917" width="14.5703125" style="1" customWidth="1"/>
    <col min="6918" max="6918" width="11" style="1" customWidth="1"/>
    <col min="6919" max="6919" width="15.42578125" style="1" customWidth="1"/>
    <col min="6920" max="6920" width="23.7109375" style="1" bestFit="1" customWidth="1"/>
    <col min="6921" max="6921" width="29.140625" style="1" bestFit="1" customWidth="1"/>
    <col min="6922" max="6922" width="22.85546875" style="1" customWidth="1"/>
    <col min="6923" max="6923" width="15.5703125" style="1" customWidth="1"/>
    <col min="6924" max="6924" width="2" style="1" customWidth="1"/>
    <col min="6925" max="6925" width="7.28515625" style="1" customWidth="1"/>
    <col min="6926" max="6926" width="1.5703125" style="1" customWidth="1"/>
    <col min="6927" max="6927" width="1" style="1" customWidth="1"/>
    <col min="6928" max="6928" width="16.42578125" style="1" customWidth="1"/>
    <col min="6929" max="6929" width="1.42578125" style="1" customWidth="1"/>
    <col min="6930" max="6930" width="2.42578125" style="1" customWidth="1"/>
    <col min="6931" max="6931" width="13" style="1" customWidth="1"/>
    <col min="6932" max="6932" width="3.140625" style="1" customWidth="1"/>
    <col min="6933" max="6933" width="21.42578125" style="1" customWidth="1"/>
    <col min="6934" max="6934" width="9.140625" style="1"/>
    <col min="6935" max="6935" width="10" style="1" bestFit="1" customWidth="1"/>
    <col min="6936" max="6936" width="9.85546875" style="1" bestFit="1" customWidth="1"/>
    <col min="6937" max="7168" width="9.140625" style="1"/>
    <col min="7169" max="7169" width="10.28515625" style="1" customWidth="1"/>
    <col min="7170" max="7170" width="47.5703125" style="1" customWidth="1"/>
    <col min="7171" max="7171" width="16.42578125" style="1" customWidth="1"/>
    <col min="7172" max="7172" width="10.5703125" style="1" bestFit="1" customWidth="1"/>
    <col min="7173" max="7173" width="14.5703125" style="1" customWidth="1"/>
    <col min="7174" max="7174" width="11" style="1" customWidth="1"/>
    <col min="7175" max="7175" width="15.42578125" style="1" customWidth="1"/>
    <col min="7176" max="7176" width="23.7109375" style="1" bestFit="1" customWidth="1"/>
    <col min="7177" max="7177" width="29.140625" style="1" bestFit="1" customWidth="1"/>
    <col min="7178" max="7178" width="22.85546875" style="1" customWidth="1"/>
    <col min="7179" max="7179" width="15.5703125" style="1" customWidth="1"/>
    <col min="7180" max="7180" width="2" style="1" customWidth="1"/>
    <col min="7181" max="7181" width="7.28515625" style="1" customWidth="1"/>
    <col min="7182" max="7182" width="1.5703125" style="1" customWidth="1"/>
    <col min="7183" max="7183" width="1" style="1" customWidth="1"/>
    <col min="7184" max="7184" width="16.42578125" style="1" customWidth="1"/>
    <col min="7185" max="7185" width="1.42578125" style="1" customWidth="1"/>
    <col min="7186" max="7186" width="2.42578125" style="1" customWidth="1"/>
    <col min="7187" max="7187" width="13" style="1" customWidth="1"/>
    <col min="7188" max="7188" width="3.140625" style="1" customWidth="1"/>
    <col min="7189" max="7189" width="21.42578125" style="1" customWidth="1"/>
    <col min="7190" max="7190" width="9.140625" style="1"/>
    <col min="7191" max="7191" width="10" style="1" bestFit="1" customWidth="1"/>
    <col min="7192" max="7192" width="9.85546875" style="1" bestFit="1" customWidth="1"/>
    <col min="7193" max="7424" width="9.140625" style="1"/>
    <col min="7425" max="7425" width="10.28515625" style="1" customWidth="1"/>
    <col min="7426" max="7426" width="47.5703125" style="1" customWidth="1"/>
    <col min="7427" max="7427" width="16.42578125" style="1" customWidth="1"/>
    <col min="7428" max="7428" width="10.5703125" style="1" bestFit="1" customWidth="1"/>
    <col min="7429" max="7429" width="14.5703125" style="1" customWidth="1"/>
    <col min="7430" max="7430" width="11" style="1" customWidth="1"/>
    <col min="7431" max="7431" width="15.42578125" style="1" customWidth="1"/>
    <col min="7432" max="7432" width="23.7109375" style="1" bestFit="1" customWidth="1"/>
    <col min="7433" max="7433" width="29.140625" style="1" bestFit="1" customWidth="1"/>
    <col min="7434" max="7434" width="22.85546875" style="1" customWidth="1"/>
    <col min="7435" max="7435" width="15.5703125" style="1" customWidth="1"/>
    <col min="7436" max="7436" width="2" style="1" customWidth="1"/>
    <col min="7437" max="7437" width="7.28515625" style="1" customWidth="1"/>
    <col min="7438" max="7438" width="1.5703125" style="1" customWidth="1"/>
    <col min="7439" max="7439" width="1" style="1" customWidth="1"/>
    <col min="7440" max="7440" width="16.42578125" style="1" customWidth="1"/>
    <col min="7441" max="7441" width="1.42578125" style="1" customWidth="1"/>
    <col min="7442" max="7442" width="2.42578125" style="1" customWidth="1"/>
    <col min="7443" max="7443" width="13" style="1" customWidth="1"/>
    <col min="7444" max="7444" width="3.140625" style="1" customWidth="1"/>
    <col min="7445" max="7445" width="21.42578125" style="1" customWidth="1"/>
    <col min="7446" max="7446" width="9.140625" style="1"/>
    <col min="7447" max="7447" width="10" style="1" bestFit="1" customWidth="1"/>
    <col min="7448" max="7448" width="9.85546875" style="1" bestFit="1" customWidth="1"/>
    <col min="7449" max="7680" width="9.140625" style="1"/>
    <col min="7681" max="7681" width="10.28515625" style="1" customWidth="1"/>
    <col min="7682" max="7682" width="47.5703125" style="1" customWidth="1"/>
    <col min="7683" max="7683" width="16.42578125" style="1" customWidth="1"/>
    <col min="7684" max="7684" width="10.5703125" style="1" bestFit="1" customWidth="1"/>
    <col min="7685" max="7685" width="14.5703125" style="1" customWidth="1"/>
    <col min="7686" max="7686" width="11" style="1" customWidth="1"/>
    <col min="7687" max="7687" width="15.42578125" style="1" customWidth="1"/>
    <col min="7688" max="7688" width="23.7109375" style="1" bestFit="1" customWidth="1"/>
    <col min="7689" max="7689" width="29.140625" style="1" bestFit="1" customWidth="1"/>
    <col min="7690" max="7690" width="22.85546875" style="1" customWidth="1"/>
    <col min="7691" max="7691" width="15.5703125" style="1" customWidth="1"/>
    <col min="7692" max="7692" width="2" style="1" customWidth="1"/>
    <col min="7693" max="7693" width="7.28515625" style="1" customWidth="1"/>
    <col min="7694" max="7694" width="1.5703125" style="1" customWidth="1"/>
    <col min="7695" max="7695" width="1" style="1" customWidth="1"/>
    <col min="7696" max="7696" width="16.42578125" style="1" customWidth="1"/>
    <col min="7697" max="7697" width="1.42578125" style="1" customWidth="1"/>
    <col min="7698" max="7698" width="2.42578125" style="1" customWidth="1"/>
    <col min="7699" max="7699" width="13" style="1" customWidth="1"/>
    <col min="7700" max="7700" width="3.140625" style="1" customWidth="1"/>
    <col min="7701" max="7701" width="21.42578125" style="1" customWidth="1"/>
    <col min="7702" max="7702" width="9.140625" style="1"/>
    <col min="7703" max="7703" width="10" style="1" bestFit="1" customWidth="1"/>
    <col min="7704" max="7704" width="9.85546875" style="1" bestFit="1" customWidth="1"/>
    <col min="7705" max="7936" width="9.140625" style="1"/>
    <col min="7937" max="7937" width="10.28515625" style="1" customWidth="1"/>
    <col min="7938" max="7938" width="47.5703125" style="1" customWidth="1"/>
    <col min="7939" max="7939" width="16.42578125" style="1" customWidth="1"/>
    <col min="7940" max="7940" width="10.5703125" style="1" bestFit="1" customWidth="1"/>
    <col min="7941" max="7941" width="14.5703125" style="1" customWidth="1"/>
    <col min="7942" max="7942" width="11" style="1" customWidth="1"/>
    <col min="7943" max="7943" width="15.42578125" style="1" customWidth="1"/>
    <col min="7944" max="7944" width="23.7109375" style="1" bestFit="1" customWidth="1"/>
    <col min="7945" max="7945" width="29.140625" style="1" bestFit="1" customWidth="1"/>
    <col min="7946" max="7946" width="22.85546875" style="1" customWidth="1"/>
    <col min="7947" max="7947" width="15.5703125" style="1" customWidth="1"/>
    <col min="7948" max="7948" width="2" style="1" customWidth="1"/>
    <col min="7949" max="7949" width="7.28515625" style="1" customWidth="1"/>
    <col min="7950" max="7950" width="1.5703125" style="1" customWidth="1"/>
    <col min="7951" max="7951" width="1" style="1" customWidth="1"/>
    <col min="7952" max="7952" width="16.42578125" style="1" customWidth="1"/>
    <col min="7953" max="7953" width="1.42578125" style="1" customWidth="1"/>
    <col min="7954" max="7954" width="2.42578125" style="1" customWidth="1"/>
    <col min="7955" max="7955" width="13" style="1" customWidth="1"/>
    <col min="7956" max="7956" width="3.140625" style="1" customWidth="1"/>
    <col min="7957" max="7957" width="21.42578125" style="1" customWidth="1"/>
    <col min="7958" max="7958" width="9.140625" style="1"/>
    <col min="7959" max="7959" width="10" style="1" bestFit="1" customWidth="1"/>
    <col min="7960" max="7960" width="9.85546875" style="1" bestFit="1" customWidth="1"/>
    <col min="7961" max="8192" width="9.140625" style="1"/>
    <col min="8193" max="8193" width="10.28515625" style="1" customWidth="1"/>
    <col min="8194" max="8194" width="47.5703125" style="1" customWidth="1"/>
    <col min="8195" max="8195" width="16.42578125" style="1" customWidth="1"/>
    <col min="8196" max="8196" width="10.5703125" style="1" bestFit="1" customWidth="1"/>
    <col min="8197" max="8197" width="14.5703125" style="1" customWidth="1"/>
    <col min="8198" max="8198" width="11" style="1" customWidth="1"/>
    <col min="8199" max="8199" width="15.42578125" style="1" customWidth="1"/>
    <col min="8200" max="8200" width="23.7109375" style="1" bestFit="1" customWidth="1"/>
    <col min="8201" max="8201" width="29.140625" style="1" bestFit="1" customWidth="1"/>
    <col min="8202" max="8202" width="22.85546875" style="1" customWidth="1"/>
    <col min="8203" max="8203" width="15.5703125" style="1" customWidth="1"/>
    <col min="8204" max="8204" width="2" style="1" customWidth="1"/>
    <col min="8205" max="8205" width="7.28515625" style="1" customWidth="1"/>
    <col min="8206" max="8206" width="1.5703125" style="1" customWidth="1"/>
    <col min="8207" max="8207" width="1" style="1" customWidth="1"/>
    <col min="8208" max="8208" width="16.42578125" style="1" customWidth="1"/>
    <col min="8209" max="8209" width="1.42578125" style="1" customWidth="1"/>
    <col min="8210" max="8210" width="2.42578125" style="1" customWidth="1"/>
    <col min="8211" max="8211" width="13" style="1" customWidth="1"/>
    <col min="8212" max="8212" width="3.140625" style="1" customWidth="1"/>
    <col min="8213" max="8213" width="21.42578125" style="1" customWidth="1"/>
    <col min="8214" max="8214" width="9.140625" style="1"/>
    <col min="8215" max="8215" width="10" style="1" bestFit="1" customWidth="1"/>
    <col min="8216" max="8216" width="9.85546875" style="1" bestFit="1" customWidth="1"/>
    <col min="8217" max="8448" width="9.140625" style="1"/>
    <col min="8449" max="8449" width="10.28515625" style="1" customWidth="1"/>
    <col min="8450" max="8450" width="47.5703125" style="1" customWidth="1"/>
    <col min="8451" max="8451" width="16.42578125" style="1" customWidth="1"/>
    <col min="8452" max="8452" width="10.5703125" style="1" bestFit="1" customWidth="1"/>
    <col min="8453" max="8453" width="14.5703125" style="1" customWidth="1"/>
    <col min="8454" max="8454" width="11" style="1" customWidth="1"/>
    <col min="8455" max="8455" width="15.42578125" style="1" customWidth="1"/>
    <col min="8456" max="8456" width="23.7109375" style="1" bestFit="1" customWidth="1"/>
    <col min="8457" max="8457" width="29.140625" style="1" bestFit="1" customWidth="1"/>
    <col min="8458" max="8458" width="22.85546875" style="1" customWidth="1"/>
    <col min="8459" max="8459" width="15.5703125" style="1" customWidth="1"/>
    <col min="8460" max="8460" width="2" style="1" customWidth="1"/>
    <col min="8461" max="8461" width="7.28515625" style="1" customWidth="1"/>
    <col min="8462" max="8462" width="1.5703125" style="1" customWidth="1"/>
    <col min="8463" max="8463" width="1" style="1" customWidth="1"/>
    <col min="8464" max="8464" width="16.42578125" style="1" customWidth="1"/>
    <col min="8465" max="8465" width="1.42578125" style="1" customWidth="1"/>
    <col min="8466" max="8466" width="2.42578125" style="1" customWidth="1"/>
    <col min="8467" max="8467" width="13" style="1" customWidth="1"/>
    <col min="8468" max="8468" width="3.140625" style="1" customWidth="1"/>
    <col min="8469" max="8469" width="21.42578125" style="1" customWidth="1"/>
    <col min="8470" max="8470" width="9.140625" style="1"/>
    <col min="8471" max="8471" width="10" style="1" bestFit="1" customWidth="1"/>
    <col min="8472" max="8472" width="9.85546875" style="1" bestFit="1" customWidth="1"/>
    <col min="8473" max="8704" width="9.140625" style="1"/>
    <col min="8705" max="8705" width="10.28515625" style="1" customWidth="1"/>
    <col min="8706" max="8706" width="47.5703125" style="1" customWidth="1"/>
    <col min="8707" max="8707" width="16.42578125" style="1" customWidth="1"/>
    <col min="8708" max="8708" width="10.5703125" style="1" bestFit="1" customWidth="1"/>
    <col min="8709" max="8709" width="14.5703125" style="1" customWidth="1"/>
    <col min="8710" max="8710" width="11" style="1" customWidth="1"/>
    <col min="8711" max="8711" width="15.42578125" style="1" customWidth="1"/>
    <col min="8712" max="8712" width="23.7109375" style="1" bestFit="1" customWidth="1"/>
    <col min="8713" max="8713" width="29.140625" style="1" bestFit="1" customWidth="1"/>
    <col min="8714" max="8714" width="22.85546875" style="1" customWidth="1"/>
    <col min="8715" max="8715" width="15.5703125" style="1" customWidth="1"/>
    <col min="8716" max="8716" width="2" style="1" customWidth="1"/>
    <col min="8717" max="8717" width="7.28515625" style="1" customWidth="1"/>
    <col min="8718" max="8718" width="1.5703125" style="1" customWidth="1"/>
    <col min="8719" max="8719" width="1" style="1" customWidth="1"/>
    <col min="8720" max="8720" width="16.42578125" style="1" customWidth="1"/>
    <col min="8721" max="8721" width="1.42578125" style="1" customWidth="1"/>
    <col min="8722" max="8722" width="2.42578125" style="1" customWidth="1"/>
    <col min="8723" max="8723" width="13" style="1" customWidth="1"/>
    <col min="8724" max="8724" width="3.140625" style="1" customWidth="1"/>
    <col min="8725" max="8725" width="21.42578125" style="1" customWidth="1"/>
    <col min="8726" max="8726" width="9.140625" style="1"/>
    <col min="8727" max="8727" width="10" style="1" bestFit="1" customWidth="1"/>
    <col min="8728" max="8728" width="9.85546875" style="1" bestFit="1" customWidth="1"/>
    <col min="8729" max="8960" width="9.140625" style="1"/>
    <col min="8961" max="8961" width="10.28515625" style="1" customWidth="1"/>
    <col min="8962" max="8962" width="47.5703125" style="1" customWidth="1"/>
    <col min="8963" max="8963" width="16.42578125" style="1" customWidth="1"/>
    <col min="8964" max="8964" width="10.5703125" style="1" bestFit="1" customWidth="1"/>
    <col min="8965" max="8965" width="14.5703125" style="1" customWidth="1"/>
    <col min="8966" max="8966" width="11" style="1" customWidth="1"/>
    <col min="8967" max="8967" width="15.42578125" style="1" customWidth="1"/>
    <col min="8968" max="8968" width="23.7109375" style="1" bestFit="1" customWidth="1"/>
    <col min="8969" max="8969" width="29.140625" style="1" bestFit="1" customWidth="1"/>
    <col min="8970" max="8970" width="22.85546875" style="1" customWidth="1"/>
    <col min="8971" max="8971" width="15.5703125" style="1" customWidth="1"/>
    <col min="8972" max="8972" width="2" style="1" customWidth="1"/>
    <col min="8973" max="8973" width="7.28515625" style="1" customWidth="1"/>
    <col min="8974" max="8974" width="1.5703125" style="1" customWidth="1"/>
    <col min="8975" max="8975" width="1" style="1" customWidth="1"/>
    <col min="8976" max="8976" width="16.42578125" style="1" customWidth="1"/>
    <col min="8977" max="8977" width="1.42578125" style="1" customWidth="1"/>
    <col min="8978" max="8978" width="2.42578125" style="1" customWidth="1"/>
    <col min="8979" max="8979" width="13" style="1" customWidth="1"/>
    <col min="8980" max="8980" width="3.140625" style="1" customWidth="1"/>
    <col min="8981" max="8981" width="21.42578125" style="1" customWidth="1"/>
    <col min="8982" max="8982" width="9.140625" style="1"/>
    <col min="8983" max="8983" width="10" style="1" bestFit="1" customWidth="1"/>
    <col min="8984" max="8984" width="9.85546875" style="1" bestFit="1" customWidth="1"/>
    <col min="8985" max="9216" width="9.140625" style="1"/>
    <col min="9217" max="9217" width="10.28515625" style="1" customWidth="1"/>
    <col min="9218" max="9218" width="47.5703125" style="1" customWidth="1"/>
    <col min="9219" max="9219" width="16.42578125" style="1" customWidth="1"/>
    <col min="9220" max="9220" width="10.5703125" style="1" bestFit="1" customWidth="1"/>
    <col min="9221" max="9221" width="14.5703125" style="1" customWidth="1"/>
    <col min="9222" max="9222" width="11" style="1" customWidth="1"/>
    <col min="9223" max="9223" width="15.42578125" style="1" customWidth="1"/>
    <col min="9224" max="9224" width="23.7109375" style="1" bestFit="1" customWidth="1"/>
    <col min="9225" max="9225" width="29.140625" style="1" bestFit="1" customWidth="1"/>
    <col min="9226" max="9226" width="22.85546875" style="1" customWidth="1"/>
    <col min="9227" max="9227" width="15.5703125" style="1" customWidth="1"/>
    <col min="9228" max="9228" width="2" style="1" customWidth="1"/>
    <col min="9229" max="9229" width="7.28515625" style="1" customWidth="1"/>
    <col min="9230" max="9230" width="1.5703125" style="1" customWidth="1"/>
    <col min="9231" max="9231" width="1" style="1" customWidth="1"/>
    <col min="9232" max="9232" width="16.42578125" style="1" customWidth="1"/>
    <col min="9233" max="9233" width="1.42578125" style="1" customWidth="1"/>
    <col min="9234" max="9234" width="2.42578125" style="1" customWidth="1"/>
    <col min="9235" max="9235" width="13" style="1" customWidth="1"/>
    <col min="9236" max="9236" width="3.140625" style="1" customWidth="1"/>
    <col min="9237" max="9237" width="21.42578125" style="1" customWidth="1"/>
    <col min="9238" max="9238" width="9.140625" style="1"/>
    <col min="9239" max="9239" width="10" style="1" bestFit="1" customWidth="1"/>
    <col min="9240" max="9240" width="9.85546875" style="1" bestFit="1" customWidth="1"/>
    <col min="9241" max="9472" width="9.140625" style="1"/>
    <col min="9473" max="9473" width="10.28515625" style="1" customWidth="1"/>
    <col min="9474" max="9474" width="47.5703125" style="1" customWidth="1"/>
    <col min="9475" max="9475" width="16.42578125" style="1" customWidth="1"/>
    <col min="9476" max="9476" width="10.5703125" style="1" bestFit="1" customWidth="1"/>
    <col min="9477" max="9477" width="14.5703125" style="1" customWidth="1"/>
    <col min="9478" max="9478" width="11" style="1" customWidth="1"/>
    <col min="9479" max="9479" width="15.42578125" style="1" customWidth="1"/>
    <col min="9480" max="9480" width="23.7109375" style="1" bestFit="1" customWidth="1"/>
    <col min="9481" max="9481" width="29.140625" style="1" bestFit="1" customWidth="1"/>
    <col min="9482" max="9482" width="22.85546875" style="1" customWidth="1"/>
    <col min="9483" max="9483" width="15.5703125" style="1" customWidth="1"/>
    <col min="9484" max="9484" width="2" style="1" customWidth="1"/>
    <col min="9485" max="9485" width="7.28515625" style="1" customWidth="1"/>
    <col min="9486" max="9486" width="1.5703125" style="1" customWidth="1"/>
    <col min="9487" max="9487" width="1" style="1" customWidth="1"/>
    <col min="9488" max="9488" width="16.42578125" style="1" customWidth="1"/>
    <col min="9489" max="9489" width="1.42578125" style="1" customWidth="1"/>
    <col min="9490" max="9490" width="2.42578125" style="1" customWidth="1"/>
    <col min="9491" max="9491" width="13" style="1" customWidth="1"/>
    <col min="9492" max="9492" width="3.140625" style="1" customWidth="1"/>
    <col min="9493" max="9493" width="21.42578125" style="1" customWidth="1"/>
    <col min="9494" max="9494" width="9.140625" style="1"/>
    <col min="9495" max="9495" width="10" style="1" bestFit="1" customWidth="1"/>
    <col min="9496" max="9496" width="9.85546875" style="1" bestFit="1" customWidth="1"/>
    <col min="9497" max="9728" width="9.140625" style="1"/>
    <col min="9729" max="9729" width="10.28515625" style="1" customWidth="1"/>
    <col min="9730" max="9730" width="47.5703125" style="1" customWidth="1"/>
    <col min="9731" max="9731" width="16.42578125" style="1" customWidth="1"/>
    <col min="9732" max="9732" width="10.5703125" style="1" bestFit="1" customWidth="1"/>
    <col min="9733" max="9733" width="14.5703125" style="1" customWidth="1"/>
    <col min="9734" max="9734" width="11" style="1" customWidth="1"/>
    <col min="9735" max="9735" width="15.42578125" style="1" customWidth="1"/>
    <col min="9736" max="9736" width="23.7109375" style="1" bestFit="1" customWidth="1"/>
    <col min="9737" max="9737" width="29.140625" style="1" bestFit="1" customWidth="1"/>
    <col min="9738" max="9738" width="22.85546875" style="1" customWidth="1"/>
    <col min="9739" max="9739" width="15.5703125" style="1" customWidth="1"/>
    <col min="9740" max="9740" width="2" style="1" customWidth="1"/>
    <col min="9741" max="9741" width="7.28515625" style="1" customWidth="1"/>
    <col min="9742" max="9742" width="1.5703125" style="1" customWidth="1"/>
    <col min="9743" max="9743" width="1" style="1" customWidth="1"/>
    <col min="9744" max="9744" width="16.42578125" style="1" customWidth="1"/>
    <col min="9745" max="9745" width="1.42578125" style="1" customWidth="1"/>
    <col min="9746" max="9746" width="2.42578125" style="1" customWidth="1"/>
    <col min="9747" max="9747" width="13" style="1" customWidth="1"/>
    <col min="9748" max="9748" width="3.140625" style="1" customWidth="1"/>
    <col min="9749" max="9749" width="21.42578125" style="1" customWidth="1"/>
    <col min="9750" max="9750" width="9.140625" style="1"/>
    <col min="9751" max="9751" width="10" style="1" bestFit="1" customWidth="1"/>
    <col min="9752" max="9752" width="9.85546875" style="1" bestFit="1" customWidth="1"/>
    <col min="9753" max="9984" width="9.140625" style="1"/>
    <col min="9985" max="9985" width="10.28515625" style="1" customWidth="1"/>
    <col min="9986" max="9986" width="47.5703125" style="1" customWidth="1"/>
    <col min="9987" max="9987" width="16.42578125" style="1" customWidth="1"/>
    <col min="9988" max="9988" width="10.5703125" style="1" bestFit="1" customWidth="1"/>
    <col min="9989" max="9989" width="14.5703125" style="1" customWidth="1"/>
    <col min="9990" max="9990" width="11" style="1" customWidth="1"/>
    <col min="9991" max="9991" width="15.42578125" style="1" customWidth="1"/>
    <col min="9992" max="9992" width="23.7109375" style="1" bestFit="1" customWidth="1"/>
    <col min="9993" max="9993" width="29.140625" style="1" bestFit="1" customWidth="1"/>
    <col min="9994" max="9994" width="22.85546875" style="1" customWidth="1"/>
    <col min="9995" max="9995" width="15.5703125" style="1" customWidth="1"/>
    <col min="9996" max="9996" width="2" style="1" customWidth="1"/>
    <col min="9997" max="9997" width="7.28515625" style="1" customWidth="1"/>
    <col min="9998" max="9998" width="1.5703125" style="1" customWidth="1"/>
    <col min="9999" max="9999" width="1" style="1" customWidth="1"/>
    <col min="10000" max="10000" width="16.42578125" style="1" customWidth="1"/>
    <col min="10001" max="10001" width="1.42578125" style="1" customWidth="1"/>
    <col min="10002" max="10002" width="2.42578125" style="1" customWidth="1"/>
    <col min="10003" max="10003" width="13" style="1" customWidth="1"/>
    <col min="10004" max="10004" width="3.140625" style="1" customWidth="1"/>
    <col min="10005" max="10005" width="21.42578125" style="1" customWidth="1"/>
    <col min="10006" max="10006" width="9.140625" style="1"/>
    <col min="10007" max="10007" width="10" style="1" bestFit="1" customWidth="1"/>
    <col min="10008" max="10008" width="9.85546875" style="1" bestFit="1" customWidth="1"/>
    <col min="10009" max="10240" width="9.140625" style="1"/>
    <col min="10241" max="10241" width="10.28515625" style="1" customWidth="1"/>
    <col min="10242" max="10242" width="47.5703125" style="1" customWidth="1"/>
    <col min="10243" max="10243" width="16.42578125" style="1" customWidth="1"/>
    <col min="10244" max="10244" width="10.5703125" style="1" bestFit="1" customWidth="1"/>
    <col min="10245" max="10245" width="14.5703125" style="1" customWidth="1"/>
    <col min="10246" max="10246" width="11" style="1" customWidth="1"/>
    <col min="10247" max="10247" width="15.42578125" style="1" customWidth="1"/>
    <col min="10248" max="10248" width="23.7109375" style="1" bestFit="1" customWidth="1"/>
    <col min="10249" max="10249" width="29.140625" style="1" bestFit="1" customWidth="1"/>
    <col min="10250" max="10250" width="22.85546875" style="1" customWidth="1"/>
    <col min="10251" max="10251" width="15.5703125" style="1" customWidth="1"/>
    <col min="10252" max="10252" width="2" style="1" customWidth="1"/>
    <col min="10253" max="10253" width="7.28515625" style="1" customWidth="1"/>
    <col min="10254" max="10254" width="1.5703125" style="1" customWidth="1"/>
    <col min="10255" max="10255" width="1" style="1" customWidth="1"/>
    <col min="10256" max="10256" width="16.42578125" style="1" customWidth="1"/>
    <col min="10257" max="10257" width="1.42578125" style="1" customWidth="1"/>
    <col min="10258" max="10258" width="2.42578125" style="1" customWidth="1"/>
    <col min="10259" max="10259" width="13" style="1" customWidth="1"/>
    <col min="10260" max="10260" width="3.140625" style="1" customWidth="1"/>
    <col min="10261" max="10261" width="21.42578125" style="1" customWidth="1"/>
    <col min="10262" max="10262" width="9.140625" style="1"/>
    <col min="10263" max="10263" width="10" style="1" bestFit="1" customWidth="1"/>
    <col min="10264" max="10264" width="9.85546875" style="1" bestFit="1" customWidth="1"/>
    <col min="10265" max="10496" width="9.140625" style="1"/>
    <col min="10497" max="10497" width="10.28515625" style="1" customWidth="1"/>
    <col min="10498" max="10498" width="47.5703125" style="1" customWidth="1"/>
    <col min="10499" max="10499" width="16.42578125" style="1" customWidth="1"/>
    <col min="10500" max="10500" width="10.5703125" style="1" bestFit="1" customWidth="1"/>
    <col min="10501" max="10501" width="14.5703125" style="1" customWidth="1"/>
    <col min="10502" max="10502" width="11" style="1" customWidth="1"/>
    <col min="10503" max="10503" width="15.42578125" style="1" customWidth="1"/>
    <col min="10504" max="10504" width="23.7109375" style="1" bestFit="1" customWidth="1"/>
    <col min="10505" max="10505" width="29.140625" style="1" bestFit="1" customWidth="1"/>
    <col min="10506" max="10506" width="22.85546875" style="1" customWidth="1"/>
    <col min="10507" max="10507" width="15.5703125" style="1" customWidth="1"/>
    <col min="10508" max="10508" width="2" style="1" customWidth="1"/>
    <col min="10509" max="10509" width="7.28515625" style="1" customWidth="1"/>
    <col min="10510" max="10510" width="1.5703125" style="1" customWidth="1"/>
    <col min="10511" max="10511" width="1" style="1" customWidth="1"/>
    <col min="10512" max="10512" width="16.42578125" style="1" customWidth="1"/>
    <col min="10513" max="10513" width="1.42578125" style="1" customWidth="1"/>
    <col min="10514" max="10514" width="2.42578125" style="1" customWidth="1"/>
    <col min="10515" max="10515" width="13" style="1" customWidth="1"/>
    <col min="10516" max="10516" width="3.140625" style="1" customWidth="1"/>
    <col min="10517" max="10517" width="21.42578125" style="1" customWidth="1"/>
    <col min="10518" max="10518" width="9.140625" style="1"/>
    <col min="10519" max="10519" width="10" style="1" bestFit="1" customWidth="1"/>
    <col min="10520" max="10520" width="9.85546875" style="1" bestFit="1" customWidth="1"/>
    <col min="10521" max="10752" width="9.140625" style="1"/>
    <col min="10753" max="10753" width="10.28515625" style="1" customWidth="1"/>
    <col min="10754" max="10754" width="47.5703125" style="1" customWidth="1"/>
    <col min="10755" max="10755" width="16.42578125" style="1" customWidth="1"/>
    <col min="10756" max="10756" width="10.5703125" style="1" bestFit="1" customWidth="1"/>
    <col min="10757" max="10757" width="14.5703125" style="1" customWidth="1"/>
    <col min="10758" max="10758" width="11" style="1" customWidth="1"/>
    <col min="10759" max="10759" width="15.42578125" style="1" customWidth="1"/>
    <col min="10760" max="10760" width="23.7109375" style="1" bestFit="1" customWidth="1"/>
    <col min="10761" max="10761" width="29.140625" style="1" bestFit="1" customWidth="1"/>
    <col min="10762" max="10762" width="22.85546875" style="1" customWidth="1"/>
    <col min="10763" max="10763" width="15.5703125" style="1" customWidth="1"/>
    <col min="10764" max="10764" width="2" style="1" customWidth="1"/>
    <col min="10765" max="10765" width="7.28515625" style="1" customWidth="1"/>
    <col min="10766" max="10766" width="1.5703125" style="1" customWidth="1"/>
    <col min="10767" max="10767" width="1" style="1" customWidth="1"/>
    <col min="10768" max="10768" width="16.42578125" style="1" customWidth="1"/>
    <col min="10769" max="10769" width="1.42578125" style="1" customWidth="1"/>
    <col min="10770" max="10770" width="2.42578125" style="1" customWidth="1"/>
    <col min="10771" max="10771" width="13" style="1" customWidth="1"/>
    <col min="10772" max="10772" width="3.140625" style="1" customWidth="1"/>
    <col min="10773" max="10773" width="21.42578125" style="1" customWidth="1"/>
    <col min="10774" max="10774" width="9.140625" style="1"/>
    <col min="10775" max="10775" width="10" style="1" bestFit="1" customWidth="1"/>
    <col min="10776" max="10776" width="9.85546875" style="1" bestFit="1" customWidth="1"/>
    <col min="10777" max="11008" width="9.140625" style="1"/>
    <col min="11009" max="11009" width="10.28515625" style="1" customWidth="1"/>
    <col min="11010" max="11010" width="47.5703125" style="1" customWidth="1"/>
    <col min="11011" max="11011" width="16.42578125" style="1" customWidth="1"/>
    <col min="11012" max="11012" width="10.5703125" style="1" bestFit="1" customWidth="1"/>
    <col min="11013" max="11013" width="14.5703125" style="1" customWidth="1"/>
    <col min="11014" max="11014" width="11" style="1" customWidth="1"/>
    <col min="11015" max="11015" width="15.42578125" style="1" customWidth="1"/>
    <col min="11016" max="11016" width="23.7109375" style="1" bestFit="1" customWidth="1"/>
    <col min="11017" max="11017" width="29.140625" style="1" bestFit="1" customWidth="1"/>
    <col min="11018" max="11018" width="22.85546875" style="1" customWidth="1"/>
    <col min="11019" max="11019" width="15.5703125" style="1" customWidth="1"/>
    <col min="11020" max="11020" width="2" style="1" customWidth="1"/>
    <col min="11021" max="11021" width="7.28515625" style="1" customWidth="1"/>
    <col min="11022" max="11022" width="1.5703125" style="1" customWidth="1"/>
    <col min="11023" max="11023" width="1" style="1" customWidth="1"/>
    <col min="11024" max="11024" width="16.42578125" style="1" customWidth="1"/>
    <col min="11025" max="11025" width="1.42578125" style="1" customWidth="1"/>
    <col min="11026" max="11026" width="2.42578125" style="1" customWidth="1"/>
    <col min="11027" max="11027" width="13" style="1" customWidth="1"/>
    <col min="11028" max="11028" width="3.140625" style="1" customWidth="1"/>
    <col min="11029" max="11029" width="21.42578125" style="1" customWidth="1"/>
    <col min="11030" max="11030" width="9.140625" style="1"/>
    <col min="11031" max="11031" width="10" style="1" bestFit="1" customWidth="1"/>
    <col min="11032" max="11032" width="9.85546875" style="1" bestFit="1" customWidth="1"/>
    <col min="11033" max="11264" width="9.140625" style="1"/>
    <col min="11265" max="11265" width="10.28515625" style="1" customWidth="1"/>
    <col min="11266" max="11266" width="47.5703125" style="1" customWidth="1"/>
    <col min="11267" max="11267" width="16.42578125" style="1" customWidth="1"/>
    <col min="11268" max="11268" width="10.5703125" style="1" bestFit="1" customWidth="1"/>
    <col min="11269" max="11269" width="14.5703125" style="1" customWidth="1"/>
    <col min="11270" max="11270" width="11" style="1" customWidth="1"/>
    <col min="11271" max="11271" width="15.42578125" style="1" customWidth="1"/>
    <col min="11272" max="11272" width="23.7109375" style="1" bestFit="1" customWidth="1"/>
    <col min="11273" max="11273" width="29.140625" style="1" bestFit="1" customWidth="1"/>
    <col min="11274" max="11274" width="22.85546875" style="1" customWidth="1"/>
    <col min="11275" max="11275" width="15.5703125" style="1" customWidth="1"/>
    <col min="11276" max="11276" width="2" style="1" customWidth="1"/>
    <col min="11277" max="11277" width="7.28515625" style="1" customWidth="1"/>
    <col min="11278" max="11278" width="1.5703125" style="1" customWidth="1"/>
    <col min="11279" max="11279" width="1" style="1" customWidth="1"/>
    <col min="11280" max="11280" width="16.42578125" style="1" customWidth="1"/>
    <col min="11281" max="11281" width="1.42578125" style="1" customWidth="1"/>
    <col min="11282" max="11282" width="2.42578125" style="1" customWidth="1"/>
    <col min="11283" max="11283" width="13" style="1" customWidth="1"/>
    <col min="11284" max="11284" width="3.140625" style="1" customWidth="1"/>
    <col min="11285" max="11285" width="21.42578125" style="1" customWidth="1"/>
    <col min="11286" max="11286" width="9.140625" style="1"/>
    <col min="11287" max="11287" width="10" style="1" bestFit="1" customWidth="1"/>
    <col min="11288" max="11288" width="9.85546875" style="1" bestFit="1" customWidth="1"/>
    <col min="11289" max="11520" width="9.140625" style="1"/>
    <col min="11521" max="11521" width="10.28515625" style="1" customWidth="1"/>
    <col min="11522" max="11522" width="47.5703125" style="1" customWidth="1"/>
    <col min="11523" max="11523" width="16.42578125" style="1" customWidth="1"/>
    <col min="11524" max="11524" width="10.5703125" style="1" bestFit="1" customWidth="1"/>
    <col min="11525" max="11525" width="14.5703125" style="1" customWidth="1"/>
    <col min="11526" max="11526" width="11" style="1" customWidth="1"/>
    <col min="11527" max="11527" width="15.42578125" style="1" customWidth="1"/>
    <col min="11528" max="11528" width="23.7109375" style="1" bestFit="1" customWidth="1"/>
    <col min="11529" max="11529" width="29.140625" style="1" bestFit="1" customWidth="1"/>
    <col min="11530" max="11530" width="22.85546875" style="1" customWidth="1"/>
    <col min="11531" max="11531" width="15.5703125" style="1" customWidth="1"/>
    <col min="11532" max="11532" width="2" style="1" customWidth="1"/>
    <col min="11533" max="11533" width="7.28515625" style="1" customWidth="1"/>
    <col min="11534" max="11534" width="1.5703125" style="1" customWidth="1"/>
    <col min="11535" max="11535" width="1" style="1" customWidth="1"/>
    <col min="11536" max="11536" width="16.42578125" style="1" customWidth="1"/>
    <col min="11537" max="11537" width="1.42578125" style="1" customWidth="1"/>
    <col min="11538" max="11538" width="2.42578125" style="1" customWidth="1"/>
    <col min="11539" max="11539" width="13" style="1" customWidth="1"/>
    <col min="11540" max="11540" width="3.140625" style="1" customWidth="1"/>
    <col min="11541" max="11541" width="21.42578125" style="1" customWidth="1"/>
    <col min="11542" max="11542" width="9.140625" style="1"/>
    <col min="11543" max="11543" width="10" style="1" bestFit="1" customWidth="1"/>
    <col min="11544" max="11544" width="9.85546875" style="1" bestFit="1" customWidth="1"/>
    <col min="11545" max="11776" width="9.140625" style="1"/>
    <col min="11777" max="11777" width="10.28515625" style="1" customWidth="1"/>
    <col min="11778" max="11778" width="47.5703125" style="1" customWidth="1"/>
    <col min="11779" max="11779" width="16.42578125" style="1" customWidth="1"/>
    <col min="11780" max="11780" width="10.5703125" style="1" bestFit="1" customWidth="1"/>
    <col min="11781" max="11781" width="14.5703125" style="1" customWidth="1"/>
    <col min="11782" max="11782" width="11" style="1" customWidth="1"/>
    <col min="11783" max="11783" width="15.42578125" style="1" customWidth="1"/>
    <col min="11784" max="11784" width="23.7109375" style="1" bestFit="1" customWidth="1"/>
    <col min="11785" max="11785" width="29.140625" style="1" bestFit="1" customWidth="1"/>
    <col min="11786" max="11786" width="22.85546875" style="1" customWidth="1"/>
    <col min="11787" max="11787" width="15.5703125" style="1" customWidth="1"/>
    <col min="11788" max="11788" width="2" style="1" customWidth="1"/>
    <col min="11789" max="11789" width="7.28515625" style="1" customWidth="1"/>
    <col min="11790" max="11790" width="1.5703125" style="1" customWidth="1"/>
    <col min="11791" max="11791" width="1" style="1" customWidth="1"/>
    <col min="11792" max="11792" width="16.42578125" style="1" customWidth="1"/>
    <col min="11793" max="11793" width="1.42578125" style="1" customWidth="1"/>
    <col min="11794" max="11794" width="2.42578125" style="1" customWidth="1"/>
    <col min="11795" max="11795" width="13" style="1" customWidth="1"/>
    <col min="11796" max="11796" width="3.140625" style="1" customWidth="1"/>
    <col min="11797" max="11797" width="21.42578125" style="1" customWidth="1"/>
    <col min="11798" max="11798" width="9.140625" style="1"/>
    <col min="11799" max="11799" width="10" style="1" bestFit="1" customWidth="1"/>
    <col min="11800" max="11800" width="9.85546875" style="1" bestFit="1" customWidth="1"/>
    <col min="11801" max="12032" width="9.140625" style="1"/>
    <col min="12033" max="12033" width="10.28515625" style="1" customWidth="1"/>
    <col min="12034" max="12034" width="47.5703125" style="1" customWidth="1"/>
    <col min="12035" max="12035" width="16.42578125" style="1" customWidth="1"/>
    <col min="12036" max="12036" width="10.5703125" style="1" bestFit="1" customWidth="1"/>
    <col min="12037" max="12037" width="14.5703125" style="1" customWidth="1"/>
    <col min="12038" max="12038" width="11" style="1" customWidth="1"/>
    <col min="12039" max="12039" width="15.42578125" style="1" customWidth="1"/>
    <col min="12040" max="12040" width="23.7109375" style="1" bestFit="1" customWidth="1"/>
    <col min="12041" max="12041" width="29.140625" style="1" bestFit="1" customWidth="1"/>
    <col min="12042" max="12042" width="22.85546875" style="1" customWidth="1"/>
    <col min="12043" max="12043" width="15.5703125" style="1" customWidth="1"/>
    <col min="12044" max="12044" width="2" style="1" customWidth="1"/>
    <col min="12045" max="12045" width="7.28515625" style="1" customWidth="1"/>
    <col min="12046" max="12046" width="1.5703125" style="1" customWidth="1"/>
    <col min="12047" max="12047" width="1" style="1" customWidth="1"/>
    <col min="12048" max="12048" width="16.42578125" style="1" customWidth="1"/>
    <col min="12049" max="12049" width="1.42578125" style="1" customWidth="1"/>
    <col min="12050" max="12050" width="2.42578125" style="1" customWidth="1"/>
    <col min="12051" max="12051" width="13" style="1" customWidth="1"/>
    <col min="12052" max="12052" width="3.140625" style="1" customWidth="1"/>
    <col min="12053" max="12053" width="21.42578125" style="1" customWidth="1"/>
    <col min="12054" max="12054" width="9.140625" style="1"/>
    <col min="12055" max="12055" width="10" style="1" bestFit="1" customWidth="1"/>
    <col min="12056" max="12056" width="9.85546875" style="1" bestFit="1" customWidth="1"/>
    <col min="12057" max="12288" width="9.140625" style="1"/>
    <col min="12289" max="12289" width="10.28515625" style="1" customWidth="1"/>
    <col min="12290" max="12290" width="47.5703125" style="1" customWidth="1"/>
    <col min="12291" max="12291" width="16.42578125" style="1" customWidth="1"/>
    <col min="12292" max="12292" width="10.5703125" style="1" bestFit="1" customWidth="1"/>
    <col min="12293" max="12293" width="14.5703125" style="1" customWidth="1"/>
    <col min="12294" max="12294" width="11" style="1" customWidth="1"/>
    <col min="12295" max="12295" width="15.42578125" style="1" customWidth="1"/>
    <col min="12296" max="12296" width="23.7109375" style="1" bestFit="1" customWidth="1"/>
    <col min="12297" max="12297" width="29.140625" style="1" bestFit="1" customWidth="1"/>
    <col min="12298" max="12298" width="22.85546875" style="1" customWidth="1"/>
    <col min="12299" max="12299" width="15.5703125" style="1" customWidth="1"/>
    <col min="12300" max="12300" width="2" style="1" customWidth="1"/>
    <col min="12301" max="12301" width="7.28515625" style="1" customWidth="1"/>
    <col min="12302" max="12302" width="1.5703125" style="1" customWidth="1"/>
    <col min="12303" max="12303" width="1" style="1" customWidth="1"/>
    <col min="12304" max="12304" width="16.42578125" style="1" customWidth="1"/>
    <col min="12305" max="12305" width="1.42578125" style="1" customWidth="1"/>
    <col min="12306" max="12306" width="2.42578125" style="1" customWidth="1"/>
    <col min="12307" max="12307" width="13" style="1" customWidth="1"/>
    <col min="12308" max="12308" width="3.140625" style="1" customWidth="1"/>
    <col min="12309" max="12309" width="21.42578125" style="1" customWidth="1"/>
    <col min="12310" max="12310" width="9.140625" style="1"/>
    <col min="12311" max="12311" width="10" style="1" bestFit="1" customWidth="1"/>
    <col min="12312" max="12312" width="9.85546875" style="1" bestFit="1" customWidth="1"/>
    <col min="12313" max="12544" width="9.140625" style="1"/>
    <col min="12545" max="12545" width="10.28515625" style="1" customWidth="1"/>
    <col min="12546" max="12546" width="47.5703125" style="1" customWidth="1"/>
    <col min="12547" max="12547" width="16.42578125" style="1" customWidth="1"/>
    <col min="12548" max="12548" width="10.5703125" style="1" bestFit="1" customWidth="1"/>
    <col min="12549" max="12549" width="14.5703125" style="1" customWidth="1"/>
    <col min="12550" max="12550" width="11" style="1" customWidth="1"/>
    <col min="12551" max="12551" width="15.42578125" style="1" customWidth="1"/>
    <col min="12552" max="12552" width="23.7109375" style="1" bestFit="1" customWidth="1"/>
    <col min="12553" max="12553" width="29.140625" style="1" bestFit="1" customWidth="1"/>
    <col min="12554" max="12554" width="22.85546875" style="1" customWidth="1"/>
    <col min="12555" max="12555" width="15.5703125" style="1" customWidth="1"/>
    <col min="12556" max="12556" width="2" style="1" customWidth="1"/>
    <col min="12557" max="12557" width="7.28515625" style="1" customWidth="1"/>
    <col min="12558" max="12558" width="1.5703125" style="1" customWidth="1"/>
    <col min="12559" max="12559" width="1" style="1" customWidth="1"/>
    <col min="12560" max="12560" width="16.42578125" style="1" customWidth="1"/>
    <col min="12561" max="12561" width="1.42578125" style="1" customWidth="1"/>
    <col min="12562" max="12562" width="2.42578125" style="1" customWidth="1"/>
    <col min="12563" max="12563" width="13" style="1" customWidth="1"/>
    <col min="12564" max="12564" width="3.140625" style="1" customWidth="1"/>
    <col min="12565" max="12565" width="21.42578125" style="1" customWidth="1"/>
    <col min="12566" max="12566" width="9.140625" style="1"/>
    <col min="12567" max="12567" width="10" style="1" bestFit="1" customWidth="1"/>
    <col min="12568" max="12568" width="9.85546875" style="1" bestFit="1" customWidth="1"/>
    <col min="12569" max="12800" width="9.140625" style="1"/>
    <col min="12801" max="12801" width="10.28515625" style="1" customWidth="1"/>
    <col min="12802" max="12802" width="47.5703125" style="1" customWidth="1"/>
    <col min="12803" max="12803" width="16.42578125" style="1" customWidth="1"/>
    <col min="12804" max="12804" width="10.5703125" style="1" bestFit="1" customWidth="1"/>
    <col min="12805" max="12805" width="14.5703125" style="1" customWidth="1"/>
    <col min="12806" max="12806" width="11" style="1" customWidth="1"/>
    <col min="12807" max="12807" width="15.42578125" style="1" customWidth="1"/>
    <col min="12808" max="12808" width="23.7109375" style="1" bestFit="1" customWidth="1"/>
    <col min="12809" max="12809" width="29.140625" style="1" bestFit="1" customWidth="1"/>
    <col min="12810" max="12810" width="22.85546875" style="1" customWidth="1"/>
    <col min="12811" max="12811" width="15.5703125" style="1" customWidth="1"/>
    <col min="12812" max="12812" width="2" style="1" customWidth="1"/>
    <col min="12813" max="12813" width="7.28515625" style="1" customWidth="1"/>
    <col min="12814" max="12814" width="1.5703125" style="1" customWidth="1"/>
    <col min="12815" max="12815" width="1" style="1" customWidth="1"/>
    <col min="12816" max="12816" width="16.42578125" style="1" customWidth="1"/>
    <col min="12817" max="12817" width="1.42578125" style="1" customWidth="1"/>
    <col min="12818" max="12818" width="2.42578125" style="1" customWidth="1"/>
    <col min="12819" max="12819" width="13" style="1" customWidth="1"/>
    <col min="12820" max="12820" width="3.140625" style="1" customWidth="1"/>
    <col min="12821" max="12821" width="21.42578125" style="1" customWidth="1"/>
    <col min="12822" max="12822" width="9.140625" style="1"/>
    <col min="12823" max="12823" width="10" style="1" bestFit="1" customWidth="1"/>
    <col min="12824" max="12824" width="9.85546875" style="1" bestFit="1" customWidth="1"/>
    <col min="12825" max="13056" width="9.140625" style="1"/>
    <col min="13057" max="13057" width="10.28515625" style="1" customWidth="1"/>
    <col min="13058" max="13058" width="47.5703125" style="1" customWidth="1"/>
    <col min="13059" max="13059" width="16.42578125" style="1" customWidth="1"/>
    <col min="13060" max="13060" width="10.5703125" style="1" bestFit="1" customWidth="1"/>
    <col min="13061" max="13061" width="14.5703125" style="1" customWidth="1"/>
    <col min="13062" max="13062" width="11" style="1" customWidth="1"/>
    <col min="13063" max="13063" width="15.42578125" style="1" customWidth="1"/>
    <col min="13064" max="13064" width="23.7109375" style="1" bestFit="1" customWidth="1"/>
    <col min="13065" max="13065" width="29.140625" style="1" bestFit="1" customWidth="1"/>
    <col min="13066" max="13066" width="22.85546875" style="1" customWidth="1"/>
    <col min="13067" max="13067" width="15.5703125" style="1" customWidth="1"/>
    <col min="13068" max="13068" width="2" style="1" customWidth="1"/>
    <col min="13069" max="13069" width="7.28515625" style="1" customWidth="1"/>
    <col min="13070" max="13070" width="1.5703125" style="1" customWidth="1"/>
    <col min="13071" max="13071" width="1" style="1" customWidth="1"/>
    <col min="13072" max="13072" width="16.42578125" style="1" customWidth="1"/>
    <col min="13073" max="13073" width="1.42578125" style="1" customWidth="1"/>
    <col min="13074" max="13074" width="2.42578125" style="1" customWidth="1"/>
    <col min="13075" max="13075" width="13" style="1" customWidth="1"/>
    <col min="13076" max="13076" width="3.140625" style="1" customWidth="1"/>
    <col min="13077" max="13077" width="21.42578125" style="1" customWidth="1"/>
    <col min="13078" max="13078" width="9.140625" style="1"/>
    <col min="13079" max="13079" width="10" style="1" bestFit="1" customWidth="1"/>
    <col min="13080" max="13080" width="9.85546875" style="1" bestFit="1" customWidth="1"/>
    <col min="13081" max="13312" width="9.140625" style="1"/>
    <col min="13313" max="13313" width="10.28515625" style="1" customWidth="1"/>
    <col min="13314" max="13314" width="47.5703125" style="1" customWidth="1"/>
    <col min="13315" max="13315" width="16.42578125" style="1" customWidth="1"/>
    <col min="13316" max="13316" width="10.5703125" style="1" bestFit="1" customWidth="1"/>
    <col min="13317" max="13317" width="14.5703125" style="1" customWidth="1"/>
    <col min="13318" max="13318" width="11" style="1" customWidth="1"/>
    <col min="13319" max="13319" width="15.42578125" style="1" customWidth="1"/>
    <col min="13320" max="13320" width="23.7109375" style="1" bestFit="1" customWidth="1"/>
    <col min="13321" max="13321" width="29.140625" style="1" bestFit="1" customWidth="1"/>
    <col min="13322" max="13322" width="22.85546875" style="1" customWidth="1"/>
    <col min="13323" max="13323" width="15.5703125" style="1" customWidth="1"/>
    <col min="13324" max="13324" width="2" style="1" customWidth="1"/>
    <col min="13325" max="13325" width="7.28515625" style="1" customWidth="1"/>
    <col min="13326" max="13326" width="1.5703125" style="1" customWidth="1"/>
    <col min="13327" max="13327" width="1" style="1" customWidth="1"/>
    <col min="13328" max="13328" width="16.42578125" style="1" customWidth="1"/>
    <col min="13329" max="13329" width="1.42578125" style="1" customWidth="1"/>
    <col min="13330" max="13330" width="2.42578125" style="1" customWidth="1"/>
    <col min="13331" max="13331" width="13" style="1" customWidth="1"/>
    <col min="13332" max="13332" width="3.140625" style="1" customWidth="1"/>
    <col min="13333" max="13333" width="21.42578125" style="1" customWidth="1"/>
    <col min="13334" max="13334" width="9.140625" style="1"/>
    <col min="13335" max="13335" width="10" style="1" bestFit="1" customWidth="1"/>
    <col min="13336" max="13336" width="9.85546875" style="1" bestFit="1" customWidth="1"/>
    <col min="13337" max="13568" width="9.140625" style="1"/>
    <col min="13569" max="13569" width="10.28515625" style="1" customWidth="1"/>
    <col min="13570" max="13570" width="47.5703125" style="1" customWidth="1"/>
    <col min="13571" max="13571" width="16.42578125" style="1" customWidth="1"/>
    <col min="13572" max="13572" width="10.5703125" style="1" bestFit="1" customWidth="1"/>
    <col min="13573" max="13573" width="14.5703125" style="1" customWidth="1"/>
    <col min="13574" max="13574" width="11" style="1" customWidth="1"/>
    <col min="13575" max="13575" width="15.42578125" style="1" customWidth="1"/>
    <col min="13576" max="13576" width="23.7109375" style="1" bestFit="1" customWidth="1"/>
    <col min="13577" max="13577" width="29.140625" style="1" bestFit="1" customWidth="1"/>
    <col min="13578" max="13578" width="22.85546875" style="1" customWidth="1"/>
    <col min="13579" max="13579" width="15.5703125" style="1" customWidth="1"/>
    <col min="13580" max="13580" width="2" style="1" customWidth="1"/>
    <col min="13581" max="13581" width="7.28515625" style="1" customWidth="1"/>
    <col min="13582" max="13582" width="1.5703125" style="1" customWidth="1"/>
    <col min="13583" max="13583" width="1" style="1" customWidth="1"/>
    <col min="13584" max="13584" width="16.42578125" style="1" customWidth="1"/>
    <col min="13585" max="13585" width="1.42578125" style="1" customWidth="1"/>
    <col min="13586" max="13586" width="2.42578125" style="1" customWidth="1"/>
    <col min="13587" max="13587" width="13" style="1" customWidth="1"/>
    <col min="13588" max="13588" width="3.140625" style="1" customWidth="1"/>
    <col min="13589" max="13589" width="21.42578125" style="1" customWidth="1"/>
    <col min="13590" max="13590" width="9.140625" style="1"/>
    <col min="13591" max="13591" width="10" style="1" bestFit="1" customWidth="1"/>
    <col min="13592" max="13592" width="9.85546875" style="1" bestFit="1" customWidth="1"/>
    <col min="13593" max="13824" width="9.140625" style="1"/>
    <col min="13825" max="13825" width="10.28515625" style="1" customWidth="1"/>
    <col min="13826" max="13826" width="47.5703125" style="1" customWidth="1"/>
    <col min="13827" max="13827" width="16.42578125" style="1" customWidth="1"/>
    <col min="13828" max="13828" width="10.5703125" style="1" bestFit="1" customWidth="1"/>
    <col min="13829" max="13829" width="14.5703125" style="1" customWidth="1"/>
    <col min="13830" max="13830" width="11" style="1" customWidth="1"/>
    <col min="13831" max="13831" width="15.42578125" style="1" customWidth="1"/>
    <col min="13832" max="13832" width="23.7109375" style="1" bestFit="1" customWidth="1"/>
    <col min="13833" max="13833" width="29.140625" style="1" bestFit="1" customWidth="1"/>
    <col min="13834" max="13834" width="22.85546875" style="1" customWidth="1"/>
    <col min="13835" max="13835" width="15.5703125" style="1" customWidth="1"/>
    <col min="13836" max="13836" width="2" style="1" customWidth="1"/>
    <col min="13837" max="13837" width="7.28515625" style="1" customWidth="1"/>
    <col min="13838" max="13838" width="1.5703125" style="1" customWidth="1"/>
    <col min="13839" max="13839" width="1" style="1" customWidth="1"/>
    <col min="13840" max="13840" width="16.42578125" style="1" customWidth="1"/>
    <col min="13841" max="13841" width="1.42578125" style="1" customWidth="1"/>
    <col min="13842" max="13842" width="2.42578125" style="1" customWidth="1"/>
    <col min="13843" max="13843" width="13" style="1" customWidth="1"/>
    <col min="13844" max="13844" width="3.140625" style="1" customWidth="1"/>
    <col min="13845" max="13845" width="21.42578125" style="1" customWidth="1"/>
    <col min="13846" max="13846" width="9.140625" style="1"/>
    <col min="13847" max="13847" width="10" style="1" bestFit="1" customWidth="1"/>
    <col min="13848" max="13848" width="9.85546875" style="1" bestFit="1" customWidth="1"/>
    <col min="13849" max="14080" width="9.140625" style="1"/>
    <col min="14081" max="14081" width="10.28515625" style="1" customWidth="1"/>
    <col min="14082" max="14082" width="47.5703125" style="1" customWidth="1"/>
    <col min="14083" max="14083" width="16.42578125" style="1" customWidth="1"/>
    <col min="14084" max="14084" width="10.5703125" style="1" bestFit="1" customWidth="1"/>
    <col min="14085" max="14085" width="14.5703125" style="1" customWidth="1"/>
    <col min="14086" max="14086" width="11" style="1" customWidth="1"/>
    <col min="14087" max="14087" width="15.42578125" style="1" customWidth="1"/>
    <col min="14088" max="14088" width="23.7109375" style="1" bestFit="1" customWidth="1"/>
    <col min="14089" max="14089" width="29.140625" style="1" bestFit="1" customWidth="1"/>
    <col min="14090" max="14090" width="22.85546875" style="1" customWidth="1"/>
    <col min="14091" max="14091" width="15.5703125" style="1" customWidth="1"/>
    <col min="14092" max="14092" width="2" style="1" customWidth="1"/>
    <col min="14093" max="14093" width="7.28515625" style="1" customWidth="1"/>
    <col min="14094" max="14094" width="1.5703125" style="1" customWidth="1"/>
    <col min="14095" max="14095" width="1" style="1" customWidth="1"/>
    <col min="14096" max="14096" width="16.42578125" style="1" customWidth="1"/>
    <col min="14097" max="14097" width="1.42578125" style="1" customWidth="1"/>
    <col min="14098" max="14098" width="2.42578125" style="1" customWidth="1"/>
    <col min="14099" max="14099" width="13" style="1" customWidth="1"/>
    <col min="14100" max="14100" width="3.140625" style="1" customWidth="1"/>
    <col min="14101" max="14101" width="21.42578125" style="1" customWidth="1"/>
    <col min="14102" max="14102" width="9.140625" style="1"/>
    <col min="14103" max="14103" width="10" style="1" bestFit="1" customWidth="1"/>
    <col min="14104" max="14104" width="9.85546875" style="1" bestFit="1" customWidth="1"/>
    <col min="14105" max="14336" width="9.140625" style="1"/>
    <col min="14337" max="14337" width="10.28515625" style="1" customWidth="1"/>
    <col min="14338" max="14338" width="47.5703125" style="1" customWidth="1"/>
    <col min="14339" max="14339" width="16.42578125" style="1" customWidth="1"/>
    <col min="14340" max="14340" width="10.5703125" style="1" bestFit="1" customWidth="1"/>
    <col min="14341" max="14341" width="14.5703125" style="1" customWidth="1"/>
    <col min="14342" max="14342" width="11" style="1" customWidth="1"/>
    <col min="14343" max="14343" width="15.42578125" style="1" customWidth="1"/>
    <col min="14344" max="14344" width="23.7109375" style="1" bestFit="1" customWidth="1"/>
    <col min="14345" max="14345" width="29.140625" style="1" bestFit="1" customWidth="1"/>
    <col min="14346" max="14346" width="22.85546875" style="1" customWidth="1"/>
    <col min="14347" max="14347" width="15.5703125" style="1" customWidth="1"/>
    <col min="14348" max="14348" width="2" style="1" customWidth="1"/>
    <col min="14349" max="14349" width="7.28515625" style="1" customWidth="1"/>
    <col min="14350" max="14350" width="1.5703125" style="1" customWidth="1"/>
    <col min="14351" max="14351" width="1" style="1" customWidth="1"/>
    <col min="14352" max="14352" width="16.42578125" style="1" customWidth="1"/>
    <col min="14353" max="14353" width="1.42578125" style="1" customWidth="1"/>
    <col min="14354" max="14354" width="2.42578125" style="1" customWidth="1"/>
    <col min="14355" max="14355" width="13" style="1" customWidth="1"/>
    <col min="14356" max="14356" width="3.140625" style="1" customWidth="1"/>
    <col min="14357" max="14357" width="21.42578125" style="1" customWidth="1"/>
    <col min="14358" max="14358" width="9.140625" style="1"/>
    <col min="14359" max="14359" width="10" style="1" bestFit="1" customWidth="1"/>
    <col min="14360" max="14360" width="9.85546875" style="1" bestFit="1" customWidth="1"/>
    <col min="14361" max="14592" width="9.140625" style="1"/>
    <col min="14593" max="14593" width="10.28515625" style="1" customWidth="1"/>
    <col min="14594" max="14594" width="47.5703125" style="1" customWidth="1"/>
    <col min="14595" max="14595" width="16.42578125" style="1" customWidth="1"/>
    <col min="14596" max="14596" width="10.5703125" style="1" bestFit="1" customWidth="1"/>
    <col min="14597" max="14597" width="14.5703125" style="1" customWidth="1"/>
    <col min="14598" max="14598" width="11" style="1" customWidth="1"/>
    <col min="14599" max="14599" width="15.42578125" style="1" customWidth="1"/>
    <col min="14600" max="14600" width="23.7109375" style="1" bestFit="1" customWidth="1"/>
    <col min="14601" max="14601" width="29.140625" style="1" bestFit="1" customWidth="1"/>
    <col min="14602" max="14602" width="22.85546875" style="1" customWidth="1"/>
    <col min="14603" max="14603" width="15.5703125" style="1" customWidth="1"/>
    <col min="14604" max="14604" width="2" style="1" customWidth="1"/>
    <col min="14605" max="14605" width="7.28515625" style="1" customWidth="1"/>
    <col min="14606" max="14606" width="1.5703125" style="1" customWidth="1"/>
    <col min="14607" max="14607" width="1" style="1" customWidth="1"/>
    <col min="14608" max="14608" width="16.42578125" style="1" customWidth="1"/>
    <col min="14609" max="14609" width="1.42578125" style="1" customWidth="1"/>
    <col min="14610" max="14610" width="2.42578125" style="1" customWidth="1"/>
    <col min="14611" max="14611" width="13" style="1" customWidth="1"/>
    <col min="14612" max="14612" width="3.140625" style="1" customWidth="1"/>
    <col min="14613" max="14613" width="21.42578125" style="1" customWidth="1"/>
    <col min="14614" max="14614" width="9.140625" style="1"/>
    <col min="14615" max="14615" width="10" style="1" bestFit="1" customWidth="1"/>
    <col min="14616" max="14616" width="9.85546875" style="1" bestFit="1" customWidth="1"/>
    <col min="14617" max="14848" width="9.140625" style="1"/>
    <col min="14849" max="14849" width="10.28515625" style="1" customWidth="1"/>
    <col min="14850" max="14850" width="47.5703125" style="1" customWidth="1"/>
    <col min="14851" max="14851" width="16.42578125" style="1" customWidth="1"/>
    <col min="14852" max="14852" width="10.5703125" style="1" bestFit="1" customWidth="1"/>
    <col min="14853" max="14853" width="14.5703125" style="1" customWidth="1"/>
    <col min="14854" max="14854" width="11" style="1" customWidth="1"/>
    <col min="14855" max="14855" width="15.42578125" style="1" customWidth="1"/>
    <col min="14856" max="14856" width="23.7109375" style="1" bestFit="1" customWidth="1"/>
    <col min="14857" max="14857" width="29.140625" style="1" bestFit="1" customWidth="1"/>
    <col min="14858" max="14858" width="22.85546875" style="1" customWidth="1"/>
    <col min="14859" max="14859" width="15.5703125" style="1" customWidth="1"/>
    <col min="14860" max="14860" width="2" style="1" customWidth="1"/>
    <col min="14861" max="14861" width="7.28515625" style="1" customWidth="1"/>
    <col min="14862" max="14862" width="1.5703125" style="1" customWidth="1"/>
    <col min="14863" max="14863" width="1" style="1" customWidth="1"/>
    <col min="14864" max="14864" width="16.42578125" style="1" customWidth="1"/>
    <col min="14865" max="14865" width="1.42578125" style="1" customWidth="1"/>
    <col min="14866" max="14866" width="2.42578125" style="1" customWidth="1"/>
    <col min="14867" max="14867" width="13" style="1" customWidth="1"/>
    <col min="14868" max="14868" width="3.140625" style="1" customWidth="1"/>
    <col min="14869" max="14869" width="21.42578125" style="1" customWidth="1"/>
    <col min="14870" max="14870" width="9.140625" style="1"/>
    <col min="14871" max="14871" width="10" style="1" bestFit="1" customWidth="1"/>
    <col min="14872" max="14872" width="9.85546875" style="1" bestFit="1" customWidth="1"/>
    <col min="14873" max="15104" width="9.140625" style="1"/>
    <col min="15105" max="15105" width="10.28515625" style="1" customWidth="1"/>
    <col min="15106" max="15106" width="47.5703125" style="1" customWidth="1"/>
    <col min="15107" max="15107" width="16.42578125" style="1" customWidth="1"/>
    <col min="15108" max="15108" width="10.5703125" style="1" bestFit="1" customWidth="1"/>
    <col min="15109" max="15109" width="14.5703125" style="1" customWidth="1"/>
    <col min="15110" max="15110" width="11" style="1" customWidth="1"/>
    <col min="15111" max="15111" width="15.42578125" style="1" customWidth="1"/>
    <col min="15112" max="15112" width="23.7109375" style="1" bestFit="1" customWidth="1"/>
    <col min="15113" max="15113" width="29.140625" style="1" bestFit="1" customWidth="1"/>
    <col min="15114" max="15114" width="22.85546875" style="1" customWidth="1"/>
    <col min="15115" max="15115" width="15.5703125" style="1" customWidth="1"/>
    <col min="15116" max="15116" width="2" style="1" customWidth="1"/>
    <col min="15117" max="15117" width="7.28515625" style="1" customWidth="1"/>
    <col min="15118" max="15118" width="1.5703125" style="1" customWidth="1"/>
    <col min="15119" max="15119" width="1" style="1" customWidth="1"/>
    <col min="15120" max="15120" width="16.42578125" style="1" customWidth="1"/>
    <col min="15121" max="15121" width="1.42578125" style="1" customWidth="1"/>
    <col min="15122" max="15122" width="2.42578125" style="1" customWidth="1"/>
    <col min="15123" max="15123" width="13" style="1" customWidth="1"/>
    <col min="15124" max="15124" width="3.140625" style="1" customWidth="1"/>
    <col min="15125" max="15125" width="21.42578125" style="1" customWidth="1"/>
    <col min="15126" max="15126" width="9.140625" style="1"/>
    <col min="15127" max="15127" width="10" style="1" bestFit="1" customWidth="1"/>
    <col min="15128" max="15128" width="9.85546875" style="1" bestFit="1" customWidth="1"/>
    <col min="15129" max="15360" width="9.140625" style="1"/>
    <col min="15361" max="15361" width="10.28515625" style="1" customWidth="1"/>
    <col min="15362" max="15362" width="47.5703125" style="1" customWidth="1"/>
    <col min="15363" max="15363" width="16.42578125" style="1" customWidth="1"/>
    <col min="15364" max="15364" width="10.5703125" style="1" bestFit="1" customWidth="1"/>
    <col min="15365" max="15365" width="14.5703125" style="1" customWidth="1"/>
    <col min="15366" max="15366" width="11" style="1" customWidth="1"/>
    <col min="15367" max="15367" width="15.42578125" style="1" customWidth="1"/>
    <col min="15368" max="15368" width="23.7109375" style="1" bestFit="1" customWidth="1"/>
    <col min="15369" max="15369" width="29.140625" style="1" bestFit="1" customWidth="1"/>
    <col min="15370" max="15370" width="22.85546875" style="1" customWidth="1"/>
    <col min="15371" max="15371" width="15.5703125" style="1" customWidth="1"/>
    <col min="15372" max="15372" width="2" style="1" customWidth="1"/>
    <col min="15373" max="15373" width="7.28515625" style="1" customWidth="1"/>
    <col min="15374" max="15374" width="1.5703125" style="1" customWidth="1"/>
    <col min="15375" max="15375" width="1" style="1" customWidth="1"/>
    <col min="15376" max="15376" width="16.42578125" style="1" customWidth="1"/>
    <col min="15377" max="15377" width="1.42578125" style="1" customWidth="1"/>
    <col min="15378" max="15378" width="2.42578125" style="1" customWidth="1"/>
    <col min="15379" max="15379" width="13" style="1" customWidth="1"/>
    <col min="15380" max="15380" width="3.140625" style="1" customWidth="1"/>
    <col min="15381" max="15381" width="21.42578125" style="1" customWidth="1"/>
    <col min="15382" max="15382" width="9.140625" style="1"/>
    <col min="15383" max="15383" width="10" style="1" bestFit="1" customWidth="1"/>
    <col min="15384" max="15384" width="9.85546875" style="1" bestFit="1" customWidth="1"/>
    <col min="15385" max="15616" width="9.140625" style="1"/>
    <col min="15617" max="15617" width="10.28515625" style="1" customWidth="1"/>
    <col min="15618" max="15618" width="47.5703125" style="1" customWidth="1"/>
    <col min="15619" max="15619" width="16.42578125" style="1" customWidth="1"/>
    <col min="15620" max="15620" width="10.5703125" style="1" bestFit="1" customWidth="1"/>
    <col min="15621" max="15621" width="14.5703125" style="1" customWidth="1"/>
    <col min="15622" max="15622" width="11" style="1" customWidth="1"/>
    <col min="15623" max="15623" width="15.42578125" style="1" customWidth="1"/>
    <col min="15624" max="15624" width="23.7109375" style="1" bestFit="1" customWidth="1"/>
    <col min="15625" max="15625" width="29.140625" style="1" bestFit="1" customWidth="1"/>
    <col min="15626" max="15626" width="22.85546875" style="1" customWidth="1"/>
    <col min="15627" max="15627" width="15.5703125" style="1" customWidth="1"/>
    <col min="15628" max="15628" width="2" style="1" customWidth="1"/>
    <col min="15629" max="15629" width="7.28515625" style="1" customWidth="1"/>
    <col min="15630" max="15630" width="1.5703125" style="1" customWidth="1"/>
    <col min="15631" max="15631" width="1" style="1" customWidth="1"/>
    <col min="15632" max="15632" width="16.42578125" style="1" customWidth="1"/>
    <col min="15633" max="15633" width="1.42578125" style="1" customWidth="1"/>
    <col min="15634" max="15634" width="2.42578125" style="1" customWidth="1"/>
    <col min="15635" max="15635" width="13" style="1" customWidth="1"/>
    <col min="15636" max="15636" width="3.140625" style="1" customWidth="1"/>
    <col min="15637" max="15637" width="21.42578125" style="1" customWidth="1"/>
    <col min="15638" max="15638" width="9.140625" style="1"/>
    <col min="15639" max="15639" width="10" style="1" bestFit="1" customWidth="1"/>
    <col min="15640" max="15640" width="9.85546875" style="1" bestFit="1" customWidth="1"/>
    <col min="15641" max="15872" width="9.140625" style="1"/>
    <col min="15873" max="15873" width="10.28515625" style="1" customWidth="1"/>
    <col min="15874" max="15874" width="47.5703125" style="1" customWidth="1"/>
    <col min="15875" max="15875" width="16.42578125" style="1" customWidth="1"/>
    <col min="15876" max="15876" width="10.5703125" style="1" bestFit="1" customWidth="1"/>
    <col min="15877" max="15877" width="14.5703125" style="1" customWidth="1"/>
    <col min="15878" max="15878" width="11" style="1" customWidth="1"/>
    <col min="15879" max="15879" width="15.42578125" style="1" customWidth="1"/>
    <col min="15880" max="15880" width="23.7109375" style="1" bestFit="1" customWidth="1"/>
    <col min="15881" max="15881" width="29.140625" style="1" bestFit="1" customWidth="1"/>
    <col min="15882" max="15882" width="22.85546875" style="1" customWidth="1"/>
    <col min="15883" max="15883" width="15.5703125" style="1" customWidth="1"/>
    <col min="15884" max="15884" width="2" style="1" customWidth="1"/>
    <col min="15885" max="15885" width="7.28515625" style="1" customWidth="1"/>
    <col min="15886" max="15886" width="1.5703125" style="1" customWidth="1"/>
    <col min="15887" max="15887" width="1" style="1" customWidth="1"/>
    <col min="15888" max="15888" width="16.42578125" style="1" customWidth="1"/>
    <col min="15889" max="15889" width="1.42578125" style="1" customWidth="1"/>
    <col min="15890" max="15890" width="2.42578125" style="1" customWidth="1"/>
    <col min="15891" max="15891" width="13" style="1" customWidth="1"/>
    <col min="15892" max="15892" width="3.140625" style="1" customWidth="1"/>
    <col min="15893" max="15893" width="21.42578125" style="1" customWidth="1"/>
    <col min="15894" max="15894" width="9.140625" style="1"/>
    <col min="15895" max="15895" width="10" style="1" bestFit="1" customWidth="1"/>
    <col min="15896" max="15896" width="9.85546875" style="1" bestFit="1" customWidth="1"/>
    <col min="15897" max="16128" width="9.140625" style="1"/>
    <col min="16129" max="16129" width="10.28515625" style="1" customWidth="1"/>
    <col min="16130" max="16130" width="47.5703125" style="1" customWidth="1"/>
    <col min="16131" max="16131" width="16.42578125" style="1" customWidth="1"/>
    <col min="16132" max="16132" width="10.5703125" style="1" bestFit="1" customWidth="1"/>
    <col min="16133" max="16133" width="14.5703125" style="1" customWidth="1"/>
    <col min="16134" max="16134" width="11" style="1" customWidth="1"/>
    <col min="16135" max="16135" width="15.42578125" style="1" customWidth="1"/>
    <col min="16136" max="16136" width="23.7109375" style="1" bestFit="1" customWidth="1"/>
    <col min="16137" max="16137" width="29.140625" style="1" bestFit="1" customWidth="1"/>
    <col min="16138" max="16138" width="22.85546875" style="1" customWidth="1"/>
    <col min="16139" max="16139" width="15.5703125" style="1" customWidth="1"/>
    <col min="16140" max="16140" width="2" style="1" customWidth="1"/>
    <col min="16141" max="16141" width="7.28515625" style="1" customWidth="1"/>
    <col min="16142" max="16142" width="1.5703125" style="1" customWidth="1"/>
    <col min="16143" max="16143" width="1" style="1" customWidth="1"/>
    <col min="16144" max="16144" width="16.42578125" style="1" customWidth="1"/>
    <col min="16145" max="16145" width="1.42578125" style="1" customWidth="1"/>
    <col min="16146" max="16146" width="2.42578125" style="1" customWidth="1"/>
    <col min="16147" max="16147" width="13" style="1" customWidth="1"/>
    <col min="16148" max="16148" width="3.140625" style="1" customWidth="1"/>
    <col min="16149" max="16149" width="21.42578125" style="1" customWidth="1"/>
    <col min="16150" max="16150" width="9.140625" style="1"/>
    <col min="16151" max="16151" width="10" style="1" bestFit="1" customWidth="1"/>
    <col min="16152" max="16152" width="9.85546875" style="1" bestFit="1" customWidth="1"/>
    <col min="16153" max="16384" width="9.140625" style="1"/>
  </cols>
  <sheetData>
    <row r="1" spans="1:21" ht="16.5" thickBot="1" x14ac:dyDescent="0.3">
      <c r="A1" s="45">
        <v>51</v>
      </c>
      <c r="B1" s="1342" t="s">
        <v>106</v>
      </c>
      <c r="C1" s="1343"/>
      <c r="D1" s="1343"/>
      <c r="E1" s="1343"/>
      <c r="F1" s="1343"/>
      <c r="G1" s="1343"/>
      <c r="H1" s="1343"/>
      <c r="J1" s="2"/>
      <c r="K1" s="1"/>
      <c r="O1" s="3"/>
      <c r="Q1" s="1"/>
      <c r="T1" s="4"/>
      <c r="U1" s="1"/>
    </row>
    <row r="2" spans="1:21" ht="42" customHeight="1" x14ac:dyDescent="0.3">
      <c r="A2" s="1350" t="s">
        <v>1487</v>
      </c>
      <c r="B2" s="1350"/>
      <c r="C2" s="1350"/>
      <c r="D2" s="1350"/>
      <c r="E2" s="1350"/>
      <c r="F2" s="1350"/>
      <c r="G2" s="1350"/>
      <c r="H2" s="1350"/>
      <c r="I2" s="892"/>
      <c r="J2" s="892"/>
      <c r="K2" s="892"/>
      <c r="L2" s="892"/>
      <c r="M2" s="892"/>
      <c r="N2" s="892"/>
      <c r="O2" s="892"/>
      <c r="P2" s="892"/>
      <c r="Q2" s="892"/>
      <c r="R2" s="892"/>
      <c r="S2" s="892"/>
      <c r="T2" s="892"/>
      <c r="U2" s="892"/>
    </row>
    <row r="3" spans="1:21" ht="18.75" x14ac:dyDescent="0.3">
      <c r="A3" s="1303" t="s">
        <v>1573</v>
      </c>
      <c r="B3" s="1303"/>
      <c r="C3" s="1303"/>
      <c r="D3" s="1303"/>
      <c r="E3" s="1303"/>
      <c r="F3" s="1303"/>
      <c r="G3" s="1303"/>
      <c r="H3" s="1303"/>
      <c r="I3" s="121"/>
      <c r="J3" s="121"/>
      <c r="K3" s="121"/>
      <c r="L3" s="121"/>
      <c r="M3" s="121"/>
      <c r="N3" s="121"/>
      <c r="O3" s="121"/>
      <c r="P3" s="121"/>
      <c r="Q3" s="121"/>
      <c r="R3" s="121"/>
      <c r="S3" s="121"/>
      <c r="T3" s="121"/>
      <c r="U3" s="121"/>
    </row>
    <row r="4" spans="1:21" ht="18.75" customHeight="1" x14ac:dyDescent="0.25">
      <c r="A4" s="1348" t="s">
        <v>0</v>
      </c>
      <c r="B4" s="1348"/>
      <c r="C4" s="1351" t="str">
        <f>INDEX('[8] Detail 2022-23 FEFP Third'!$B$1:$B$65536,MATCH('[8]All charter school calculator'!$A$1,'[8] Detail 2022-23 FEFP Third'!A$1:A$65536,0))</f>
        <v>Pasco</v>
      </c>
      <c r="D4" s="1351"/>
      <c r="E4" s="204"/>
      <c r="F4" s="204"/>
      <c r="G4" s="204"/>
      <c r="H4" s="204"/>
      <c r="I4" s="3"/>
      <c r="J4" s="3"/>
      <c r="K4" s="3"/>
      <c r="L4" s="3"/>
      <c r="M4" s="3"/>
      <c r="N4" s="3"/>
      <c r="O4" s="3"/>
      <c r="P4" s="1"/>
      <c r="Q4" s="1"/>
      <c r="R4" s="4"/>
      <c r="U4" s="1"/>
    </row>
    <row r="5" spans="1:21" ht="21" customHeight="1" x14ac:dyDescent="0.25">
      <c r="A5" s="1344" t="s">
        <v>1489</v>
      </c>
      <c r="B5" s="1344"/>
      <c r="C5" s="1344"/>
      <c r="D5" s="1344"/>
      <c r="E5" s="1344"/>
      <c r="F5" s="1344"/>
      <c r="G5" s="1344"/>
      <c r="H5" s="1344"/>
      <c r="I5" s="3"/>
      <c r="J5" s="3"/>
      <c r="K5" s="3"/>
      <c r="L5" s="3"/>
      <c r="M5" s="3"/>
      <c r="N5" s="3"/>
      <c r="O5" s="3"/>
      <c r="R5" s="3"/>
      <c r="S5" s="3"/>
      <c r="U5" s="1"/>
    </row>
    <row r="6" spans="1:21" ht="18" customHeight="1" x14ac:dyDescent="0.25">
      <c r="A6" s="1347" t="s">
        <v>88</v>
      </c>
      <c r="B6" s="1347"/>
      <c r="C6" s="1349">
        <v>4587.3999999999996</v>
      </c>
      <c r="D6" s="1349"/>
      <c r="E6" s="1345" t="s">
        <v>90</v>
      </c>
      <c r="F6" s="1345"/>
      <c r="G6" s="1346">
        <f>INDEX('[8] Detail 2022-23 FEFP Third'!$C$1:$C$65536,MATCH('[8]All charter school calculator'!$A$1,'[8] Detail 2022-23 FEFP Third'!$A$1:$A$65536,0))</f>
        <v>0.98129999999999995</v>
      </c>
      <c r="H6" s="1346"/>
      <c r="K6" s="1"/>
      <c r="P6" s="1"/>
      <c r="Q6" s="1"/>
      <c r="U6" s="1"/>
    </row>
    <row r="7" spans="1:21" ht="18" customHeight="1" x14ac:dyDescent="0.25">
      <c r="A7" s="38"/>
      <c r="B7" s="38"/>
      <c r="C7" s="1235"/>
      <c r="D7" s="1235"/>
      <c r="E7" s="904"/>
      <c r="F7" s="904"/>
      <c r="G7" s="122"/>
      <c r="H7" s="902" t="s">
        <v>1490</v>
      </c>
      <c r="K7" s="1"/>
      <c r="P7" s="1"/>
      <c r="Q7" s="1"/>
      <c r="U7" s="1"/>
    </row>
    <row r="8" spans="1:21" ht="15.75" customHeight="1" x14ac:dyDescent="0.25">
      <c r="A8" s="38"/>
      <c r="B8" s="38"/>
      <c r="C8" s="1235"/>
      <c r="D8" s="1235"/>
      <c r="E8" s="1337" t="s">
        <v>1</v>
      </c>
      <c r="F8" s="1337"/>
      <c r="G8" s="122" t="s">
        <v>587</v>
      </c>
      <c r="H8" s="902" t="s">
        <v>194</v>
      </c>
      <c r="K8" s="1"/>
      <c r="P8" s="1"/>
      <c r="Q8" s="1"/>
      <c r="U8" s="1"/>
    </row>
    <row r="9" spans="1:21" ht="15.75" customHeight="1" x14ac:dyDescent="0.25">
      <c r="A9" s="1327" t="s">
        <v>1</v>
      </c>
      <c r="B9" s="1327"/>
      <c r="C9" s="1355" t="s">
        <v>133</v>
      </c>
      <c r="D9" s="1355"/>
      <c r="E9" s="1352" t="s">
        <v>588</v>
      </c>
      <c r="F9" s="1352"/>
      <c r="G9" s="894" t="s">
        <v>589</v>
      </c>
      <c r="H9" s="910" t="s">
        <v>590</v>
      </c>
      <c r="K9" s="1"/>
      <c r="P9" s="1"/>
      <c r="Q9" s="1"/>
      <c r="U9" s="1"/>
    </row>
    <row r="10" spans="1:21" ht="14.25" customHeight="1" x14ac:dyDescent="0.25">
      <c r="A10" s="1354" t="s">
        <v>591</v>
      </c>
      <c r="B10" s="1354"/>
      <c r="C10" s="1356" t="s">
        <v>592</v>
      </c>
      <c r="D10" s="1356"/>
      <c r="E10" s="1353" t="s">
        <v>593</v>
      </c>
      <c r="F10" s="1353"/>
      <c r="G10" s="9" t="s">
        <v>594</v>
      </c>
      <c r="H10" s="10" t="s">
        <v>595</v>
      </c>
      <c r="J10" s="1112"/>
      <c r="K10" s="1"/>
      <c r="P10" s="1"/>
      <c r="Q10" s="1"/>
      <c r="U10" s="1"/>
    </row>
    <row r="11" spans="1:21" x14ac:dyDescent="0.25">
      <c r="A11" s="1358" t="s">
        <v>152</v>
      </c>
      <c r="B11" s="1358"/>
      <c r="C11" s="1340">
        <v>404</v>
      </c>
      <c r="D11" s="1340"/>
      <c r="E11" s="1357">
        <v>1.1259999999999999</v>
      </c>
      <c r="F11" s="1357"/>
      <c r="G11" s="22">
        <f>ROUND(C11*E11,4)</f>
        <v>454.904</v>
      </c>
      <c r="H11" s="11">
        <f t="shared" ref="H11:H26" si="0">ROUND(ROUND(G11*$C$6,4)*($G$6),0)</f>
        <v>2047803</v>
      </c>
      <c r="J11" s="1112"/>
      <c r="K11" s="1"/>
      <c r="P11" s="1"/>
      <c r="Q11" s="1"/>
      <c r="U11" s="1"/>
    </row>
    <row r="12" spans="1:21" x14ac:dyDescent="0.25">
      <c r="A12" s="1310" t="s">
        <v>153</v>
      </c>
      <c r="B12" s="1310"/>
      <c r="C12" s="1340">
        <v>30</v>
      </c>
      <c r="D12" s="1340"/>
      <c r="E12" s="1341">
        <v>1.1259999999999999</v>
      </c>
      <c r="F12" s="1341"/>
      <c r="G12" s="22">
        <f t="shared" ref="G12:G26" si="1">ROUND(C12*E12,4)</f>
        <v>33.78</v>
      </c>
      <c r="H12" s="11">
        <f t="shared" si="0"/>
        <v>152065</v>
      </c>
      <c r="J12" s="1112"/>
      <c r="K12" s="1"/>
      <c r="P12" s="1"/>
      <c r="Q12" s="1"/>
      <c r="U12" s="1"/>
    </row>
    <row r="13" spans="1:21" x14ac:dyDescent="0.25">
      <c r="A13" s="1310" t="s">
        <v>154</v>
      </c>
      <c r="B13" s="1310"/>
      <c r="C13" s="1340">
        <v>420</v>
      </c>
      <c r="D13" s="1340"/>
      <c r="E13" s="1341">
        <v>1</v>
      </c>
      <c r="F13" s="1341"/>
      <c r="G13" s="22">
        <f t="shared" si="1"/>
        <v>420</v>
      </c>
      <c r="H13" s="11">
        <f t="shared" si="0"/>
        <v>1890679</v>
      </c>
      <c r="J13" s="1112"/>
      <c r="K13" s="1"/>
      <c r="P13" s="1"/>
      <c r="Q13" s="1"/>
      <c r="U13" s="1"/>
    </row>
    <row r="14" spans="1:21" x14ac:dyDescent="0.25">
      <c r="A14" s="1310" t="s">
        <v>155</v>
      </c>
      <c r="B14" s="1310"/>
      <c r="C14" s="1340">
        <v>27</v>
      </c>
      <c r="D14" s="1340"/>
      <c r="E14" s="1341">
        <v>1</v>
      </c>
      <c r="F14" s="1341"/>
      <c r="G14" s="22">
        <f t="shared" si="1"/>
        <v>27</v>
      </c>
      <c r="H14" s="11">
        <f t="shared" si="0"/>
        <v>121544</v>
      </c>
      <c r="K14" s="1"/>
      <c r="P14" s="1"/>
      <c r="Q14" s="1"/>
      <c r="U14" s="1"/>
    </row>
    <row r="15" spans="1:21" x14ac:dyDescent="0.25">
      <c r="A15" s="1310" t="s">
        <v>156</v>
      </c>
      <c r="B15" s="1310"/>
      <c r="C15" s="1340"/>
      <c r="D15" s="1340"/>
      <c r="E15" s="1341">
        <v>0.999</v>
      </c>
      <c r="F15" s="1341"/>
      <c r="G15" s="22">
        <f t="shared" si="1"/>
        <v>0</v>
      </c>
      <c r="H15" s="11">
        <f t="shared" si="0"/>
        <v>0</v>
      </c>
      <c r="K15" s="1"/>
      <c r="P15" s="1"/>
      <c r="Q15" s="1"/>
      <c r="U15" s="1"/>
    </row>
    <row r="16" spans="1:21" x14ac:dyDescent="0.25">
      <c r="A16" s="1310" t="s">
        <v>157</v>
      </c>
      <c r="B16" s="1310"/>
      <c r="C16" s="1340"/>
      <c r="D16" s="1340"/>
      <c r="E16" s="1341">
        <v>0.999</v>
      </c>
      <c r="F16" s="1341"/>
      <c r="G16" s="22">
        <f t="shared" si="1"/>
        <v>0</v>
      </c>
      <c r="H16" s="42">
        <f t="shared" si="0"/>
        <v>0</v>
      </c>
      <c r="K16" s="1"/>
      <c r="P16" s="1"/>
      <c r="Q16" s="1"/>
      <c r="U16" s="1"/>
    </row>
    <row r="17" spans="1:21" x14ac:dyDescent="0.25">
      <c r="A17" s="1310" t="s">
        <v>158</v>
      </c>
      <c r="B17" s="1310"/>
      <c r="C17" s="1340"/>
      <c r="D17" s="1340"/>
      <c r="E17" s="1341">
        <v>3.6739999999999999</v>
      </c>
      <c r="F17" s="1341"/>
      <c r="G17" s="22">
        <f t="shared" si="1"/>
        <v>0</v>
      </c>
      <c r="H17" s="11">
        <f t="shared" si="0"/>
        <v>0</v>
      </c>
      <c r="K17" s="1"/>
      <c r="P17" s="1"/>
      <c r="Q17" s="1"/>
      <c r="U17" s="1"/>
    </row>
    <row r="18" spans="1:21" x14ac:dyDescent="0.25">
      <c r="A18" s="1310" t="s">
        <v>159</v>
      </c>
      <c r="B18" s="1310"/>
      <c r="C18" s="1340"/>
      <c r="D18" s="1340"/>
      <c r="E18" s="1341">
        <v>3.6739999999999999</v>
      </c>
      <c r="F18" s="1341"/>
      <c r="G18" s="22">
        <f t="shared" si="1"/>
        <v>0</v>
      </c>
      <c r="H18" s="11">
        <f t="shared" si="0"/>
        <v>0</v>
      </c>
      <c r="K18" s="1"/>
      <c r="P18" s="1"/>
      <c r="Q18" s="1"/>
      <c r="U18" s="1"/>
    </row>
    <row r="19" spans="1:21" x14ac:dyDescent="0.25">
      <c r="A19" s="1310" t="s">
        <v>160</v>
      </c>
      <c r="B19" s="1310"/>
      <c r="C19" s="1340"/>
      <c r="D19" s="1340"/>
      <c r="E19" s="1341">
        <v>3.6739999999999999</v>
      </c>
      <c r="F19" s="1341"/>
      <c r="G19" s="22">
        <f t="shared" si="1"/>
        <v>0</v>
      </c>
      <c r="H19" s="11">
        <f t="shared" si="0"/>
        <v>0</v>
      </c>
      <c r="K19" s="1"/>
      <c r="P19" s="1"/>
      <c r="Q19" s="1"/>
      <c r="U19" s="1"/>
    </row>
    <row r="20" spans="1:21" ht="15" customHeight="1" x14ac:dyDescent="0.25">
      <c r="A20" s="1310" t="s">
        <v>161</v>
      </c>
      <c r="B20" s="1310"/>
      <c r="C20" s="1340"/>
      <c r="D20" s="1340"/>
      <c r="E20" s="1341">
        <v>5.4009999999999998</v>
      </c>
      <c r="F20" s="1341"/>
      <c r="G20" s="22">
        <f t="shared" si="1"/>
        <v>0</v>
      </c>
      <c r="H20" s="11">
        <f t="shared" si="0"/>
        <v>0</v>
      </c>
      <c r="K20" s="1"/>
      <c r="P20" s="1"/>
      <c r="Q20" s="1"/>
      <c r="U20" s="1"/>
    </row>
    <row r="21" spans="1:21" ht="15" customHeight="1" x14ac:dyDescent="0.25">
      <c r="A21" s="1310" t="s">
        <v>162</v>
      </c>
      <c r="B21" s="1310"/>
      <c r="C21" s="1340"/>
      <c r="D21" s="1340"/>
      <c r="E21" s="1341">
        <v>5.4009999999999998</v>
      </c>
      <c r="F21" s="1341"/>
      <c r="G21" s="22">
        <f t="shared" si="1"/>
        <v>0</v>
      </c>
      <c r="H21" s="11">
        <f t="shared" si="0"/>
        <v>0</v>
      </c>
      <c r="K21" s="1"/>
      <c r="P21" s="1"/>
      <c r="Q21" s="1"/>
      <c r="U21" s="1"/>
    </row>
    <row r="22" spans="1:21" ht="15" customHeight="1" x14ac:dyDescent="0.25">
      <c r="A22" s="1310" t="s">
        <v>163</v>
      </c>
      <c r="B22" s="1310"/>
      <c r="C22" s="1340"/>
      <c r="D22" s="1340"/>
      <c r="E22" s="1341">
        <v>5.4009999999999998</v>
      </c>
      <c r="F22" s="1341"/>
      <c r="G22" s="22">
        <f t="shared" si="1"/>
        <v>0</v>
      </c>
      <c r="H22" s="11">
        <f t="shared" si="0"/>
        <v>0</v>
      </c>
      <c r="K22" s="1"/>
      <c r="P22" s="1"/>
      <c r="Q22" s="1"/>
      <c r="U22" s="1"/>
    </row>
    <row r="23" spans="1:21" x14ac:dyDescent="0.25">
      <c r="A23" s="1310" t="s">
        <v>164</v>
      </c>
      <c r="B23" s="1310"/>
      <c r="C23" s="1340">
        <v>8</v>
      </c>
      <c r="D23" s="1340"/>
      <c r="E23" s="1341">
        <v>1.206</v>
      </c>
      <c r="F23" s="1341"/>
      <c r="G23" s="22">
        <f t="shared" si="1"/>
        <v>9.6479999999999997</v>
      </c>
      <c r="H23" s="11">
        <f t="shared" si="0"/>
        <v>43432</v>
      </c>
      <c r="K23" s="1"/>
      <c r="P23" s="1"/>
      <c r="Q23" s="1"/>
      <c r="U23" s="1"/>
    </row>
    <row r="24" spans="1:21" x14ac:dyDescent="0.25">
      <c r="A24" s="1310" t="s">
        <v>165</v>
      </c>
      <c r="B24" s="1310"/>
      <c r="C24" s="1340">
        <v>1</v>
      </c>
      <c r="D24" s="1340"/>
      <c r="E24" s="1341">
        <v>1.206</v>
      </c>
      <c r="F24" s="1341"/>
      <c r="G24" s="22">
        <f t="shared" si="1"/>
        <v>1.206</v>
      </c>
      <c r="H24" s="11">
        <f t="shared" si="0"/>
        <v>5429</v>
      </c>
      <c r="K24" s="1"/>
      <c r="P24" s="1"/>
      <c r="Q24" s="1"/>
      <c r="U24" s="1"/>
    </row>
    <row r="25" spans="1:21" x14ac:dyDescent="0.25">
      <c r="A25" s="1310" t="s">
        <v>166</v>
      </c>
      <c r="B25" s="1310"/>
      <c r="C25" s="1340"/>
      <c r="D25" s="1340"/>
      <c r="E25" s="1341">
        <v>1.206</v>
      </c>
      <c r="F25" s="1341"/>
      <c r="G25" s="22">
        <f t="shared" si="1"/>
        <v>0</v>
      </c>
      <c r="H25" s="11">
        <f t="shared" si="0"/>
        <v>0</v>
      </c>
      <c r="K25" s="1"/>
      <c r="P25" s="1"/>
      <c r="Q25" s="1"/>
      <c r="U25" s="1"/>
    </row>
    <row r="26" spans="1:21" x14ac:dyDescent="0.25">
      <c r="A26" s="1300" t="s">
        <v>167</v>
      </c>
      <c r="B26" s="1300"/>
      <c r="C26" s="1340"/>
      <c r="D26" s="1340"/>
      <c r="E26" s="1338">
        <v>0.999</v>
      </c>
      <c r="F26" s="1338"/>
      <c r="G26" s="22">
        <f t="shared" si="1"/>
        <v>0</v>
      </c>
      <c r="H26" s="11">
        <f t="shared" si="0"/>
        <v>0</v>
      </c>
      <c r="K26" s="1"/>
      <c r="P26" s="1"/>
      <c r="Q26" s="1"/>
      <c r="U26" s="1"/>
    </row>
    <row r="27" spans="1:21" ht="20.25" customHeight="1" x14ac:dyDescent="0.25">
      <c r="A27" s="1362" t="s">
        <v>8</v>
      </c>
      <c r="B27" s="1362"/>
      <c r="C27" s="1339">
        <f>SUM(C11:C26)</f>
        <v>890</v>
      </c>
      <c r="D27" s="1339"/>
      <c r="E27" s="1336"/>
      <c r="F27" s="1336"/>
      <c r="G27" s="905">
        <f>SUM(G11:G26)</f>
        <v>946.53800000000001</v>
      </c>
      <c r="H27" s="11">
        <f>SUM(H11:H26)</f>
        <v>4260952</v>
      </c>
      <c r="K27" s="1"/>
      <c r="P27" s="1"/>
      <c r="Q27" s="1"/>
      <c r="U27" s="1"/>
    </row>
    <row r="28" spans="1:21" ht="36" customHeight="1" x14ac:dyDescent="0.25">
      <c r="A28" s="1303" t="s">
        <v>596</v>
      </c>
      <c r="B28" s="1303"/>
      <c r="C28" s="1303"/>
      <c r="D28" s="1303"/>
      <c r="E28" s="1303"/>
      <c r="F28" s="1303"/>
      <c r="G28" s="1303"/>
      <c r="H28" s="903"/>
      <c r="K28" s="1"/>
      <c r="P28" s="1"/>
      <c r="Q28" s="1"/>
      <c r="U28" s="1"/>
    </row>
    <row r="29" spans="1:21" ht="88.5" customHeight="1" x14ac:dyDescent="0.25">
      <c r="A29" s="1327" t="s">
        <v>597</v>
      </c>
      <c r="B29" s="1327"/>
      <c r="C29" s="1360" t="s">
        <v>598</v>
      </c>
      <c r="D29" s="1361"/>
      <c r="E29" s="1361"/>
      <c r="F29" s="1361"/>
      <c r="G29" s="1361"/>
      <c r="H29" s="910" t="s">
        <v>1491</v>
      </c>
      <c r="K29" s="1"/>
      <c r="P29" s="1"/>
      <c r="Q29" s="1"/>
      <c r="U29" s="1"/>
    </row>
    <row r="30" spans="1:21" ht="20.25" customHeight="1" x14ac:dyDescent="0.25">
      <c r="A30" s="1358" t="s">
        <v>599</v>
      </c>
      <c r="B30" s="1358"/>
      <c r="C30" s="1326"/>
      <c r="D30" s="1326"/>
      <c r="E30" s="1326"/>
      <c r="F30" s="1326"/>
      <c r="G30" s="1326"/>
      <c r="H30" s="42">
        <f t="shared" ref="H30:H36" si="2">ROUND(ROUND(C30*$C$6,4)*($G$6),0)</f>
        <v>0</v>
      </c>
      <c r="K30" s="1"/>
      <c r="P30" s="1"/>
      <c r="Q30" s="1"/>
      <c r="U30" s="1"/>
    </row>
    <row r="31" spans="1:21" ht="20.25" customHeight="1" x14ac:dyDescent="0.25">
      <c r="A31" s="1310" t="s">
        <v>600</v>
      </c>
      <c r="B31" s="1310"/>
      <c r="C31" s="1326"/>
      <c r="D31" s="1326"/>
      <c r="E31" s="1326"/>
      <c r="F31" s="1326"/>
      <c r="G31" s="1326"/>
      <c r="H31" s="42">
        <f t="shared" si="2"/>
        <v>0</v>
      </c>
      <c r="K31" s="1"/>
      <c r="P31" s="1"/>
      <c r="Q31" s="1"/>
      <c r="U31" s="1"/>
    </row>
    <row r="32" spans="1:21" ht="20.25" customHeight="1" x14ac:dyDescent="0.25">
      <c r="A32" s="1366" t="s">
        <v>601</v>
      </c>
      <c r="B32" s="1366"/>
      <c r="C32" s="1363"/>
      <c r="D32" s="1363"/>
      <c r="E32" s="1363"/>
      <c r="F32" s="1363"/>
      <c r="G32" s="1363"/>
      <c r="H32" s="42">
        <f t="shared" si="2"/>
        <v>0</v>
      </c>
      <c r="K32" s="1"/>
      <c r="P32" s="1"/>
      <c r="Q32" s="1"/>
      <c r="U32" s="1"/>
    </row>
    <row r="33" spans="1:21" ht="20.25" customHeight="1" x14ac:dyDescent="0.25">
      <c r="A33" s="1310" t="s">
        <v>602</v>
      </c>
      <c r="B33" s="1310"/>
      <c r="C33" s="1326"/>
      <c r="D33" s="1326"/>
      <c r="E33" s="1326"/>
      <c r="F33" s="1326"/>
      <c r="G33" s="1326"/>
      <c r="H33" s="42">
        <f t="shared" si="2"/>
        <v>0</v>
      </c>
      <c r="K33" s="1"/>
      <c r="P33" s="1"/>
      <c r="Q33" s="1"/>
      <c r="U33" s="1"/>
    </row>
    <row r="34" spans="1:21" ht="20.25" customHeight="1" x14ac:dyDescent="0.25">
      <c r="A34" s="1310" t="s">
        <v>603</v>
      </c>
      <c r="B34" s="1310"/>
      <c r="C34" s="1326"/>
      <c r="D34" s="1326"/>
      <c r="E34" s="1326"/>
      <c r="F34" s="1326"/>
      <c r="G34" s="1326"/>
      <c r="H34" s="42">
        <f t="shared" si="2"/>
        <v>0</v>
      </c>
      <c r="K34" s="1"/>
      <c r="P34" s="1"/>
      <c r="Q34" s="1"/>
      <c r="U34" s="1"/>
    </row>
    <row r="35" spans="1:21" ht="20.25" customHeight="1" x14ac:dyDescent="0.25">
      <c r="A35" s="1310" t="s">
        <v>604</v>
      </c>
      <c r="B35" s="1310"/>
      <c r="C35" s="1326"/>
      <c r="D35" s="1326"/>
      <c r="E35" s="1326"/>
      <c r="F35" s="1326"/>
      <c r="G35" s="1326"/>
      <c r="H35" s="42">
        <f t="shared" si="2"/>
        <v>0</v>
      </c>
      <c r="K35" s="1"/>
      <c r="P35" s="1"/>
      <c r="Q35" s="1"/>
      <c r="U35" s="1"/>
    </row>
    <row r="36" spans="1:21" ht="20.25" customHeight="1" x14ac:dyDescent="0.25">
      <c r="A36" s="1300" t="s">
        <v>1376</v>
      </c>
      <c r="B36" s="1300"/>
      <c r="C36" s="1326"/>
      <c r="D36" s="1326"/>
      <c r="E36" s="1326"/>
      <c r="F36" s="1326"/>
      <c r="G36" s="1326"/>
      <c r="H36" s="42">
        <f t="shared" si="2"/>
        <v>0</v>
      </c>
      <c r="K36" s="1"/>
      <c r="P36" s="1"/>
      <c r="Q36" s="1"/>
      <c r="U36" s="1"/>
    </row>
    <row r="37" spans="1:21" ht="20.25" customHeight="1" thickBot="1" x14ac:dyDescent="0.3">
      <c r="A37" s="1305" t="s">
        <v>605</v>
      </c>
      <c r="B37" s="1305"/>
      <c r="C37" s="1305"/>
      <c r="D37" s="1305"/>
      <c r="E37" s="896">
        <f>SUM(C30:E36)</f>
        <v>0</v>
      </c>
      <c r="F37" s="1336" t="s">
        <v>606</v>
      </c>
      <c r="G37" s="1336"/>
      <c r="H37" s="15">
        <f>SUM(H30:H36)</f>
        <v>0</v>
      </c>
      <c r="K37" s="1"/>
      <c r="P37" s="1"/>
      <c r="Q37" s="1"/>
      <c r="U37" s="1"/>
    </row>
    <row r="38" spans="1:21" ht="20.25" customHeight="1" thickBot="1" x14ac:dyDescent="0.3">
      <c r="A38" s="1305" t="s">
        <v>607</v>
      </c>
      <c r="B38" s="1305"/>
      <c r="C38" s="1305"/>
      <c r="D38" s="1305"/>
      <c r="E38" s="897">
        <f>E37+G27</f>
        <v>946.53800000000001</v>
      </c>
      <c r="F38" s="1336" t="s">
        <v>608</v>
      </c>
      <c r="G38" s="1336"/>
      <c r="H38" s="898">
        <f>SUM(H37,H27)</f>
        <v>4260952</v>
      </c>
      <c r="K38" s="1"/>
      <c r="P38" s="1"/>
      <c r="Q38" s="1"/>
      <c r="U38" s="1"/>
    </row>
    <row r="39" spans="1:21" ht="59.25" customHeight="1" x14ac:dyDescent="0.25">
      <c r="A39" s="1359" t="s">
        <v>609</v>
      </c>
      <c r="B39" s="1359"/>
      <c r="C39" s="1365" t="s">
        <v>2</v>
      </c>
      <c r="D39" s="1365"/>
      <c r="E39" s="124" t="s">
        <v>144</v>
      </c>
      <c r="F39" s="130" t="s">
        <v>145</v>
      </c>
      <c r="G39" s="126" t="s">
        <v>146</v>
      </c>
      <c r="H39" s="124"/>
      <c r="K39" s="1"/>
      <c r="P39" s="1"/>
      <c r="Q39" s="1"/>
      <c r="U39" s="1"/>
    </row>
    <row r="40" spans="1:21" ht="15.75" customHeight="1" x14ac:dyDescent="0.25">
      <c r="A40" s="1334" t="s">
        <v>610</v>
      </c>
      <c r="B40" s="1334"/>
      <c r="C40" s="1364">
        <v>27</v>
      </c>
      <c r="D40" s="1364"/>
      <c r="E40" s="6" t="s">
        <v>115</v>
      </c>
      <c r="F40" s="6">
        <v>251</v>
      </c>
      <c r="G40" s="41">
        <f>INDEX('[8]111-112-113 ADDITIONAL FUND'!D$1:D$65536,MATCH(A1,'[8]111-112-113 ADDITIONAL FUND'!A$1:A$65536))</f>
        <v>974</v>
      </c>
      <c r="H40" s="28">
        <f>ROUND(C40*G40,0)</f>
        <v>26298</v>
      </c>
      <c r="K40" s="1"/>
      <c r="P40" s="1"/>
      <c r="Q40" s="1"/>
      <c r="U40" s="1"/>
    </row>
    <row r="41" spans="1:21" x14ac:dyDescent="0.25">
      <c r="A41" s="1335"/>
      <c r="B41" s="1335"/>
      <c r="C41" s="1309">
        <v>3</v>
      </c>
      <c r="D41" s="1309"/>
      <c r="E41" s="6" t="s">
        <v>115</v>
      </c>
      <c r="F41" s="6">
        <v>252</v>
      </c>
      <c r="G41" s="41">
        <f>INDEX('[8]111-112-113 ADDITIONAL FUND'!E$1:E$65536,MATCH(A1,'[8]111-112-113 ADDITIONAL FUND'!A$1:A$65536))</f>
        <v>3145</v>
      </c>
      <c r="H41" s="28">
        <f t="shared" ref="H41:H48" si="3">ROUND(C41*G41,0)</f>
        <v>9435</v>
      </c>
      <c r="K41" s="1"/>
      <c r="P41" s="1"/>
      <c r="Q41" s="1"/>
      <c r="U41" s="1"/>
    </row>
    <row r="42" spans="1:21" x14ac:dyDescent="0.25">
      <c r="A42" s="1335"/>
      <c r="B42" s="1335"/>
      <c r="C42" s="1309"/>
      <c r="D42" s="1309"/>
      <c r="E42" s="6" t="s">
        <v>115</v>
      </c>
      <c r="F42" s="6">
        <v>253</v>
      </c>
      <c r="G42" s="41">
        <f>INDEX('[8]111-112-113 ADDITIONAL FUND'!F$1:F$65536,MATCH(A1,'[8]111-112-113 ADDITIONAL FUND'!A$1:A$65536))</f>
        <v>6418</v>
      </c>
      <c r="H42" s="28">
        <f t="shared" si="3"/>
        <v>0</v>
      </c>
      <c r="K42" s="1"/>
      <c r="P42" s="1"/>
      <c r="Q42" s="1"/>
      <c r="U42" s="1"/>
    </row>
    <row r="43" spans="1:21" x14ac:dyDescent="0.25">
      <c r="A43" s="1335"/>
      <c r="B43" s="1335"/>
      <c r="C43" s="1309">
        <v>26</v>
      </c>
      <c r="D43" s="1309"/>
      <c r="E43" s="8" t="s">
        <v>101</v>
      </c>
      <c r="F43" s="6">
        <v>251</v>
      </c>
      <c r="G43" s="41">
        <f>INDEX('[8]111-112-113 ADDITIONAL FUND'!G$1:G$65536,MATCH(A1,'[8]111-112-113 ADDITIONAL FUND'!A$1:A$65536))</f>
        <v>1092</v>
      </c>
      <c r="H43" s="28">
        <f t="shared" si="3"/>
        <v>28392</v>
      </c>
      <c r="K43" s="1"/>
      <c r="P43" s="1"/>
      <c r="Q43" s="1"/>
      <c r="U43" s="1"/>
    </row>
    <row r="44" spans="1:21" x14ac:dyDescent="0.25">
      <c r="A44" s="1335"/>
      <c r="B44" s="1335"/>
      <c r="C44" s="1309">
        <v>1</v>
      </c>
      <c r="D44" s="1309"/>
      <c r="E44" s="8" t="s">
        <v>101</v>
      </c>
      <c r="F44" s="6">
        <v>252</v>
      </c>
      <c r="G44" s="41">
        <f>INDEX('[8]111-112-113 ADDITIONAL FUND'!H$1:H$65536,MATCH(A1,'[8]111-112-113 ADDITIONAL FUND'!A$1:A$65536))</f>
        <v>3263</v>
      </c>
      <c r="H44" s="28">
        <f t="shared" si="3"/>
        <v>3263</v>
      </c>
      <c r="K44" s="1"/>
      <c r="P44" s="1"/>
      <c r="Q44" s="1"/>
      <c r="U44" s="1"/>
    </row>
    <row r="45" spans="1:21" x14ac:dyDescent="0.25">
      <c r="A45" s="1335"/>
      <c r="B45" s="1335"/>
      <c r="C45" s="1309"/>
      <c r="D45" s="1309"/>
      <c r="E45" s="8" t="s">
        <v>101</v>
      </c>
      <c r="F45" s="6">
        <v>253</v>
      </c>
      <c r="G45" s="41">
        <f>INDEX('[8]111-112-113 ADDITIONAL FUND'!I$1:I$65536,MATCH(A1,'[8]111-112-113 ADDITIONAL FUND'!A$1:A$65536))</f>
        <v>6536</v>
      </c>
      <c r="H45" s="28">
        <f t="shared" si="3"/>
        <v>0</v>
      </c>
      <c r="K45" s="1"/>
      <c r="P45" s="1"/>
      <c r="Q45" s="1"/>
      <c r="U45" s="1"/>
    </row>
    <row r="46" spans="1:21" x14ac:dyDescent="0.25">
      <c r="A46" s="1335"/>
      <c r="B46" s="1335"/>
      <c r="C46" s="1309"/>
      <c r="D46" s="1309"/>
      <c r="E46" s="8" t="s">
        <v>102</v>
      </c>
      <c r="F46" s="6">
        <v>251</v>
      </c>
      <c r="G46" s="41">
        <f>INDEX('[8]111-112-113 ADDITIONAL FUND'!J$1:J$65536,MATCH(A1,'[8]111-112-113 ADDITIONAL FUND'!A$1:A$65536))</f>
        <v>777</v>
      </c>
      <c r="H46" s="28">
        <f t="shared" si="3"/>
        <v>0</v>
      </c>
      <c r="K46" s="1"/>
      <c r="P46" s="1"/>
      <c r="Q46" s="1"/>
      <c r="U46" s="1"/>
    </row>
    <row r="47" spans="1:21" x14ac:dyDescent="0.25">
      <c r="A47" s="1335"/>
      <c r="B47" s="1335"/>
      <c r="C47" s="1309"/>
      <c r="D47" s="1309"/>
      <c r="E47" s="8" t="s">
        <v>102</v>
      </c>
      <c r="F47" s="6">
        <v>252</v>
      </c>
      <c r="G47" s="41">
        <f>INDEX('[8]111-112-113 ADDITIONAL FUND'!K$1:K$65536,MATCH(A1,'[8]111-112-113 ADDITIONAL FUND'!A$1:A$65536))</f>
        <v>2948</v>
      </c>
      <c r="H47" s="28">
        <f t="shared" si="3"/>
        <v>0</v>
      </c>
      <c r="K47" s="1"/>
      <c r="P47" s="1"/>
      <c r="Q47" s="1"/>
      <c r="U47" s="1"/>
    </row>
    <row r="48" spans="1:21" ht="16.5" thickBot="1" x14ac:dyDescent="0.3">
      <c r="A48" s="1335"/>
      <c r="B48" s="1335"/>
      <c r="C48" s="1333"/>
      <c r="D48" s="1333"/>
      <c r="E48" s="8" t="s">
        <v>102</v>
      </c>
      <c r="F48" s="6">
        <v>253</v>
      </c>
      <c r="G48" s="41">
        <f>INDEX('[8]111-112-113 ADDITIONAL FUND'!L$1:L$65536,MATCH(A1,'[8]111-112-113 ADDITIONAL FUND'!A$1:A$65536))</f>
        <v>6221</v>
      </c>
      <c r="H48" s="895">
        <f t="shared" si="3"/>
        <v>0</v>
      </c>
      <c r="K48" s="1"/>
      <c r="P48" s="1"/>
      <c r="Q48" s="1"/>
      <c r="U48" s="1"/>
    </row>
    <row r="49" spans="1:21" ht="18.75" customHeight="1" thickBot="1" x14ac:dyDescent="0.3">
      <c r="A49" s="1305" t="s">
        <v>105</v>
      </c>
      <c r="B49" s="1305"/>
      <c r="C49" s="1331">
        <f>SUM(C40:C48)</f>
        <v>57</v>
      </c>
      <c r="D49" s="1331"/>
      <c r="E49" s="1305" t="s">
        <v>611</v>
      </c>
      <c r="F49" s="1305"/>
      <c r="G49" s="1305"/>
      <c r="H49" s="898">
        <f>SUM(H40:H48)</f>
        <v>67388</v>
      </c>
      <c r="J49" s="40"/>
      <c r="K49" s="1"/>
      <c r="P49" s="1"/>
      <c r="Q49" s="1"/>
      <c r="U49" s="1"/>
    </row>
    <row r="50" spans="1:21" ht="42.75" customHeight="1" x14ac:dyDescent="0.25">
      <c r="A50" s="1297" t="s">
        <v>612</v>
      </c>
      <c r="B50" s="1297"/>
      <c r="C50" s="1297"/>
      <c r="D50" s="1297"/>
      <c r="E50" s="1297"/>
      <c r="F50" s="1297"/>
      <c r="G50" s="1297"/>
      <c r="H50" s="1297"/>
      <c r="J50" s="2"/>
      <c r="K50" s="1"/>
      <c r="O50" s="3"/>
      <c r="Q50" s="1"/>
      <c r="U50" s="1"/>
    </row>
    <row r="51" spans="1:21" x14ac:dyDescent="0.25">
      <c r="A51" s="1298" t="s">
        <v>613</v>
      </c>
      <c r="B51" s="1298"/>
      <c r="C51" s="916">
        <f>C27</f>
        <v>890</v>
      </c>
      <c r="D51" s="913" t="s">
        <v>614</v>
      </c>
      <c r="E51" s="2"/>
      <c r="F51" s="912" t="s">
        <v>615</v>
      </c>
      <c r="G51" s="1328">
        <v>85087.039999999994</v>
      </c>
      <c r="H51" s="1328"/>
      <c r="K51" s="1"/>
      <c r="P51" s="1"/>
      <c r="Q51" s="1"/>
      <c r="U51" s="1"/>
    </row>
    <row r="52" spans="1:21" x14ac:dyDescent="0.25">
      <c r="A52" s="1231"/>
      <c r="B52" s="1234"/>
      <c r="F52" s="915" t="s">
        <v>98</v>
      </c>
      <c r="G52" s="1332">
        <f>ROUND(C51/G51,6)</f>
        <v>1.0460000000000001E-2</v>
      </c>
      <c r="H52" s="1332"/>
      <c r="K52" s="1"/>
      <c r="P52" s="1"/>
      <c r="Q52" s="1"/>
      <c r="U52" s="1"/>
    </row>
    <row r="53" spans="1:21" ht="49.5" customHeight="1" x14ac:dyDescent="0.25">
      <c r="A53" s="1297" t="s">
        <v>851</v>
      </c>
      <c r="B53" s="1297"/>
      <c r="C53" s="1297"/>
      <c r="D53" s="1297"/>
      <c r="E53" s="1297"/>
      <c r="F53" s="1297"/>
      <c r="G53" s="1297"/>
      <c r="H53" s="1297"/>
      <c r="J53" s="2"/>
      <c r="K53" s="1"/>
      <c r="O53" s="3"/>
      <c r="Q53" s="1"/>
      <c r="U53" s="1"/>
    </row>
    <row r="54" spans="1:21" x14ac:dyDescent="0.25">
      <c r="A54" s="1298" t="s">
        <v>616</v>
      </c>
      <c r="B54" s="1298"/>
      <c r="C54" s="916">
        <f>E38</f>
        <v>946.53800000000001</v>
      </c>
      <c r="D54" s="913" t="s">
        <v>614</v>
      </c>
      <c r="E54" s="2"/>
      <c r="F54" s="912" t="s">
        <v>617</v>
      </c>
      <c r="G54" s="1328">
        <v>94001.8</v>
      </c>
      <c r="H54" s="1328"/>
      <c r="K54" s="1"/>
      <c r="P54" s="1"/>
      <c r="Q54" s="1"/>
      <c r="U54" s="1"/>
    </row>
    <row r="55" spans="1:21" s="124" customFormat="1" x14ac:dyDescent="0.25">
      <c r="A55" s="911"/>
      <c r="F55" s="914" t="s">
        <v>98</v>
      </c>
      <c r="G55" s="1330">
        <f>ROUND(C54/G54,6)</f>
        <v>1.0069E-2</v>
      </c>
      <c r="H55" s="1330"/>
      <c r="I55" s="1"/>
    </row>
    <row r="56" spans="1:21" ht="26.25" customHeight="1" x14ac:dyDescent="0.25">
      <c r="A56" s="1297" t="s">
        <v>618</v>
      </c>
      <c r="B56" s="1297"/>
      <c r="C56" s="1297"/>
      <c r="D56" s="7" t="s">
        <v>4</v>
      </c>
      <c r="E56" s="891">
        <v>21844176</v>
      </c>
      <c r="F56" s="6" t="s">
        <v>13</v>
      </c>
      <c r="G56" s="14">
        <f>G52</f>
        <v>1.0460000000000001E-2</v>
      </c>
      <c r="H56" s="11">
        <f>ROUND(E56*G56,0)</f>
        <v>228490</v>
      </c>
      <c r="K56" s="1"/>
      <c r="P56" s="1"/>
      <c r="Q56" s="1"/>
      <c r="U56" s="1"/>
    </row>
    <row r="57" spans="1:21" x14ac:dyDescent="0.25">
      <c r="A57" s="1329" t="s">
        <v>619</v>
      </c>
      <c r="B57" s="1297"/>
      <c r="C57" s="1297"/>
      <c r="D57" s="7"/>
      <c r="E57" s="917"/>
      <c r="F57" s="6"/>
      <c r="G57" s="14"/>
      <c r="H57" s="11"/>
      <c r="K57" s="1"/>
      <c r="P57" s="1"/>
      <c r="Q57" s="1"/>
      <c r="U57" s="1"/>
    </row>
    <row r="58" spans="1:21" x14ac:dyDescent="0.25">
      <c r="A58" s="1316" t="s">
        <v>620</v>
      </c>
      <c r="B58" s="1298"/>
      <c r="C58" s="1298"/>
      <c r="D58" s="7" t="s">
        <v>4</v>
      </c>
      <c r="E58" s="891">
        <v>27833673</v>
      </c>
      <c r="F58" s="6" t="s">
        <v>13</v>
      </c>
      <c r="G58" s="14">
        <f>G52</f>
        <v>1.0460000000000001E-2</v>
      </c>
      <c r="H58" s="11">
        <f>ROUND(E58*G58,0)</f>
        <v>291140</v>
      </c>
      <c r="K58" s="1"/>
      <c r="P58" s="1"/>
      <c r="Q58" s="1"/>
      <c r="U58" s="1"/>
    </row>
    <row r="59" spans="1:21" ht="26.25" customHeight="1" x14ac:dyDescent="0.25">
      <c r="A59" s="1297" t="s">
        <v>1492</v>
      </c>
      <c r="B59" s="1297"/>
      <c r="C59" s="1297"/>
      <c r="D59" s="7" t="s">
        <v>4</v>
      </c>
      <c r="E59" s="891">
        <v>5117567</v>
      </c>
      <c r="F59" s="6" t="s">
        <v>13</v>
      </c>
      <c r="G59" s="14">
        <f>G52</f>
        <v>1.0460000000000001E-2</v>
      </c>
      <c r="H59" s="11">
        <f>ROUND(E59*G59,0)</f>
        <v>53530</v>
      </c>
      <c r="K59" s="1"/>
      <c r="P59" s="1"/>
      <c r="Q59" s="1"/>
      <c r="U59" s="1"/>
    </row>
    <row r="60" spans="1:21" ht="21" customHeight="1" x14ac:dyDescent="0.25">
      <c r="A60" s="1297" t="s">
        <v>1493</v>
      </c>
      <c r="B60" s="1297"/>
      <c r="C60" s="1297"/>
      <c r="D60" s="7" t="s">
        <v>4</v>
      </c>
      <c r="E60" s="20">
        <v>7023625</v>
      </c>
      <c r="F60" s="6" t="s">
        <v>13</v>
      </c>
      <c r="G60" s="14">
        <f>G52</f>
        <v>1.0460000000000001E-2</v>
      </c>
      <c r="H60" s="11">
        <f>ROUND(E60*G60,0)</f>
        <v>73467</v>
      </c>
      <c r="K60" s="1"/>
      <c r="P60" s="1"/>
      <c r="Q60" s="1"/>
      <c r="U60" s="1"/>
    </row>
    <row r="61" spans="1:21" ht="17.25" customHeight="1" x14ac:dyDescent="0.25">
      <c r="A61" s="1310" t="s">
        <v>621</v>
      </c>
      <c r="B61" s="1310"/>
      <c r="C61" s="1310"/>
      <c r="D61" s="6" t="s">
        <v>6</v>
      </c>
      <c r="E61" s="1303"/>
      <c r="F61" s="1303"/>
      <c r="G61" s="1303"/>
      <c r="H61" s="906"/>
      <c r="K61" s="1"/>
      <c r="P61" s="1"/>
      <c r="Q61" s="1"/>
      <c r="U61" s="1"/>
    </row>
    <row r="62" spans="1:21" ht="17.25" customHeight="1" x14ac:dyDescent="0.25">
      <c r="A62" s="1310" t="s">
        <v>585</v>
      </c>
      <c r="B62" s="1310"/>
      <c r="C62" s="1310"/>
      <c r="D62" s="1310"/>
      <c r="E62" s="1310"/>
      <c r="F62" s="1310"/>
      <c r="G62" s="1310"/>
      <c r="H62" s="906"/>
      <c r="K62" s="1"/>
      <c r="P62" s="1"/>
      <c r="Q62" s="1"/>
      <c r="U62" s="1"/>
    </row>
    <row r="63" spans="1:21" ht="17.25" customHeight="1" x14ac:dyDescent="0.25">
      <c r="A63" s="918" t="s">
        <v>622</v>
      </c>
      <c r="B63" s="1234"/>
      <c r="C63" s="1234"/>
      <c r="D63" s="1234"/>
      <c r="E63" s="1234"/>
      <c r="F63" s="1234"/>
      <c r="G63" s="1234"/>
      <c r="H63" s="15"/>
      <c r="K63" s="1"/>
      <c r="P63" s="1"/>
      <c r="Q63" s="1"/>
      <c r="U63" s="1"/>
    </row>
    <row r="64" spans="1:21" ht="20.25" customHeight="1" x14ac:dyDescent="0.25">
      <c r="A64" s="1297" t="s">
        <v>1494</v>
      </c>
      <c r="B64" s="1297"/>
      <c r="C64" s="1297"/>
      <c r="D64" s="7" t="s">
        <v>4</v>
      </c>
      <c r="E64" s="20">
        <v>3888999</v>
      </c>
      <c r="F64" s="6" t="s">
        <v>13</v>
      </c>
      <c r="G64" s="14">
        <f>G52</f>
        <v>1.0460000000000001E-2</v>
      </c>
      <c r="H64" s="11">
        <f t="shared" ref="H64:H73" si="4">ROUND(E64*G64,0)</f>
        <v>40679</v>
      </c>
      <c r="K64" s="1"/>
      <c r="P64" s="1"/>
      <c r="Q64" s="1"/>
      <c r="U64" s="1"/>
    </row>
    <row r="65" spans="1:21" ht="20.25" customHeight="1" x14ac:dyDescent="0.25">
      <c r="A65" s="1297" t="s">
        <v>1495</v>
      </c>
      <c r="B65" s="1297"/>
      <c r="C65" s="1297"/>
      <c r="D65" s="7" t="s">
        <v>4</v>
      </c>
      <c r="E65" s="20">
        <f>INDEX('[8] Detail 2022-23 FEFP Third'!W$1:W$65536,MATCH(A1,'[8] Detail 2022-23 FEFP Third'!A$1:A$65536))</f>
        <v>1796984</v>
      </c>
      <c r="F65" s="6" t="s">
        <v>13</v>
      </c>
      <c r="G65" s="14">
        <f>G52</f>
        <v>1.0460000000000001E-2</v>
      </c>
      <c r="H65" s="11">
        <f t="shared" si="4"/>
        <v>18796</v>
      </c>
      <c r="K65" s="1"/>
      <c r="P65" s="1"/>
      <c r="Q65" s="1"/>
      <c r="U65" s="1"/>
    </row>
    <row r="66" spans="1:21" ht="24" customHeight="1" x14ac:dyDescent="0.25">
      <c r="A66" s="1297" t="s">
        <v>1496</v>
      </c>
      <c r="B66" s="1297"/>
      <c r="C66" s="1297"/>
      <c r="D66" s="7" t="s">
        <v>5</v>
      </c>
      <c r="E66" s="20">
        <f>INDEX('[8] Detail 2022-23 FEFP Third'!F$1:F$65536,MATCH(A1,'[8] Detail 2022-23 FEFP Third'!A$1:A$65536))</f>
        <v>0</v>
      </c>
      <c r="F66" s="6" t="s">
        <v>13</v>
      </c>
      <c r="G66" s="14">
        <f>G55</f>
        <v>1.0069E-2</v>
      </c>
      <c r="H66" s="11">
        <f t="shared" si="4"/>
        <v>0</v>
      </c>
      <c r="K66" s="1"/>
      <c r="P66" s="1"/>
      <c r="Q66" s="1"/>
      <c r="U66" s="1"/>
    </row>
    <row r="67" spans="1:21" ht="24" customHeight="1" x14ac:dyDescent="0.25">
      <c r="A67" s="1297" t="s">
        <v>1497</v>
      </c>
      <c r="B67" s="1297"/>
      <c r="C67" s="1297"/>
      <c r="D67" s="7" t="s">
        <v>5</v>
      </c>
      <c r="E67" s="20">
        <v>4660259</v>
      </c>
      <c r="F67" s="6" t="s">
        <v>13</v>
      </c>
      <c r="G67" s="14">
        <f>G55</f>
        <v>1.0069E-2</v>
      </c>
      <c r="H67" s="11">
        <f t="shared" si="4"/>
        <v>46924</v>
      </c>
      <c r="K67" s="1"/>
      <c r="P67" s="1"/>
      <c r="Q67" s="1"/>
      <c r="U67" s="1"/>
    </row>
    <row r="68" spans="1:21" ht="20.25" customHeight="1" x14ac:dyDescent="0.25">
      <c r="A68" s="1297" t="s">
        <v>1498</v>
      </c>
      <c r="B68" s="1297"/>
      <c r="C68" s="1297"/>
      <c r="D68" s="7" t="s">
        <v>5</v>
      </c>
      <c r="E68" s="20">
        <f>INDEX('[8] Detail 2022-23 FEFP Third'!P$1:P$65536,MATCH(A1,'[8] Detail 2022-23 FEFP Third'!A$1:A$65536))</f>
        <v>33490989</v>
      </c>
      <c r="F68" s="6" t="s">
        <v>13</v>
      </c>
      <c r="G68" s="14">
        <f>G55</f>
        <v>1.0069E-2</v>
      </c>
      <c r="H68" s="11">
        <f t="shared" si="4"/>
        <v>337221</v>
      </c>
      <c r="K68" s="1"/>
      <c r="P68" s="1"/>
      <c r="Q68" s="1"/>
      <c r="U68" s="1"/>
    </row>
    <row r="69" spans="1:21" ht="20.25" customHeight="1" x14ac:dyDescent="0.25">
      <c r="A69" s="1297" t="s">
        <v>1499</v>
      </c>
      <c r="B69" s="1297"/>
      <c r="C69" s="1297"/>
      <c r="D69" s="7" t="s">
        <v>1358</v>
      </c>
      <c r="E69" s="1236"/>
      <c r="F69" s="6"/>
      <c r="G69" s="14"/>
      <c r="H69" s="11"/>
      <c r="K69" s="1"/>
      <c r="P69" s="1"/>
      <c r="Q69" s="1"/>
      <c r="U69" s="1"/>
    </row>
    <row r="70" spans="1:21" ht="24" customHeight="1" x14ac:dyDescent="0.25">
      <c r="A70" s="1310" t="s">
        <v>1500</v>
      </c>
      <c r="B70" s="1310"/>
      <c r="C70" s="1310"/>
      <c r="D70" s="7" t="s">
        <v>1501</v>
      </c>
      <c r="E70" s="917"/>
      <c r="F70" s="6"/>
      <c r="G70" s="14"/>
      <c r="H70" s="906"/>
      <c r="K70" s="1"/>
      <c r="P70" s="1"/>
      <c r="Q70" s="1"/>
      <c r="U70" s="1"/>
    </row>
    <row r="71" spans="1:21" ht="24" customHeight="1" x14ac:dyDescent="0.25">
      <c r="A71" s="1310" t="s">
        <v>1502</v>
      </c>
      <c r="B71" s="1310"/>
      <c r="C71" s="1310"/>
      <c r="D71" s="7" t="s">
        <v>1501</v>
      </c>
      <c r="E71" s="917"/>
      <c r="F71" s="6"/>
      <c r="G71" s="14"/>
      <c r="H71" s="906"/>
      <c r="K71" s="1"/>
      <c r="P71" s="1"/>
      <c r="Q71" s="1"/>
      <c r="U71" s="1"/>
    </row>
    <row r="72" spans="1:21" ht="24" customHeight="1" x14ac:dyDescent="0.25">
      <c r="A72" s="1297" t="s">
        <v>1503</v>
      </c>
      <c r="B72" s="1297"/>
      <c r="C72" s="1297"/>
      <c r="D72" s="7"/>
      <c r="E72" s="917"/>
      <c r="F72" s="6"/>
      <c r="G72" s="14"/>
      <c r="H72" s="11">
        <f>H70+H71</f>
        <v>0</v>
      </c>
      <c r="K72" s="1"/>
      <c r="P72" s="1"/>
      <c r="Q72" s="1"/>
      <c r="U72" s="1"/>
    </row>
    <row r="73" spans="1:21" ht="20.25" customHeight="1" x14ac:dyDescent="0.25">
      <c r="A73" s="1297" t="s">
        <v>1357</v>
      </c>
      <c r="B73" s="1297"/>
      <c r="C73" s="1297"/>
      <c r="D73" s="7" t="s">
        <v>5</v>
      </c>
      <c r="E73" s="891">
        <f>INDEX('[8] Detail 2022-23 FEFP Third'!Q$1:Q$65536,MATCH(A1,'[8] Detail 2022-23 FEFP Third'!A$1:A$65536))</f>
        <v>0</v>
      </c>
      <c r="F73" s="6" t="s">
        <v>13</v>
      </c>
      <c r="G73" s="14">
        <f>G55</f>
        <v>1.0069E-2</v>
      </c>
      <c r="H73" s="11">
        <f t="shared" si="4"/>
        <v>0</v>
      </c>
      <c r="K73" s="1"/>
      <c r="P73" s="1"/>
      <c r="Q73" s="1"/>
      <c r="U73" s="1"/>
    </row>
    <row r="74" spans="1:21" ht="30.75" customHeight="1" x14ac:dyDescent="0.25">
      <c r="A74" s="1297" t="s">
        <v>1504</v>
      </c>
      <c r="B74" s="1297"/>
      <c r="C74" s="1297"/>
      <c r="D74" s="1297"/>
      <c r="E74" s="1297"/>
      <c r="F74" s="1297"/>
      <c r="G74" s="1297"/>
      <c r="H74" s="1297"/>
      <c r="K74" s="1"/>
      <c r="N74" s="23"/>
      <c r="O74" s="37"/>
      <c r="P74" s="38"/>
      <c r="Q74" s="1"/>
      <c r="R74" s="4"/>
      <c r="U74" s="1"/>
    </row>
    <row r="75" spans="1:21" ht="18.75" customHeight="1" x14ac:dyDescent="0.25">
      <c r="A75" s="1317" t="s">
        <v>623</v>
      </c>
      <c r="B75" s="1317"/>
      <c r="C75" s="1315" t="s">
        <v>953</v>
      </c>
      <c r="D75" s="1315"/>
      <c r="E75" s="1318" t="s">
        <v>220</v>
      </c>
      <c r="F75" s="1318"/>
      <c r="G75" s="1318"/>
      <c r="H75" s="1318"/>
      <c r="K75" s="1"/>
      <c r="P75" s="1"/>
      <c r="Q75" s="1"/>
      <c r="U75" s="1"/>
    </row>
    <row r="76" spans="1:21" ht="18.75" customHeight="1" x14ac:dyDescent="0.25">
      <c r="A76" s="35" t="s">
        <v>119</v>
      </c>
      <c r="B76" s="81">
        <f>G11+G12+G17+G20+G23</f>
        <v>498.33199999999999</v>
      </c>
      <c r="C76" s="1296">
        <f>G6</f>
        <v>0.98129999999999995</v>
      </c>
      <c r="D76" s="1296"/>
      <c r="E76" s="899">
        <f>'[8] Detail 2022-23 FEFP Third'!AE3</f>
        <v>957.94</v>
      </c>
      <c r="F76" s="8" t="s">
        <v>98</v>
      </c>
      <c r="G76" s="20">
        <f>ROUND(B76*C76*E76,0)</f>
        <v>468445</v>
      </c>
      <c r="H76" s="21"/>
      <c r="K76" s="1"/>
      <c r="P76" s="1"/>
      <c r="Q76" s="1"/>
      <c r="U76" s="1"/>
    </row>
    <row r="77" spans="1:21" ht="18" customHeight="1" x14ac:dyDescent="0.25">
      <c r="A77" s="127" t="s">
        <v>101</v>
      </c>
      <c r="B77" s="81">
        <f>G13+G14+G18+G21+G24</f>
        <v>448.20600000000002</v>
      </c>
      <c r="C77" s="1296">
        <f>G6</f>
        <v>0.98129999999999995</v>
      </c>
      <c r="D77" s="1296"/>
      <c r="E77" s="899">
        <f>'[8] Detail 2022-23 FEFP Third'!AF3</f>
        <v>914.63</v>
      </c>
      <c r="F77" s="8" t="s">
        <v>98</v>
      </c>
      <c r="G77" s="20">
        <f>ROUND(B77*C77*E77,0)</f>
        <v>402277</v>
      </c>
      <c r="K77" s="1"/>
      <c r="P77" s="1"/>
      <c r="Q77" s="1"/>
      <c r="U77" s="1"/>
    </row>
    <row r="78" spans="1:21" ht="19.5" customHeight="1" thickBot="1" x14ac:dyDescent="0.3">
      <c r="A78" s="128" t="s">
        <v>102</v>
      </c>
      <c r="B78" s="80">
        <f>G15+G16+G19+G22+G25+G26</f>
        <v>0</v>
      </c>
      <c r="C78" s="1296">
        <f>G6</f>
        <v>0.98129999999999995</v>
      </c>
      <c r="D78" s="1296"/>
      <c r="E78" s="899">
        <f>'[8] Detail 2022-23 FEFP Third'!AG3</f>
        <v>916.84</v>
      </c>
      <c r="F78" s="8" t="s">
        <v>98</v>
      </c>
      <c r="G78" s="20">
        <f>ROUND(B78*C78*E78,0)</f>
        <v>0</v>
      </c>
      <c r="K78" s="1"/>
      <c r="P78" s="1"/>
      <c r="Q78" s="1"/>
      <c r="U78" s="1"/>
    </row>
    <row r="79" spans="1:21" ht="24" customHeight="1" thickBot="1" x14ac:dyDescent="0.3">
      <c r="A79" s="46" t="s">
        <v>148</v>
      </c>
      <c r="B79" s="907">
        <f>SUM(B76:B78)</f>
        <v>946.53800000000001</v>
      </c>
      <c r="C79" s="1319" t="s">
        <v>107</v>
      </c>
      <c r="D79" s="1320"/>
      <c r="E79" s="1320"/>
      <c r="F79" s="1320"/>
      <c r="G79" s="1320"/>
      <c r="H79" s="11">
        <f>IF(A1=75,0,G78+G77+G76)</f>
        <v>870722</v>
      </c>
      <c r="K79" s="1"/>
      <c r="P79" s="1"/>
      <c r="Q79" s="1"/>
      <c r="U79" s="1"/>
    </row>
    <row r="80" spans="1:21" ht="19.5" customHeight="1" x14ac:dyDescent="0.25">
      <c r="A80" s="1321" t="s">
        <v>624</v>
      </c>
      <c r="B80" s="1321"/>
      <c r="C80" s="1321"/>
      <c r="D80" s="1321"/>
      <c r="E80" s="1321"/>
      <c r="F80" s="1321"/>
      <c r="G80" s="1321"/>
      <c r="H80" s="1321"/>
      <c r="J80" s="44"/>
      <c r="K80" s="12"/>
      <c r="M80" s="13"/>
      <c r="N80" s="29"/>
      <c r="P80" s="1"/>
      <c r="Q80" s="1"/>
      <c r="R80" s="15"/>
      <c r="U80" s="1"/>
    </row>
    <row r="81" spans="1:21" ht="27" customHeight="1" x14ac:dyDescent="0.25">
      <c r="A81" s="1297" t="s">
        <v>1505</v>
      </c>
      <c r="B81" s="1297"/>
      <c r="C81" s="1297"/>
      <c r="D81" s="7" t="s">
        <v>239</v>
      </c>
      <c r="E81" s="1322"/>
      <c r="F81" s="1322"/>
      <c r="G81" s="1322"/>
      <c r="H81" s="1322"/>
      <c r="K81" s="1"/>
      <c r="P81" s="1"/>
      <c r="Q81" s="1"/>
      <c r="U81" s="1"/>
    </row>
    <row r="82" spans="1:21" ht="19.5" customHeight="1" x14ac:dyDescent="0.25">
      <c r="A82" s="1314" t="s">
        <v>625</v>
      </c>
      <c r="B82" s="1314"/>
      <c r="C82" s="1325">
        <v>400</v>
      </c>
      <c r="D82" s="1325"/>
      <c r="E82" s="1325"/>
      <c r="F82" s="147" t="s">
        <v>215</v>
      </c>
      <c r="G82" s="893">
        <v>546</v>
      </c>
      <c r="H82" s="11">
        <f>ROUND(G82*C82,0)</f>
        <v>218400</v>
      </c>
      <c r="K82" s="1"/>
      <c r="P82" s="1"/>
      <c r="Q82" s="1"/>
      <c r="U82" s="1"/>
    </row>
    <row r="83" spans="1:21" ht="19.5" customHeight="1" x14ac:dyDescent="0.25">
      <c r="A83" s="1314" t="s">
        <v>626</v>
      </c>
      <c r="B83" s="1314"/>
      <c r="C83" s="1301"/>
      <c r="D83" s="1301"/>
      <c r="E83" s="1301"/>
      <c r="F83" s="147" t="s">
        <v>215</v>
      </c>
      <c r="G83" s="893">
        <f>IF(A1&gt;67,0,INDEX('[8]Transportation Per Student'!J$1:J$65536,MATCH(A1,'[8]Transportation Per Student'!B$1:B$65536)))</f>
        <v>1694</v>
      </c>
      <c r="H83" s="11">
        <f>ROUND(G83*C83,0)</f>
        <v>0</v>
      </c>
      <c r="K83" s="1"/>
      <c r="P83" s="1"/>
      <c r="Q83" s="1"/>
      <c r="U83" s="1"/>
    </row>
    <row r="84" spans="1:21" ht="34.5" customHeight="1" x14ac:dyDescent="0.25">
      <c r="A84" s="1297" t="s">
        <v>1506</v>
      </c>
      <c r="B84" s="1297"/>
      <c r="C84" s="1297"/>
      <c r="D84" s="6" t="s">
        <v>112</v>
      </c>
      <c r="E84" s="1303"/>
      <c r="F84" s="1303"/>
      <c r="G84" s="1303"/>
      <c r="H84" s="1303"/>
      <c r="K84" s="1"/>
      <c r="P84" s="1"/>
      <c r="Q84" s="1"/>
      <c r="U84" s="1"/>
    </row>
    <row r="85" spans="1:21" ht="50.25" customHeight="1" x14ac:dyDescent="0.25">
      <c r="A85" s="1311" t="s">
        <v>627</v>
      </c>
      <c r="B85" s="1311"/>
      <c r="C85" s="1324" t="s">
        <v>628</v>
      </c>
      <c r="D85" s="1324"/>
      <c r="E85" s="1312" t="s">
        <v>629</v>
      </c>
      <c r="F85" s="1312"/>
      <c r="G85" s="130" t="s">
        <v>954</v>
      </c>
      <c r="H85" s="1233" t="s">
        <v>16</v>
      </c>
      <c r="K85" s="1"/>
      <c r="P85" s="1"/>
      <c r="Q85" s="1"/>
      <c r="U85" s="1"/>
    </row>
    <row r="86" spans="1:21" ht="19.5" customHeight="1" x14ac:dyDescent="0.25">
      <c r="A86" s="1310" t="s">
        <v>631</v>
      </c>
      <c r="B86" s="1310"/>
      <c r="C86" s="1301"/>
      <c r="D86" s="1301"/>
      <c r="E86" s="1313">
        <f>IF(C86=0,0,INDEX('[8] Detail 2022-23 FEFP Third'!Y$1:Y$65536,MATCH(A1,'[8] Detail 2022-23 FEFP Third'!A$1:A$65536)))</f>
        <v>0</v>
      </c>
      <c r="F86" s="1313"/>
      <c r="G86" s="908">
        <f>IF(C86=0,0,'[8] Detail 2022-23 FEFP Third'!AO3)</f>
        <v>0</v>
      </c>
      <c r="H86" s="11">
        <f>ROUND((G86+E86)*C86,0)</f>
        <v>0</v>
      </c>
      <c r="K86" s="1"/>
      <c r="P86" s="1"/>
      <c r="Q86" s="1"/>
      <c r="U86" s="1"/>
    </row>
    <row r="87" spans="1:21" ht="19.5" customHeight="1" x14ac:dyDescent="0.25">
      <c r="A87" s="1310" t="s">
        <v>632</v>
      </c>
      <c r="B87" s="1310"/>
      <c r="C87" s="1301"/>
      <c r="D87" s="1301"/>
      <c r="E87" s="1323">
        <f>ROUND(E86/2,2)</f>
        <v>0</v>
      </c>
      <c r="F87" s="1323"/>
      <c r="G87" s="908">
        <f>IF(C87=0,0,ROUND('[8] Detail 2022-23 FEFP Third'!AO3/2,2))</f>
        <v>0</v>
      </c>
      <c r="H87" s="11">
        <f>ROUND((G87+E87)*C87,0)</f>
        <v>0</v>
      </c>
      <c r="K87" s="1"/>
      <c r="P87" s="1"/>
      <c r="Q87" s="1"/>
      <c r="U87" s="1"/>
    </row>
    <row r="88" spans="1:21" ht="19.5" customHeight="1" thickBot="1" x14ac:dyDescent="0.3">
      <c r="A88" s="1300" t="s">
        <v>633</v>
      </c>
      <c r="B88" s="1300"/>
      <c r="C88" s="1301"/>
      <c r="D88" s="1301"/>
      <c r="E88" s="1302"/>
      <c r="F88" s="1302"/>
      <c r="G88" s="909">
        <f>IF(G86&gt;0,'[8] Detail 2022-23 FEFP Third'!AP3,0)</f>
        <v>0</v>
      </c>
      <c r="H88" s="15">
        <f>ROUND(G88*C88,0)</f>
        <v>0</v>
      </c>
      <c r="K88" s="1"/>
      <c r="P88" s="1"/>
      <c r="Q88" s="1"/>
      <c r="U88" s="1"/>
    </row>
    <row r="89" spans="1:21" ht="19.5" customHeight="1" thickBot="1" x14ac:dyDescent="0.3">
      <c r="A89" s="1303" t="s">
        <v>16</v>
      </c>
      <c r="B89" s="1303"/>
      <c r="C89" s="900"/>
      <c r="D89" s="900"/>
      <c r="E89" s="900"/>
      <c r="F89" s="900"/>
      <c r="G89" s="900"/>
      <c r="H89" s="901">
        <f>SUM(H86:H88)</f>
        <v>0</v>
      </c>
      <c r="K89" s="1"/>
      <c r="P89" s="1"/>
      <c r="Q89" s="1"/>
      <c r="U89" s="1"/>
    </row>
    <row r="90" spans="1:21" ht="29.25" customHeight="1" x14ac:dyDescent="0.25">
      <c r="A90" s="1297" t="s">
        <v>1507</v>
      </c>
      <c r="B90" s="1297"/>
      <c r="C90" s="1297"/>
      <c r="D90" s="1232" t="s">
        <v>228</v>
      </c>
      <c r="E90" s="1304"/>
      <c r="F90" s="1304"/>
      <c r="G90" s="1304"/>
      <c r="H90" s="906"/>
      <c r="K90" s="1"/>
      <c r="P90" s="1"/>
      <c r="Q90" s="1"/>
      <c r="U90" s="1"/>
    </row>
    <row r="91" spans="1:21" ht="21" customHeight="1" x14ac:dyDescent="0.25">
      <c r="A91" s="1297" t="s">
        <v>1508</v>
      </c>
      <c r="B91" s="1297"/>
      <c r="C91" s="1297"/>
      <c r="D91" s="1232" t="s">
        <v>634</v>
      </c>
      <c r="E91" s="1304"/>
      <c r="F91" s="1304"/>
      <c r="G91" s="1304"/>
      <c r="H91" s="906"/>
      <c r="K91" s="1"/>
      <c r="P91" s="1"/>
      <c r="Q91" s="1"/>
      <c r="U91" s="1"/>
    </row>
    <row r="92" spans="1:21" ht="29.25" customHeight="1" thickBot="1" x14ac:dyDescent="0.3">
      <c r="A92" s="1305" t="s">
        <v>16</v>
      </c>
      <c r="B92" s="1305"/>
      <c r="C92" s="1305"/>
      <c r="D92" s="1305"/>
      <c r="E92" s="1305"/>
      <c r="F92" s="1305"/>
      <c r="G92" s="1305"/>
      <c r="H92" s="1237">
        <f>SUM(H91,H90,H89,H83,H82,H79,H73,H68,H66,H62,H61,H60,H59,H58,H56,H49,H38,H67,H64,H65,H72)</f>
        <v>6507709</v>
      </c>
      <c r="J92" s="202"/>
      <c r="K92" s="1"/>
      <c r="M92" s="7"/>
      <c r="N92" s="7"/>
      <c r="P92" s="198"/>
      <c r="Q92" s="5"/>
      <c r="S92" s="6"/>
      <c r="T92" s="15"/>
      <c r="U92" s="1"/>
    </row>
    <row r="93" spans="1:21" ht="16.5" customHeight="1" thickTop="1" x14ac:dyDescent="0.25">
      <c r="A93" s="1303"/>
      <c r="B93" s="1303"/>
      <c r="C93" s="1303"/>
      <c r="D93" s="1303"/>
      <c r="E93" s="1303"/>
      <c r="F93" s="1303"/>
      <c r="G93" s="1303"/>
      <c r="H93" s="1303"/>
      <c r="J93" s="202"/>
      <c r="K93" s="1"/>
      <c r="M93" s="7"/>
      <c r="N93" s="7"/>
      <c r="P93" s="198"/>
      <c r="Q93" s="5"/>
      <c r="S93" s="6"/>
      <c r="T93" s="15"/>
      <c r="U93" s="1"/>
    </row>
    <row r="94" spans="1:21" ht="29.25" customHeight="1" thickBot="1" x14ac:dyDescent="0.3">
      <c r="A94" s="1297" t="s">
        <v>1509</v>
      </c>
      <c r="B94" s="1297"/>
      <c r="C94" s="1297"/>
      <c r="D94" s="1303"/>
      <c r="E94" s="1303"/>
      <c r="F94" s="1303"/>
      <c r="G94" s="1" t="s">
        <v>635</v>
      </c>
      <c r="H94" s="82">
        <f>H92-H72</f>
        <v>6507709</v>
      </c>
      <c r="J94" s="202"/>
      <c r="K94" s="1"/>
      <c r="M94" s="7"/>
      <c r="N94" s="7"/>
      <c r="P94" s="198"/>
      <c r="Q94" s="5"/>
      <c r="S94" s="6"/>
      <c r="T94" s="15"/>
      <c r="U94" s="1"/>
    </row>
    <row r="95" spans="1:21" ht="53.25" customHeight="1" thickTop="1" x14ac:dyDescent="0.25">
      <c r="A95" s="1297" t="s">
        <v>1377</v>
      </c>
      <c r="B95" s="1297"/>
      <c r="C95" s="1297"/>
      <c r="D95" s="1297"/>
      <c r="E95" s="1297"/>
      <c r="F95" s="1297"/>
      <c r="G95" s="23" t="s">
        <v>1358</v>
      </c>
      <c r="H95" s="40"/>
      <c r="J95" s="202"/>
      <c r="K95" s="1"/>
      <c r="M95" s="7"/>
      <c r="N95" s="7"/>
      <c r="P95" s="198"/>
      <c r="Q95" s="5"/>
      <c r="S95" s="6"/>
      <c r="T95" s="15"/>
      <c r="U95" s="1"/>
    </row>
    <row r="96" spans="1:21" ht="18.75" customHeight="1" x14ac:dyDescent="0.25">
      <c r="A96" s="1298" t="s">
        <v>1359</v>
      </c>
      <c r="B96" s="1298"/>
      <c r="C96" s="1298"/>
      <c r="D96" s="1298"/>
      <c r="E96" s="1298"/>
      <c r="F96" s="1298"/>
      <c r="G96" s="1078"/>
      <c r="H96" s="28">
        <f>'[8]75% or more ESE Calc'!H87</f>
        <v>0</v>
      </c>
      <c r="J96" s="1113"/>
      <c r="K96" s="1"/>
      <c r="M96" s="7"/>
      <c r="N96" s="7"/>
      <c r="P96" s="198"/>
      <c r="Q96" s="5"/>
      <c r="S96" s="6"/>
      <c r="T96" s="15"/>
      <c r="U96" s="1"/>
    </row>
    <row r="97" spans="1:24" ht="18.75" customHeight="1" x14ac:dyDescent="0.25">
      <c r="A97" s="1231"/>
      <c r="B97" s="1231"/>
      <c r="C97" s="1231"/>
      <c r="D97" s="1231"/>
      <c r="E97" s="1231"/>
      <c r="F97" s="1231"/>
      <c r="G97" s="1255"/>
      <c r="H97" s="40"/>
      <c r="J97" s="1113"/>
      <c r="K97" s="1"/>
      <c r="M97" s="7"/>
      <c r="N97" s="7"/>
      <c r="P97" s="198"/>
      <c r="Q97" s="5"/>
      <c r="S97" s="6"/>
      <c r="T97" s="15"/>
      <c r="U97" s="1"/>
    </row>
    <row r="98" spans="1:24" ht="18.75" customHeight="1" x14ac:dyDescent="0.25">
      <c r="A98" s="1231"/>
      <c r="B98" s="1231"/>
      <c r="C98" s="1231"/>
      <c r="D98" s="1231"/>
      <c r="E98" s="1231"/>
      <c r="F98" s="1231"/>
      <c r="G98" s="1256" t="s">
        <v>1584</v>
      </c>
      <c r="H98" s="40">
        <f>IF(C27&gt;250,250*(H94/C27)*0.02,H94*0.02)</f>
        <v>36560.162921348317</v>
      </c>
      <c r="J98" s="1113"/>
      <c r="K98" s="1"/>
      <c r="M98" s="7"/>
      <c r="N98" s="7"/>
      <c r="P98" s="198"/>
      <c r="Q98" s="5"/>
      <c r="S98" s="6"/>
      <c r="T98" s="15"/>
      <c r="U98" s="1"/>
    </row>
    <row r="99" spans="1:24" ht="18.75" customHeight="1" x14ac:dyDescent="0.25">
      <c r="A99" s="1231"/>
      <c r="B99" s="1231"/>
      <c r="C99" s="1231"/>
      <c r="D99" s="1231"/>
      <c r="E99" s="1231"/>
      <c r="F99" s="1231"/>
      <c r="G99" s="1256" t="s">
        <v>242</v>
      </c>
      <c r="H99" s="1257">
        <f>+H94-H98</f>
        <v>6471148.8370786514</v>
      </c>
      <c r="J99" s="1113"/>
      <c r="K99" s="1"/>
      <c r="M99" s="7"/>
      <c r="N99" s="7"/>
      <c r="P99" s="198"/>
      <c r="Q99" s="5"/>
      <c r="S99" s="6"/>
      <c r="T99" s="15"/>
      <c r="U99" s="1"/>
    </row>
    <row r="100" spans="1:24" ht="18.75" customHeight="1" x14ac:dyDescent="0.25">
      <c r="A100" s="1231"/>
      <c r="B100" s="1231"/>
      <c r="C100" s="1231"/>
      <c r="D100" s="1231"/>
      <c r="E100" s="1231"/>
      <c r="F100" s="1231"/>
      <c r="G100" s="1255"/>
      <c r="H100" s="40"/>
      <c r="J100" s="1113"/>
      <c r="K100" s="1"/>
      <c r="M100" s="7"/>
      <c r="N100" s="7"/>
      <c r="P100" s="198"/>
      <c r="Q100" s="5"/>
      <c r="S100" s="6"/>
      <c r="T100" s="15"/>
      <c r="U100" s="1"/>
    </row>
    <row r="101" spans="1:24" ht="36" customHeight="1" x14ac:dyDescent="0.25">
      <c r="A101" s="1308" t="s">
        <v>14</v>
      </c>
      <c r="B101" s="1308"/>
      <c r="C101" s="1308"/>
      <c r="D101" s="1308"/>
      <c r="E101" s="1308"/>
      <c r="F101" s="1308"/>
      <c r="G101" s="1308"/>
      <c r="H101" s="1308"/>
      <c r="I101" s="74"/>
      <c r="J101" s="74"/>
      <c r="K101" s="75"/>
      <c r="L101" s="74"/>
      <c r="M101" s="74"/>
      <c r="N101" s="74"/>
      <c r="O101" s="74"/>
      <c r="P101" s="76"/>
      <c r="Q101" s="74"/>
      <c r="R101" s="74"/>
      <c r="S101" s="74"/>
      <c r="T101" s="74"/>
      <c r="U101" s="74"/>
      <c r="X101" s="40"/>
    </row>
    <row r="102" spans="1:24" ht="41.25" customHeight="1" x14ac:dyDescent="0.25">
      <c r="A102" s="1295" t="s">
        <v>1392</v>
      </c>
      <c r="B102" s="1295"/>
      <c r="C102" s="1295"/>
      <c r="D102" s="1295"/>
      <c r="E102" s="1295"/>
      <c r="F102" s="1295"/>
      <c r="G102" s="1295"/>
      <c r="H102" s="1295"/>
      <c r="I102" s="74"/>
      <c r="J102" s="74"/>
      <c r="K102" s="75"/>
      <c r="L102" s="74"/>
      <c r="M102" s="74"/>
      <c r="N102" s="74"/>
      <c r="O102" s="74"/>
      <c r="P102" s="76"/>
      <c r="Q102" s="74"/>
      <c r="R102" s="74"/>
      <c r="S102" s="74"/>
      <c r="T102" s="74"/>
      <c r="U102" s="74"/>
      <c r="X102" s="40"/>
    </row>
    <row r="103" spans="1:24" ht="17.25" customHeight="1" x14ac:dyDescent="0.25">
      <c r="A103" s="1308" t="s">
        <v>636</v>
      </c>
      <c r="B103" s="1308"/>
      <c r="C103" s="1308"/>
      <c r="D103" s="1308"/>
      <c r="E103" s="1308"/>
      <c r="F103" s="1308"/>
      <c r="G103" s="1308"/>
      <c r="H103" s="1308"/>
      <c r="K103" s="1"/>
      <c r="P103" s="1"/>
      <c r="Q103" s="1"/>
      <c r="U103" s="1"/>
    </row>
    <row r="104" spans="1:24" ht="17.25" customHeight="1" x14ac:dyDescent="0.25">
      <c r="A104" s="1308" t="s">
        <v>637</v>
      </c>
      <c r="B104" s="1308"/>
      <c r="C104" s="1308"/>
      <c r="D104" s="1308"/>
      <c r="E104" s="1308"/>
      <c r="F104" s="1308"/>
      <c r="G104" s="1308"/>
      <c r="H104" s="1308"/>
      <c r="I104" s="74"/>
      <c r="J104" s="74"/>
      <c r="K104" s="75"/>
      <c r="L104" s="74"/>
      <c r="M104" s="74"/>
      <c r="N104" s="74"/>
      <c r="O104" s="74"/>
      <c r="P104" s="76"/>
      <c r="Q104" s="76"/>
      <c r="R104" s="74"/>
      <c r="S104" s="74"/>
      <c r="T104" s="74"/>
      <c r="U104" s="77"/>
    </row>
    <row r="105" spans="1:24" ht="31.5" customHeight="1" x14ac:dyDescent="0.25">
      <c r="A105" s="1295" t="s">
        <v>1510</v>
      </c>
      <c r="B105" s="1295"/>
      <c r="C105" s="1295"/>
      <c r="D105" s="1295"/>
      <c r="E105" s="1295"/>
      <c r="F105" s="1295"/>
      <c r="G105" s="1295"/>
      <c r="H105" s="1295"/>
      <c r="I105" s="74"/>
      <c r="J105" s="74"/>
      <c r="K105" s="75"/>
      <c r="L105" s="74"/>
      <c r="M105" s="74"/>
      <c r="N105" s="74"/>
      <c r="O105" s="74"/>
      <c r="P105" s="76"/>
      <c r="Q105" s="76"/>
      <c r="R105" s="74"/>
      <c r="S105" s="74"/>
      <c r="T105" s="74"/>
      <c r="U105" s="74"/>
    </row>
    <row r="106" spans="1:24" ht="43.5" customHeight="1" x14ac:dyDescent="0.25">
      <c r="A106" s="1295" t="s">
        <v>1511</v>
      </c>
      <c r="B106" s="1295"/>
      <c r="C106" s="1295"/>
      <c r="D106" s="1295"/>
      <c r="E106" s="1295"/>
      <c r="F106" s="1295"/>
      <c r="G106" s="1295"/>
      <c r="H106" s="1295"/>
      <c r="I106" s="74"/>
      <c r="J106" s="75"/>
      <c r="K106" s="78"/>
      <c r="L106" s="78"/>
      <c r="M106" s="78"/>
      <c r="N106" s="78"/>
      <c r="O106" s="74"/>
      <c r="P106" s="76"/>
      <c r="Q106" s="76"/>
      <c r="R106" s="74"/>
      <c r="S106" s="74"/>
      <c r="T106" s="74"/>
      <c r="U106" s="77"/>
    </row>
    <row r="107" spans="1:24" ht="31.5" customHeight="1" x14ac:dyDescent="0.25">
      <c r="A107" s="1295" t="s">
        <v>1512</v>
      </c>
      <c r="B107" s="1295"/>
      <c r="C107" s="1295"/>
      <c r="D107" s="1295"/>
      <c r="E107" s="1295"/>
      <c r="F107" s="1295"/>
      <c r="G107" s="1295"/>
      <c r="H107" s="1295"/>
      <c r="I107" s="74"/>
      <c r="J107" s="74"/>
      <c r="K107" s="75"/>
      <c r="L107" s="74"/>
      <c r="M107" s="74"/>
      <c r="N107" s="74"/>
      <c r="O107" s="74"/>
      <c r="P107" s="76"/>
      <c r="Q107" s="76"/>
      <c r="R107" s="74"/>
      <c r="S107" s="74"/>
      <c r="T107" s="74"/>
      <c r="U107" s="74"/>
    </row>
    <row r="108" spans="1:24" ht="33.75" customHeight="1" x14ac:dyDescent="0.25">
      <c r="A108" s="1295" t="s">
        <v>1513</v>
      </c>
      <c r="B108" s="1295"/>
      <c r="C108" s="1295"/>
      <c r="D108" s="1295"/>
      <c r="E108" s="1295"/>
      <c r="F108" s="1295"/>
      <c r="G108" s="1295"/>
      <c r="H108" s="1295"/>
      <c r="I108" s="282"/>
      <c r="J108" s="74"/>
      <c r="K108" s="75"/>
      <c r="L108" s="74"/>
      <c r="M108" s="74"/>
      <c r="N108" s="74"/>
      <c r="O108" s="74"/>
      <c r="P108" s="76"/>
      <c r="Q108" s="76"/>
      <c r="R108" s="74"/>
      <c r="S108" s="74"/>
      <c r="T108" s="74"/>
      <c r="U108" s="74"/>
    </row>
    <row r="109" spans="1:24" ht="55.5" customHeight="1" x14ac:dyDescent="0.25">
      <c r="A109" s="1295" t="s">
        <v>1514</v>
      </c>
      <c r="B109" s="1295"/>
      <c r="C109" s="1295"/>
      <c r="D109" s="1295"/>
      <c r="E109" s="1295"/>
      <c r="F109" s="1295"/>
      <c r="G109" s="1295"/>
      <c r="H109" s="1295"/>
      <c r="I109" s="74"/>
      <c r="J109" s="74"/>
      <c r="K109" s="75"/>
      <c r="L109" s="74"/>
      <c r="M109" s="74"/>
      <c r="N109" s="74"/>
      <c r="O109" s="74"/>
      <c r="P109" s="76"/>
      <c r="Q109" s="76"/>
      <c r="R109" s="74"/>
      <c r="S109" s="74"/>
      <c r="T109" s="74"/>
      <c r="U109" s="74"/>
    </row>
    <row r="110" spans="1:24" ht="15.75" customHeight="1" x14ac:dyDescent="0.25">
      <c r="A110" s="1308" t="s">
        <v>1515</v>
      </c>
      <c r="B110" s="1308"/>
      <c r="C110" s="1308"/>
      <c r="D110" s="1308"/>
      <c r="E110" s="1308"/>
      <c r="F110" s="1308"/>
      <c r="G110" s="1308"/>
      <c r="H110" s="1308"/>
      <c r="I110" s="74"/>
      <c r="J110" s="74"/>
      <c r="K110" s="75"/>
      <c r="L110" s="74"/>
      <c r="M110" s="74"/>
      <c r="N110" s="74"/>
      <c r="O110" s="74"/>
      <c r="P110" s="76"/>
      <c r="Q110" s="76"/>
      <c r="R110" s="74"/>
      <c r="S110" s="74"/>
      <c r="T110" s="74"/>
      <c r="U110" s="74"/>
    </row>
    <row r="111" spans="1:24" ht="27" customHeight="1" x14ac:dyDescent="0.25">
      <c r="A111" s="1295" t="s">
        <v>1516</v>
      </c>
      <c r="B111" s="1295"/>
      <c r="C111" s="1295"/>
      <c r="D111" s="1295"/>
      <c r="E111" s="1295"/>
      <c r="F111" s="1295"/>
      <c r="G111" s="1295"/>
      <c r="H111" s="1295"/>
      <c r="I111" s="74"/>
      <c r="J111" s="74"/>
      <c r="K111" s="75"/>
      <c r="L111" s="74"/>
      <c r="M111" s="74"/>
      <c r="N111" s="74"/>
      <c r="O111" s="74"/>
      <c r="P111" s="76"/>
      <c r="Q111" s="76"/>
      <c r="R111" s="74"/>
      <c r="S111" s="74"/>
      <c r="T111" s="74"/>
      <c r="U111" s="74"/>
    </row>
    <row r="112" spans="1:24" ht="27" customHeight="1" x14ac:dyDescent="0.25">
      <c r="A112" s="1295" t="s">
        <v>955</v>
      </c>
      <c r="B112" s="1295"/>
      <c r="C112" s="1295"/>
      <c r="D112" s="1295"/>
      <c r="E112" s="1295"/>
      <c r="F112" s="1295"/>
      <c r="G112" s="1295"/>
      <c r="H112" s="1295"/>
      <c r="I112" s="74"/>
      <c r="J112" s="74"/>
      <c r="K112" s="75"/>
      <c r="L112" s="74"/>
      <c r="M112" s="74"/>
      <c r="N112" s="74"/>
      <c r="O112" s="74"/>
      <c r="P112" s="76"/>
      <c r="Q112" s="76"/>
      <c r="R112" s="74"/>
      <c r="S112" s="74"/>
      <c r="T112" s="74"/>
      <c r="U112" s="74"/>
    </row>
    <row r="113" spans="1:21" ht="30.75" customHeight="1" x14ac:dyDescent="0.25">
      <c r="A113" s="1"/>
      <c r="I113" s="74"/>
      <c r="J113" s="74"/>
      <c r="K113" s="75"/>
      <c r="L113" s="74"/>
      <c r="M113" s="74"/>
      <c r="N113" s="74"/>
      <c r="O113" s="74"/>
      <c r="P113" s="76"/>
      <c r="Q113" s="76"/>
      <c r="R113" s="74"/>
      <c r="S113" s="74"/>
      <c r="T113" s="74"/>
      <c r="U113" s="74"/>
    </row>
    <row r="114" spans="1:21" ht="56.25" customHeight="1" x14ac:dyDescent="0.25">
      <c r="A114" s="1307" t="s">
        <v>638</v>
      </c>
      <c r="B114" s="1295"/>
      <c r="C114" s="1295"/>
      <c r="D114" s="1295"/>
      <c r="E114" s="1295"/>
      <c r="F114" s="1295"/>
      <c r="G114" s="1295"/>
      <c r="H114" s="1295"/>
      <c r="I114" s="74"/>
      <c r="J114" s="74"/>
      <c r="K114" s="75"/>
      <c r="L114" s="74"/>
      <c r="M114" s="74"/>
      <c r="N114" s="74"/>
      <c r="O114" s="74"/>
      <c r="P114" s="76"/>
      <c r="Q114" s="76"/>
      <c r="R114" s="74"/>
      <c r="S114" s="74"/>
      <c r="T114" s="74"/>
      <c r="U114" s="74"/>
    </row>
    <row r="115" spans="1:21" ht="73.5" customHeight="1" x14ac:dyDescent="0.25">
      <c r="A115" s="1306" t="s">
        <v>956</v>
      </c>
      <c r="B115" s="1306"/>
      <c r="C115" s="1306"/>
      <c r="D115" s="1306"/>
      <c r="E115" s="1306"/>
      <c r="F115" s="1306"/>
      <c r="G115" s="1306"/>
      <c r="H115" s="1306"/>
      <c r="I115" s="74"/>
      <c r="J115" s="74"/>
      <c r="K115" s="75"/>
      <c r="L115" s="74"/>
      <c r="M115" s="74"/>
      <c r="N115" s="74"/>
      <c r="O115" s="74"/>
      <c r="P115" s="76"/>
      <c r="Q115" s="76"/>
      <c r="R115" s="74"/>
      <c r="S115" s="74"/>
      <c r="T115" s="74"/>
      <c r="U115" s="74"/>
    </row>
    <row r="116" spans="1:21" ht="50.25" customHeight="1" x14ac:dyDescent="0.25">
      <c r="A116" s="1306" t="s">
        <v>895</v>
      </c>
      <c r="B116" s="1306"/>
      <c r="C116" s="1306"/>
      <c r="D116" s="1306"/>
      <c r="E116" s="1306"/>
      <c r="F116" s="1306"/>
      <c r="G116" s="1306"/>
      <c r="H116" s="1306"/>
      <c r="I116" s="74"/>
      <c r="J116" s="74"/>
      <c r="K116" s="75"/>
      <c r="L116" s="74"/>
      <c r="M116" s="74"/>
      <c r="N116" s="74"/>
      <c r="O116" s="74"/>
      <c r="P116" s="76"/>
      <c r="Q116" s="76"/>
      <c r="R116" s="74"/>
      <c r="S116" s="74"/>
      <c r="T116" s="74"/>
      <c r="U116" s="74"/>
    </row>
    <row r="117" spans="1:21" ht="21" customHeight="1" x14ac:dyDescent="0.25">
      <c r="A117" s="1307" t="s">
        <v>639</v>
      </c>
      <c r="B117" s="1307"/>
      <c r="C117" s="1307"/>
      <c r="D117" s="1307"/>
      <c r="E117" s="1307"/>
      <c r="F117" s="1307"/>
      <c r="G117" s="1307"/>
      <c r="H117" s="1307"/>
      <c r="I117" s="74"/>
      <c r="J117" s="74"/>
      <c r="K117" s="75"/>
      <c r="L117" s="74"/>
      <c r="M117" s="74"/>
      <c r="N117" s="74"/>
      <c r="O117" s="74"/>
      <c r="P117" s="76"/>
      <c r="Q117" s="76"/>
      <c r="R117" s="74"/>
      <c r="S117" s="74"/>
      <c r="T117" s="74"/>
      <c r="U117" s="74"/>
    </row>
    <row r="118" spans="1:21" ht="91.5" customHeight="1" x14ac:dyDescent="0.25">
      <c r="A118" s="1306" t="s">
        <v>168</v>
      </c>
      <c r="B118" s="1306"/>
      <c r="C118" s="1306"/>
      <c r="D118" s="1306"/>
      <c r="E118" s="1306"/>
      <c r="F118" s="1306"/>
      <c r="G118" s="1306"/>
      <c r="H118" s="1306"/>
      <c r="I118" s="74"/>
      <c r="J118" s="74"/>
      <c r="K118" s="74"/>
      <c r="L118" s="74"/>
      <c r="M118" s="74"/>
      <c r="N118" s="74"/>
      <c r="O118" s="74"/>
      <c r="P118" s="76"/>
      <c r="Q118" s="76"/>
      <c r="R118" s="74"/>
      <c r="S118" s="74"/>
      <c r="T118" s="74"/>
      <c r="U118" s="74"/>
    </row>
    <row r="119" spans="1:21" ht="15.75" customHeight="1" x14ac:dyDescent="0.25">
      <c r="A119" s="1299" t="s">
        <v>97</v>
      </c>
      <c r="B119" s="1299"/>
      <c r="C119" s="1299"/>
      <c r="D119" s="1299"/>
      <c r="E119" s="1299"/>
      <c r="F119" s="1299"/>
      <c r="G119" s="1299"/>
      <c r="H119" s="1299"/>
      <c r="J119" s="2"/>
      <c r="K119" s="1"/>
      <c r="O119" s="3"/>
      <c r="Q119" s="1"/>
      <c r="U119" s="1"/>
    </row>
    <row r="120" spans="1:21" ht="15.75" customHeight="1" x14ac:dyDescent="0.25">
      <c r="A120" s="1299"/>
      <c r="B120" s="1299"/>
      <c r="C120" s="1299"/>
      <c r="D120" s="1299"/>
      <c r="E120" s="1299"/>
      <c r="F120" s="1299"/>
      <c r="G120" s="1299"/>
      <c r="H120" s="1299"/>
      <c r="U120" s="1"/>
    </row>
    <row r="121" spans="1:21" ht="15.75" customHeight="1" x14ac:dyDescent="0.25">
      <c r="A121" s="890"/>
      <c r="U121" s="1"/>
    </row>
    <row r="122" spans="1:21" ht="15.75" customHeight="1" x14ac:dyDescent="0.25">
      <c r="A122" s="890"/>
      <c r="U122" s="1"/>
    </row>
    <row r="123" spans="1:21" ht="15.75" customHeight="1" x14ac:dyDescent="0.25">
      <c r="A123" s="890"/>
      <c r="I123" s="30"/>
      <c r="J123" s="30"/>
      <c r="K123" s="30"/>
      <c r="L123" s="30"/>
      <c r="M123" s="30"/>
      <c r="N123" s="30"/>
      <c r="O123" s="30"/>
      <c r="P123" s="36"/>
      <c r="Q123" s="36"/>
      <c r="R123" s="30"/>
      <c r="S123" s="30"/>
      <c r="T123" s="30"/>
      <c r="U123" s="30"/>
    </row>
    <row r="124" spans="1:21" ht="15.75" customHeight="1" x14ac:dyDescent="0.25">
      <c r="A124" s="890"/>
      <c r="B124" s="30"/>
      <c r="C124" s="30"/>
      <c r="D124" s="30"/>
      <c r="E124" s="30"/>
      <c r="F124" s="30"/>
      <c r="G124" s="30"/>
      <c r="H124" s="30"/>
      <c r="U124" s="1"/>
    </row>
    <row r="125" spans="1:21" ht="15.75" customHeight="1" x14ac:dyDescent="0.25">
      <c r="A125" s="890"/>
    </row>
    <row r="126" spans="1:21" ht="15.75" customHeight="1" x14ac:dyDescent="0.25">
      <c r="A126" s="890"/>
    </row>
    <row r="127" spans="1:21" ht="15.75" customHeight="1" x14ac:dyDescent="0.25">
      <c r="A127" s="890"/>
    </row>
    <row r="128" spans="1:21" ht="15.75" customHeight="1" x14ac:dyDescent="0.25">
      <c r="A128" s="890"/>
    </row>
    <row r="129" spans="1:1" ht="15.75" customHeight="1" x14ac:dyDescent="0.25">
      <c r="A129" s="890"/>
    </row>
    <row r="130" spans="1:1" ht="15.75" customHeight="1" x14ac:dyDescent="0.25">
      <c r="A130" s="890"/>
    </row>
    <row r="131" spans="1:1" ht="15.75" customHeight="1" x14ac:dyDescent="0.25">
      <c r="A131" s="890"/>
    </row>
    <row r="132" spans="1:1" ht="15.75" customHeight="1" x14ac:dyDescent="0.25">
      <c r="A132" s="890"/>
    </row>
    <row r="133" spans="1:1" x14ac:dyDescent="0.25">
      <c r="A133" s="890"/>
    </row>
    <row r="134" spans="1:1" x14ac:dyDescent="0.25">
      <c r="A134" s="890"/>
    </row>
    <row r="135" spans="1:1" x14ac:dyDescent="0.25">
      <c r="A135" s="890"/>
    </row>
    <row r="136" spans="1:1" x14ac:dyDescent="0.25">
      <c r="A136" s="890"/>
    </row>
    <row r="137" spans="1:1" x14ac:dyDescent="0.25">
      <c r="A137" s="890"/>
    </row>
    <row r="138" spans="1:1" x14ac:dyDescent="0.25">
      <c r="A138" s="890"/>
    </row>
    <row r="139" spans="1:1" x14ac:dyDescent="0.25">
      <c r="A139" s="890"/>
    </row>
    <row r="140" spans="1:1" x14ac:dyDescent="0.25">
      <c r="A140" s="890"/>
    </row>
    <row r="141" spans="1:1" x14ac:dyDescent="0.25">
      <c r="A141" s="890"/>
    </row>
    <row r="142" spans="1:1" x14ac:dyDescent="0.25">
      <c r="A142" s="890"/>
    </row>
    <row r="143" spans="1:1" x14ac:dyDescent="0.25">
      <c r="A143" s="890"/>
    </row>
    <row r="144" spans="1:1" x14ac:dyDescent="0.25">
      <c r="A144" s="890"/>
    </row>
    <row r="145" spans="1:1" x14ac:dyDescent="0.25">
      <c r="A145" s="890"/>
    </row>
    <row r="146" spans="1:1" x14ac:dyDescent="0.25">
      <c r="A146" s="890"/>
    </row>
    <row r="147" spans="1:1" x14ac:dyDescent="0.25">
      <c r="A147" s="890"/>
    </row>
    <row r="148" spans="1:1" x14ac:dyDescent="0.25">
      <c r="A148" s="890"/>
    </row>
    <row r="149" spans="1:1" x14ac:dyDescent="0.25">
      <c r="A149" s="890"/>
    </row>
    <row r="150" spans="1:1" x14ac:dyDescent="0.25">
      <c r="A150" s="890"/>
    </row>
    <row r="151" spans="1:1" x14ac:dyDescent="0.25">
      <c r="A151" s="890"/>
    </row>
    <row r="152" spans="1:1" x14ac:dyDescent="0.25">
      <c r="A152" s="890"/>
    </row>
    <row r="153" spans="1:1" x14ac:dyDescent="0.25">
      <c r="A153" s="890"/>
    </row>
    <row r="154" spans="1:1" x14ac:dyDescent="0.25">
      <c r="A154" s="890"/>
    </row>
    <row r="155" spans="1:1" x14ac:dyDescent="0.25">
      <c r="A155" s="890"/>
    </row>
    <row r="156" spans="1:1" x14ac:dyDescent="0.25">
      <c r="A156" s="890"/>
    </row>
    <row r="157" spans="1:1" x14ac:dyDescent="0.25">
      <c r="A157" s="890"/>
    </row>
    <row r="158" spans="1:1" x14ac:dyDescent="0.25">
      <c r="A158" s="890"/>
    </row>
    <row r="159" spans="1:1" x14ac:dyDescent="0.25">
      <c r="A159" s="890"/>
    </row>
    <row r="160" spans="1:1" x14ac:dyDescent="0.25">
      <c r="A160" s="890"/>
    </row>
    <row r="161" spans="1:1" x14ac:dyDescent="0.25">
      <c r="A161" s="890"/>
    </row>
    <row r="162" spans="1:1" x14ac:dyDescent="0.25">
      <c r="A162" s="890"/>
    </row>
    <row r="163" spans="1:1" x14ac:dyDescent="0.25">
      <c r="A163" s="890"/>
    </row>
    <row r="164" spans="1:1" x14ac:dyDescent="0.25">
      <c r="A164" s="890"/>
    </row>
    <row r="165" spans="1:1" x14ac:dyDescent="0.25">
      <c r="A165" s="890"/>
    </row>
    <row r="166" spans="1:1" x14ac:dyDescent="0.25">
      <c r="A166" s="890"/>
    </row>
    <row r="167" spans="1:1" x14ac:dyDescent="0.25">
      <c r="A167" s="890"/>
    </row>
    <row r="168" spans="1:1" x14ac:dyDescent="0.25">
      <c r="A168" s="890"/>
    </row>
    <row r="169" spans="1:1" x14ac:dyDescent="0.25">
      <c r="A169" s="890"/>
    </row>
    <row r="170" spans="1:1" x14ac:dyDescent="0.25">
      <c r="A170" s="890"/>
    </row>
    <row r="171" spans="1:1" x14ac:dyDescent="0.25">
      <c r="A171" s="890"/>
    </row>
    <row r="172" spans="1:1" x14ac:dyDescent="0.25">
      <c r="A172" s="890"/>
    </row>
    <row r="173" spans="1:1" x14ac:dyDescent="0.25">
      <c r="A173" s="890"/>
    </row>
    <row r="174" spans="1:1" x14ac:dyDescent="0.25">
      <c r="A174" s="890"/>
    </row>
    <row r="175" spans="1:1" x14ac:dyDescent="0.25">
      <c r="A175" s="890"/>
    </row>
    <row r="176" spans="1:1" x14ac:dyDescent="0.25">
      <c r="A176" s="890"/>
    </row>
    <row r="177" spans="1:1" x14ac:dyDescent="0.25">
      <c r="A177" s="890"/>
    </row>
    <row r="178" spans="1:1" x14ac:dyDescent="0.25">
      <c r="A178" s="890"/>
    </row>
    <row r="179" spans="1:1" x14ac:dyDescent="0.25">
      <c r="A179" s="890"/>
    </row>
    <row r="180" spans="1:1" x14ac:dyDescent="0.25">
      <c r="A180" s="890"/>
    </row>
  </sheetData>
  <mergeCells count="189">
    <mergeCell ref="C35:G35"/>
    <mergeCell ref="A37:D37"/>
    <mergeCell ref="C83:E83"/>
    <mergeCell ref="A84:C84"/>
    <mergeCell ref="C41:D41"/>
    <mergeCell ref="C23:D23"/>
    <mergeCell ref="A34:B34"/>
    <mergeCell ref="A31:B31"/>
    <mergeCell ref="C31:G31"/>
    <mergeCell ref="A35:B35"/>
    <mergeCell ref="A33:B33"/>
    <mergeCell ref="C30:G30"/>
    <mergeCell ref="A25:B25"/>
    <mergeCell ref="C25:D25"/>
    <mergeCell ref="C29:G29"/>
    <mergeCell ref="A27:B27"/>
    <mergeCell ref="C32:G32"/>
    <mergeCell ref="C40:D40"/>
    <mergeCell ref="C39:D39"/>
    <mergeCell ref="E25:F25"/>
    <mergeCell ref="A28:G28"/>
    <mergeCell ref="A30:B30"/>
    <mergeCell ref="C33:G33"/>
    <mergeCell ref="A32:B32"/>
    <mergeCell ref="F37:G37"/>
    <mergeCell ref="A39:B39"/>
    <mergeCell ref="A12:B12"/>
    <mergeCell ref="E17:F17"/>
    <mergeCell ref="E18:F18"/>
    <mergeCell ref="C19:D19"/>
    <mergeCell ref="E20:F20"/>
    <mergeCell ref="E21:F21"/>
    <mergeCell ref="A22:B22"/>
    <mergeCell ref="A23:B23"/>
    <mergeCell ref="E24:F24"/>
    <mergeCell ref="E16:F16"/>
    <mergeCell ref="C15:D15"/>
    <mergeCell ref="A17:B17"/>
    <mergeCell ref="A20:B20"/>
    <mergeCell ref="C12:D12"/>
    <mergeCell ref="C13:D13"/>
    <mergeCell ref="C14:D14"/>
    <mergeCell ref="A16:B16"/>
    <mergeCell ref="C16:D16"/>
    <mergeCell ref="C17:D17"/>
    <mergeCell ref="E19:F19"/>
    <mergeCell ref="A24:B24"/>
    <mergeCell ref="A18:B18"/>
    <mergeCell ref="A19:B19"/>
    <mergeCell ref="C21:D21"/>
    <mergeCell ref="B1:H1"/>
    <mergeCell ref="A5:H5"/>
    <mergeCell ref="E6:F6"/>
    <mergeCell ref="G6:H6"/>
    <mergeCell ref="A6:B6"/>
    <mergeCell ref="A4:B4"/>
    <mergeCell ref="A3:H3"/>
    <mergeCell ref="C6:D6"/>
    <mergeCell ref="A2:H2"/>
    <mergeCell ref="C4:D4"/>
    <mergeCell ref="A9:B9"/>
    <mergeCell ref="E9:F9"/>
    <mergeCell ref="E10:F10"/>
    <mergeCell ref="A10:B10"/>
    <mergeCell ref="C9:D9"/>
    <mergeCell ref="C10:D10"/>
    <mergeCell ref="E11:F11"/>
    <mergeCell ref="A11:B11"/>
    <mergeCell ref="C11:D11"/>
    <mergeCell ref="C44:D44"/>
    <mergeCell ref="A40:B48"/>
    <mergeCell ref="F38:G38"/>
    <mergeCell ref="C42:D42"/>
    <mergeCell ref="C43:D43"/>
    <mergeCell ref="E8:F8"/>
    <mergeCell ref="A26:B26"/>
    <mergeCell ref="E26:F26"/>
    <mergeCell ref="E27:F27"/>
    <mergeCell ref="C27:D27"/>
    <mergeCell ref="C26:D26"/>
    <mergeCell ref="E12:F12"/>
    <mergeCell ref="E13:F13"/>
    <mergeCell ref="A13:B13"/>
    <mergeCell ref="A15:B15"/>
    <mergeCell ref="C18:D18"/>
    <mergeCell ref="A14:B14"/>
    <mergeCell ref="C24:D24"/>
    <mergeCell ref="C20:D20"/>
    <mergeCell ref="E22:F22"/>
    <mergeCell ref="C22:D22"/>
    <mergeCell ref="E23:F23"/>
    <mergeCell ref="E14:F14"/>
    <mergeCell ref="E15:F15"/>
    <mergeCell ref="C34:G34"/>
    <mergeCell ref="A29:B29"/>
    <mergeCell ref="A36:B36"/>
    <mergeCell ref="C36:G36"/>
    <mergeCell ref="A38:D38"/>
    <mergeCell ref="A21:B21"/>
    <mergeCell ref="A56:C56"/>
    <mergeCell ref="A68:C68"/>
    <mergeCell ref="G54:H54"/>
    <mergeCell ref="A67:C67"/>
    <mergeCell ref="A57:C57"/>
    <mergeCell ref="G55:H55"/>
    <mergeCell ref="A54:B54"/>
    <mergeCell ref="A49:B49"/>
    <mergeCell ref="C49:D49"/>
    <mergeCell ref="E49:G49"/>
    <mergeCell ref="A50:H50"/>
    <mergeCell ref="A51:B51"/>
    <mergeCell ref="G52:H52"/>
    <mergeCell ref="A53:H53"/>
    <mergeCell ref="G51:H51"/>
    <mergeCell ref="C45:D45"/>
    <mergeCell ref="C48:D48"/>
    <mergeCell ref="C47:D47"/>
    <mergeCell ref="C87:D87"/>
    <mergeCell ref="C75:D75"/>
    <mergeCell ref="A69:C69"/>
    <mergeCell ref="E61:G61"/>
    <mergeCell ref="A62:G62"/>
    <mergeCell ref="A64:C64"/>
    <mergeCell ref="A60:C60"/>
    <mergeCell ref="A58:C58"/>
    <mergeCell ref="A66:C66"/>
    <mergeCell ref="A72:C72"/>
    <mergeCell ref="A73:C73"/>
    <mergeCell ref="A74:H74"/>
    <mergeCell ref="A75:B75"/>
    <mergeCell ref="E75:H75"/>
    <mergeCell ref="A61:C61"/>
    <mergeCell ref="A65:C65"/>
    <mergeCell ref="A59:C59"/>
    <mergeCell ref="C79:G79"/>
    <mergeCell ref="A80:H80"/>
    <mergeCell ref="A81:C81"/>
    <mergeCell ref="E81:H81"/>
    <mergeCell ref="E87:F87"/>
    <mergeCell ref="C85:D85"/>
    <mergeCell ref="C82:E82"/>
    <mergeCell ref="A111:H111"/>
    <mergeCell ref="C46:D46"/>
    <mergeCell ref="A118:H118"/>
    <mergeCell ref="A117:H117"/>
    <mergeCell ref="A70:C70"/>
    <mergeCell ref="A71:C71"/>
    <mergeCell ref="C76:D76"/>
    <mergeCell ref="A85:B85"/>
    <mergeCell ref="A108:H108"/>
    <mergeCell ref="A104:H104"/>
    <mergeCell ref="A102:H102"/>
    <mergeCell ref="A103:H103"/>
    <mergeCell ref="C86:D86"/>
    <mergeCell ref="E85:F85"/>
    <mergeCell ref="A86:B86"/>
    <mergeCell ref="A87:B87"/>
    <mergeCell ref="E86:F86"/>
    <mergeCell ref="A83:B83"/>
    <mergeCell ref="C77:D77"/>
    <mergeCell ref="A82:B82"/>
    <mergeCell ref="A93:H93"/>
    <mergeCell ref="A94:C94"/>
    <mergeCell ref="D94:F94"/>
    <mergeCell ref="E84:H84"/>
    <mergeCell ref="A107:H107"/>
    <mergeCell ref="C78:D78"/>
    <mergeCell ref="A95:F95"/>
    <mergeCell ref="A96:F96"/>
    <mergeCell ref="A119:H119"/>
    <mergeCell ref="A120:H120"/>
    <mergeCell ref="A88:B88"/>
    <mergeCell ref="C88:D88"/>
    <mergeCell ref="E88:F88"/>
    <mergeCell ref="A89:B89"/>
    <mergeCell ref="A90:C90"/>
    <mergeCell ref="E90:G90"/>
    <mergeCell ref="A91:C91"/>
    <mergeCell ref="E91:G91"/>
    <mergeCell ref="A92:G92"/>
    <mergeCell ref="A116:H116"/>
    <mergeCell ref="A114:H114"/>
    <mergeCell ref="A115:H115"/>
    <mergeCell ref="A101:H101"/>
    <mergeCell ref="A106:H106"/>
    <mergeCell ref="A105:H105"/>
    <mergeCell ref="A109:H109"/>
    <mergeCell ref="A112:H112"/>
    <mergeCell ref="A110:H110"/>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2" manualBreakCount="2">
    <brk id="50" max="16383" man="1"/>
    <brk id="108"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53"/>
  <sheetViews>
    <sheetView workbookViewId="0">
      <selection activeCell="O14" sqref="O14"/>
    </sheetView>
  </sheetViews>
  <sheetFormatPr defaultRowHeight="11.25" x14ac:dyDescent="0.2"/>
  <cols>
    <col min="1" max="1" width="14" style="733" customWidth="1"/>
    <col min="2" max="2" width="36.85546875" style="733" customWidth="1"/>
    <col min="3" max="3" width="12.28515625" style="734" hidden="1" customWidth="1"/>
    <col min="4" max="16" width="8.7109375" style="617" customWidth="1"/>
    <col min="17" max="17" width="10" style="617" customWidth="1"/>
    <col min="18" max="19" width="10.28515625" style="618" bestFit="1" customWidth="1"/>
    <col min="20" max="20" width="9.140625" style="619" customWidth="1"/>
    <col min="21" max="21" width="35.42578125" style="733" customWidth="1"/>
    <col min="22" max="257" width="8.85546875" style="733"/>
    <col min="258" max="258" width="14" style="733" customWidth="1"/>
    <col min="259" max="259" width="45.28515625" style="733" bestFit="1" customWidth="1"/>
    <col min="260" max="260" width="0" style="733" hidden="1" customWidth="1"/>
    <col min="261" max="263" width="7.5703125" style="733" customWidth="1"/>
    <col min="264" max="264" width="7.42578125" style="733" bestFit="1" customWidth="1"/>
    <col min="265" max="266" width="7.5703125" style="733" bestFit="1" customWidth="1"/>
    <col min="267" max="267" width="8.7109375" style="733" bestFit="1" customWidth="1"/>
    <col min="268" max="268" width="7.5703125" style="733" bestFit="1" customWidth="1"/>
    <col min="269" max="272" width="7.7109375" style="733" bestFit="1" customWidth="1"/>
    <col min="273" max="273" width="0" style="733" hidden="1" customWidth="1"/>
    <col min="274" max="274" width="10.28515625" style="733" bestFit="1" customWidth="1"/>
    <col min="275" max="275" width="10" style="733" customWidth="1"/>
    <col min="276" max="276" width="8.85546875" style="733"/>
    <col min="277" max="277" width="35.42578125" style="733" customWidth="1"/>
    <col min="278" max="513" width="8.85546875" style="733"/>
    <col min="514" max="514" width="14" style="733" customWidth="1"/>
    <col min="515" max="515" width="45.28515625" style="733" bestFit="1" customWidth="1"/>
    <col min="516" max="516" width="0" style="733" hidden="1" customWidth="1"/>
    <col min="517" max="519" width="7.5703125" style="733" customWidth="1"/>
    <col min="520" max="520" width="7.42578125" style="733" bestFit="1" customWidth="1"/>
    <col min="521" max="522" width="7.5703125" style="733" bestFit="1" customWidth="1"/>
    <col min="523" max="523" width="8.7109375" style="733" bestFit="1" customWidth="1"/>
    <col min="524" max="524" width="7.5703125" style="733" bestFit="1" customWidth="1"/>
    <col min="525" max="528" width="7.7109375" style="733" bestFit="1" customWidth="1"/>
    <col min="529" max="529" width="0" style="733" hidden="1" customWidth="1"/>
    <col min="530" max="530" width="10.28515625" style="733" bestFit="1" customWidth="1"/>
    <col min="531" max="531" width="10" style="733" customWidth="1"/>
    <col min="532" max="532" width="8.85546875" style="733"/>
    <col min="533" max="533" width="35.42578125" style="733" customWidth="1"/>
    <col min="534" max="769" width="8.85546875" style="733"/>
    <col min="770" max="770" width="14" style="733" customWidth="1"/>
    <col min="771" max="771" width="45.28515625" style="733" bestFit="1" customWidth="1"/>
    <col min="772" max="772" width="0" style="733" hidden="1" customWidth="1"/>
    <col min="773" max="775" width="7.5703125" style="733" customWidth="1"/>
    <col min="776" max="776" width="7.42578125" style="733" bestFit="1" customWidth="1"/>
    <col min="777" max="778" width="7.5703125" style="733" bestFit="1" customWidth="1"/>
    <col min="779" max="779" width="8.7109375" style="733" bestFit="1" customWidth="1"/>
    <col min="780" max="780" width="7.5703125" style="733" bestFit="1" customWidth="1"/>
    <col min="781" max="784" width="7.7109375" style="733" bestFit="1" customWidth="1"/>
    <col min="785" max="785" width="0" style="733" hidden="1" customWidth="1"/>
    <col min="786" max="786" width="10.28515625" style="733" bestFit="1" customWidth="1"/>
    <col min="787" max="787" width="10" style="733" customWidth="1"/>
    <col min="788" max="788" width="8.85546875" style="733"/>
    <col min="789" max="789" width="35.42578125" style="733" customWidth="1"/>
    <col min="790" max="1025" width="8.85546875" style="733"/>
    <col min="1026" max="1026" width="14" style="733" customWidth="1"/>
    <col min="1027" max="1027" width="45.28515625" style="733" bestFit="1" customWidth="1"/>
    <col min="1028" max="1028" width="0" style="733" hidden="1" customWidth="1"/>
    <col min="1029" max="1031" width="7.5703125" style="733" customWidth="1"/>
    <col min="1032" max="1032" width="7.42578125" style="733" bestFit="1" customWidth="1"/>
    <col min="1033" max="1034" width="7.5703125" style="733" bestFit="1" customWidth="1"/>
    <col min="1035" max="1035" width="8.7109375" style="733" bestFit="1" customWidth="1"/>
    <col min="1036" max="1036" width="7.5703125" style="733" bestFit="1" customWidth="1"/>
    <col min="1037" max="1040" width="7.7109375" style="733" bestFit="1" customWidth="1"/>
    <col min="1041" max="1041" width="0" style="733" hidden="1" customWidth="1"/>
    <col min="1042" max="1042" width="10.28515625" style="733" bestFit="1" customWidth="1"/>
    <col min="1043" max="1043" width="10" style="733" customWidth="1"/>
    <col min="1044" max="1044" width="8.85546875" style="733"/>
    <col min="1045" max="1045" width="35.42578125" style="733" customWidth="1"/>
    <col min="1046" max="1281" width="8.85546875" style="733"/>
    <col min="1282" max="1282" width="14" style="733" customWidth="1"/>
    <col min="1283" max="1283" width="45.28515625" style="733" bestFit="1" customWidth="1"/>
    <col min="1284" max="1284" width="0" style="733" hidden="1" customWidth="1"/>
    <col min="1285" max="1287" width="7.5703125" style="733" customWidth="1"/>
    <col min="1288" max="1288" width="7.42578125" style="733" bestFit="1" customWidth="1"/>
    <col min="1289" max="1290" width="7.5703125" style="733" bestFit="1" customWidth="1"/>
    <col min="1291" max="1291" width="8.7109375" style="733" bestFit="1" customWidth="1"/>
    <col min="1292" max="1292" width="7.5703125" style="733" bestFit="1" customWidth="1"/>
    <col min="1293" max="1296" width="7.7109375" style="733" bestFit="1" customWidth="1"/>
    <col min="1297" max="1297" width="0" style="733" hidden="1" customWidth="1"/>
    <col min="1298" max="1298" width="10.28515625" style="733" bestFit="1" customWidth="1"/>
    <col min="1299" max="1299" width="10" style="733" customWidth="1"/>
    <col min="1300" max="1300" width="8.85546875" style="733"/>
    <col min="1301" max="1301" width="35.42578125" style="733" customWidth="1"/>
    <col min="1302" max="1537" width="8.85546875" style="733"/>
    <col min="1538" max="1538" width="14" style="733" customWidth="1"/>
    <col min="1539" max="1539" width="45.28515625" style="733" bestFit="1" customWidth="1"/>
    <col min="1540" max="1540" width="0" style="733" hidden="1" customWidth="1"/>
    <col min="1541" max="1543" width="7.5703125" style="733" customWidth="1"/>
    <col min="1544" max="1544" width="7.42578125" style="733" bestFit="1" customWidth="1"/>
    <col min="1545" max="1546" width="7.5703125" style="733" bestFit="1" customWidth="1"/>
    <col min="1547" max="1547" width="8.7109375" style="733" bestFit="1" customWidth="1"/>
    <col min="1548" max="1548" width="7.5703125" style="733" bestFit="1" customWidth="1"/>
    <col min="1549" max="1552" width="7.7109375" style="733" bestFit="1" customWidth="1"/>
    <col min="1553" max="1553" width="0" style="733" hidden="1" customWidth="1"/>
    <col min="1554" max="1554" width="10.28515625" style="733" bestFit="1" customWidth="1"/>
    <col min="1555" max="1555" width="10" style="733" customWidth="1"/>
    <col min="1556" max="1556" width="8.85546875" style="733"/>
    <col min="1557" max="1557" width="35.42578125" style="733" customWidth="1"/>
    <col min="1558" max="1793" width="8.85546875" style="733"/>
    <col min="1794" max="1794" width="14" style="733" customWidth="1"/>
    <col min="1795" max="1795" width="45.28515625" style="733" bestFit="1" customWidth="1"/>
    <col min="1796" max="1796" width="0" style="733" hidden="1" customWidth="1"/>
    <col min="1797" max="1799" width="7.5703125" style="733" customWidth="1"/>
    <col min="1800" max="1800" width="7.42578125" style="733" bestFit="1" customWidth="1"/>
    <col min="1801" max="1802" width="7.5703125" style="733" bestFit="1" customWidth="1"/>
    <col min="1803" max="1803" width="8.7109375" style="733" bestFit="1" customWidth="1"/>
    <col min="1804" max="1804" width="7.5703125" style="733" bestFit="1" customWidth="1"/>
    <col min="1805" max="1808" width="7.7109375" style="733" bestFit="1" customWidth="1"/>
    <col min="1809" max="1809" width="0" style="733" hidden="1" customWidth="1"/>
    <col min="1810" max="1810" width="10.28515625" style="733" bestFit="1" customWidth="1"/>
    <col min="1811" max="1811" width="10" style="733" customWidth="1"/>
    <col min="1812" max="1812" width="8.85546875" style="733"/>
    <col min="1813" max="1813" width="35.42578125" style="733" customWidth="1"/>
    <col min="1814" max="2049" width="8.85546875" style="733"/>
    <col min="2050" max="2050" width="14" style="733" customWidth="1"/>
    <col min="2051" max="2051" width="45.28515625" style="733" bestFit="1" customWidth="1"/>
    <col min="2052" max="2052" width="0" style="733" hidden="1" customWidth="1"/>
    <col min="2053" max="2055" width="7.5703125" style="733" customWidth="1"/>
    <col min="2056" max="2056" width="7.42578125" style="733" bestFit="1" customWidth="1"/>
    <col min="2057" max="2058" width="7.5703125" style="733" bestFit="1" customWidth="1"/>
    <col min="2059" max="2059" width="8.7109375" style="733" bestFit="1" customWidth="1"/>
    <col min="2060" max="2060" width="7.5703125" style="733" bestFit="1" customWidth="1"/>
    <col min="2061" max="2064" width="7.7109375" style="733" bestFit="1" customWidth="1"/>
    <col min="2065" max="2065" width="0" style="733" hidden="1" customWidth="1"/>
    <col min="2066" max="2066" width="10.28515625" style="733" bestFit="1" customWidth="1"/>
    <col min="2067" max="2067" width="10" style="733" customWidth="1"/>
    <col min="2068" max="2068" width="8.85546875" style="733"/>
    <col min="2069" max="2069" width="35.42578125" style="733" customWidth="1"/>
    <col min="2070" max="2305" width="8.85546875" style="733"/>
    <col min="2306" max="2306" width="14" style="733" customWidth="1"/>
    <col min="2307" max="2307" width="45.28515625" style="733" bestFit="1" customWidth="1"/>
    <col min="2308" max="2308" width="0" style="733" hidden="1" customWidth="1"/>
    <col min="2309" max="2311" width="7.5703125" style="733" customWidth="1"/>
    <col min="2312" max="2312" width="7.42578125" style="733" bestFit="1" customWidth="1"/>
    <col min="2313" max="2314" width="7.5703125" style="733" bestFit="1" customWidth="1"/>
    <col min="2315" max="2315" width="8.7109375" style="733" bestFit="1" customWidth="1"/>
    <col min="2316" max="2316" width="7.5703125" style="733" bestFit="1" customWidth="1"/>
    <col min="2317" max="2320" width="7.7109375" style="733" bestFit="1" customWidth="1"/>
    <col min="2321" max="2321" width="0" style="733" hidden="1" customWidth="1"/>
    <col min="2322" max="2322" width="10.28515625" style="733" bestFit="1" customWidth="1"/>
    <col min="2323" max="2323" width="10" style="733" customWidth="1"/>
    <col min="2324" max="2324" width="8.85546875" style="733"/>
    <col min="2325" max="2325" width="35.42578125" style="733" customWidth="1"/>
    <col min="2326" max="2561" width="8.85546875" style="733"/>
    <col min="2562" max="2562" width="14" style="733" customWidth="1"/>
    <col min="2563" max="2563" width="45.28515625" style="733" bestFit="1" customWidth="1"/>
    <col min="2564" max="2564" width="0" style="733" hidden="1" customWidth="1"/>
    <col min="2565" max="2567" width="7.5703125" style="733" customWidth="1"/>
    <col min="2568" max="2568" width="7.42578125" style="733" bestFit="1" customWidth="1"/>
    <col min="2569" max="2570" width="7.5703125" style="733" bestFit="1" customWidth="1"/>
    <col min="2571" max="2571" width="8.7109375" style="733" bestFit="1" customWidth="1"/>
    <col min="2572" max="2572" width="7.5703125" style="733" bestFit="1" customWidth="1"/>
    <col min="2573" max="2576" width="7.7109375" style="733" bestFit="1" customWidth="1"/>
    <col min="2577" max="2577" width="0" style="733" hidden="1" customWidth="1"/>
    <col min="2578" max="2578" width="10.28515625" style="733" bestFit="1" customWidth="1"/>
    <col min="2579" max="2579" width="10" style="733" customWidth="1"/>
    <col min="2580" max="2580" width="8.85546875" style="733"/>
    <col min="2581" max="2581" width="35.42578125" style="733" customWidth="1"/>
    <col min="2582" max="2817" width="8.85546875" style="733"/>
    <col min="2818" max="2818" width="14" style="733" customWidth="1"/>
    <col min="2819" max="2819" width="45.28515625" style="733" bestFit="1" customWidth="1"/>
    <col min="2820" max="2820" width="0" style="733" hidden="1" customWidth="1"/>
    <col min="2821" max="2823" width="7.5703125" style="733" customWidth="1"/>
    <col min="2824" max="2824" width="7.42578125" style="733" bestFit="1" customWidth="1"/>
    <col min="2825" max="2826" width="7.5703125" style="733" bestFit="1" customWidth="1"/>
    <col min="2827" max="2827" width="8.7109375" style="733" bestFit="1" customWidth="1"/>
    <col min="2828" max="2828" width="7.5703125" style="733" bestFit="1" customWidth="1"/>
    <col min="2829" max="2832" width="7.7109375" style="733" bestFit="1" customWidth="1"/>
    <col min="2833" max="2833" width="0" style="733" hidden="1" customWidth="1"/>
    <col min="2834" max="2834" width="10.28515625" style="733" bestFit="1" customWidth="1"/>
    <col min="2835" max="2835" width="10" style="733" customWidth="1"/>
    <col min="2836" max="2836" width="8.85546875" style="733"/>
    <col min="2837" max="2837" width="35.42578125" style="733" customWidth="1"/>
    <col min="2838" max="3073" width="8.85546875" style="733"/>
    <col min="3074" max="3074" width="14" style="733" customWidth="1"/>
    <col min="3075" max="3075" width="45.28515625" style="733" bestFit="1" customWidth="1"/>
    <col min="3076" max="3076" width="0" style="733" hidden="1" customWidth="1"/>
    <col min="3077" max="3079" width="7.5703125" style="733" customWidth="1"/>
    <col min="3080" max="3080" width="7.42578125" style="733" bestFit="1" customWidth="1"/>
    <col min="3081" max="3082" width="7.5703125" style="733" bestFit="1" customWidth="1"/>
    <col min="3083" max="3083" width="8.7109375" style="733" bestFit="1" customWidth="1"/>
    <col min="3084" max="3084" width="7.5703125" style="733" bestFit="1" customWidth="1"/>
    <col min="3085" max="3088" width="7.7109375" style="733" bestFit="1" customWidth="1"/>
    <col min="3089" max="3089" width="0" style="733" hidden="1" customWidth="1"/>
    <col min="3090" max="3090" width="10.28515625" style="733" bestFit="1" customWidth="1"/>
    <col min="3091" max="3091" width="10" style="733" customWidth="1"/>
    <col min="3092" max="3092" width="8.85546875" style="733"/>
    <col min="3093" max="3093" width="35.42578125" style="733" customWidth="1"/>
    <col min="3094" max="3329" width="8.85546875" style="733"/>
    <col min="3330" max="3330" width="14" style="733" customWidth="1"/>
    <col min="3331" max="3331" width="45.28515625" style="733" bestFit="1" customWidth="1"/>
    <col min="3332" max="3332" width="0" style="733" hidden="1" customWidth="1"/>
    <col min="3333" max="3335" width="7.5703125" style="733" customWidth="1"/>
    <col min="3336" max="3336" width="7.42578125" style="733" bestFit="1" customWidth="1"/>
    <col min="3337" max="3338" width="7.5703125" style="733" bestFit="1" customWidth="1"/>
    <col min="3339" max="3339" width="8.7109375" style="733" bestFit="1" customWidth="1"/>
    <col min="3340" max="3340" width="7.5703125" style="733" bestFit="1" customWidth="1"/>
    <col min="3341" max="3344" width="7.7109375" style="733" bestFit="1" customWidth="1"/>
    <col min="3345" max="3345" width="0" style="733" hidden="1" customWidth="1"/>
    <col min="3346" max="3346" width="10.28515625" style="733" bestFit="1" customWidth="1"/>
    <col min="3347" max="3347" width="10" style="733" customWidth="1"/>
    <col min="3348" max="3348" width="8.85546875" style="733"/>
    <col min="3349" max="3349" width="35.42578125" style="733" customWidth="1"/>
    <col min="3350" max="3585" width="8.85546875" style="733"/>
    <col min="3586" max="3586" width="14" style="733" customWidth="1"/>
    <col min="3587" max="3587" width="45.28515625" style="733" bestFit="1" customWidth="1"/>
    <col min="3588" max="3588" width="0" style="733" hidden="1" customWidth="1"/>
    <col min="3589" max="3591" width="7.5703125" style="733" customWidth="1"/>
    <col min="3592" max="3592" width="7.42578125" style="733" bestFit="1" customWidth="1"/>
    <col min="3593" max="3594" width="7.5703125" style="733" bestFit="1" customWidth="1"/>
    <col min="3595" max="3595" width="8.7109375" style="733" bestFit="1" customWidth="1"/>
    <col min="3596" max="3596" width="7.5703125" style="733" bestFit="1" customWidth="1"/>
    <col min="3597" max="3600" width="7.7109375" style="733" bestFit="1" customWidth="1"/>
    <col min="3601" max="3601" width="0" style="733" hidden="1" customWidth="1"/>
    <col min="3602" max="3602" width="10.28515625" style="733" bestFit="1" customWidth="1"/>
    <col min="3603" max="3603" width="10" style="733" customWidth="1"/>
    <col min="3604" max="3604" width="8.85546875" style="733"/>
    <col min="3605" max="3605" width="35.42578125" style="733" customWidth="1"/>
    <col min="3606" max="3841" width="8.85546875" style="733"/>
    <col min="3842" max="3842" width="14" style="733" customWidth="1"/>
    <col min="3843" max="3843" width="45.28515625" style="733" bestFit="1" customWidth="1"/>
    <col min="3844" max="3844" width="0" style="733" hidden="1" customWidth="1"/>
    <col min="3845" max="3847" width="7.5703125" style="733" customWidth="1"/>
    <col min="3848" max="3848" width="7.42578125" style="733" bestFit="1" customWidth="1"/>
    <col min="3849" max="3850" width="7.5703125" style="733" bestFit="1" customWidth="1"/>
    <col min="3851" max="3851" width="8.7109375" style="733" bestFit="1" customWidth="1"/>
    <col min="3852" max="3852" width="7.5703125" style="733" bestFit="1" customWidth="1"/>
    <col min="3853" max="3856" width="7.7109375" style="733" bestFit="1" customWidth="1"/>
    <col min="3857" max="3857" width="0" style="733" hidden="1" customWidth="1"/>
    <col min="3858" max="3858" width="10.28515625" style="733" bestFit="1" customWidth="1"/>
    <col min="3859" max="3859" width="10" style="733" customWidth="1"/>
    <col min="3860" max="3860" width="8.85546875" style="733"/>
    <col min="3861" max="3861" width="35.42578125" style="733" customWidth="1"/>
    <col min="3862" max="4097" width="8.85546875" style="733"/>
    <col min="4098" max="4098" width="14" style="733" customWidth="1"/>
    <col min="4099" max="4099" width="45.28515625" style="733" bestFit="1" customWidth="1"/>
    <col min="4100" max="4100" width="0" style="733" hidden="1" customWidth="1"/>
    <col min="4101" max="4103" width="7.5703125" style="733" customWidth="1"/>
    <col min="4104" max="4104" width="7.42578125" style="733" bestFit="1" customWidth="1"/>
    <col min="4105" max="4106" width="7.5703125" style="733" bestFit="1" customWidth="1"/>
    <col min="4107" max="4107" width="8.7109375" style="733" bestFit="1" customWidth="1"/>
    <col min="4108" max="4108" width="7.5703125" style="733" bestFit="1" customWidth="1"/>
    <col min="4109" max="4112" width="7.7109375" style="733" bestFit="1" customWidth="1"/>
    <col min="4113" max="4113" width="0" style="733" hidden="1" customWidth="1"/>
    <col min="4114" max="4114" width="10.28515625" style="733" bestFit="1" customWidth="1"/>
    <col min="4115" max="4115" width="10" style="733" customWidth="1"/>
    <col min="4116" max="4116" width="8.85546875" style="733"/>
    <col min="4117" max="4117" width="35.42578125" style="733" customWidth="1"/>
    <col min="4118" max="4353" width="8.85546875" style="733"/>
    <col min="4354" max="4354" width="14" style="733" customWidth="1"/>
    <col min="4355" max="4355" width="45.28515625" style="733" bestFit="1" customWidth="1"/>
    <col min="4356" max="4356" width="0" style="733" hidden="1" customWidth="1"/>
    <col min="4357" max="4359" width="7.5703125" style="733" customWidth="1"/>
    <col min="4360" max="4360" width="7.42578125" style="733" bestFit="1" customWidth="1"/>
    <col min="4361" max="4362" width="7.5703125" style="733" bestFit="1" customWidth="1"/>
    <col min="4363" max="4363" width="8.7109375" style="733" bestFit="1" customWidth="1"/>
    <col min="4364" max="4364" width="7.5703125" style="733" bestFit="1" customWidth="1"/>
    <col min="4365" max="4368" width="7.7109375" style="733" bestFit="1" customWidth="1"/>
    <col min="4369" max="4369" width="0" style="733" hidden="1" customWidth="1"/>
    <col min="4370" max="4370" width="10.28515625" style="733" bestFit="1" customWidth="1"/>
    <col min="4371" max="4371" width="10" style="733" customWidth="1"/>
    <col min="4372" max="4372" width="8.85546875" style="733"/>
    <col min="4373" max="4373" width="35.42578125" style="733" customWidth="1"/>
    <col min="4374" max="4609" width="8.85546875" style="733"/>
    <col min="4610" max="4610" width="14" style="733" customWidth="1"/>
    <col min="4611" max="4611" width="45.28515625" style="733" bestFit="1" customWidth="1"/>
    <col min="4612" max="4612" width="0" style="733" hidden="1" customWidth="1"/>
    <col min="4613" max="4615" width="7.5703125" style="733" customWidth="1"/>
    <col min="4616" max="4616" width="7.42578125" style="733" bestFit="1" customWidth="1"/>
    <col min="4617" max="4618" width="7.5703125" style="733" bestFit="1" customWidth="1"/>
    <col min="4619" max="4619" width="8.7109375" style="733" bestFit="1" customWidth="1"/>
    <col min="4620" max="4620" width="7.5703125" style="733" bestFit="1" customWidth="1"/>
    <col min="4621" max="4624" width="7.7109375" style="733" bestFit="1" customWidth="1"/>
    <col min="4625" max="4625" width="0" style="733" hidden="1" customWidth="1"/>
    <col min="4626" max="4626" width="10.28515625" style="733" bestFit="1" customWidth="1"/>
    <col min="4627" max="4627" width="10" style="733" customWidth="1"/>
    <col min="4628" max="4628" width="8.85546875" style="733"/>
    <col min="4629" max="4629" width="35.42578125" style="733" customWidth="1"/>
    <col min="4630" max="4865" width="8.85546875" style="733"/>
    <col min="4866" max="4866" width="14" style="733" customWidth="1"/>
    <col min="4867" max="4867" width="45.28515625" style="733" bestFit="1" customWidth="1"/>
    <col min="4868" max="4868" width="0" style="733" hidden="1" customWidth="1"/>
    <col min="4869" max="4871" width="7.5703125" style="733" customWidth="1"/>
    <col min="4872" max="4872" width="7.42578125" style="733" bestFit="1" customWidth="1"/>
    <col min="4873" max="4874" width="7.5703125" style="733" bestFit="1" customWidth="1"/>
    <col min="4875" max="4875" width="8.7109375" style="733" bestFit="1" customWidth="1"/>
    <col min="4876" max="4876" width="7.5703125" style="733" bestFit="1" customWidth="1"/>
    <col min="4877" max="4880" width="7.7109375" style="733" bestFit="1" customWidth="1"/>
    <col min="4881" max="4881" width="0" style="733" hidden="1" customWidth="1"/>
    <col min="4882" max="4882" width="10.28515625" style="733" bestFit="1" customWidth="1"/>
    <col min="4883" max="4883" width="10" style="733" customWidth="1"/>
    <col min="4884" max="4884" width="8.85546875" style="733"/>
    <col min="4885" max="4885" width="35.42578125" style="733" customWidth="1"/>
    <col min="4886" max="5121" width="8.85546875" style="733"/>
    <col min="5122" max="5122" width="14" style="733" customWidth="1"/>
    <col min="5123" max="5123" width="45.28515625" style="733" bestFit="1" customWidth="1"/>
    <col min="5124" max="5124" width="0" style="733" hidden="1" customWidth="1"/>
    <col min="5125" max="5127" width="7.5703125" style="733" customWidth="1"/>
    <col min="5128" max="5128" width="7.42578125" style="733" bestFit="1" customWidth="1"/>
    <col min="5129" max="5130" width="7.5703125" style="733" bestFit="1" customWidth="1"/>
    <col min="5131" max="5131" width="8.7109375" style="733" bestFit="1" customWidth="1"/>
    <col min="5132" max="5132" width="7.5703125" style="733" bestFit="1" customWidth="1"/>
    <col min="5133" max="5136" width="7.7109375" style="733" bestFit="1" customWidth="1"/>
    <col min="5137" max="5137" width="0" style="733" hidden="1" customWidth="1"/>
    <col min="5138" max="5138" width="10.28515625" style="733" bestFit="1" customWidth="1"/>
    <col min="5139" max="5139" width="10" style="733" customWidth="1"/>
    <col min="5140" max="5140" width="8.85546875" style="733"/>
    <col min="5141" max="5141" width="35.42578125" style="733" customWidth="1"/>
    <col min="5142" max="5377" width="8.85546875" style="733"/>
    <col min="5378" max="5378" width="14" style="733" customWidth="1"/>
    <col min="5379" max="5379" width="45.28515625" style="733" bestFit="1" customWidth="1"/>
    <col min="5380" max="5380" width="0" style="733" hidden="1" customWidth="1"/>
    <col min="5381" max="5383" width="7.5703125" style="733" customWidth="1"/>
    <col min="5384" max="5384" width="7.42578125" style="733" bestFit="1" customWidth="1"/>
    <col min="5385" max="5386" width="7.5703125" style="733" bestFit="1" customWidth="1"/>
    <col min="5387" max="5387" width="8.7109375" style="733" bestFit="1" customWidth="1"/>
    <col min="5388" max="5388" width="7.5703125" style="733" bestFit="1" customWidth="1"/>
    <col min="5389" max="5392" width="7.7109375" style="733" bestFit="1" customWidth="1"/>
    <col min="5393" max="5393" width="0" style="733" hidden="1" customWidth="1"/>
    <col min="5394" max="5394" width="10.28515625" style="733" bestFit="1" customWidth="1"/>
    <col min="5395" max="5395" width="10" style="733" customWidth="1"/>
    <col min="5396" max="5396" width="8.85546875" style="733"/>
    <col min="5397" max="5397" width="35.42578125" style="733" customWidth="1"/>
    <col min="5398" max="5633" width="8.85546875" style="733"/>
    <col min="5634" max="5634" width="14" style="733" customWidth="1"/>
    <col min="5635" max="5635" width="45.28515625" style="733" bestFit="1" customWidth="1"/>
    <col min="5636" max="5636" width="0" style="733" hidden="1" customWidth="1"/>
    <col min="5637" max="5639" width="7.5703125" style="733" customWidth="1"/>
    <col min="5640" max="5640" width="7.42578125" style="733" bestFit="1" customWidth="1"/>
    <col min="5641" max="5642" width="7.5703125" style="733" bestFit="1" customWidth="1"/>
    <col min="5643" max="5643" width="8.7109375" style="733" bestFit="1" customWidth="1"/>
    <col min="5644" max="5644" width="7.5703125" style="733" bestFit="1" customWidth="1"/>
    <col min="5645" max="5648" width="7.7109375" style="733" bestFit="1" customWidth="1"/>
    <col min="5649" max="5649" width="0" style="733" hidden="1" customWidth="1"/>
    <col min="5650" max="5650" width="10.28515625" style="733" bestFit="1" customWidth="1"/>
    <col min="5651" max="5651" width="10" style="733" customWidth="1"/>
    <col min="5652" max="5652" width="8.85546875" style="733"/>
    <col min="5653" max="5653" width="35.42578125" style="733" customWidth="1"/>
    <col min="5654" max="5889" width="8.85546875" style="733"/>
    <col min="5890" max="5890" width="14" style="733" customWidth="1"/>
    <col min="5891" max="5891" width="45.28515625" style="733" bestFit="1" customWidth="1"/>
    <col min="5892" max="5892" width="0" style="733" hidden="1" customWidth="1"/>
    <col min="5893" max="5895" width="7.5703125" style="733" customWidth="1"/>
    <col min="5896" max="5896" width="7.42578125" style="733" bestFit="1" customWidth="1"/>
    <col min="5897" max="5898" width="7.5703125" style="733" bestFit="1" customWidth="1"/>
    <col min="5899" max="5899" width="8.7109375" style="733" bestFit="1" customWidth="1"/>
    <col min="5900" max="5900" width="7.5703125" style="733" bestFit="1" customWidth="1"/>
    <col min="5901" max="5904" width="7.7109375" style="733" bestFit="1" customWidth="1"/>
    <col min="5905" max="5905" width="0" style="733" hidden="1" customWidth="1"/>
    <col min="5906" max="5906" width="10.28515625" style="733" bestFit="1" customWidth="1"/>
    <col min="5907" max="5907" width="10" style="733" customWidth="1"/>
    <col min="5908" max="5908" width="8.85546875" style="733"/>
    <col min="5909" max="5909" width="35.42578125" style="733" customWidth="1"/>
    <col min="5910" max="6145" width="8.85546875" style="733"/>
    <col min="6146" max="6146" width="14" style="733" customWidth="1"/>
    <col min="6147" max="6147" width="45.28515625" style="733" bestFit="1" customWidth="1"/>
    <col min="6148" max="6148" width="0" style="733" hidden="1" customWidth="1"/>
    <col min="6149" max="6151" width="7.5703125" style="733" customWidth="1"/>
    <col min="6152" max="6152" width="7.42578125" style="733" bestFit="1" customWidth="1"/>
    <col min="6153" max="6154" width="7.5703125" style="733" bestFit="1" customWidth="1"/>
    <col min="6155" max="6155" width="8.7109375" style="733" bestFit="1" customWidth="1"/>
    <col min="6156" max="6156" width="7.5703125" style="733" bestFit="1" customWidth="1"/>
    <col min="6157" max="6160" width="7.7109375" style="733" bestFit="1" customWidth="1"/>
    <col min="6161" max="6161" width="0" style="733" hidden="1" customWidth="1"/>
    <col min="6162" max="6162" width="10.28515625" style="733" bestFit="1" customWidth="1"/>
    <col min="6163" max="6163" width="10" style="733" customWidth="1"/>
    <col min="6164" max="6164" width="8.85546875" style="733"/>
    <col min="6165" max="6165" width="35.42578125" style="733" customWidth="1"/>
    <col min="6166" max="6401" width="8.85546875" style="733"/>
    <col min="6402" max="6402" width="14" style="733" customWidth="1"/>
    <col min="6403" max="6403" width="45.28515625" style="733" bestFit="1" customWidth="1"/>
    <col min="6404" max="6404" width="0" style="733" hidden="1" customWidth="1"/>
    <col min="6405" max="6407" width="7.5703125" style="733" customWidth="1"/>
    <col min="6408" max="6408" width="7.42578125" style="733" bestFit="1" customWidth="1"/>
    <col min="6409" max="6410" width="7.5703125" style="733" bestFit="1" customWidth="1"/>
    <col min="6411" max="6411" width="8.7109375" style="733" bestFit="1" customWidth="1"/>
    <col min="6412" max="6412" width="7.5703125" style="733" bestFit="1" customWidth="1"/>
    <col min="6413" max="6416" width="7.7109375" style="733" bestFit="1" customWidth="1"/>
    <col min="6417" max="6417" width="0" style="733" hidden="1" customWidth="1"/>
    <col min="6418" max="6418" width="10.28515625" style="733" bestFit="1" customWidth="1"/>
    <col min="6419" max="6419" width="10" style="733" customWidth="1"/>
    <col min="6420" max="6420" width="8.85546875" style="733"/>
    <col min="6421" max="6421" width="35.42578125" style="733" customWidth="1"/>
    <col min="6422" max="6657" width="8.85546875" style="733"/>
    <col min="6658" max="6658" width="14" style="733" customWidth="1"/>
    <col min="6659" max="6659" width="45.28515625" style="733" bestFit="1" customWidth="1"/>
    <col min="6660" max="6660" width="0" style="733" hidden="1" customWidth="1"/>
    <col min="6661" max="6663" width="7.5703125" style="733" customWidth="1"/>
    <col min="6664" max="6664" width="7.42578125" style="733" bestFit="1" customWidth="1"/>
    <col min="6665" max="6666" width="7.5703125" style="733" bestFit="1" customWidth="1"/>
    <col min="6667" max="6667" width="8.7109375" style="733" bestFit="1" customWidth="1"/>
    <col min="6668" max="6668" width="7.5703125" style="733" bestFit="1" customWidth="1"/>
    <col min="6669" max="6672" width="7.7109375" style="733" bestFit="1" customWidth="1"/>
    <col min="6673" max="6673" width="0" style="733" hidden="1" customWidth="1"/>
    <col min="6674" max="6674" width="10.28515625" style="733" bestFit="1" customWidth="1"/>
    <col min="6675" max="6675" width="10" style="733" customWidth="1"/>
    <col min="6676" max="6676" width="8.85546875" style="733"/>
    <col min="6677" max="6677" width="35.42578125" style="733" customWidth="1"/>
    <col min="6678" max="6913" width="8.85546875" style="733"/>
    <col min="6914" max="6914" width="14" style="733" customWidth="1"/>
    <col min="6915" max="6915" width="45.28515625" style="733" bestFit="1" customWidth="1"/>
    <col min="6916" max="6916" width="0" style="733" hidden="1" customWidth="1"/>
    <col min="6917" max="6919" width="7.5703125" style="733" customWidth="1"/>
    <col min="6920" max="6920" width="7.42578125" style="733" bestFit="1" customWidth="1"/>
    <col min="6921" max="6922" width="7.5703125" style="733" bestFit="1" customWidth="1"/>
    <col min="6923" max="6923" width="8.7109375" style="733" bestFit="1" customWidth="1"/>
    <col min="6924" max="6924" width="7.5703125" style="733" bestFit="1" customWidth="1"/>
    <col min="6925" max="6928" width="7.7109375" style="733" bestFit="1" customWidth="1"/>
    <col min="6929" max="6929" width="0" style="733" hidden="1" customWidth="1"/>
    <col min="6930" max="6930" width="10.28515625" style="733" bestFit="1" customWidth="1"/>
    <col min="6931" max="6931" width="10" style="733" customWidth="1"/>
    <col min="6932" max="6932" width="8.85546875" style="733"/>
    <col min="6933" max="6933" width="35.42578125" style="733" customWidth="1"/>
    <col min="6934" max="7169" width="8.85546875" style="733"/>
    <col min="7170" max="7170" width="14" style="733" customWidth="1"/>
    <col min="7171" max="7171" width="45.28515625" style="733" bestFit="1" customWidth="1"/>
    <col min="7172" max="7172" width="0" style="733" hidden="1" customWidth="1"/>
    <col min="7173" max="7175" width="7.5703125" style="733" customWidth="1"/>
    <col min="7176" max="7176" width="7.42578125" style="733" bestFit="1" customWidth="1"/>
    <col min="7177" max="7178" width="7.5703125" style="733" bestFit="1" customWidth="1"/>
    <col min="7179" max="7179" width="8.7109375" style="733" bestFit="1" customWidth="1"/>
    <col min="7180" max="7180" width="7.5703125" style="733" bestFit="1" customWidth="1"/>
    <col min="7181" max="7184" width="7.7109375" style="733" bestFit="1" customWidth="1"/>
    <col min="7185" max="7185" width="0" style="733" hidden="1" customWidth="1"/>
    <col min="7186" max="7186" width="10.28515625" style="733" bestFit="1" customWidth="1"/>
    <col min="7187" max="7187" width="10" style="733" customWidth="1"/>
    <col min="7188" max="7188" width="8.85546875" style="733"/>
    <col min="7189" max="7189" width="35.42578125" style="733" customWidth="1"/>
    <col min="7190" max="7425" width="8.85546875" style="733"/>
    <col min="7426" max="7426" width="14" style="733" customWidth="1"/>
    <col min="7427" max="7427" width="45.28515625" style="733" bestFit="1" customWidth="1"/>
    <col min="7428" max="7428" width="0" style="733" hidden="1" customWidth="1"/>
    <col min="7429" max="7431" width="7.5703125" style="733" customWidth="1"/>
    <col min="7432" max="7432" width="7.42578125" style="733" bestFit="1" customWidth="1"/>
    <col min="7433" max="7434" width="7.5703125" style="733" bestFit="1" customWidth="1"/>
    <col min="7435" max="7435" width="8.7109375" style="733" bestFit="1" customWidth="1"/>
    <col min="7436" max="7436" width="7.5703125" style="733" bestFit="1" customWidth="1"/>
    <col min="7437" max="7440" width="7.7109375" style="733" bestFit="1" customWidth="1"/>
    <col min="7441" max="7441" width="0" style="733" hidden="1" customWidth="1"/>
    <col min="7442" max="7442" width="10.28515625" style="733" bestFit="1" customWidth="1"/>
    <col min="7443" max="7443" width="10" style="733" customWidth="1"/>
    <col min="7444" max="7444" width="8.85546875" style="733"/>
    <col min="7445" max="7445" width="35.42578125" style="733" customWidth="1"/>
    <col min="7446" max="7681" width="8.85546875" style="733"/>
    <col min="7682" max="7682" width="14" style="733" customWidth="1"/>
    <col min="7683" max="7683" width="45.28515625" style="733" bestFit="1" customWidth="1"/>
    <col min="7684" max="7684" width="0" style="733" hidden="1" customWidth="1"/>
    <col min="7685" max="7687" width="7.5703125" style="733" customWidth="1"/>
    <col min="7688" max="7688" width="7.42578125" style="733" bestFit="1" customWidth="1"/>
    <col min="7689" max="7690" width="7.5703125" style="733" bestFit="1" customWidth="1"/>
    <col min="7691" max="7691" width="8.7109375" style="733" bestFit="1" customWidth="1"/>
    <col min="7692" max="7692" width="7.5703125" style="733" bestFit="1" customWidth="1"/>
    <col min="7693" max="7696" width="7.7109375" style="733" bestFit="1" customWidth="1"/>
    <col min="7697" max="7697" width="0" style="733" hidden="1" customWidth="1"/>
    <col min="7698" max="7698" width="10.28515625" style="733" bestFit="1" customWidth="1"/>
    <col min="7699" max="7699" width="10" style="733" customWidth="1"/>
    <col min="7700" max="7700" width="8.85546875" style="733"/>
    <col min="7701" max="7701" width="35.42578125" style="733" customWidth="1"/>
    <col min="7702" max="7937" width="8.85546875" style="733"/>
    <col min="7938" max="7938" width="14" style="733" customWidth="1"/>
    <col min="7939" max="7939" width="45.28515625" style="733" bestFit="1" customWidth="1"/>
    <col min="7940" max="7940" width="0" style="733" hidden="1" customWidth="1"/>
    <col min="7941" max="7943" width="7.5703125" style="733" customWidth="1"/>
    <col min="7944" max="7944" width="7.42578125" style="733" bestFit="1" customWidth="1"/>
    <col min="7945" max="7946" width="7.5703125" style="733" bestFit="1" customWidth="1"/>
    <col min="7947" max="7947" width="8.7109375" style="733" bestFit="1" customWidth="1"/>
    <col min="7948" max="7948" width="7.5703125" style="733" bestFit="1" customWidth="1"/>
    <col min="7949" max="7952" width="7.7109375" style="733" bestFit="1" customWidth="1"/>
    <col min="7953" max="7953" width="0" style="733" hidden="1" customWidth="1"/>
    <col min="7954" max="7954" width="10.28515625" style="733" bestFit="1" customWidth="1"/>
    <col min="7955" max="7955" width="10" style="733" customWidth="1"/>
    <col min="7956" max="7956" width="8.85546875" style="733"/>
    <col min="7957" max="7957" width="35.42578125" style="733" customWidth="1"/>
    <col min="7958" max="8193" width="8.85546875" style="733"/>
    <col min="8194" max="8194" width="14" style="733" customWidth="1"/>
    <col min="8195" max="8195" width="45.28515625" style="733" bestFit="1" customWidth="1"/>
    <col min="8196" max="8196" width="0" style="733" hidden="1" customWidth="1"/>
    <col min="8197" max="8199" width="7.5703125" style="733" customWidth="1"/>
    <col min="8200" max="8200" width="7.42578125" style="733" bestFit="1" customWidth="1"/>
    <col min="8201" max="8202" width="7.5703125" style="733" bestFit="1" customWidth="1"/>
    <col min="8203" max="8203" width="8.7109375" style="733" bestFit="1" customWidth="1"/>
    <col min="8204" max="8204" width="7.5703125" style="733" bestFit="1" customWidth="1"/>
    <col min="8205" max="8208" width="7.7109375" style="733" bestFit="1" customWidth="1"/>
    <col min="8209" max="8209" width="0" style="733" hidden="1" customWidth="1"/>
    <col min="8210" max="8210" width="10.28515625" style="733" bestFit="1" customWidth="1"/>
    <col min="8211" max="8211" width="10" style="733" customWidth="1"/>
    <col min="8212" max="8212" width="8.85546875" style="733"/>
    <col min="8213" max="8213" width="35.42578125" style="733" customWidth="1"/>
    <col min="8214" max="8449" width="8.85546875" style="733"/>
    <col min="8450" max="8450" width="14" style="733" customWidth="1"/>
    <col min="8451" max="8451" width="45.28515625" style="733" bestFit="1" customWidth="1"/>
    <col min="8452" max="8452" width="0" style="733" hidden="1" customWidth="1"/>
    <col min="8453" max="8455" width="7.5703125" style="733" customWidth="1"/>
    <col min="8456" max="8456" width="7.42578125" style="733" bestFit="1" customWidth="1"/>
    <col min="8457" max="8458" width="7.5703125" style="733" bestFit="1" customWidth="1"/>
    <col min="8459" max="8459" width="8.7109375" style="733" bestFit="1" customWidth="1"/>
    <col min="8460" max="8460" width="7.5703125" style="733" bestFit="1" customWidth="1"/>
    <col min="8461" max="8464" width="7.7109375" style="733" bestFit="1" customWidth="1"/>
    <col min="8465" max="8465" width="0" style="733" hidden="1" customWidth="1"/>
    <col min="8466" max="8466" width="10.28515625" style="733" bestFit="1" customWidth="1"/>
    <col min="8467" max="8467" width="10" style="733" customWidth="1"/>
    <col min="8468" max="8468" width="8.85546875" style="733"/>
    <col min="8469" max="8469" width="35.42578125" style="733" customWidth="1"/>
    <col min="8470" max="8705" width="8.85546875" style="733"/>
    <col min="8706" max="8706" width="14" style="733" customWidth="1"/>
    <col min="8707" max="8707" width="45.28515625" style="733" bestFit="1" customWidth="1"/>
    <col min="8708" max="8708" width="0" style="733" hidden="1" customWidth="1"/>
    <col min="8709" max="8711" width="7.5703125" style="733" customWidth="1"/>
    <col min="8712" max="8712" width="7.42578125" style="733" bestFit="1" customWidth="1"/>
    <col min="8713" max="8714" width="7.5703125" style="733" bestFit="1" customWidth="1"/>
    <col min="8715" max="8715" width="8.7109375" style="733" bestFit="1" customWidth="1"/>
    <col min="8716" max="8716" width="7.5703125" style="733" bestFit="1" customWidth="1"/>
    <col min="8717" max="8720" width="7.7109375" style="733" bestFit="1" customWidth="1"/>
    <col min="8721" max="8721" width="0" style="733" hidden="1" customWidth="1"/>
    <col min="8722" max="8722" width="10.28515625" style="733" bestFit="1" customWidth="1"/>
    <col min="8723" max="8723" width="10" style="733" customWidth="1"/>
    <col min="8724" max="8724" width="8.85546875" style="733"/>
    <col min="8725" max="8725" width="35.42578125" style="733" customWidth="1"/>
    <col min="8726" max="8961" width="8.85546875" style="733"/>
    <col min="8962" max="8962" width="14" style="733" customWidth="1"/>
    <col min="8963" max="8963" width="45.28515625" style="733" bestFit="1" customWidth="1"/>
    <col min="8964" max="8964" width="0" style="733" hidden="1" customWidth="1"/>
    <col min="8965" max="8967" width="7.5703125" style="733" customWidth="1"/>
    <col min="8968" max="8968" width="7.42578125" style="733" bestFit="1" customWidth="1"/>
    <col min="8969" max="8970" width="7.5703125" style="733" bestFit="1" customWidth="1"/>
    <col min="8971" max="8971" width="8.7109375" style="733" bestFit="1" customWidth="1"/>
    <col min="8972" max="8972" width="7.5703125" style="733" bestFit="1" customWidth="1"/>
    <col min="8973" max="8976" width="7.7109375" style="733" bestFit="1" customWidth="1"/>
    <col min="8977" max="8977" width="0" style="733" hidden="1" customWidth="1"/>
    <col min="8978" max="8978" width="10.28515625" style="733" bestFit="1" customWidth="1"/>
    <col min="8979" max="8979" width="10" style="733" customWidth="1"/>
    <col min="8980" max="8980" width="8.85546875" style="733"/>
    <col min="8981" max="8981" width="35.42578125" style="733" customWidth="1"/>
    <col min="8982" max="9217" width="8.85546875" style="733"/>
    <col min="9218" max="9218" width="14" style="733" customWidth="1"/>
    <col min="9219" max="9219" width="45.28515625" style="733" bestFit="1" customWidth="1"/>
    <col min="9220" max="9220" width="0" style="733" hidden="1" customWidth="1"/>
    <col min="9221" max="9223" width="7.5703125" style="733" customWidth="1"/>
    <col min="9224" max="9224" width="7.42578125" style="733" bestFit="1" customWidth="1"/>
    <col min="9225" max="9226" width="7.5703125" style="733" bestFit="1" customWidth="1"/>
    <col min="9227" max="9227" width="8.7109375" style="733" bestFit="1" customWidth="1"/>
    <col min="9228" max="9228" width="7.5703125" style="733" bestFit="1" customWidth="1"/>
    <col min="9229" max="9232" width="7.7109375" style="733" bestFit="1" customWidth="1"/>
    <col min="9233" max="9233" width="0" style="733" hidden="1" customWidth="1"/>
    <col min="9234" max="9234" width="10.28515625" style="733" bestFit="1" customWidth="1"/>
    <col min="9235" max="9235" width="10" style="733" customWidth="1"/>
    <col min="9236" max="9236" width="8.85546875" style="733"/>
    <col min="9237" max="9237" width="35.42578125" style="733" customWidth="1"/>
    <col min="9238" max="9473" width="8.85546875" style="733"/>
    <col min="9474" max="9474" width="14" style="733" customWidth="1"/>
    <col min="9475" max="9475" width="45.28515625" style="733" bestFit="1" customWidth="1"/>
    <col min="9476" max="9476" width="0" style="733" hidden="1" customWidth="1"/>
    <col min="9477" max="9479" width="7.5703125" style="733" customWidth="1"/>
    <col min="9480" max="9480" width="7.42578125" style="733" bestFit="1" customWidth="1"/>
    <col min="9481" max="9482" width="7.5703125" style="733" bestFit="1" customWidth="1"/>
    <col min="9483" max="9483" width="8.7109375" style="733" bestFit="1" customWidth="1"/>
    <col min="9484" max="9484" width="7.5703125" style="733" bestFit="1" customWidth="1"/>
    <col min="9485" max="9488" width="7.7109375" style="733" bestFit="1" customWidth="1"/>
    <col min="9489" max="9489" width="0" style="733" hidden="1" customWidth="1"/>
    <col min="9490" max="9490" width="10.28515625" style="733" bestFit="1" customWidth="1"/>
    <col min="9491" max="9491" width="10" style="733" customWidth="1"/>
    <col min="9492" max="9492" width="8.85546875" style="733"/>
    <col min="9493" max="9493" width="35.42578125" style="733" customWidth="1"/>
    <col min="9494" max="9729" width="8.85546875" style="733"/>
    <col min="9730" max="9730" width="14" style="733" customWidth="1"/>
    <col min="9731" max="9731" width="45.28515625" style="733" bestFit="1" customWidth="1"/>
    <col min="9732" max="9732" width="0" style="733" hidden="1" customWidth="1"/>
    <col min="9733" max="9735" width="7.5703125" style="733" customWidth="1"/>
    <col min="9736" max="9736" width="7.42578125" style="733" bestFit="1" customWidth="1"/>
    <col min="9737" max="9738" width="7.5703125" style="733" bestFit="1" customWidth="1"/>
    <col min="9739" max="9739" width="8.7109375" style="733" bestFit="1" customWidth="1"/>
    <col min="9740" max="9740" width="7.5703125" style="733" bestFit="1" customWidth="1"/>
    <col min="9741" max="9744" width="7.7109375" style="733" bestFit="1" customWidth="1"/>
    <col min="9745" max="9745" width="0" style="733" hidden="1" customWidth="1"/>
    <col min="9746" max="9746" width="10.28515625" style="733" bestFit="1" customWidth="1"/>
    <col min="9747" max="9747" width="10" style="733" customWidth="1"/>
    <col min="9748" max="9748" width="8.85546875" style="733"/>
    <col min="9749" max="9749" width="35.42578125" style="733" customWidth="1"/>
    <col min="9750" max="9985" width="8.85546875" style="733"/>
    <col min="9986" max="9986" width="14" style="733" customWidth="1"/>
    <col min="9987" max="9987" width="45.28515625" style="733" bestFit="1" customWidth="1"/>
    <col min="9988" max="9988" width="0" style="733" hidden="1" customWidth="1"/>
    <col min="9989" max="9991" width="7.5703125" style="733" customWidth="1"/>
    <col min="9992" max="9992" width="7.42578125" style="733" bestFit="1" customWidth="1"/>
    <col min="9993" max="9994" width="7.5703125" style="733" bestFit="1" customWidth="1"/>
    <col min="9995" max="9995" width="8.7109375" style="733" bestFit="1" customWidth="1"/>
    <col min="9996" max="9996" width="7.5703125" style="733" bestFit="1" customWidth="1"/>
    <col min="9997" max="10000" width="7.7109375" style="733" bestFit="1" customWidth="1"/>
    <col min="10001" max="10001" width="0" style="733" hidden="1" customWidth="1"/>
    <col min="10002" max="10002" width="10.28515625" style="733" bestFit="1" customWidth="1"/>
    <col min="10003" max="10003" width="10" style="733" customWidth="1"/>
    <col min="10004" max="10004" width="8.85546875" style="733"/>
    <col min="10005" max="10005" width="35.42578125" style="733" customWidth="1"/>
    <col min="10006" max="10241" width="8.85546875" style="733"/>
    <col min="10242" max="10242" width="14" style="733" customWidth="1"/>
    <col min="10243" max="10243" width="45.28515625" style="733" bestFit="1" customWidth="1"/>
    <col min="10244" max="10244" width="0" style="733" hidden="1" customWidth="1"/>
    <col min="10245" max="10247" width="7.5703125" style="733" customWidth="1"/>
    <col min="10248" max="10248" width="7.42578125" style="733" bestFit="1" customWidth="1"/>
    <col min="10249" max="10250" width="7.5703125" style="733" bestFit="1" customWidth="1"/>
    <col min="10251" max="10251" width="8.7109375" style="733" bestFit="1" customWidth="1"/>
    <col min="10252" max="10252" width="7.5703125" style="733" bestFit="1" customWidth="1"/>
    <col min="10253" max="10256" width="7.7109375" style="733" bestFit="1" customWidth="1"/>
    <col min="10257" max="10257" width="0" style="733" hidden="1" customWidth="1"/>
    <col min="10258" max="10258" width="10.28515625" style="733" bestFit="1" customWidth="1"/>
    <col min="10259" max="10259" width="10" style="733" customWidth="1"/>
    <col min="10260" max="10260" width="8.85546875" style="733"/>
    <col min="10261" max="10261" width="35.42578125" style="733" customWidth="1"/>
    <col min="10262" max="10497" width="8.85546875" style="733"/>
    <col min="10498" max="10498" width="14" style="733" customWidth="1"/>
    <col min="10499" max="10499" width="45.28515625" style="733" bestFit="1" customWidth="1"/>
    <col min="10500" max="10500" width="0" style="733" hidden="1" customWidth="1"/>
    <col min="10501" max="10503" width="7.5703125" style="733" customWidth="1"/>
    <col min="10504" max="10504" width="7.42578125" style="733" bestFit="1" customWidth="1"/>
    <col min="10505" max="10506" width="7.5703125" style="733" bestFit="1" customWidth="1"/>
    <col min="10507" max="10507" width="8.7109375" style="733" bestFit="1" customWidth="1"/>
    <col min="10508" max="10508" width="7.5703125" style="733" bestFit="1" customWidth="1"/>
    <col min="10509" max="10512" width="7.7109375" style="733" bestFit="1" customWidth="1"/>
    <col min="10513" max="10513" width="0" style="733" hidden="1" customWidth="1"/>
    <col min="10514" max="10514" width="10.28515625" style="733" bestFit="1" customWidth="1"/>
    <col min="10515" max="10515" width="10" style="733" customWidth="1"/>
    <col min="10516" max="10516" width="8.85546875" style="733"/>
    <col min="10517" max="10517" width="35.42578125" style="733" customWidth="1"/>
    <col min="10518" max="10753" width="8.85546875" style="733"/>
    <col min="10754" max="10754" width="14" style="733" customWidth="1"/>
    <col min="10755" max="10755" width="45.28515625" style="733" bestFit="1" customWidth="1"/>
    <col min="10756" max="10756" width="0" style="733" hidden="1" customWidth="1"/>
    <col min="10757" max="10759" width="7.5703125" style="733" customWidth="1"/>
    <col min="10760" max="10760" width="7.42578125" style="733" bestFit="1" customWidth="1"/>
    <col min="10761" max="10762" width="7.5703125" style="733" bestFit="1" customWidth="1"/>
    <col min="10763" max="10763" width="8.7109375" style="733" bestFit="1" customWidth="1"/>
    <col min="10764" max="10764" width="7.5703125" style="733" bestFit="1" customWidth="1"/>
    <col min="10765" max="10768" width="7.7109375" style="733" bestFit="1" customWidth="1"/>
    <col min="10769" max="10769" width="0" style="733" hidden="1" customWidth="1"/>
    <col min="10770" max="10770" width="10.28515625" style="733" bestFit="1" customWidth="1"/>
    <col min="10771" max="10771" width="10" style="733" customWidth="1"/>
    <col min="10772" max="10772" width="8.85546875" style="733"/>
    <col min="10773" max="10773" width="35.42578125" style="733" customWidth="1"/>
    <col min="10774" max="11009" width="8.85546875" style="733"/>
    <col min="11010" max="11010" width="14" style="733" customWidth="1"/>
    <col min="11011" max="11011" width="45.28515625" style="733" bestFit="1" customWidth="1"/>
    <col min="11012" max="11012" width="0" style="733" hidden="1" customWidth="1"/>
    <col min="11013" max="11015" width="7.5703125" style="733" customWidth="1"/>
    <col min="11016" max="11016" width="7.42578125" style="733" bestFit="1" customWidth="1"/>
    <col min="11017" max="11018" width="7.5703125" style="733" bestFit="1" customWidth="1"/>
    <col min="11019" max="11019" width="8.7109375" style="733" bestFit="1" customWidth="1"/>
    <col min="11020" max="11020" width="7.5703125" style="733" bestFit="1" customWidth="1"/>
    <col min="11021" max="11024" width="7.7109375" style="733" bestFit="1" customWidth="1"/>
    <col min="11025" max="11025" width="0" style="733" hidden="1" customWidth="1"/>
    <col min="11026" max="11026" width="10.28515625" style="733" bestFit="1" customWidth="1"/>
    <col min="11027" max="11027" width="10" style="733" customWidth="1"/>
    <col min="11028" max="11028" width="8.85546875" style="733"/>
    <col min="11029" max="11029" width="35.42578125" style="733" customWidth="1"/>
    <col min="11030" max="11265" width="8.85546875" style="733"/>
    <col min="11266" max="11266" width="14" style="733" customWidth="1"/>
    <col min="11267" max="11267" width="45.28515625" style="733" bestFit="1" customWidth="1"/>
    <col min="11268" max="11268" width="0" style="733" hidden="1" customWidth="1"/>
    <col min="11269" max="11271" width="7.5703125" style="733" customWidth="1"/>
    <col min="11272" max="11272" width="7.42578125" style="733" bestFit="1" customWidth="1"/>
    <col min="11273" max="11274" width="7.5703125" style="733" bestFit="1" customWidth="1"/>
    <col min="11275" max="11275" width="8.7109375" style="733" bestFit="1" customWidth="1"/>
    <col min="11276" max="11276" width="7.5703125" style="733" bestFit="1" customWidth="1"/>
    <col min="11277" max="11280" width="7.7109375" style="733" bestFit="1" customWidth="1"/>
    <col min="11281" max="11281" width="0" style="733" hidden="1" customWidth="1"/>
    <col min="11282" max="11282" width="10.28515625" style="733" bestFit="1" customWidth="1"/>
    <col min="11283" max="11283" width="10" style="733" customWidth="1"/>
    <col min="11284" max="11284" width="8.85546875" style="733"/>
    <col min="11285" max="11285" width="35.42578125" style="733" customWidth="1"/>
    <col min="11286" max="11521" width="8.85546875" style="733"/>
    <col min="11522" max="11522" width="14" style="733" customWidth="1"/>
    <col min="11523" max="11523" width="45.28515625" style="733" bestFit="1" customWidth="1"/>
    <col min="11524" max="11524" width="0" style="733" hidden="1" customWidth="1"/>
    <col min="11525" max="11527" width="7.5703125" style="733" customWidth="1"/>
    <col min="11528" max="11528" width="7.42578125" style="733" bestFit="1" customWidth="1"/>
    <col min="11529" max="11530" width="7.5703125" style="733" bestFit="1" customWidth="1"/>
    <col min="11531" max="11531" width="8.7109375" style="733" bestFit="1" customWidth="1"/>
    <col min="11532" max="11532" width="7.5703125" style="733" bestFit="1" customWidth="1"/>
    <col min="11533" max="11536" width="7.7109375" style="733" bestFit="1" customWidth="1"/>
    <col min="11537" max="11537" width="0" style="733" hidden="1" customWidth="1"/>
    <col min="11538" max="11538" width="10.28515625" style="733" bestFit="1" customWidth="1"/>
    <col min="11539" max="11539" width="10" style="733" customWidth="1"/>
    <col min="11540" max="11540" width="8.85546875" style="733"/>
    <col min="11541" max="11541" width="35.42578125" style="733" customWidth="1"/>
    <col min="11542" max="11777" width="8.85546875" style="733"/>
    <col min="11778" max="11778" width="14" style="733" customWidth="1"/>
    <col min="11779" max="11779" width="45.28515625" style="733" bestFit="1" customWidth="1"/>
    <col min="11780" max="11780" width="0" style="733" hidden="1" customWidth="1"/>
    <col min="11781" max="11783" width="7.5703125" style="733" customWidth="1"/>
    <col min="11784" max="11784" width="7.42578125" style="733" bestFit="1" customWidth="1"/>
    <col min="11785" max="11786" width="7.5703125" style="733" bestFit="1" customWidth="1"/>
    <col min="11787" max="11787" width="8.7109375" style="733" bestFit="1" customWidth="1"/>
    <col min="11788" max="11788" width="7.5703125" style="733" bestFit="1" customWidth="1"/>
    <col min="11789" max="11792" width="7.7109375" style="733" bestFit="1" customWidth="1"/>
    <col min="11793" max="11793" width="0" style="733" hidden="1" customWidth="1"/>
    <col min="11794" max="11794" width="10.28515625" style="733" bestFit="1" customWidth="1"/>
    <col min="11795" max="11795" width="10" style="733" customWidth="1"/>
    <col min="11796" max="11796" width="8.85546875" style="733"/>
    <col min="11797" max="11797" width="35.42578125" style="733" customWidth="1"/>
    <col min="11798" max="12033" width="8.85546875" style="733"/>
    <col min="12034" max="12034" width="14" style="733" customWidth="1"/>
    <col min="12035" max="12035" width="45.28515625" style="733" bestFit="1" customWidth="1"/>
    <col min="12036" max="12036" width="0" style="733" hidden="1" customWidth="1"/>
    <col min="12037" max="12039" width="7.5703125" style="733" customWidth="1"/>
    <col min="12040" max="12040" width="7.42578125" style="733" bestFit="1" customWidth="1"/>
    <col min="12041" max="12042" width="7.5703125" style="733" bestFit="1" customWidth="1"/>
    <col min="12043" max="12043" width="8.7109375" style="733" bestFit="1" customWidth="1"/>
    <col min="12044" max="12044" width="7.5703125" style="733" bestFit="1" customWidth="1"/>
    <col min="12045" max="12048" width="7.7109375" style="733" bestFit="1" customWidth="1"/>
    <col min="12049" max="12049" width="0" style="733" hidden="1" customWidth="1"/>
    <col min="12050" max="12050" width="10.28515625" style="733" bestFit="1" customWidth="1"/>
    <col min="12051" max="12051" width="10" style="733" customWidth="1"/>
    <col min="12052" max="12052" width="8.85546875" style="733"/>
    <col min="12053" max="12053" width="35.42578125" style="733" customWidth="1"/>
    <col min="12054" max="12289" width="8.85546875" style="733"/>
    <col min="12290" max="12290" width="14" style="733" customWidth="1"/>
    <col min="12291" max="12291" width="45.28515625" style="733" bestFit="1" customWidth="1"/>
    <col min="12292" max="12292" width="0" style="733" hidden="1" customWidth="1"/>
    <col min="12293" max="12295" width="7.5703125" style="733" customWidth="1"/>
    <col min="12296" max="12296" width="7.42578125" style="733" bestFit="1" customWidth="1"/>
    <col min="12297" max="12298" width="7.5703125" style="733" bestFit="1" customWidth="1"/>
    <col min="12299" max="12299" width="8.7109375" style="733" bestFit="1" customWidth="1"/>
    <col min="12300" max="12300" width="7.5703125" style="733" bestFit="1" customWidth="1"/>
    <col min="12301" max="12304" width="7.7109375" style="733" bestFit="1" customWidth="1"/>
    <col min="12305" max="12305" width="0" style="733" hidden="1" customWidth="1"/>
    <col min="12306" max="12306" width="10.28515625" style="733" bestFit="1" customWidth="1"/>
    <col min="12307" max="12307" width="10" style="733" customWidth="1"/>
    <col min="12308" max="12308" width="8.85546875" style="733"/>
    <col min="12309" max="12309" width="35.42578125" style="733" customWidth="1"/>
    <col min="12310" max="12545" width="8.85546875" style="733"/>
    <col min="12546" max="12546" width="14" style="733" customWidth="1"/>
    <col min="12547" max="12547" width="45.28515625" style="733" bestFit="1" customWidth="1"/>
    <col min="12548" max="12548" width="0" style="733" hidden="1" customWidth="1"/>
    <col min="12549" max="12551" width="7.5703125" style="733" customWidth="1"/>
    <col min="12552" max="12552" width="7.42578125" style="733" bestFit="1" customWidth="1"/>
    <col min="12553" max="12554" width="7.5703125" style="733" bestFit="1" customWidth="1"/>
    <col min="12555" max="12555" width="8.7109375" style="733" bestFit="1" customWidth="1"/>
    <col min="12556" max="12556" width="7.5703125" style="733" bestFit="1" customWidth="1"/>
    <col min="12557" max="12560" width="7.7109375" style="733" bestFit="1" customWidth="1"/>
    <col min="12561" max="12561" width="0" style="733" hidden="1" customWidth="1"/>
    <col min="12562" max="12562" width="10.28515625" style="733" bestFit="1" customWidth="1"/>
    <col min="12563" max="12563" width="10" style="733" customWidth="1"/>
    <col min="12564" max="12564" width="8.85546875" style="733"/>
    <col min="12565" max="12565" width="35.42578125" style="733" customWidth="1"/>
    <col min="12566" max="12801" width="8.85546875" style="733"/>
    <col min="12802" max="12802" width="14" style="733" customWidth="1"/>
    <col min="12803" max="12803" width="45.28515625" style="733" bestFit="1" customWidth="1"/>
    <col min="12804" max="12804" width="0" style="733" hidden="1" customWidth="1"/>
    <col min="12805" max="12807" width="7.5703125" style="733" customWidth="1"/>
    <col min="12808" max="12808" width="7.42578125" style="733" bestFit="1" customWidth="1"/>
    <col min="12809" max="12810" width="7.5703125" style="733" bestFit="1" customWidth="1"/>
    <col min="12811" max="12811" width="8.7109375" style="733" bestFit="1" customWidth="1"/>
    <col min="12812" max="12812" width="7.5703125" style="733" bestFit="1" customWidth="1"/>
    <col min="12813" max="12816" width="7.7109375" style="733" bestFit="1" customWidth="1"/>
    <col min="12817" max="12817" width="0" style="733" hidden="1" customWidth="1"/>
    <col min="12818" max="12818" width="10.28515625" style="733" bestFit="1" customWidth="1"/>
    <col min="12819" max="12819" width="10" style="733" customWidth="1"/>
    <col min="12820" max="12820" width="8.85546875" style="733"/>
    <col min="12821" max="12821" width="35.42578125" style="733" customWidth="1"/>
    <col min="12822" max="13057" width="8.85546875" style="733"/>
    <col min="13058" max="13058" width="14" style="733" customWidth="1"/>
    <col min="13059" max="13059" width="45.28515625" style="733" bestFit="1" customWidth="1"/>
    <col min="13060" max="13060" width="0" style="733" hidden="1" customWidth="1"/>
    <col min="13061" max="13063" width="7.5703125" style="733" customWidth="1"/>
    <col min="13064" max="13064" width="7.42578125" style="733" bestFit="1" customWidth="1"/>
    <col min="13065" max="13066" width="7.5703125" style="733" bestFit="1" customWidth="1"/>
    <col min="13067" max="13067" width="8.7109375" style="733" bestFit="1" customWidth="1"/>
    <col min="13068" max="13068" width="7.5703125" style="733" bestFit="1" customWidth="1"/>
    <col min="13069" max="13072" width="7.7109375" style="733" bestFit="1" customWidth="1"/>
    <col min="13073" max="13073" width="0" style="733" hidden="1" customWidth="1"/>
    <col min="13074" max="13074" width="10.28515625" style="733" bestFit="1" customWidth="1"/>
    <col min="13075" max="13075" width="10" style="733" customWidth="1"/>
    <col min="13076" max="13076" width="8.85546875" style="733"/>
    <col min="13077" max="13077" width="35.42578125" style="733" customWidth="1"/>
    <col min="13078" max="13313" width="8.85546875" style="733"/>
    <col min="13314" max="13314" width="14" style="733" customWidth="1"/>
    <col min="13315" max="13315" width="45.28515625" style="733" bestFit="1" customWidth="1"/>
    <col min="13316" max="13316" width="0" style="733" hidden="1" customWidth="1"/>
    <col min="13317" max="13319" width="7.5703125" style="733" customWidth="1"/>
    <col min="13320" max="13320" width="7.42578125" style="733" bestFit="1" customWidth="1"/>
    <col min="13321" max="13322" width="7.5703125" style="733" bestFit="1" customWidth="1"/>
    <col min="13323" max="13323" width="8.7109375" style="733" bestFit="1" customWidth="1"/>
    <col min="13324" max="13324" width="7.5703125" style="733" bestFit="1" customWidth="1"/>
    <col min="13325" max="13328" width="7.7109375" style="733" bestFit="1" customWidth="1"/>
    <col min="13329" max="13329" width="0" style="733" hidden="1" customWidth="1"/>
    <col min="13330" max="13330" width="10.28515625" style="733" bestFit="1" customWidth="1"/>
    <col min="13331" max="13331" width="10" style="733" customWidth="1"/>
    <col min="13332" max="13332" width="8.85546875" style="733"/>
    <col min="13333" max="13333" width="35.42578125" style="733" customWidth="1"/>
    <col min="13334" max="13569" width="8.85546875" style="733"/>
    <col min="13570" max="13570" width="14" style="733" customWidth="1"/>
    <col min="13571" max="13571" width="45.28515625" style="733" bestFit="1" customWidth="1"/>
    <col min="13572" max="13572" width="0" style="733" hidden="1" customWidth="1"/>
    <col min="13573" max="13575" width="7.5703125" style="733" customWidth="1"/>
    <col min="13576" max="13576" width="7.42578125" style="733" bestFit="1" customWidth="1"/>
    <col min="13577" max="13578" width="7.5703125" style="733" bestFit="1" customWidth="1"/>
    <col min="13579" max="13579" width="8.7109375" style="733" bestFit="1" customWidth="1"/>
    <col min="13580" max="13580" width="7.5703125" style="733" bestFit="1" customWidth="1"/>
    <col min="13581" max="13584" width="7.7109375" style="733" bestFit="1" customWidth="1"/>
    <col min="13585" max="13585" width="0" style="733" hidden="1" customWidth="1"/>
    <col min="13586" max="13586" width="10.28515625" style="733" bestFit="1" customWidth="1"/>
    <col min="13587" max="13587" width="10" style="733" customWidth="1"/>
    <col min="13588" max="13588" width="8.85546875" style="733"/>
    <col min="13589" max="13589" width="35.42578125" style="733" customWidth="1"/>
    <col min="13590" max="13825" width="8.85546875" style="733"/>
    <col min="13826" max="13826" width="14" style="733" customWidth="1"/>
    <col min="13827" max="13827" width="45.28515625" style="733" bestFit="1" customWidth="1"/>
    <col min="13828" max="13828" width="0" style="733" hidden="1" customWidth="1"/>
    <col min="13829" max="13831" width="7.5703125" style="733" customWidth="1"/>
    <col min="13832" max="13832" width="7.42578125" style="733" bestFit="1" customWidth="1"/>
    <col min="13833" max="13834" width="7.5703125" style="733" bestFit="1" customWidth="1"/>
    <col min="13835" max="13835" width="8.7109375" style="733" bestFit="1" customWidth="1"/>
    <col min="13836" max="13836" width="7.5703125" style="733" bestFit="1" customWidth="1"/>
    <col min="13837" max="13840" width="7.7109375" style="733" bestFit="1" customWidth="1"/>
    <col min="13841" max="13841" width="0" style="733" hidden="1" customWidth="1"/>
    <col min="13842" max="13842" width="10.28515625" style="733" bestFit="1" customWidth="1"/>
    <col min="13843" max="13843" width="10" style="733" customWidth="1"/>
    <col min="13844" max="13844" width="8.85546875" style="733"/>
    <col min="13845" max="13845" width="35.42578125" style="733" customWidth="1"/>
    <col min="13846" max="14081" width="8.85546875" style="733"/>
    <col min="14082" max="14082" width="14" style="733" customWidth="1"/>
    <col min="14083" max="14083" width="45.28515625" style="733" bestFit="1" customWidth="1"/>
    <col min="14084" max="14084" width="0" style="733" hidden="1" customWidth="1"/>
    <col min="14085" max="14087" width="7.5703125" style="733" customWidth="1"/>
    <col min="14088" max="14088" width="7.42578125" style="733" bestFit="1" customWidth="1"/>
    <col min="14089" max="14090" width="7.5703125" style="733" bestFit="1" customWidth="1"/>
    <col min="14091" max="14091" width="8.7109375" style="733" bestFit="1" customWidth="1"/>
    <col min="14092" max="14092" width="7.5703125" style="733" bestFit="1" customWidth="1"/>
    <col min="14093" max="14096" width="7.7109375" style="733" bestFit="1" customWidth="1"/>
    <col min="14097" max="14097" width="0" style="733" hidden="1" customWidth="1"/>
    <col min="14098" max="14098" width="10.28515625" style="733" bestFit="1" customWidth="1"/>
    <col min="14099" max="14099" width="10" style="733" customWidth="1"/>
    <col min="14100" max="14100" width="8.85546875" style="733"/>
    <col min="14101" max="14101" width="35.42578125" style="733" customWidth="1"/>
    <col min="14102" max="14337" width="8.85546875" style="733"/>
    <col min="14338" max="14338" width="14" style="733" customWidth="1"/>
    <col min="14339" max="14339" width="45.28515625" style="733" bestFit="1" customWidth="1"/>
    <col min="14340" max="14340" width="0" style="733" hidden="1" customWidth="1"/>
    <col min="14341" max="14343" width="7.5703125" style="733" customWidth="1"/>
    <col min="14344" max="14344" width="7.42578125" style="733" bestFit="1" customWidth="1"/>
    <col min="14345" max="14346" width="7.5703125" style="733" bestFit="1" customWidth="1"/>
    <col min="14347" max="14347" width="8.7109375" style="733" bestFit="1" customWidth="1"/>
    <col min="14348" max="14348" width="7.5703125" style="733" bestFit="1" customWidth="1"/>
    <col min="14349" max="14352" width="7.7109375" style="733" bestFit="1" customWidth="1"/>
    <col min="14353" max="14353" width="0" style="733" hidden="1" customWidth="1"/>
    <col min="14354" max="14354" width="10.28515625" style="733" bestFit="1" customWidth="1"/>
    <col min="14355" max="14355" width="10" style="733" customWidth="1"/>
    <col min="14356" max="14356" width="8.85546875" style="733"/>
    <col min="14357" max="14357" width="35.42578125" style="733" customWidth="1"/>
    <col min="14358" max="14593" width="8.85546875" style="733"/>
    <col min="14594" max="14594" width="14" style="733" customWidth="1"/>
    <col min="14595" max="14595" width="45.28515625" style="733" bestFit="1" customWidth="1"/>
    <col min="14596" max="14596" width="0" style="733" hidden="1" customWidth="1"/>
    <col min="14597" max="14599" width="7.5703125" style="733" customWidth="1"/>
    <col min="14600" max="14600" width="7.42578125" style="733" bestFit="1" customWidth="1"/>
    <col min="14601" max="14602" width="7.5703125" style="733" bestFit="1" customWidth="1"/>
    <col min="14603" max="14603" width="8.7109375" style="733" bestFit="1" customWidth="1"/>
    <col min="14604" max="14604" width="7.5703125" style="733" bestFit="1" customWidth="1"/>
    <col min="14605" max="14608" width="7.7109375" style="733" bestFit="1" customWidth="1"/>
    <col min="14609" max="14609" width="0" style="733" hidden="1" customWidth="1"/>
    <col min="14610" max="14610" width="10.28515625" style="733" bestFit="1" customWidth="1"/>
    <col min="14611" max="14611" width="10" style="733" customWidth="1"/>
    <col min="14612" max="14612" width="8.85546875" style="733"/>
    <col min="14613" max="14613" width="35.42578125" style="733" customWidth="1"/>
    <col min="14614" max="14849" width="8.85546875" style="733"/>
    <col min="14850" max="14850" width="14" style="733" customWidth="1"/>
    <col min="14851" max="14851" width="45.28515625" style="733" bestFit="1" customWidth="1"/>
    <col min="14852" max="14852" width="0" style="733" hidden="1" customWidth="1"/>
    <col min="14853" max="14855" width="7.5703125" style="733" customWidth="1"/>
    <col min="14856" max="14856" width="7.42578125" style="733" bestFit="1" customWidth="1"/>
    <col min="14857" max="14858" width="7.5703125" style="733" bestFit="1" customWidth="1"/>
    <col min="14859" max="14859" width="8.7109375" style="733" bestFit="1" customWidth="1"/>
    <col min="14860" max="14860" width="7.5703125" style="733" bestFit="1" customWidth="1"/>
    <col min="14861" max="14864" width="7.7109375" style="733" bestFit="1" customWidth="1"/>
    <col min="14865" max="14865" width="0" style="733" hidden="1" customWidth="1"/>
    <col min="14866" max="14866" width="10.28515625" style="733" bestFit="1" customWidth="1"/>
    <col min="14867" max="14867" width="10" style="733" customWidth="1"/>
    <col min="14868" max="14868" width="8.85546875" style="733"/>
    <col min="14869" max="14869" width="35.42578125" style="733" customWidth="1"/>
    <col min="14870" max="15105" width="8.85546875" style="733"/>
    <col min="15106" max="15106" width="14" style="733" customWidth="1"/>
    <col min="15107" max="15107" width="45.28515625" style="733" bestFit="1" customWidth="1"/>
    <col min="15108" max="15108" width="0" style="733" hidden="1" customWidth="1"/>
    <col min="15109" max="15111" width="7.5703125" style="733" customWidth="1"/>
    <col min="15112" max="15112" width="7.42578125" style="733" bestFit="1" customWidth="1"/>
    <col min="15113" max="15114" width="7.5703125" style="733" bestFit="1" customWidth="1"/>
    <col min="15115" max="15115" width="8.7109375" style="733" bestFit="1" customWidth="1"/>
    <col min="15116" max="15116" width="7.5703125" style="733" bestFit="1" customWidth="1"/>
    <col min="15117" max="15120" width="7.7109375" style="733" bestFit="1" customWidth="1"/>
    <col min="15121" max="15121" width="0" style="733" hidden="1" customWidth="1"/>
    <col min="15122" max="15122" width="10.28515625" style="733" bestFit="1" customWidth="1"/>
    <col min="15123" max="15123" width="10" style="733" customWidth="1"/>
    <col min="15124" max="15124" width="8.85546875" style="733"/>
    <col min="15125" max="15125" width="35.42578125" style="733" customWidth="1"/>
    <col min="15126" max="15361" width="8.85546875" style="733"/>
    <col min="15362" max="15362" width="14" style="733" customWidth="1"/>
    <col min="15363" max="15363" width="45.28515625" style="733" bestFit="1" customWidth="1"/>
    <col min="15364" max="15364" width="0" style="733" hidden="1" customWidth="1"/>
    <col min="15365" max="15367" width="7.5703125" style="733" customWidth="1"/>
    <col min="15368" max="15368" width="7.42578125" style="733" bestFit="1" customWidth="1"/>
    <col min="15369" max="15370" width="7.5703125" style="733" bestFit="1" customWidth="1"/>
    <col min="15371" max="15371" width="8.7109375" style="733" bestFit="1" customWidth="1"/>
    <col min="15372" max="15372" width="7.5703125" style="733" bestFit="1" customWidth="1"/>
    <col min="15373" max="15376" width="7.7109375" style="733" bestFit="1" customWidth="1"/>
    <col min="15377" max="15377" width="0" style="733" hidden="1" customWidth="1"/>
    <col min="15378" max="15378" width="10.28515625" style="733" bestFit="1" customWidth="1"/>
    <col min="15379" max="15379" width="10" style="733" customWidth="1"/>
    <col min="15380" max="15380" width="8.85546875" style="733"/>
    <col min="15381" max="15381" width="35.42578125" style="733" customWidth="1"/>
    <col min="15382" max="15617" width="8.85546875" style="733"/>
    <col min="15618" max="15618" width="14" style="733" customWidth="1"/>
    <col min="15619" max="15619" width="45.28515625" style="733" bestFit="1" customWidth="1"/>
    <col min="15620" max="15620" width="0" style="733" hidden="1" customWidth="1"/>
    <col min="15621" max="15623" width="7.5703125" style="733" customWidth="1"/>
    <col min="15624" max="15624" width="7.42578125" style="733" bestFit="1" customWidth="1"/>
    <col min="15625" max="15626" width="7.5703125" style="733" bestFit="1" customWidth="1"/>
    <col min="15627" max="15627" width="8.7109375" style="733" bestFit="1" customWidth="1"/>
    <col min="15628" max="15628" width="7.5703125" style="733" bestFit="1" customWidth="1"/>
    <col min="15629" max="15632" width="7.7109375" style="733" bestFit="1" customWidth="1"/>
    <col min="15633" max="15633" width="0" style="733" hidden="1" customWidth="1"/>
    <col min="15634" max="15634" width="10.28515625" style="733" bestFit="1" customWidth="1"/>
    <col min="15635" max="15635" width="10" style="733" customWidth="1"/>
    <col min="15636" max="15636" width="8.85546875" style="733"/>
    <col min="15637" max="15637" width="35.42578125" style="733" customWidth="1"/>
    <col min="15638" max="15873" width="8.85546875" style="733"/>
    <col min="15874" max="15874" width="14" style="733" customWidth="1"/>
    <col min="15875" max="15875" width="45.28515625" style="733" bestFit="1" customWidth="1"/>
    <col min="15876" max="15876" width="0" style="733" hidden="1" customWidth="1"/>
    <col min="15877" max="15879" width="7.5703125" style="733" customWidth="1"/>
    <col min="15880" max="15880" width="7.42578125" style="733" bestFit="1" customWidth="1"/>
    <col min="15881" max="15882" width="7.5703125" style="733" bestFit="1" customWidth="1"/>
    <col min="15883" max="15883" width="8.7109375" style="733" bestFit="1" customWidth="1"/>
    <col min="15884" max="15884" width="7.5703125" style="733" bestFit="1" customWidth="1"/>
    <col min="15885" max="15888" width="7.7109375" style="733" bestFit="1" customWidth="1"/>
    <col min="15889" max="15889" width="0" style="733" hidden="1" customWidth="1"/>
    <col min="15890" max="15890" width="10.28515625" style="733" bestFit="1" customWidth="1"/>
    <col min="15891" max="15891" width="10" style="733" customWidth="1"/>
    <col min="15892" max="15892" width="8.85546875" style="733"/>
    <col min="15893" max="15893" width="35.42578125" style="733" customWidth="1"/>
    <col min="15894" max="16129" width="8.85546875" style="733"/>
    <col min="16130" max="16130" width="14" style="733" customWidth="1"/>
    <col min="16131" max="16131" width="45.28515625" style="733" bestFit="1" customWidth="1"/>
    <col min="16132" max="16132" width="0" style="733" hidden="1" customWidth="1"/>
    <col min="16133" max="16135" width="7.5703125" style="733" customWidth="1"/>
    <col min="16136" max="16136" width="7.42578125" style="733" bestFit="1" customWidth="1"/>
    <col min="16137" max="16138" width="7.5703125" style="733" bestFit="1" customWidth="1"/>
    <col min="16139" max="16139" width="8.7109375" style="733" bestFit="1" customWidth="1"/>
    <col min="16140" max="16140" width="7.5703125" style="733" bestFit="1" customWidth="1"/>
    <col min="16141" max="16144" width="7.7109375" style="733" bestFit="1" customWidth="1"/>
    <col min="16145" max="16145" width="0" style="733" hidden="1" customWidth="1"/>
    <col min="16146" max="16146" width="10.28515625" style="733" bestFit="1" customWidth="1"/>
    <col min="16147" max="16147" width="10" style="733" customWidth="1"/>
    <col min="16148" max="16148" width="8.85546875" style="733"/>
    <col min="16149" max="16149" width="35.42578125" style="733" customWidth="1"/>
    <col min="16150" max="16383" width="8.85546875" style="733"/>
    <col min="16384" max="16384" width="8.85546875" style="733" customWidth="1"/>
  </cols>
  <sheetData>
    <row r="1" spans="1:21" ht="15.75" x14ac:dyDescent="0.25">
      <c r="B1" s="252" t="s">
        <v>682</v>
      </c>
    </row>
    <row r="2" spans="1:21" ht="15.75" x14ac:dyDescent="0.25">
      <c r="B2" s="789" t="str">
        <f>+'Monthly Budget'!B2</f>
        <v xml:space="preserve">FY24 Preliminary Budget </v>
      </c>
      <c r="R2" s="735"/>
      <c r="S2" s="735"/>
    </row>
    <row r="3" spans="1:21" ht="16.5" customHeight="1" thickBot="1" x14ac:dyDescent="0.25">
      <c r="A3" s="784"/>
      <c r="C3" s="736" t="s">
        <v>296</v>
      </c>
      <c r="D3" s="964" t="s">
        <v>951</v>
      </c>
      <c r="E3" s="964"/>
      <c r="F3" s="964"/>
      <c r="G3" s="964"/>
      <c r="H3" s="964"/>
      <c r="I3" s="964"/>
      <c r="J3" s="964"/>
      <c r="K3" s="964"/>
      <c r="L3" s="964" t="s">
        <v>586</v>
      </c>
      <c r="Q3" s="620"/>
      <c r="R3" s="645" t="s">
        <v>990</v>
      </c>
      <c r="S3" s="645" t="s">
        <v>1030</v>
      </c>
    </row>
    <row r="4" spans="1:21" ht="34.5" thickTop="1" x14ac:dyDescent="0.2">
      <c r="B4" s="852"/>
      <c r="C4" s="737" t="s">
        <v>333</v>
      </c>
      <c r="D4" s="621" t="s">
        <v>334</v>
      </c>
      <c r="E4" s="621" t="s">
        <v>683</v>
      </c>
      <c r="F4" s="621" t="s">
        <v>335</v>
      </c>
      <c r="G4" s="621" t="s">
        <v>336</v>
      </c>
      <c r="H4" s="621" t="s">
        <v>337</v>
      </c>
      <c r="I4" s="621" t="s">
        <v>338</v>
      </c>
      <c r="J4" s="621" t="s">
        <v>339</v>
      </c>
      <c r="K4" s="621" t="s">
        <v>340</v>
      </c>
      <c r="L4" s="621" t="s">
        <v>340</v>
      </c>
      <c r="M4" s="621" t="s">
        <v>341</v>
      </c>
      <c r="N4" s="621" t="s">
        <v>342</v>
      </c>
      <c r="O4" s="621" t="s">
        <v>343</v>
      </c>
      <c r="P4" s="621" t="s">
        <v>344</v>
      </c>
      <c r="Q4" s="738" t="s">
        <v>345</v>
      </c>
      <c r="R4" s="739" t="s">
        <v>952</v>
      </c>
      <c r="S4" s="739" t="s">
        <v>1032</v>
      </c>
      <c r="T4" s="740" t="s">
        <v>346</v>
      </c>
      <c r="U4" s="852"/>
    </row>
    <row r="5" spans="1:21" ht="15.75" x14ac:dyDescent="0.25">
      <c r="B5" s="853" t="s">
        <v>347</v>
      </c>
      <c r="C5" s="741"/>
      <c r="D5" s="622"/>
      <c r="E5" s="622"/>
      <c r="F5" s="622"/>
      <c r="G5" s="622"/>
      <c r="H5" s="622"/>
      <c r="I5" s="622"/>
      <c r="J5" s="622"/>
      <c r="K5" s="622"/>
      <c r="L5" s="622"/>
      <c r="M5" s="622"/>
      <c r="N5" s="622"/>
      <c r="O5" s="622"/>
      <c r="P5" s="622"/>
      <c r="Q5" s="623"/>
      <c r="R5" s="624"/>
      <c r="S5" s="624"/>
      <c r="U5" s="742"/>
    </row>
    <row r="6" spans="1:21" x14ac:dyDescent="0.2">
      <c r="B6" s="854" t="s">
        <v>348</v>
      </c>
      <c r="C6" s="743"/>
      <c r="D6" s="949"/>
      <c r="E6" s="949"/>
      <c r="F6" s="949"/>
      <c r="G6" s="949"/>
      <c r="H6" s="949"/>
      <c r="I6" s="949"/>
      <c r="J6" s="949"/>
      <c r="K6" s="949"/>
      <c r="L6" s="1014"/>
      <c r="M6" s="1043"/>
      <c r="N6" s="1043"/>
      <c r="O6" s="1043"/>
      <c r="P6" s="1043"/>
      <c r="Q6" s="626"/>
      <c r="R6" s="627"/>
      <c r="S6" s="627"/>
      <c r="U6" s="742"/>
    </row>
    <row r="7" spans="1:21" x14ac:dyDescent="0.2">
      <c r="A7" s="790" t="s">
        <v>684</v>
      </c>
      <c r="B7" s="791" t="s">
        <v>349</v>
      </c>
      <c r="C7" s="792"/>
      <c r="D7" s="950">
        <f>+'Monthly Budget'!D7</f>
        <v>562989.9488258427</v>
      </c>
      <c r="E7" s="950">
        <f>+'Monthly Budget'!E7</f>
        <v>562989.9488258427</v>
      </c>
      <c r="F7" s="950">
        <f>+'Monthly Budget'!F7</f>
        <v>562989.9488258427</v>
      </c>
      <c r="G7" s="950">
        <f>+'Monthly Budget'!G7</f>
        <v>562989.9488258427</v>
      </c>
      <c r="H7" s="950">
        <f>+'Monthly Budget'!H7</f>
        <v>562989.9488258427</v>
      </c>
      <c r="I7" s="950">
        <f>+'Monthly Budget'!I7</f>
        <v>562989.9488258427</v>
      </c>
      <c r="J7" s="950">
        <f>+'Monthly Budget'!J7</f>
        <v>562989.9488258427</v>
      </c>
      <c r="K7" s="950">
        <f>+'Monthly Budget'!K7</f>
        <v>562989.9488258427</v>
      </c>
      <c r="L7" s="1015">
        <v>511195.6</v>
      </c>
      <c r="M7" s="1044">
        <f>+'Monthly Budget'!L7</f>
        <v>562989.9488258427</v>
      </c>
      <c r="N7" s="1044">
        <f>+'Monthly Budget'!M7</f>
        <v>562989.9488258427</v>
      </c>
      <c r="O7" s="1044">
        <f>+'Monthly Budget'!N7</f>
        <v>562989.9488258427</v>
      </c>
      <c r="P7" s="1044">
        <f>+'Monthly Budget'!O7</f>
        <v>562989.9488258427</v>
      </c>
      <c r="Q7" s="881"/>
      <c r="R7" s="747">
        <f t="shared" ref="R7:R14" si="0">SUM(D7:Q7)-L7</f>
        <v>6755879.3859101124</v>
      </c>
      <c r="S7" s="794">
        <v>5910980.6043577986</v>
      </c>
      <c r="T7" s="624">
        <f>R7-S7</f>
        <v>844898.78155231383</v>
      </c>
      <c r="U7" s="970" t="s">
        <v>968</v>
      </c>
    </row>
    <row r="8" spans="1:21" x14ac:dyDescent="0.2">
      <c r="A8" s="744" t="s">
        <v>685</v>
      </c>
      <c r="B8" s="745" t="s">
        <v>350</v>
      </c>
      <c r="C8" s="746"/>
      <c r="D8" s="950">
        <f>+'Monthly Budget'!D8</f>
        <v>0</v>
      </c>
      <c r="E8" s="950">
        <f>+'Monthly Budget'!E8</f>
        <v>0</v>
      </c>
      <c r="F8" s="950">
        <f>+'Monthly Budget'!F8</f>
        <v>16691.64</v>
      </c>
      <c r="G8" s="950">
        <f>+'Monthly Budget'!G8</f>
        <v>0</v>
      </c>
      <c r="H8" s="950">
        <f>+'Monthly Budget'!H8</f>
        <v>0</v>
      </c>
      <c r="I8" s="950">
        <f>+'Monthly Budget'!I8</f>
        <v>0</v>
      </c>
      <c r="J8" s="950">
        <f>+'Monthly Budget'!J8</f>
        <v>0</v>
      </c>
      <c r="K8" s="950">
        <f>+'Monthly Budget'!K8</f>
        <v>0</v>
      </c>
      <c r="L8" s="1016">
        <v>0</v>
      </c>
      <c r="M8" s="1045">
        <f>+'Monthly Budget'!L8</f>
        <v>0</v>
      </c>
      <c r="N8" s="1045">
        <f>+'Monthly Budget'!M8</f>
        <v>0</v>
      </c>
      <c r="O8" s="1045">
        <f>+'Monthly Budget'!N8</f>
        <v>0</v>
      </c>
      <c r="P8" s="1045">
        <f>+'Monthly Budget'!O8</f>
        <v>0</v>
      </c>
      <c r="Q8" s="628"/>
      <c r="R8" s="747">
        <f t="shared" si="0"/>
        <v>16691.64</v>
      </c>
      <c r="S8" s="747">
        <v>0</v>
      </c>
      <c r="T8" s="619">
        <f t="shared" ref="T8:T14" si="1">R8-S8</f>
        <v>16691.64</v>
      </c>
      <c r="U8" s="742"/>
    </row>
    <row r="9" spans="1:21" x14ac:dyDescent="0.2">
      <c r="A9" s="744" t="s">
        <v>929</v>
      </c>
      <c r="B9" s="745" t="s">
        <v>930</v>
      </c>
      <c r="C9" s="746"/>
      <c r="D9" s="950">
        <f>+'Monthly Budget'!D9</f>
        <v>0</v>
      </c>
      <c r="E9" s="950">
        <f>+'Monthly Budget'!E9</f>
        <v>0</v>
      </c>
      <c r="F9" s="950">
        <f>+'Monthly Budget'!F9</f>
        <v>0</v>
      </c>
      <c r="G9" s="950">
        <f>+'Monthly Budget'!G9</f>
        <v>0</v>
      </c>
      <c r="H9" s="950">
        <f>+'Monthly Budget'!H9</f>
        <v>0</v>
      </c>
      <c r="I9" s="950">
        <f>+'Monthly Budget'!I9</f>
        <v>0</v>
      </c>
      <c r="J9" s="950">
        <f>+'Monthly Budget'!J9</f>
        <v>0</v>
      </c>
      <c r="K9" s="950">
        <f>+'Monthly Budget'!K9</f>
        <v>0</v>
      </c>
      <c r="L9" s="1016">
        <v>0</v>
      </c>
      <c r="M9" s="1045">
        <f>+'Monthly Budget'!L9</f>
        <v>0</v>
      </c>
      <c r="N9" s="1045">
        <f>+'Monthly Budget'!M9</f>
        <v>0</v>
      </c>
      <c r="O9" s="1045">
        <f>+'Monthly Budget'!N9</f>
        <v>0</v>
      </c>
      <c r="P9" s="1045">
        <f>+'Monthly Budget'!O9</f>
        <v>0</v>
      </c>
      <c r="Q9" s="628"/>
      <c r="R9" s="747">
        <f t="shared" si="0"/>
        <v>0</v>
      </c>
      <c r="S9" s="747">
        <v>0</v>
      </c>
      <c r="T9" s="619">
        <f t="shared" si="1"/>
        <v>0</v>
      </c>
      <c r="U9" s="742"/>
    </row>
    <row r="10" spans="1:21" ht="10.15" customHeight="1" x14ac:dyDescent="0.2">
      <c r="A10" s="744" t="s">
        <v>686</v>
      </c>
      <c r="B10" s="745" t="s">
        <v>351</v>
      </c>
      <c r="C10" s="746"/>
      <c r="D10" s="950">
        <f>+'Monthly Budget'!D10</f>
        <v>0</v>
      </c>
      <c r="E10" s="950">
        <f>+'Monthly Budget'!E10</f>
        <v>39679.166666666664</v>
      </c>
      <c r="F10" s="950">
        <f>+'Monthly Budget'!F10</f>
        <v>39679.166666666664</v>
      </c>
      <c r="G10" s="950">
        <f>+'Monthly Budget'!G10</f>
        <v>39679.166666666664</v>
      </c>
      <c r="H10" s="950">
        <f>+'Monthly Budget'!H10</f>
        <v>39679.166666666664</v>
      </c>
      <c r="I10" s="950">
        <f>+'Monthly Budget'!I10</f>
        <v>39679.166666666664</v>
      </c>
      <c r="J10" s="950">
        <f>+'Monthly Budget'!J10</f>
        <v>39679.166666666664</v>
      </c>
      <c r="K10" s="950">
        <f>+'Monthly Budget'!K10</f>
        <v>39679.166666666664</v>
      </c>
      <c r="L10" s="1017">
        <v>35138.400000000001</v>
      </c>
      <c r="M10" s="1044">
        <f>+'Monthly Budget'!L10</f>
        <v>39679.166666666664</v>
      </c>
      <c r="N10" s="1044">
        <f>+'Monthly Budget'!M10</f>
        <v>39679.166666666664</v>
      </c>
      <c r="O10" s="1044">
        <f>+'Monthly Budget'!N10</f>
        <v>39679.166666666664</v>
      </c>
      <c r="P10" s="1044">
        <f>+'Monthly Budget'!O10</f>
        <v>79358.333333333328</v>
      </c>
      <c r="Q10" s="628"/>
      <c r="R10" s="747">
        <f t="shared" si="0"/>
        <v>476150</v>
      </c>
      <c r="S10" s="747">
        <v>454448</v>
      </c>
      <c r="T10" s="619">
        <f t="shared" si="1"/>
        <v>21702</v>
      </c>
      <c r="U10" s="971" t="s">
        <v>967</v>
      </c>
    </row>
    <row r="11" spans="1:21" x14ac:dyDescent="0.2">
      <c r="A11" s="744"/>
      <c r="B11" s="745" t="s">
        <v>352</v>
      </c>
      <c r="C11" s="746"/>
      <c r="D11" s="950">
        <f>+'Monthly Budget'!D11</f>
        <v>0</v>
      </c>
      <c r="E11" s="950">
        <f>+'Monthly Budget'!E11</f>
        <v>0</v>
      </c>
      <c r="F11" s="950">
        <f>+'Monthly Budget'!F11</f>
        <v>0</v>
      </c>
      <c r="G11" s="950">
        <f>+'Monthly Budget'!G11</f>
        <v>0</v>
      </c>
      <c r="H11" s="950">
        <f>+'Monthly Budget'!H11</f>
        <v>0</v>
      </c>
      <c r="I11" s="950">
        <f>+'Monthly Budget'!I11</f>
        <v>0</v>
      </c>
      <c r="J11" s="950">
        <f>+'Monthly Budget'!J11</f>
        <v>0</v>
      </c>
      <c r="K11" s="950">
        <f>+'Monthly Budget'!K11</f>
        <v>0</v>
      </c>
      <c r="L11" s="1016">
        <v>0</v>
      </c>
      <c r="M11" s="1045">
        <f>+'Monthly Budget'!L11</f>
        <v>0</v>
      </c>
      <c r="N11" s="1045">
        <f>+'Monthly Budget'!M11</f>
        <v>0</v>
      </c>
      <c r="O11" s="1045">
        <f>+'Monthly Budget'!N11</f>
        <v>0</v>
      </c>
      <c r="P11" s="1045">
        <f>+'Monthly Budget'!O11</f>
        <v>0</v>
      </c>
      <c r="Q11" s="607">
        <v>0</v>
      </c>
      <c r="R11" s="747">
        <f t="shared" si="0"/>
        <v>0</v>
      </c>
      <c r="S11" s="747">
        <v>0</v>
      </c>
      <c r="T11" s="619">
        <f t="shared" si="1"/>
        <v>0</v>
      </c>
      <c r="U11" s="742"/>
    </row>
    <row r="12" spans="1:21" x14ac:dyDescent="0.2">
      <c r="A12" s="744"/>
      <c r="B12" s="745" t="s">
        <v>687</v>
      </c>
      <c r="C12" s="746"/>
      <c r="D12" s="950">
        <f>+'Monthly Budget'!D12</f>
        <v>0</v>
      </c>
      <c r="E12" s="950">
        <f>+'Monthly Budget'!E12</f>
        <v>0</v>
      </c>
      <c r="F12" s="950">
        <f>+'Monthly Budget'!F12</f>
        <v>0</v>
      </c>
      <c r="G12" s="950">
        <f>+'Monthly Budget'!G12</f>
        <v>0</v>
      </c>
      <c r="H12" s="950">
        <f>+'Monthly Budget'!H12</f>
        <v>0</v>
      </c>
      <c r="I12" s="950">
        <f>+'Monthly Budget'!I12</f>
        <v>0</v>
      </c>
      <c r="J12" s="950">
        <f>+'Monthly Budget'!J12</f>
        <v>0</v>
      </c>
      <c r="K12" s="950">
        <f>+'Monthly Budget'!K12</f>
        <v>0</v>
      </c>
      <c r="L12" s="1016">
        <v>0</v>
      </c>
      <c r="M12" s="1045">
        <f>+'Monthly Budget'!L12</f>
        <v>0</v>
      </c>
      <c r="N12" s="1045">
        <f>+'Monthly Budget'!M12</f>
        <v>0</v>
      </c>
      <c r="O12" s="1045">
        <f>+'Monthly Budget'!N12</f>
        <v>0</v>
      </c>
      <c r="P12" s="1045">
        <f>+'Monthly Budget'!O12</f>
        <v>0</v>
      </c>
      <c r="Q12" s="607">
        <v>0</v>
      </c>
      <c r="R12" s="747">
        <f t="shared" si="0"/>
        <v>0</v>
      </c>
      <c r="S12" s="747">
        <v>0</v>
      </c>
      <c r="T12" s="619">
        <f t="shared" si="1"/>
        <v>0</v>
      </c>
      <c r="U12" s="742"/>
    </row>
    <row r="13" spans="1:21" x14ac:dyDescent="0.2">
      <c r="A13" s="744" t="s">
        <v>688</v>
      </c>
      <c r="B13" s="745" t="s">
        <v>657</v>
      </c>
      <c r="C13" s="746"/>
      <c r="D13" s="950">
        <f>+'Monthly Budget'!D13</f>
        <v>0</v>
      </c>
      <c r="E13" s="950">
        <f>+'Monthly Budget'!E13</f>
        <v>0</v>
      </c>
      <c r="F13" s="950">
        <f>+'Monthly Budget'!F13</f>
        <v>0</v>
      </c>
      <c r="G13" s="950">
        <f>+'Monthly Budget'!G13</f>
        <v>0</v>
      </c>
      <c r="H13" s="950">
        <f>+'Monthly Budget'!H13</f>
        <v>0</v>
      </c>
      <c r="I13" s="950">
        <f>+'Monthly Budget'!I13</f>
        <v>0</v>
      </c>
      <c r="J13" s="950">
        <f>+'Monthly Budget'!J13</f>
        <v>0</v>
      </c>
      <c r="K13" s="950">
        <f>+'Monthly Budget'!K13</f>
        <v>0</v>
      </c>
      <c r="L13" s="1016">
        <v>0</v>
      </c>
      <c r="M13" s="1045">
        <f>+'Monthly Budget'!L13</f>
        <v>0</v>
      </c>
      <c r="N13" s="1045">
        <f>+'Monthly Budget'!M13</f>
        <v>0</v>
      </c>
      <c r="O13" s="1045">
        <f>+'Monthly Budget'!N13</f>
        <v>0</v>
      </c>
      <c r="P13" s="1045">
        <f>+'Monthly Budget'!O13</f>
        <v>0</v>
      </c>
      <c r="Q13" s="607">
        <v>0</v>
      </c>
      <c r="R13" s="747">
        <f t="shared" si="0"/>
        <v>0</v>
      </c>
      <c r="S13" s="747">
        <v>0</v>
      </c>
      <c r="T13" s="619">
        <f t="shared" si="1"/>
        <v>0</v>
      </c>
      <c r="U13" s="742"/>
    </row>
    <row r="14" spans="1:21" x14ac:dyDescent="0.2">
      <c r="A14" s="744" t="s">
        <v>688</v>
      </c>
      <c r="B14" s="745" t="s">
        <v>689</v>
      </c>
      <c r="C14" s="746"/>
      <c r="D14" s="950">
        <f>+'Monthly Budget'!D14</f>
        <v>0</v>
      </c>
      <c r="E14" s="950">
        <f>+'Monthly Budget'!E14</f>
        <v>0</v>
      </c>
      <c r="F14" s="950">
        <f>+'Monthly Budget'!F14</f>
        <v>223661</v>
      </c>
      <c r="G14" s="950">
        <f>+'Monthly Budget'!G14</f>
        <v>0</v>
      </c>
      <c r="H14" s="950">
        <f>+'Monthly Budget'!H14</f>
        <v>0</v>
      </c>
      <c r="I14" s="950">
        <f>+'Monthly Budget'!I14</f>
        <v>0</v>
      </c>
      <c r="J14" s="950">
        <f>+'Monthly Budget'!J14</f>
        <v>0</v>
      </c>
      <c r="K14" s="950">
        <f>+'Monthly Budget'!K14</f>
        <v>0</v>
      </c>
      <c r="L14" s="1016"/>
      <c r="M14" s="1045">
        <f>+'Monthly Budget'!L14</f>
        <v>0</v>
      </c>
      <c r="N14" s="1045">
        <f>+'Monthly Budget'!M14</f>
        <v>0</v>
      </c>
      <c r="O14" s="1045">
        <f>+'Monthly Budget'!N14</f>
        <v>0</v>
      </c>
      <c r="P14" s="1045">
        <f>+'Monthly Budget'!O14</f>
        <v>357500</v>
      </c>
      <c r="Q14" s="628">
        <v>0</v>
      </c>
      <c r="R14" s="747">
        <f t="shared" si="0"/>
        <v>581161</v>
      </c>
      <c r="S14" s="636">
        <v>0</v>
      </c>
      <c r="T14" s="607">
        <f t="shared" si="1"/>
        <v>581161</v>
      </c>
      <c r="U14" s="872"/>
    </row>
    <row r="15" spans="1:21" ht="12" thickBot="1" x14ac:dyDescent="0.25">
      <c r="B15" s="855" t="s">
        <v>353</v>
      </c>
      <c r="C15" s="743"/>
      <c r="D15" s="952">
        <f t="shared" ref="D15:I15" si="2">SUM(D7:D14)</f>
        <v>562989.9488258427</v>
      </c>
      <c r="E15" s="952">
        <f t="shared" si="2"/>
        <v>602669.11549250933</v>
      </c>
      <c r="F15" s="952">
        <f t="shared" si="2"/>
        <v>843021.75549250934</v>
      </c>
      <c r="G15" s="952">
        <f>SUM(G7:G14)</f>
        <v>602669.11549250933</v>
      </c>
      <c r="H15" s="952">
        <f t="shared" si="2"/>
        <v>602669.11549250933</v>
      </c>
      <c r="I15" s="952">
        <f t="shared" si="2"/>
        <v>602669.11549250933</v>
      </c>
      <c r="J15" s="952">
        <f t="shared" ref="J15:P15" si="3">SUM(J7:J14)</f>
        <v>602669.11549250933</v>
      </c>
      <c r="K15" s="952">
        <f t="shared" si="3"/>
        <v>602669.11549250933</v>
      </c>
      <c r="L15" s="1018">
        <v>546334</v>
      </c>
      <c r="M15" s="1048">
        <f t="shared" si="3"/>
        <v>602669.11549250933</v>
      </c>
      <c r="N15" s="1048">
        <f t="shared" si="3"/>
        <v>602669.11549250933</v>
      </c>
      <c r="O15" s="1048">
        <f t="shared" si="3"/>
        <v>602669.11549250933</v>
      </c>
      <c r="P15" s="1048">
        <f t="shared" si="3"/>
        <v>999848.28215917607</v>
      </c>
      <c r="Q15" s="626"/>
      <c r="R15" s="629">
        <f>SUM(R7:R14)</f>
        <v>7829882.0259101121</v>
      </c>
      <c r="S15" s="629">
        <v>6365428.6043577986</v>
      </c>
      <c r="T15" s="748">
        <f>SUM(T7:T14)</f>
        <v>1464453.421552314</v>
      </c>
      <c r="U15" s="742"/>
    </row>
    <row r="16" spans="1:21" ht="12" thickTop="1" x14ac:dyDescent="0.2">
      <c r="B16" s="742"/>
      <c r="C16" s="743"/>
      <c r="D16" s="953"/>
      <c r="E16" s="953"/>
      <c r="F16" s="953"/>
      <c r="G16" s="953"/>
      <c r="H16" s="953"/>
      <c r="I16" s="953"/>
      <c r="J16" s="953"/>
      <c r="K16" s="953"/>
      <c r="L16" s="1019"/>
      <c r="M16" s="1049"/>
      <c r="N16" s="1049"/>
      <c r="O16" s="1049"/>
      <c r="P16" s="1049"/>
      <c r="Q16" s="626"/>
      <c r="R16" s="630"/>
      <c r="S16" s="630"/>
      <c r="U16" s="742"/>
    </row>
    <row r="17" spans="1:22" x14ac:dyDescent="0.2">
      <c r="B17" s="854" t="s">
        <v>302</v>
      </c>
      <c r="C17" s="743"/>
      <c r="D17" s="953"/>
      <c r="E17" s="953"/>
      <c r="F17" s="953"/>
      <c r="G17" s="953"/>
      <c r="H17" s="953"/>
      <c r="I17" s="953"/>
      <c r="J17" s="953"/>
      <c r="K17" s="953"/>
      <c r="L17" s="1019"/>
      <c r="M17" s="1049"/>
      <c r="N17" s="1049"/>
      <c r="O17" s="1049"/>
      <c r="P17" s="1049"/>
      <c r="Q17" s="626"/>
      <c r="R17" s="631"/>
      <c r="S17" s="631"/>
      <c r="U17" s="742"/>
    </row>
    <row r="18" spans="1:22" x14ac:dyDescent="0.2">
      <c r="A18" s="744" t="s">
        <v>690</v>
      </c>
      <c r="B18" s="745" t="s">
        <v>354</v>
      </c>
      <c r="C18" s="746"/>
      <c r="D18" s="954">
        <f>+'Monthly Budget'!D18</f>
        <v>2000</v>
      </c>
      <c r="E18" s="954">
        <f>+'Monthly Budget'!E18</f>
        <v>2000</v>
      </c>
      <c r="F18" s="954">
        <f>+'Monthly Budget'!F18</f>
        <v>2000</v>
      </c>
      <c r="G18" s="954">
        <f>+'Monthly Budget'!G18</f>
        <v>2000</v>
      </c>
      <c r="H18" s="954">
        <f>+'Monthly Budget'!H18</f>
        <v>2000</v>
      </c>
      <c r="I18" s="954">
        <f>+'Monthly Budget'!I18</f>
        <v>2000</v>
      </c>
      <c r="J18" s="954">
        <f>+'Monthly Budget'!J18</f>
        <v>2000</v>
      </c>
      <c r="K18" s="954">
        <f>+'Monthly Budget'!K18</f>
        <v>2000</v>
      </c>
      <c r="L18" s="1020">
        <v>0</v>
      </c>
      <c r="M18" s="1050">
        <f>+'Monthly Budget'!L18</f>
        <v>2000</v>
      </c>
      <c r="N18" s="1050">
        <f>+'Monthly Budget'!M18</f>
        <v>2000</v>
      </c>
      <c r="O18" s="1050">
        <f>+'Monthly Budget'!N18</f>
        <v>2000</v>
      </c>
      <c r="P18" s="1050">
        <f>+'Monthly Budget'!O18</f>
        <v>2000</v>
      </c>
      <c r="Q18" s="626"/>
      <c r="R18" s="747">
        <f t="shared" ref="R18:R29" si="4">SUM(D18:Q18)-L18</f>
        <v>24000</v>
      </c>
      <c r="S18" s="747">
        <v>79200</v>
      </c>
      <c r="T18" s="619">
        <f t="shared" ref="T18:T31" si="5">R18-S18</f>
        <v>-55200</v>
      </c>
      <c r="U18" s="742"/>
    </row>
    <row r="19" spans="1:22" x14ac:dyDescent="0.2">
      <c r="A19" s="744" t="s">
        <v>691</v>
      </c>
      <c r="B19" s="745" t="s">
        <v>692</v>
      </c>
      <c r="C19" s="746"/>
      <c r="D19" s="954">
        <f>+'Monthly Budget'!D19</f>
        <v>0</v>
      </c>
      <c r="E19" s="954">
        <f>+'Monthly Budget'!E19</f>
        <v>0</v>
      </c>
      <c r="F19" s="954">
        <f>+'Monthly Budget'!F19</f>
        <v>0</v>
      </c>
      <c r="G19" s="954">
        <f>+'Monthly Budget'!G19</f>
        <v>0</v>
      </c>
      <c r="H19" s="954">
        <f>+'Monthly Budget'!H19</f>
        <v>0</v>
      </c>
      <c r="I19" s="954">
        <f>+'Monthly Budget'!I19</f>
        <v>0</v>
      </c>
      <c r="J19" s="954">
        <f>+'Monthly Budget'!J19</f>
        <v>0</v>
      </c>
      <c r="K19" s="954">
        <f>+'Monthly Budget'!K19</f>
        <v>0</v>
      </c>
      <c r="L19" s="1016">
        <v>0</v>
      </c>
      <c r="M19" s="1045">
        <f>+'Monthly Budget'!L19</f>
        <v>0</v>
      </c>
      <c r="N19" s="1045">
        <f>+'Monthly Budget'!M19</f>
        <v>0</v>
      </c>
      <c r="O19" s="1045">
        <f>+'Monthly Budget'!N19</f>
        <v>0</v>
      </c>
      <c r="P19" s="1045">
        <f>+'Monthly Budget'!O19</f>
        <v>0</v>
      </c>
      <c r="Q19" s="626"/>
      <c r="R19" s="747">
        <f t="shared" si="4"/>
        <v>0</v>
      </c>
      <c r="S19" s="747">
        <v>0</v>
      </c>
      <c r="T19" s="619">
        <f t="shared" si="5"/>
        <v>0</v>
      </c>
      <c r="U19" s="742"/>
    </row>
    <row r="20" spans="1:22" x14ac:dyDescent="0.2">
      <c r="A20" s="744" t="s">
        <v>693</v>
      </c>
      <c r="B20" s="745" t="s">
        <v>584</v>
      </c>
      <c r="C20" s="746"/>
      <c r="D20" s="954">
        <f>+'Monthly Budget'!D20</f>
        <v>0</v>
      </c>
      <c r="E20" s="954">
        <f>+'Monthly Budget'!E20</f>
        <v>0</v>
      </c>
      <c r="F20" s="954">
        <f>+'Monthly Budget'!F20</f>
        <v>0</v>
      </c>
      <c r="G20" s="954">
        <f>+'Monthly Budget'!G20</f>
        <v>0</v>
      </c>
      <c r="H20" s="954">
        <f>+'Monthly Budget'!H20</f>
        <v>0</v>
      </c>
      <c r="I20" s="954">
        <f>+'Monthly Budget'!I20</f>
        <v>0</v>
      </c>
      <c r="J20" s="954">
        <f>+'Monthly Budget'!J20</f>
        <v>0</v>
      </c>
      <c r="K20" s="954">
        <f>+'Monthly Budget'!K20</f>
        <v>0</v>
      </c>
      <c r="L20" s="1016">
        <v>0</v>
      </c>
      <c r="M20" s="1045">
        <f>+'Monthly Budget'!L20</f>
        <v>0</v>
      </c>
      <c r="N20" s="1045">
        <f>+'Monthly Budget'!M20</f>
        <v>0</v>
      </c>
      <c r="O20" s="1045">
        <f>+'Monthly Budget'!N20</f>
        <v>0</v>
      </c>
      <c r="P20" s="1045">
        <f>+'Monthly Budget'!O20</f>
        <v>0</v>
      </c>
      <c r="Q20" s="626"/>
      <c r="R20" s="747">
        <f t="shared" si="4"/>
        <v>0</v>
      </c>
      <c r="S20" s="747">
        <v>0</v>
      </c>
      <c r="T20" s="619">
        <f t="shared" si="5"/>
        <v>0</v>
      </c>
      <c r="U20" s="742"/>
    </row>
    <row r="21" spans="1:22" x14ac:dyDescent="0.2">
      <c r="A21" s="744" t="s">
        <v>694</v>
      </c>
      <c r="B21" s="745" t="s">
        <v>695</v>
      </c>
      <c r="C21" s="746"/>
      <c r="D21" s="954">
        <f>+'Monthly Budget'!D21</f>
        <v>0</v>
      </c>
      <c r="E21" s="954">
        <f>+'Monthly Budget'!E21</f>
        <v>0</v>
      </c>
      <c r="F21" s="954">
        <f>+'Monthly Budget'!F21</f>
        <v>0</v>
      </c>
      <c r="G21" s="954">
        <f>+'Monthly Budget'!G21</f>
        <v>0</v>
      </c>
      <c r="H21" s="954">
        <f>+'Monthly Budget'!H21</f>
        <v>0</v>
      </c>
      <c r="I21" s="954">
        <f>+'Monthly Budget'!I21</f>
        <v>0</v>
      </c>
      <c r="J21" s="954">
        <f>+'Monthly Budget'!J21</f>
        <v>0</v>
      </c>
      <c r="K21" s="954">
        <f>+'Monthly Budget'!K21</f>
        <v>0</v>
      </c>
      <c r="L21" s="1016">
        <v>0</v>
      </c>
      <c r="M21" s="1045">
        <f>+'Monthly Budget'!L21</f>
        <v>0</v>
      </c>
      <c r="N21" s="1045">
        <f>+'Monthly Budget'!M21</f>
        <v>0</v>
      </c>
      <c r="O21" s="1045">
        <f>+'Monthly Budget'!N21</f>
        <v>0</v>
      </c>
      <c r="P21" s="1045">
        <f>+'Monthly Budget'!O21</f>
        <v>0</v>
      </c>
      <c r="Q21" s="626"/>
      <c r="R21" s="747">
        <f t="shared" si="4"/>
        <v>0</v>
      </c>
      <c r="S21" s="747">
        <v>0</v>
      </c>
      <c r="T21" s="619">
        <f t="shared" si="5"/>
        <v>0</v>
      </c>
      <c r="U21" s="742"/>
    </row>
    <row r="22" spans="1:22" x14ac:dyDescent="0.2">
      <c r="A22" s="744" t="s">
        <v>696</v>
      </c>
      <c r="B22" s="745" t="s">
        <v>697</v>
      </c>
      <c r="C22" s="746"/>
      <c r="D22" s="954">
        <f>+'Monthly Budget'!D22</f>
        <v>0</v>
      </c>
      <c r="E22" s="954">
        <f>+'Monthly Budget'!E22</f>
        <v>0</v>
      </c>
      <c r="F22" s="954">
        <f>+'Monthly Budget'!F22</f>
        <v>0</v>
      </c>
      <c r="G22" s="954">
        <f>+'Monthly Budget'!G22</f>
        <v>0</v>
      </c>
      <c r="H22" s="954">
        <f>+'Monthly Budget'!H22</f>
        <v>0</v>
      </c>
      <c r="I22" s="954">
        <f>+'Monthly Budget'!I22</f>
        <v>0</v>
      </c>
      <c r="J22" s="954">
        <f>+'Monthly Budget'!J22</f>
        <v>0</v>
      </c>
      <c r="K22" s="954">
        <f>+'Monthly Budget'!K22</f>
        <v>0</v>
      </c>
      <c r="L22" s="1016">
        <v>0</v>
      </c>
      <c r="M22" s="1045">
        <f>+'Monthly Budget'!L22</f>
        <v>0</v>
      </c>
      <c r="N22" s="1045">
        <f>+'Monthly Budget'!M22</f>
        <v>0</v>
      </c>
      <c r="O22" s="1045">
        <f>+'Monthly Budget'!N22</f>
        <v>0</v>
      </c>
      <c r="P22" s="1045">
        <f>+'Monthly Budget'!O22</f>
        <v>0</v>
      </c>
      <c r="Q22" s="626"/>
      <c r="R22" s="747">
        <f t="shared" si="4"/>
        <v>0</v>
      </c>
      <c r="S22" s="747">
        <v>0</v>
      </c>
      <c r="T22" s="619">
        <f t="shared" si="5"/>
        <v>0</v>
      </c>
      <c r="U22" s="742"/>
    </row>
    <row r="23" spans="1:22" x14ac:dyDescent="0.2">
      <c r="A23" s="744" t="s">
        <v>698</v>
      </c>
      <c r="B23" s="745" t="s">
        <v>355</v>
      </c>
      <c r="C23" s="746"/>
      <c r="D23" s="954">
        <f>+'Monthly Budget'!D23</f>
        <v>0</v>
      </c>
      <c r="E23" s="954">
        <f>+'Monthly Budget'!E23</f>
        <v>11230</v>
      </c>
      <c r="F23" s="954">
        <f>+'Monthly Budget'!F23</f>
        <v>11230</v>
      </c>
      <c r="G23" s="954">
        <f>+'Monthly Budget'!G23</f>
        <v>11230</v>
      </c>
      <c r="H23" s="954">
        <f>+'Monthly Budget'!H23</f>
        <v>11230</v>
      </c>
      <c r="I23" s="954">
        <f>+'Monthly Budget'!I23</f>
        <v>11230</v>
      </c>
      <c r="J23" s="954">
        <f>+'Monthly Budget'!J23</f>
        <v>11230</v>
      </c>
      <c r="K23" s="954">
        <f>+'Monthly Budget'!K23</f>
        <v>11230</v>
      </c>
      <c r="L23" s="1016">
        <v>12000</v>
      </c>
      <c r="M23" s="1045">
        <f>+'Monthly Budget'!L23</f>
        <v>11230</v>
      </c>
      <c r="N23" s="1045">
        <f>+'Monthly Budget'!M23</f>
        <v>11230</v>
      </c>
      <c r="O23" s="1045">
        <f>+'Monthly Budget'!N23</f>
        <v>11230</v>
      </c>
      <c r="P23" s="1045">
        <f>+'Monthly Budget'!O23</f>
        <v>0</v>
      </c>
      <c r="Q23" s="626"/>
      <c r="R23" s="747">
        <f t="shared" si="4"/>
        <v>112300</v>
      </c>
      <c r="S23" s="747">
        <v>0</v>
      </c>
      <c r="T23" s="619">
        <f t="shared" si="5"/>
        <v>112300</v>
      </c>
      <c r="U23" s="742"/>
    </row>
    <row r="24" spans="1:22" x14ac:dyDescent="0.2">
      <c r="A24" s="744" t="s">
        <v>699</v>
      </c>
      <c r="B24" s="745" t="s">
        <v>356</v>
      </c>
      <c r="C24" s="746"/>
      <c r="D24" s="954">
        <f>+'Monthly Budget'!D24</f>
        <v>0</v>
      </c>
      <c r="E24" s="954">
        <f>+'Monthly Budget'!E24</f>
        <v>0</v>
      </c>
      <c r="F24" s="954">
        <f>+'Monthly Budget'!F24</f>
        <v>0</v>
      </c>
      <c r="G24" s="954">
        <f>+'Monthly Budget'!G24</f>
        <v>0</v>
      </c>
      <c r="H24" s="954">
        <f>+'Monthly Budget'!H24</f>
        <v>0</v>
      </c>
      <c r="I24" s="954">
        <f>+'Monthly Budget'!I24</f>
        <v>0</v>
      </c>
      <c r="J24" s="954">
        <f>+'Monthly Budget'!J24</f>
        <v>0</v>
      </c>
      <c r="K24" s="954">
        <f>+'Monthly Budget'!K24</f>
        <v>0</v>
      </c>
      <c r="L24" s="1016">
        <v>0</v>
      </c>
      <c r="M24" s="1045">
        <f>+'Monthly Budget'!L24</f>
        <v>0</v>
      </c>
      <c r="N24" s="1045">
        <f>+'Monthly Budget'!M24</f>
        <v>0</v>
      </c>
      <c r="O24" s="1045">
        <f>+'Monthly Budget'!N24</f>
        <v>0</v>
      </c>
      <c r="P24" s="1045">
        <f>+'Monthly Budget'!O24</f>
        <v>0</v>
      </c>
      <c r="Q24" s="626"/>
      <c r="R24" s="747">
        <f t="shared" si="4"/>
        <v>0</v>
      </c>
      <c r="S24" s="747">
        <v>0</v>
      </c>
      <c r="T24" s="619">
        <f t="shared" si="5"/>
        <v>0</v>
      </c>
      <c r="U24" s="742"/>
    </row>
    <row r="25" spans="1:22" x14ac:dyDescent="0.2">
      <c r="A25" s="744" t="s">
        <v>700</v>
      </c>
      <c r="B25" s="745" t="s">
        <v>934</v>
      </c>
      <c r="C25" s="746"/>
      <c r="D25" s="954">
        <f>+'Monthly Budget'!D25</f>
        <v>16976</v>
      </c>
      <c r="E25" s="954">
        <f>+'Monthly Budget'!E25</f>
        <v>16976</v>
      </c>
      <c r="F25" s="954">
        <f>+'Monthly Budget'!F25</f>
        <v>16976</v>
      </c>
      <c r="G25" s="954">
        <f>+'Monthly Budget'!G25</f>
        <v>16976</v>
      </c>
      <c r="H25" s="954">
        <f>+'Monthly Budget'!H25</f>
        <v>16976</v>
      </c>
      <c r="I25" s="954">
        <f>+'Monthly Budget'!I25</f>
        <v>16976</v>
      </c>
      <c r="J25" s="954">
        <f>+'Monthly Budget'!J25</f>
        <v>16976</v>
      </c>
      <c r="K25" s="954">
        <f>+'Monthly Budget'!K25</f>
        <v>16976</v>
      </c>
      <c r="L25" s="1016">
        <v>50</v>
      </c>
      <c r="M25" s="1045">
        <f>+'Monthly Budget'!L25</f>
        <v>16976</v>
      </c>
      <c r="N25" s="1045">
        <f>+'Monthly Budget'!M25</f>
        <v>16976</v>
      </c>
      <c r="O25" s="1045">
        <f>+'Monthly Budget'!N25</f>
        <v>0</v>
      </c>
      <c r="P25" s="1045">
        <f>+'Monthly Budget'!O25</f>
        <v>0</v>
      </c>
      <c r="Q25" s="626"/>
      <c r="R25" s="747">
        <f t="shared" si="4"/>
        <v>169760</v>
      </c>
      <c r="S25" s="747">
        <v>65700</v>
      </c>
      <c r="T25" s="619">
        <f t="shared" si="5"/>
        <v>104060</v>
      </c>
      <c r="U25" s="742"/>
    </row>
    <row r="26" spans="1:22" x14ac:dyDescent="0.2">
      <c r="A26" s="744" t="s">
        <v>859</v>
      </c>
      <c r="B26" s="745" t="s">
        <v>860</v>
      </c>
      <c r="C26" s="746"/>
      <c r="D26" s="954">
        <f>+'Monthly Budget'!D26</f>
        <v>0</v>
      </c>
      <c r="E26" s="954">
        <f>+'Monthly Budget'!E26</f>
        <v>9525</v>
      </c>
      <c r="F26" s="954">
        <f>+'Monthly Budget'!F26</f>
        <v>9525</v>
      </c>
      <c r="G26" s="954">
        <f>+'Monthly Budget'!G26</f>
        <v>9525</v>
      </c>
      <c r="H26" s="954">
        <f>+'Monthly Budget'!H26</f>
        <v>9525</v>
      </c>
      <c r="I26" s="954">
        <f>+'Monthly Budget'!I26</f>
        <v>9525</v>
      </c>
      <c r="J26" s="954">
        <f>+'Monthly Budget'!J26</f>
        <v>9525</v>
      </c>
      <c r="K26" s="954">
        <f>+'Monthly Budget'!K26</f>
        <v>9525</v>
      </c>
      <c r="L26" s="1016">
        <v>1354</v>
      </c>
      <c r="M26" s="1045">
        <f>+'Monthly Budget'!L26</f>
        <v>9525</v>
      </c>
      <c r="N26" s="1045">
        <f>+'Monthly Budget'!M26</f>
        <v>9525</v>
      </c>
      <c r="O26" s="1045">
        <f>+'Monthly Budget'!N26</f>
        <v>9525</v>
      </c>
      <c r="P26" s="1045">
        <f>+'Monthly Budget'!O26</f>
        <v>0</v>
      </c>
      <c r="Q26" s="626"/>
      <c r="R26" s="747">
        <f t="shared" si="4"/>
        <v>95250</v>
      </c>
      <c r="S26" s="747">
        <v>0</v>
      </c>
      <c r="T26" s="619">
        <f t="shared" si="5"/>
        <v>95250</v>
      </c>
      <c r="U26" s="872"/>
    </row>
    <row r="27" spans="1:22" x14ac:dyDescent="0.2">
      <c r="A27" s="744" t="s">
        <v>701</v>
      </c>
      <c r="B27" s="745" t="s">
        <v>897</v>
      </c>
      <c r="C27" s="746"/>
      <c r="D27" s="954">
        <f>+'Monthly Budget'!D27</f>
        <v>0</v>
      </c>
      <c r="E27" s="954">
        <f>+'Monthly Budget'!E27</f>
        <v>2435</v>
      </c>
      <c r="F27" s="954">
        <f>+'Monthly Budget'!F27</f>
        <v>2435</v>
      </c>
      <c r="G27" s="954">
        <f>+'Monthly Budget'!G27</f>
        <v>2435</v>
      </c>
      <c r="H27" s="954">
        <f>+'Monthly Budget'!H27</f>
        <v>2435</v>
      </c>
      <c r="I27" s="954">
        <f>+'Monthly Budget'!I27</f>
        <v>2435</v>
      </c>
      <c r="J27" s="954">
        <f>+'Monthly Budget'!J27</f>
        <v>2435</v>
      </c>
      <c r="K27" s="954">
        <f>+'Monthly Budget'!K27</f>
        <v>2435</v>
      </c>
      <c r="L27" s="1016">
        <v>1125</v>
      </c>
      <c r="M27" s="1045">
        <f>+'Monthly Budget'!L27</f>
        <v>2435</v>
      </c>
      <c r="N27" s="1045">
        <f>+'Monthly Budget'!M27</f>
        <v>2435</v>
      </c>
      <c r="O27" s="1045">
        <f>+'Monthly Budget'!N27</f>
        <v>2435</v>
      </c>
      <c r="P27" s="1045">
        <f>+'Monthly Budget'!O27</f>
        <v>0</v>
      </c>
      <c r="Q27" s="626"/>
      <c r="R27" s="747">
        <f t="shared" si="4"/>
        <v>24350</v>
      </c>
      <c r="S27" s="747">
        <v>0</v>
      </c>
      <c r="T27" s="928">
        <f t="shared" si="5"/>
        <v>24350</v>
      </c>
      <c r="U27" s="742"/>
    </row>
    <row r="28" spans="1:22" x14ac:dyDescent="0.2">
      <c r="A28" s="744" t="s">
        <v>702</v>
      </c>
      <c r="B28" s="745" t="s">
        <v>357</v>
      </c>
      <c r="C28" s="746"/>
      <c r="D28" s="954">
        <f>+'Monthly Budget'!D28</f>
        <v>0</v>
      </c>
      <c r="E28" s="954">
        <f>+'Monthly Budget'!E28</f>
        <v>3036</v>
      </c>
      <c r="F28" s="954">
        <f>+'Monthly Budget'!F28</f>
        <v>3036</v>
      </c>
      <c r="G28" s="954">
        <f>+'Monthly Budget'!G28</f>
        <v>3036</v>
      </c>
      <c r="H28" s="954">
        <f>+'Monthly Budget'!H28</f>
        <v>3036</v>
      </c>
      <c r="I28" s="954">
        <f>+'Monthly Budget'!I28</f>
        <v>3036</v>
      </c>
      <c r="J28" s="954">
        <f>+'Monthly Budget'!J28</f>
        <v>3036</v>
      </c>
      <c r="K28" s="954">
        <f>+'Monthly Budget'!K28</f>
        <v>3036</v>
      </c>
      <c r="L28" s="1016">
        <v>150</v>
      </c>
      <c r="M28" s="1045">
        <f>+'Monthly Budget'!L28</f>
        <v>3036</v>
      </c>
      <c r="N28" s="1045">
        <f>+'Monthly Budget'!M28</f>
        <v>3036</v>
      </c>
      <c r="O28" s="1045">
        <f>+'Monthly Budget'!N28</f>
        <v>3036</v>
      </c>
      <c r="P28" s="1045">
        <f>+'Monthly Budget'!O28</f>
        <v>0</v>
      </c>
      <c r="Q28" s="626"/>
      <c r="R28" s="747">
        <f t="shared" si="4"/>
        <v>30360</v>
      </c>
      <c r="S28" s="747">
        <v>13500</v>
      </c>
      <c r="T28" s="619">
        <f t="shared" si="5"/>
        <v>16860</v>
      </c>
      <c r="U28" s="948"/>
    </row>
    <row r="29" spans="1:22" x14ac:dyDescent="0.2">
      <c r="A29" s="790" t="s">
        <v>703</v>
      </c>
      <c r="B29" s="791" t="s">
        <v>303</v>
      </c>
      <c r="C29" s="792"/>
      <c r="D29" s="954">
        <f>+'Monthly Budget'!D29</f>
        <v>8753</v>
      </c>
      <c r="E29" s="954">
        <f>+'Monthly Budget'!E29</f>
        <v>8753</v>
      </c>
      <c r="F29" s="954">
        <f>+'Monthly Budget'!F29</f>
        <v>8753</v>
      </c>
      <c r="G29" s="954">
        <f>+'Monthly Budget'!G29</f>
        <v>8753</v>
      </c>
      <c r="H29" s="954">
        <f>+'Monthly Budget'!H29</f>
        <v>8753</v>
      </c>
      <c r="I29" s="954">
        <f>+'Monthly Budget'!I29</f>
        <v>8753</v>
      </c>
      <c r="J29" s="954">
        <f>+'Monthly Budget'!J29</f>
        <v>8753</v>
      </c>
      <c r="K29" s="954">
        <f>+'Monthly Budget'!K29</f>
        <v>8753</v>
      </c>
      <c r="L29" s="1016">
        <v>3830.75</v>
      </c>
      <c r="M29" s="1045">
        <f>+'Monthly Budget'!L29</f>
        <v>8753</v>
      </c>
      <c r="N29" s="1045">
        <f>+'Monthly Budget'!M29</f>
        <v>8753</v>
      </c>
      <c r="O29" s="1045">
        <f>+'Monthly Budget'!N29</f>
        <v>8753</v>
      </c>
      <c r="P29" s="1045">
        <f>+'Monthly Budget'!O29</f>
        <v>8753</v>
      </c>
      <c r="Q29" s="793"/>
      <c r="R29" s="747">
        <f t="shared" si="4"/>
        <v>105036</v>
      </c>
      <c r="S29" s="747">
        <v>83763</v>
      </c>
      <c r="T29" s="619">
        <f t="shared" si="5"/>
        <v>21273</v>
      </c>
      <c r="U29" s="872" t="s">
        <v>969</v>
      </c>
      <c r="V29" s="929"/>
    </row>
    <row r="30" spans="1:22" x14ac:dyDescent="0.2">
      <c r="A30" s="790"/>
      <c r="B30" s="791" t="s">
        <v>1006</v>
      </c>
      <c r="C30" s="792"/>
      <c r="D30" s="954">
        <f>+'Monthly Budget'!D30</f>
        <v>0</v>
      </c>
      <c r="E30" s="954">
        <f>+'Monthly Budget'!E30</f>
        <v>0</v>
      </c>
      <c r="F30" s="954">
        <f>+'Monthly Budget'!F30</f>
        <v>0</v>
      </c>
      <c r="G30" s="954">
        <f>+'Monthly Budget'!G30</f>
        <v>0</v>
      </c>
      <c r="H30" s="954">
        <f>+'Monthly Budget'!H30</f>
        <v>0</v>
      </c>
      <c r="I30" s="954">
        <f>+'Monthly Budget'!I30</f>
        <v>0</v>
      </c>
      <c r="J30" s="954">
        <f>+'Monthly Budget'!J30</f>
        <v>0</v>
      </c>
      <c r="K30" s="954">
        <f>+'Monthly Budget'!K30</f>
        <v>0</v>
      </c>
      <c r="L30" s="1016">
        <v>7.77</v>
      </c>
      <c r="M30" s="1045">
        <f>+'Monthly Budget'!L30</f>
        <v>0</v>
      </c>
      <c r="N30" s="1045"/>
      <c r="O30" s="1045"/>
      <c r="P30" s="1045"/>
      <c r="Q30" s="793"/>
      <c r="R30" s="747"/>
      <c r="S30" s="747">
        <v>3000</v>
      </c>
      <c r="U30" s="872"/>
      <c r="V30" s="929"/>
    </row>
    <row r="31" spans="1:22" x14ac:dyDescent="0.2">
      <c r="A31" s="744" t="s">
        <v>704</v>
      </c>
      <c r="B31" s="745" t="s">
        <v>705</v>
      </c>
      <c r="C31" s="746"/>
      <c r="D31" s="954">
        <f>+'Monthly Budget'!D31</f>
        <v>0</v>
      </c>
      <c r="E31" s="954">
        <f>+'Monthly Budget'!E31</f>
        <v>0</v>
      </c>
      <c r="F31" s="954">
        <f>+'Monthly Budget'!F31</f>
        <v>0</v>
      </c>
      <c r="G31" s="954">
        <f>+'Monthly Budget'!G31</f>
        <v>0</v>
      </c>
      <c r="H31" s="954">
        <f>+'Monthly Budget'!H31</f>
        <v>0</v>
      </c>
      <c r="I31" s="954">
        <f>+'Monthly Budget'!I31</f>
        <v>0</v>
      </c>
      <c r="J31" s="954">
        <f>+'Monthly Budget'!J31</f>
        <v>0</v>
      </c>
      <c r="K31" s="954">
        <f>+'Monthly Budget'!K31</f>
        <v>0</v>
      </c>
      <c r="L31" s="1016">
        <v>0</v>
      </c>
      <c r="M31" s="1045">
        <f>+'Monthly Budget'!L31</f>
        <v>0</v>
      </c>
      <c r="N31" s="1045">
        <f>+'Monthly Budget'!M31</f>
        <v>0</v>
      </c>
      <c r="O31" s="1045">
        <f>+'Monthly Budget'!N31</f>
        <v>0</v>
      </c>
      <c r="P31" s="1045">
        <f>+'Monthly Budget'!O31</f>
        <v>0</v>
      </c>
      <c r="Q31" s="626"/>
      <c r="R31" s="747">
        <f>SUM(D31:Q31)-L31</f>
        <v>0</v>
      </c>
      <c r="S31" s="747">
        <v>0</v>
      </c>
      <c r="T31" s="619">
        <f t="shared" si="5"/>
        <v>0</v>
      </c>
      <c r="U31" s="742"/>
    </row>
    <row r="32" spans="1:22" ht="12" thickBot="1" x14ac:dyDescent="0.25">
      <c r="B32" s="855" t="s">
        <v>358</v>
      </c>
      <c r="C32" s="743"/>
      <c r="D32" s="952">
        <f t="shared" ref="D32:P32" si="6">SUM(D18:D31)</f>
        <v>27729</v>
      </c>
      <c r="E32" s="952">
        <f>SUM(E18:E31)</f>
        <v>53955</v>
      </c>
      <c r="F32" s="952">
        <f>SUM(F18:F31)</f>
        <v>53955</v>
      </c>
      <c r="G32" s="952">
        <f>SUM(G18:G31)</f>
        <v>53955</v>
      </c>
      <c r="H32" s="952">
        <f>SUM(H18:H31)</f>
        <v>53955</v>
      </c>
      <c r="I32" s="952">
        <f t="shared" si="6"/>
        <v>53955</v>
      </c>
      <c r="J32" s="952">
        <f t="shared" si="6"/>
        <v>53955</v>
      </c>
      <c r="K32" s="952">
        <f t="shared" si="6"/>
        <v>53955</v>
      </c>
      <c r="L32" s="1018">
        <v>18517.52</v>
      </c>
      <c r="M32" s="1048">
        <f t="shared" si="6"/>
        <v>53955</v>
      </c>
      <c r="N32" s="1048">
        <f t="shared" si="6"/>
        <v>53955</v>
      </c>
      <c r="O32" s="1048">
        <f t="shared" si="6"/>
        <v>36979</v>
      </c>
      <c r="P32" s="1048">
        <f t="shared" si="6"/>
        <v>10753</v>
      </c>
      <c r="Q32" s="626"/>
      <c r="R32" s="749">
        <f>SUM(R18:R31)</f>
        <v>561056</v>
      </c>
      <c r="S32" s="749">
        <v>245163</v>
      </c>
      <c r="T32" s="749">
        <f>SUM(T18:T31)</f>
        <v>318893</v>
      </c>
      <c r="U32" s="742"/>
    </row>
    <row r="33" spans="1:21" ht="12" thickTop="1" x14ac:dyDescent="0.2">
      <c r="B33" s="855"/>
      <c r="C33" s="743"/>
      <c r="D33" s="953"/>
      <c r="E33" s="953"/>
      <c r="F33" s="953">
        <f>+L29-E29-1500</f>
        <v>-6422.25</v>
      </c>
      <c r="G33" s="953"/>
      <c r="H33" s="953"/>
      <c r="I33" s="953"/>
      <c r="J33" s="953"/>
      <c r="K33" s="953"/>
      <c r="L33" s="1019"/>
      <c r="M33" s="1049"/>
      <c r="N33" s="1049"/>
      <c r="O33" s="1049"/>
      <c r="P33" s="1049"/>
      <c r="Q33" s="625"/>
      <c r="R33" s="625"/>
      <c r="S33" s="625"/>
      <c r="U33" s="742"/>
    </row>
    <row r="34" spans="1:21" ht="12" thickBot="1" x14ac:dyDescent="0.25">
      <c r="A34" s="888">
        <f>(+$R34-$D34-$E34)/10</f>
        <v>0</v>
      </c>
      <c r="B34" s="856" t="s">
        <v>706</v>
      </c>
      <c r="C34" s="743"/>
      <c r="D34" s="952"/>
      <c r="E34" s="952"/>
      <c r="F34" s="952"/>
      <c r="G34" s="952"/>
      <c r="H34" s="952"/>
      <c r="I34" s="952"/>
      <c r="J34" s="952"/>
      <c r="K34" s="952"/>
      <c r="L34" s="1018"/>
      <c r="M34" s="1048"/>
      <c r="N34" s="1048"/>
      <c r="O34" s="1048"/>
      <c r="P34" s="1048"/>
      <c r="Q34" s="626"/>
      <c r="R34" s="629">
        <f>SUM(D34:P34)</f>
        <v>0</v>
      </c>
      <c r="S34" s="629">
        <v>0</v>
      </c>
      <c r="T34" s="750"/>
      <c r="U34" s="742"/>
    </row>
    <row r="35" spans="1:21" ht="12" thickTop="1" x14ac:dyDescent="0.2">
      <c r="A35" s="733" t="s">
        <v>966</v>
      </c>
      <c r="B35" s="742"/>
      <c r="C35" s="751"/>
      <c r="D35" s="953"/>
      <c r="E35" s="953"/>
      <c r="F35" s="953"/>
      <c r="G35" s="953"/>
      <c r="H35" s="953"/>
      <c r="I35" s="953"/>
      <c r="J35" s="953"/>
      <c r="K35" s="953"/>
      <c r="L35" s="1019"/>
      <c r="M35" s="1049"/>
      <c r="N35" s="1049"/>
      <c r="O35" s="1049"/>
      <c r="P35" s="1049"/>
      <c r="Q35" s="626"/>
      <c r="R35" s="628"/>
      <c r="S35" s="628"/>
      <c r="U35" s="742"/>
    </row>
    <row r="36" spans="1:21" ht="12" thickBot="1" x14ac:dyDescent="0.25">
      <c r="B36" s="857" t="s">
        <v>359</v>
      </c>
      <c r="C36" s="752"/>
      <c r="D36" s="955">
        <f t="shared" ref="D36:P36" si="7">D15+D32+D34</f>
        <v>590718.9488258427</v>
      </c>
      <c r="E36" s="955">
        <f>E15+E32+E34</f>
        <v>656624.11549250933</v>
      </c>
      <c r="F36" s="955">
        <f>F15+F32+F34</f>
        <v>896976.75549250934</v>
      </c>
      <c r="G36" s="955">
        <f>G15+G32+G34</f>
        <v>656624.11549250933</v>
      </c>
      <c r="H36" s="955">
        <f>H15+H32+H34</f>
        <v>656624.11549250933</v>
      </c>
      <c r="I36" s="955">
        <f t="shared" si="7"/>
        <v>656624.11549250933</v>
      </c>
      <c r="J36" s="955">
        <f t="shared" si="7"/>
        <v>656624.11549250933</v>
      </c>
      <c r="K36" s="955">
        <f t="shared" si="7"/>
        <v>656624.11549250933</v>
      </c>
      <c r="L36" s="1021">
        <v>564851.52</v>
      </c>
      <c r="M36" s="1052">
        <f t="shared" si="7"/>
        <v>656624.11549250933</v>
      </c>
      <c r="N36" s="1052">
        <f t="shared" si="7"/>
        <v>656624.11549250933</v>
      </c>
      <c r="O36" s="1052">
        <f t="shared" si="7"/>
        <v>639648.11549250933</v>
      </c>
      <c r="P36" s="1052">
        <f t="shared" si="7"/>
        <v>1010601.2821591761</v>
      </c>
      <c r="Q36" s="626"/>
      <c r="R36" s="753">
        <f>R15+R32+R34</f>
        <v>8390938.025910113</v>
      </c>
      <c r="S36" s="753">
        <v>6610591.6043577986</v>
      </c>
      <c r="T36" s="753">
        <f>T15+T32+T34</f>
        <v>1783346.421552314</v>
      </c>
      <c r="U36" s="742"/>
    </row>
    <row r="37" spans="1:21" x14ac:dyDescent="0.2">
      <c r="B37" s="742"/>
      <c r="C37" s="751"/>
      <c r="D37" s="953"/>
      <c r="E37" s="953"/>
      <c r="F37" s="953"/>
      <c r="G37" s="953"/>
      <c r="H37" s="953"/>
      <c r="I37" s="953"/>
      <c r="J37" s="953"/>
      <c r="K37" s="953"/>
      <c r="L37" s="1019"/>
      <c r="M37" s="1049"/>
      <c r="N37" s="1049"/>
      <c r="O37" s="1049"/>
      <c r="P37" s="1049"/>
      <c r="Q37" s="626"/>
      <c r="R37" s="625"/>
      <c r="S37" s="625"/>
      <c r="U37" s="742"/>
    </row>
    <row r="38" spans="1:21" ht="16.5" thickBot="1" x14ac:dyDescent="0.3">
      <c r="B38" s="858" t="s">
        <v>360</v>
      </c>
      <c r="C38" s="751"/>
      <c r="D38" s="956">
        <f>+'Monthly Budget'!D38</f>
        <v>21</v>
      </c>
      <c r="E38" s="956">
        <f>+'Monthly Budget'!E38</f>
        <v>23</v>
      </c>
      <c r="F38" s="956">
        <f>+'Monthly Budget'!F38</f>
        <v>21</v>
      </c>
      <c r="G38" s="956">
        <f>+'Monthly Budget'!G38</f>
        <v>22</v>
      </c>
      <c r="H38" s="956">
        <f>+'Monthly Budget'!H38</f>
        <v>22</v>
      </c>
      <c r="I38" s="956">
        <f>+'Monthly Budget'!I38</f>
        <v>21</v>
      </c>
      <c r="J38" s="956">
        <v>30</v>
      </c>
      <c r="K38" s="956">
        <f>+'Monthly Budget'!K38</f>
        <v>21</v>
      </c>
      <c r="L38" s="1022">
        <v>21</v>
      </c>
      <c r="M38" s="1053">
        <f>+'Monthly Budget'!L38</f>
        <v>21</v>
      </c>
      <c r="N38" s="1053">
        <f>+'Monthly Budget'!M38</f>
        <v>22</v>
      </c>
      <c r="O38" s="1053">
        <f>+'Monthly Budget'!N38</f>
        <v>23</v>
      </c>
      <c r="P38" s="1053">
        <f>+'Monthly Budget'!O38</f>
        <v>20</v>
      </c>
      <c r="Q38" s="933">
        <f>+'Monthly Budget'!P38</f>
        <v>23</v>
      </c>
      <c r="R38" s="634"/>
      <c r="S38" s="634"/>
      <c r="U38" s="742"/>
    </row>
    <row r="39" spans="1:21" ht="12" thickTop="1" x14ac:dyDescent="0.2">
      <c r="B39" s="854" t="s">
        <v>361</v>
      </c>
      <c r="C39" s="751"/>
      <c r="D39" s="953"/>
      <c r="E39" s="953"/>
      <c r="F39" s="953"/>
      <c r="G39" s="953"/>
      <c r="H39" s="953"/>
      <c r="I39" s="953"/>
      <c r="J39" s="953"/>
      <c r="K39" s="953"/>
      <c r="L39" s="1019"/>
      <c r="M39" s="1049"/>
      <c r="N39" s="1049"/>
      <c r="O39" s="1049"/>
      <c r="P39" s="1049"/>
      <c r="Q39" s="626"/>
      <c r="R39" s="634"/>
      <c r="S39" s="634"/>
      <c r="U39" s="742"/>
    </row>
    <row r="40" spans="1:21" s="756" customFormat="1" x14ac:dyDescent="0.2">
      <c r="A40" s="744" t="s">
        <v>707</v>
      </c>
      <c r="B40" s="745" t="s">
        <v>708</v>
      </c>
      <c r="C40" s="754"/>
      <c r="D40" s="954">
        <f>+'Monthly Budget'!D40</f>
        <v>32981.730000000003</v>
      </c>
      <c r="E40" s="954">
        <f>+'Monthly Budget'!E40</f>
        <v>205105.81288461538</v>
      </c>
      <c r="F40" s="954">
        <f>+'Monthly Budget'!F40</f>
        <v>187270.5248076923</v>
      </c>
      <c r="G40" s="954">
        <f>+'Monthly Budget'!G40</f>
        <v>196188.16884615383</v>
      </c>
      <c r="H40" s="954">
        <f>+'Monthly Budget'!H40</f>
        <v>196188.16884615383</v>
      </c>
      <c r="I40" s="954">
        <f>+'Monthly Budget'!I40</f>
        <v>187270.5248076923</v>
      </c>
      <c r="J40" s="954">
        <f>+'Monthly Budget'!J40</f>
        <v>205105.81288461538</v>
      </c>
      <c r="K40" s="954">
        <f>+'Monthly Budget'!K40</f>
        <v>187270.5248076923</v>
      </c>
      <c r="L40" s="1016">
        <v>164063.98211538457</v>
      </c>
      <c r="M40" s="1045">
        <f>+'Monthly Budget'!L40</f>
        <v>187270.5248076923</v>
      </c>
      <c r="N40" s="1045">
        <f>+'Monthly Budget'!M40</f>
        <v>196188.16884615383</v>
      </c>
      <c r="O40" s="1045">
        <f>+'Monthly Budget'!N40</f>
        <v>205105.81288461538</v>
      </c>
      <c r="P40" s="1045">
        <f>+'Monthly Budget'!O40</f>
        <v>178352.88076923077</v>
      </c>
      <c r="Q40" s="889">
        <f>+'Monthly Budget'!P40</f>
        <v>172124.08288461537</v>
      </c>
      <c r="R40" s="747">
        <f t="shared" ref="R40:R61" si="8">SUM(D40:Q40)-L40</f>
        <v>2336422.7380769229</v>
      </c>
      <c r="S40" s="747">
        <v>1806329.0269230767</v>
      </c>
      <c r="T40" s="619">
        <f t="shared" ref="T40:T61" si="9">R40-S40</f>
        <v>530093.71115384623</v>
      </c>
      <c r="U40" s="972"/>
    </row>
    <row r="41" spans="1:21" s="756" customFormat="1" x14ac:dyDescent="0.2">
      <c r="A41" s="744" t="s">
        <v>707</v>
      </c>
      <c r="B41" s="745" t="s">
        <v>945</v>
      </c>
      <c r="C41" s="754"/>
      <c r="D41" s="954">
        <f>+'Monthly Budget'!D41</f>
        <v>0</v>
      </c>
      <c r="E41" s="954">
        <f>+'Monthly Budget'!E41</f>
        <v>900</v>
      </c>
      <c r="F41" s="954">
        <f>+'Monthly Budget'!F41</f>
        <v>900</v>
      </c>
      <c r="G41" s="954">
        <f>+'Monthly Budget'!G41</f>
        <v>900</v>
      </c>
      <c r="H41" s="954">
        <f>+'Monthly Budget'!H41</f>
        <v>900</v>
      </c>
      <c r="I41" s="954">
        <f>+'Monthly Budget'!I41</f>
        <v>900</v>
      </c>
      <c r="J41" s="954">
        <f>+'Monthly Budget'!J41</f>
        <v>900</v>
      </c>
      <c r="K41" s="954">
        <f>+'Monthly Budget'!K41</f>
        <v>900</v>
      </c>
      <c r="L41" s="1016">
        <v>3915</v>
      </c>
      <c r="M41" s="1045">
        <f>+'Monthly Budget'!L41</f>
        <v>900</v>
      </c>
      <c r="N41" s="1045">
        <f>+'Monthly Budget'!M41</f>
        <v>900</v>
      </c>
      <c r="O41" s="1045">
        <f>+'Monthly Budget'!N41</f>
        <v>900</v>
      </c>
      <c r="P41" s="1045" t="s">
        <v>999</v>
      </c>
      <c r="Q41" s="889">
        <f>+'Monthly Budget'!P41</f>
        <v>0</v>
      </c>
      <c r="R41" s="747">
        <f t="shared" si="8"/>
        <v>9000</v>
      </c>
      <c r="S41" s="747">
        <v>32625</v>
      </c>
      <c r="T41" s="619">
        <f t="shared" si="9"/>
        <v>-23625</v>
      </c>
      <c r="U41" s="972"/>
    </row>
    <row r="42" spans="1:21" s="756" customFormat="1" x14ac:dyDescent="0.2">
      <c r="A42" s="760" t="s">
        <v>709</v>
      </c>
      <c r="B42" s="966" t="s">
        <v>362</v>
      </c>
      <c r="C42" s="754"/>
      <c r="D42" s="954">
        <f>+'Monthly Budget'!D42</f>
        <v>968.79</v>
      </c>
      <c r="E42" s="954">
        <f>+'Monthly Budget'!E42</f>
        <v>31017.339999999997</v>
      </c>
      <c r="F42" s="954">
        <f>+'Monthly Budget'!F42</f>
        <v>28320.18</v>
      </c>
      <c r="G42" s="954">
        <f>+'Monthly Budget'!G42</f>
        <v>29668.76</v>
      </c>
      <c r="H42" s="954">
        <f>+'Monthly Budget'!H42</f>
        <v>29668.76</v>
      </c>
      <c r="I42" s="954">
        <f>+'Monthly Budget'!I42</f>
        <v>28320.18</v>
      </c>
      <c r="J42" s="954">
        <f>+'Monthly Budget'!J42</f>
        <v>31017.339999999997</v>
      </c>
      <c r="K42" s="954">
        <f>+'Monthly Budget'!K42</f>
        <v>28320.18</v>
      </c>
      <c r="L42" s="1016">
        <v>23756.686153846153</v>
      </c>
      <c r="M42" s="1045">
        <f>+'Monthly Budget'!L42</f>
        <v>28320.18</v>
      </c>
      <c r="N42" s="1045">
        <f>+'Monthly Budget'!M42</f>
        <v>29668.76</v>
      </c>
      <c r="O42" s="1045">
        <f>+'Monthly Budget'!N42</f>
        <v>31017.339999999997</v>
      </c>
      <c r="P42" s="1045">
        <f>+'Monthly Budget'!O42</f>
        <v>26971.599999999999</v>
      </c>
      <c r="Q42" s="889">
        <f>+'Monthly Budget'!P42</f>
        <v>25565.24846153846</v>
      </c>
      <c r="R42" s="747">
        <f t="shared" si="8"/>
        <v>348844.65846153843</v>
      </c>
      <c r="S42" s="747">
        <v>253054.23352692308</v>
      </c>
      <c r="T42" s="619">
        <f t="shared" si="9"/>
        <v>95790.424934615352</v>
      </c>
      <c r="U42" s="755"/>
    </row>
    <row r="43" spans="1:21" s="756" customFormat="1" x14ac:dyDescent="0.2">
      <c r="A43" s="760" t="s">
        <v>710</v>
      </c>
      <c r="B43" s="967" t="s">
        <v>363</v>
      </c>
      <c r="C43" s="754"/>
      <c r="D43" s="954">
        <f>+'Monthly Budget'!D43</f>
        <v>0</v>
      </c>
      <c r="E43" s="954">
        <f>+'Monthly Budget'!E43</f>
        <v>0</v>
      </c>
      <c r="F43" s="954">
        <f>+'Monthly Budget'!F43</f>
        <v>0</v>
      </c>
      <c r="G43" s="954">
        <f>+'Monthly Budget'!G43</f>
        <v>0</v>
      </c>
      <c r="H43" s="954">
        <f>+'Monthly Budget'!H43</f>
        <v>0</v>
      </c>
      <c r="I43" s="954">
        <f>+'Monthly Budget'!I43</f>
        <v>0</v>
      </c>
      <c r="J43" s="954">
        <f>+'Monthly Budget'!J43</f>
        <v>0</v>
      </c>
      <c r="K43" s="954">
        <f>+'Monthly Budget'!K43</f>
        <v>0</v>
      </c>
      <c r="L43" s="1016">
        <v>0</v>
      </c>
      <c r="M43" s="1045">
        <f>+'Monthly Budget'!L43</f>
        <v>0</v>
      </c>
      <c r="N43" s="1045">
        <f>+'Monthly Budget'!M43</f>
        <v>0</v>
      </c>
      <c r="O43" s="1045">
        <f>+'Monthly Budget'!N43</f>
        <v>0</v>
      </c>
      <c r="P43" s="1045">
        <f>+'Monthly Budget'!O43</f>
        <v>0</v>
      </c>
      <c r="Q43" s="889">
        <f>+'Monthly Budget'!P43</f>
        <v>0</v>
      </c>
      <c r="R43" s="747">
        <f t="shared" si="8"/>
        <v>0</v>
      </c>
      <c r="S43" s="747">
        <v>0</v>
      </c>
      <c r="T43" s="619">
        <f t="shared" si="9"/>
        <v>0</v>
      </c>
      <c r="U43" s="755"/>
    </row>
    <row r="44" spans="1:21" s="756" customFormat="1" x14ac:dyDescent="0.2">
      <c r="A44" s="760" t="s">
        <v>711</v>
      </c>
      <c r="B44" s="967" t="s">
        <v>364</v>
      </c>
      <c r="C44" s="754"/>
      <c r="D44" s="954">
        <f>+'Monthly Budget'!D44</f>
        <v>3980.71</v>
      </c>
      <c r="E44" s="954">
        <f>+'Monthly Budget'!E44</f>
        <v>14359.202538461537</v>
      </c>
      <c r="F44" s="954">
        <f>+'Monthly Budget'!F44</f>
        <v>13110.576230769229</v>
      </c>
      <c r="G44" s="954">
        <f>+'Monthly Budget'!G44</f>
        <v>13734.889384615384</v>
      </c>
      <c r="H44" s="954">
        <f>+'Monthly Budget'!H44</f>
        <v>13734.889384615384</v>
      </c>
      <c r="I44" s="954">
        <f>+'Monthly Budget'!I44</f>
        <v>13110.576230769229</v>
      </c>
      <c r="J44" s="954">
        <f>+'Monthly Budget'!J44</f>
        <v>14359.202538461537</v>
      </c>
      <c r="K44" s="954">
        <f>+'Monthly Budget'!K44</f>
        <v>13110.576230769229</v>
      </c>
      <c r="L44" s="1016">
        <v>10771.770692307691</v>
      </c>
      <c r="M44" s="1045">
        <f>+'Monthly Budget'!L44</f>
        <v>13110.576230769229</v>
      </c>
      <c r="N44" s="1045">
        <f>+'Monthly Budget'!M44</f>
        <v>13734.889384615384</v>
      </c>
      <c r="O44" s="1045">
        <f>+'Monthly Budget'!N44</f>
        <v>14359.202538461537</v>
      </c>
      <c r="P44" s="1045">
        <f>+'Monthly Budget'!O44</f>
        <v>12486.263076923076</v>
      </c>
      <c r="Q44" s="889">
        <f>+'Monthly Budget'!P44</f>
        <v>10378.492538461538</v>
      </c>
      <c r="R44" s="747">
        <f t="shared" si="8"/>
        <v>163570.04630769236</v>
      </c>
      <c r="S44" s="747">
        <v>130015.96923076923</v>
      </c>
      <c r="T44" s="619">
        <f t="shared" si="9"/>
        <v>33554.077076923131</v>
      </c>
      <c r="U44" s="755"/>
    </row>
    <row r="45" spans="1:21" s="756" customFormat="1" x14ac:dyDescent="0.2">
      <c r="A45" s="760" t="s">
        <v>712</v>
      </c>
      <c r="B45" s="968" t="s">
        <v>713</v>
      </c>
      <c r="C45" s="754"/>
      <c r="D45" s="954">
        <f>+'Monthly Budget'!D45</f>
        <v>0</v>
      </c>
      <c r="E45" s="954">
        <f>+'Monthly Budget'!E45</f>
        <v>0</v>
      </c>
      <c r="F45" s="954">
        <f>+'Monthly Budget'!F45</f>
        <v>0</v>
      </c>
      <c r="G45" s="954">
        <f>+'Monthly Budget'!G45</f>
        <v>0</v>
      </c>
      <c r="H45" s="954">
        <f>+'Monthly Budget'!H45</f>
        <v>0</v>
      </c>
      <c r="I45" s="954">
        <f>+'Monthly Budget'!I45</f>
        <v>0</v>
      </c>
      <c r="J45" s="954">
        <f>+'Monthly Budget'!J45</f>
        <v>0</v>
      </c>
      <c r="K45" s="954">
        <f>+'Monthly Budget'!K45</f>
        <v>0</v>
      </c>
      <c r="L45" s="1016">
        <v>0</v>
      </c>
      <c r="M45" s="1045">
        <f>+'Monthly Budget'!L45</f>
        <v>0</v>
      </c>
      <c r="N45" s="1045">
        <f>+'Monthly Budget'!M45</f>
        <v>0</v>
      </c>
      <c r="O45" s="1045">
        <f>+'Monthly Budget'!N45</f>
        <v>0</v>
      </c>
      <c r="P45" s="1045">
        <f>+'Monthly Budget'!O45</f>
        <v>0</v>
      </c>
      <c r="Q45" s="889">
        <f>+'Monthly Budget'!P45</f>
        <v>0</v>
      </c>
      <c r="R45" s="747">
        <f t="shared" si="8"/>
        <v>0</v>
      </c>
      <c r="S45" s="747">
        <v>0</v>
      </c>
      <c r="T45" s="619">
        <f t="shared" si="9"/>
        <v>0</v>
      </c>
      <c r="U45" s="755"/>
    </row>
    <row r="46" spans="1:21" s="756" customFormat="1" x14ac:dyDescent="0.2">
      <c r="A46" s="760" t="s">
        <v>714</v>
      </c>
      <c r="B46" s="745" t="s">
        <v>715</v>
      </c>
      <c r="C46" s="754"/>
      <c r="D46" s="954">
        <f>+'Monthly Budget'!D46</f>
        <v>0</v>
      </c>
      <c r="E46" s="954">
        <f>+'Monthly Budget'!E46</f>
        <v>0</v>
      </c>
      <c r="F46" s="954">
        <f>+'Monthly Budget'!F46</f>
        <v>0</v>
      </c>
      <c r="G46" s="954">
        <f>+'Monthly Budget'!G46</f>
        <v>0</v>
      </c>
      <c r="H46" s="954">
        <f>+'Monthly Budget'!H46</f>
        <v>0</v>
      </c>
      <c r="I46" s="954">
        <f>+'Monthly Budget'!I46</f>
        <v>0</v>
      </c>
      <c r="J46" s="954">
        <f>+'Monthly Budget'!J46</f>
        <v>0</v>
      </c>
      <c r="K46" s="954">
        <f>+'Monthly Budget'!K46</f>
        <v>0</v>
      </c>
      <c r="L46" s="1016">
        <v>0</v>
      </c>
      <c r="M46" s="1045">
        <f>+'Monthly Budget'!L46</f>
        <v>0</v>
      </c>
      <c r="N46" s="1045">
        <f>+'Monthly Budget'!M46</f>
        <v>0</v>
      </c>
      <c r="O46" s="1045">
        <f>+'Monthly Budget'!N46</f>
        <v>0</v>
      </c>
      <c r="P46" s="1045">
        <f>+'Monthly Budget'!O46</f>
        <v>0</v>
      </c>
      <c r="Q46" s="889">
        <f>+'Monthly Budget'!P46</f>
        <v>0</v>
      </c>
      <c r="R46" s="747">
        <f t="shared" si="8"/>
        <v>0</v>
      </c>
      <c r="S46" s="747">
        <v>0</v>
      </c>
      <c r="T46" s="619">
        <f t="shared" si="9"/>
        <v>0</v>
      </c>
      <c r="U46" s="755"/>
    </row>
    <row r="47" spans="1:21" s="756" customFormat="1" x14ac:dyDescent="0.2">
      <c r="A47" s="760" t="s">
        <v>716</v>
      </c>
      <c r="B47" s="968" t="s">
        <v>367</v>
      </c>
      <c r="C47" s="754"/>
      <c r="D47" s="954">
        <f>+'Monthly Budget'!D47</f>
        <v>0</v>
      </c>
      <c r="E47" s="954">
        <f>+'Monthly Budget'!E47</f>
        <v>0</v>
      </c>
      <c r="F47" s="954">
        <f>+'Monthly Budget'!F47</f>
        <v>0</v>
      </c>
      <c r="G47" s="954">
        <f>+'Monthly Budget'!G47</f>
        <v>0</v>
      </c>
      <c r="H47" s="954">
        <f>+'Monthly Budget'!H47</f>
        <v>0</v>
      </c>
      <c r="I47" s="954">
        <f>+'Monthly Budget'!I47</f>
        <v>0</v>
      </c>
      <c r="J47" s="954">
        <f>+'Monthly Budget'!J47</f>
        <v>0</v>
      </c>
      <c r="K47" s="954">
        <f>+'Monthly Budget'!K47</f>
        <v>0</v>
      </c>
      <c r="L47" s="1016">
        <v>0</v>
      </c>
      <c r="M47" s="1045">
        <f>+'Monthly Budget'!L47</f>
        <v>0</v>
      </c>
      <c r="N47" s="1045">
        <f>+'Monthly Budget'!M47</f>
        <v>0</v>
      </c>
      <c r="O47" s="1045">
        <f>+'Monthly Budget'!N47</f>
        <v>0</v>
      </c>
      <c r="P47" s="1045">
        <f>+'Monthly Budget'!O47</f>
        <v>0</v>
      </c>
      <c r="Q47" s="889">
        <f>+'Monthly Budget'!P47</f>
        <v>0</v>
      </c>
      <c r="R47" s="747">
        <f t="shared" si="8"/>
        <v>0</v>
      </c>
      <c r="S47" s="747">
        <v>0</v>
      </c>
      <c r="T47" s="619">
        <f t="shared" si="9"/>
        <v>0</v>
      </c>
      <c r="U47" s="755"/>
    </row>
    <row r="48" spans="1:21" s="756" customFormat="1" x14ac:dyDescent="0.2">
      <c r="A48" s="761" t="s">
        <v>717</v>
      </c>
      <c r="B48" s="965" t="s">
        <v>369</v>
      </c>
      <c r="C48" s="754"/>
      <c r="D48" s="954">
        <f>+'Monthly Budget'!D48</f>
        <v>0</v>
      </c>
      <c r="E48" s="954">
        <f>+'Monthly Budget'!E48</f>
        <v>0</v>
      </c>
      <c r="F48" s="954">
        <f>+'Monthly Budget'!F48</f>
        <v>0</v>
      </c>
      <c r="G48" s="954">
        <f>+'Monthly Budget'!G48</f>
        <v>0</v>
      </c>
      <c r="H48" s="954">
        <f>+'Monthly Budget'!H48</f>
        <v>0</v>
      </c>
      <c r="I48" s="954">
        <f>+'Monthly Budget'!I48</f>
        <v>0</v>
      </c>
      <c r="J48" s="954">
        <f>+'Monthly Budget'!J48</f>
        <v>0</v>
      </c>
      <c r="K48" s="954">
        <f>+'Monthly Budget'!K48</f>
        <v>0</v>
      </c>
      <c r="L48" s="1016">
        <v>0</v>
      </c>
      <c r="M48" s="1045">
        <f>+'Monthly Budget'!L48</f>
        <v>0</v>
      </c>
      <c r="N48" s="1045">
        <f>+'Monthly Budget'!M48</f>
        <v>0</v>
      </c>
      <c r="O48" s="1045">
        <f>+'Monthly Budget'!N48</f>
        <v>0</v>
      </c>
      <c r="P48" s="1045">
        <f>+'Monthly Budget'!O48</f>
        <v>0</v>
      </c>
      <c r="Q48" s="889">
        <f>+'Monthly Budget'!P48</f>
        <v>0</v>
      </c>
      <c r="R48" s="747">
        <f t="shared" si="8"/>
        <v>0</v>
      </c>
      <c r="S48" s="747">
        <v>0</v>
      </c>
      <c r="T48" s="619">
        <f t="shared" si="9"/>
        <v>0</v>
      </c>
      <c r="U48" s="755"/>
    </row>
    <row r="49" spans="1:22" s="756" customFormat="1" x14ac:dyDescent="0.2">
      <c r="A49" s="760" t="s">
        <v>718</v>
      </c>
      <c r="B49" s="968" t="s">
        <v>370</v>
      </c>
      <c r="C49" s="754"/>
      <c r="D49" s="954">
        <f>+'Monthly Budget'!D49</f>
        <v>0</v>
      </c>
      <c r="E49" s="954">
        <f>+'Monthly Budget'!E49</f>
        <v>0</v>
      </c>
      <c r="F49" s="954">
        <f>+'Monthly Budget'!F49</f>
        <v>0</v>
      </c>
      <c r="G49" s="954">
        <f>+'Monthly Budget'!G49</f>
        <v>0</v>
      </c>
      <c r="H49" s="954">
        <f>+'Monthly Budget'!H49</f>
        <v>0</v>
      </c>
      <c r="I49" s="954">
        <f>+'Monthly Budget'!I49</f>
        <v>0</v>
      </c>
      <c r="J49" s="954">
        <f>+'Monthly Budget'!J49</f>
        <v>0</v>
      </c>
      <c r="K49" s="954">
        <f>+'Monthly Budget'!K49</f>
        <v>0</v>
      </c>
      <c r="L49" s="1016">
        <v>0</v>
      </c>
      <c r="M49" s="1045">
        <f>+'Monthly Budget'!L49</f>
        <v>0</v>
      </c>
      <c r="N49" s="1045">
        <f>+'Monthly Budget'!M49</f>
        <v>0</v>
      </c>
      <c r="O49" s="1045">
        <f>+'Monthly Budget'!N49</f>
        <v>0</v>
      </c>
      <c r="P49" s="1045">
        <f>+'Monthly Budget'!O49</f>
        <v>0</v>
      </c>
      <c r="Q49" s="889">
        <f>+'Monthly Budget'!P49</f>
        <v>0</v>
      </c>
      <c r="R49" s="747">
        <f t="shared" si="8"/>
        <v>0</v>
      </c>
      <c r="S49" s="747">
        <v>0</v>
      </c>
      <c r="T49" s="619">
        <f t="shared" si="9"/>
        <v>0</v>
      </c>
      <c r="U49" s="755"/>
    </row>
    <row r="50" spans="1:22" s="756" customFormat="1" x14ac:dyDescent="0.2">
      <c r="A50" s="760" t="s">
        <v>719</v>
      </c>
      <c r="B50" s="968" t="s">
        <v>372</v>
      </c>
      <c r="C50" s="754"/>
      <c r="D50" s="954">
        <f>+'Monthly Budget'!D50</f>
        <v>0</v>
      </c>
      <c r="E50" s="954">
        <f>+'Monthly Budget'!E50</f>
        <v>0</v>
      </c>
      <c r="F50" s="954">
        <f>+'Monthly Budget'!F50</f>
        <v>0</v>
      </c>
      <c r="G50" s="954">
        <f>+'Monthly Budget'!G50</f>
        <v>0</v>
      </c>
      <c r="H50" s="954">
        <f>+'Monthly Budget'!H50</f>
        <v>0</v>
      </c>
      <c r="I50" s="954">
        <f>+'Monthly Budget'!I50</f>
        <v>0</v>
      </c>
      <c r="J50" s="954">
        <f>+'Monthly Budget'!J50</f>
        <v>0</v>
      </c>
      <c r="K50" s="954">
        <f>+'Monthly Budget'!K50</f>
        <v>0</v>
      </c>
      <c r="L50" s="1016">
        <v>0</v>
      </c>
      <c r="M50" s="1045">
        <f>+'Monthly Budget'!L50</f>
        <v>0</v>
      </c>
      <c r="N50" s="1045">
        <f>+'Monthly Budget'!M50</f>
        <v>0</v>
      </c>
      <c r="O50" s="1045">
        <f>+'Monthly Budget'!N50</f>
        <v>0</v>
      </c>
      <c r="P50" s="1045">
        <f>+'Monthly Budget'!O50</f>
        <v>0</v>
      </c>
      <c r="Q50" s="889">
        <f>+'Monthly Budget'!P50</f>
        <v>0</v>
      </c>
      <c r="R50" s="747">
        <f t="shared" si="8"/>
        <v>0</v>
      </c>
      <c r="S50" s="747">
        <v>0</v>
      </c>
      <c r="T50" s="619">
        <f t="shared" si="9"/>
        <v>0</v>
      </c>
      <c r="U50" s="755"/>
    </row>
    <row r="51" spans="1:22" s="756" customFormat="1" x14ac:dyDescent="0.2">
      <c r="A51" s="760" t="s">
        <v>720</v>
      </c>
      <c r="B51" s="968" t="s">
        <v>721</v>
      </c>
      <c r="C51" s="754"/>
      <c r="D51" s="954">
        <f>+'Monthly Budget'!D51</f>
        <v>0</v>
      </c>
      <c r="E51" s="954">
        <f>+'Monthly Budget'!E51</f>
        <v>0</v>
      </c>
      <c r="F51" s="954">
        <f>+'Monthly Budget'!F51</f>
        <v>0</v>
      </c>
      <c r="G51" s="954">
        <f>+'Monthly Budget'!G51</f>
        <v>0</v>
      </c>
      <c r="H51" s="954">
        <f>+'Monthly Budget'!H51</f>
        <v>0</v>
      </c>
      <c r="I51" s="954">
        <f>+'Monthly Budget'!I51</f>
        <v>0</v>
      </c>
      <c r="J51" s="954">
        <f>+'Monthly Budget'!J51</f>
        <v>0</v>
      </c>
      <c r="K51" s="954">
        <f>+'Monthly Budget'!K51</f>
        <v>0</v>
      </c>
      <c r="L51" s="1016">
        <v>0</v>
      </c>
      <c r="M51" s="1045">
        <f>+'Monthly Budget'!L51</f>
        <v>0</v>
      </c>
      <c r="N51" s="1045">
        <f>+'Monthly Budget'!M51</f>
        <v>0</v>
      </c>
      <c r="O51" s="1045">
        <f>+'Monthly Budget'!N51</f>
        <v>0</v>
      </c>
      <c r="P51" s="1045">
        <f>+'Monthly Budget'!O51</f>
        <v>0</v>
      </c>
      <c r="Q51" s="889">
        <f>+'Monthly Budget'!P51</f>
        <v>0</v>
      </c>
      <c r="R51" s="747">
        <f t="shared" si="8"/>
        <v>0</v>
      </c>
      <c r="S51" s="747">
        <v>0</v>
      </c>
      <c r="T51" s="619">
        <f t="shared" si="9"/>
        <v>0</v>
      </c>
      <c r="U51" s="755"/>
    </row>
    <row r="52" spans="1:22" s="756" customFormat="1" x14ac:dyDescent="0.2">
      <c r="A52" s="760" t="s">
        <v>722</v>
      </c>
      <c r="B52" s="967" t="s">
        <v>723</v>
      </c>
      <c r="C52" s="754"/>
      <c r="D52" s="954">
        <f>+'Monthly Budget'!D52</f>
        <v>1992.3600000000001</v>
      </c>
      <c r="E52" s="954">
        <f>+'Monthly Budget'!E52</f>
        <v>5026.9153846153849</v>
      </c>
      <c r="F52" s="954">
        <f>+'Monthly Budget'!F52</f>
        <v>4589.792307692308</v>
      </c>
      <c r="G52" s="954">
        <f>+'Monthly Budget'!G52</f>
        <v>4808.3538461538465</v>
      </c>
      <c r="H52" s="954">
        <f>+'Monthly Budget'!H52</f>
        <v>4808.3538461538465</v>
      </c>
      <c r="I52" s="954">
        <f>+'Monthly Budget'!I52</f>
        <v>4589.792307692308</v>
      </c>
      <c r="J52" s="954">
        <f>+'Monthly Budget'!J52</f>
        <v>5026.9153846153849</v>
      </c>
      <c r="K52" s="954">
        <f>+'Monthly Budget'!K52</f>
        <v>4589.792307692308</v>
      </c>
      <c r="L52" s="1016">
        <v>4257.7330384615389</v>
      </c>
      <c r="M52" s="1045">
        <f>+'Monthly Budget'!L52</f>
        <v>4589.792307692308</v>
      </c>
      <c r="N52" s="1045">
        <f>+'Monthly Budget'!M52</f>
        <v>4808.3538461538465</v>
      </c>
      <c r="O52" s="1045">
        <f>+'Monthly Budget'!N52</f>
        <v>5026.9153846153849</v>
      </c>
      <c r="P52" s="1045">
        <f>+'Monthly Budget'!O52</f>
        <v>4371.2307692307695</v>
      </c>
      <c r="Q52" s="889">
        <f>+'Monthly Budget'!P52</f>
        <v>3034.5553846153848</v>
      </c>
      <c r="R52" s="747">
        <f t="shared" si="8"/>
        <v>57263.12307692309</v>
      </c>
      <c r="S52" s="747">
        <v>51649.999999999993</v>
      </c>
      <c r="T52" s="619">
        <f t="shared" si="9"/>
        <v>5613.123076923097</v>
      </c>
      <c r="U52" s="755"/>
    </row>
    <row r="53" spans="1:22" s="756" customFormat="1" x14ac:dyDescent="0.2">
      <c r="A53" s="760" t="s">
        <v>724</v>
      </c>
      <c r="B53" s="967" t="s">
        <v>374</v>
      </c>
      <c r="C53" s="754"/>
      <c r="D53" s="954">
        <f>+'Monthly Budget'!D53</f>
        <v>27920.642076923075</v>
      </c>
      <c r="E53" s="954">
        <f>+'Monthly Budget'!E53</f>
        <v>30579.750846153845</v>
      </c>
      <c r="F53" s="954">
        <f>+'Monthly Budget'!F53</f>
        <v>27920.642076923075</v>
      </c>
      <c r="G53" s="954">
        <f>+'Monthly Budget'!G53</f>
        <v>29250.19646153846</v>
      </c>
      <c r="H53" s="954">
        <f>+'Monthly Budget'!H53</f>
        <v>29250.19646153846</v>
      </c>
      <c r="I53" s="954">
        <f>+'Monthly Budget'!I53</f>
        <v>27920.642076923075</v>
      </c>
      <c r="J53" s="954">
        <f>+'Monthly Budget'!J53</f>
        <v>30579.750846153845</v>
      </c>
      <c r="K53" s="954">
        <f>+'Monthly Budget'!K53</f>
        <v>27920.642076923075</v>
      </c>
      <c r="L53" s="1016">
        <v>21165.899999999998</v>
      </c>
      <c r="M53" s="1045">
        <f>+'Monthly Budget'!L53</f>
        <v>27920.642076923075</v>
      </c>
      <c r="N53" s="1045">
        <f>+'Monthly Budget'!M53</f>
        <v>29250.19646153846</v>
      </c>
      <c r="O53" s="1045">
        <f>+'Monthly Budget'!N53</f>
        <v>30579.750846153845</v>
      </c>
      <c r="P53" s="1045">
        <f>+'Monthly Budget'!O53</f>
        <v>26591.087692307694</v>
      </c>
      <c r="Q53" s="889">
        <f>+'Monthly Budget'!P53</f>
        <v>0</v>
      </c>
      <c r="R53" s="747">
        <f t="shared" si="8"/>
        <v>345684.13999999996</v>
      </c>
      <c r="S53" s="747">
        <v>364163.6028461539</v>
      </c>
      <c r="T53" s="619">
        <f t="shared" si="9"/>
        <v>-18479.46284615394</v>
      </c>
      <c r="U53" s="755"/>
    </row>
    <row r="54" spans="1:22" s="756" customFormat="1" x14ac:dyDescent="0.2">
      <c r="A54" s="760" t="s">
        <v>725</v>
      </c>
      <c r="B54" s="967" t="s">
        <v>726</v>
      </c>
      <c r="C54" s="754"/>
      <c r="D54" s="954">
        <f>+'Monthly Budget'!D54</f>
        <v>7522.4423076923076</v>
      </c>
      <c r="E54" s="954">
        <f>+'Monthly Budget'!E54</f>
        <v>8238.8653846153848</v>
      </c>
      <c r="F54" s="954">
        <f>+'Monthly Budget'!F54</f>
        <v>7522.4423076923076</v>
      </c>
      <c r="G54" s="954">
        <f>+'Monthly Budget'!G54</f>
        <v>7880.6538461538457</v>
      </c>
      <c r="H54" s="954">
        <f>+'Monthly Budget'!H54</f>
        <v>7880.6538461538457</v>
      </c>
      <c r="I54" s="954">
        <f>+'Monthly Budget'!I54</f>
        <v>7522.4423076923076</v>
      </c>
      <c r="J54" s="954">
        <f>+'Monthly Budget'!J54</f>
        <v>8238.8653846153848</v>
      </c>
      <c r="K54" s="954">
        <f>+'Monthly Budget'!K54</f>
        <v>7522.4423076923076</v>
      </c>
      <c r="L54" s="1023">
        <v>6965.2153846153851</v>
      </c>
      <c r="M54" s="1055">
        <f>+'Monthly Budget'!L54</f>
        <v>7522.4423076923076</v>
      </c>
      <c r="N54" s="1055">
        <f>+'Monthly Budget'!M54</f>
        <v>7880.6538461538457</v>
      </c>
      <c r="O54" s="1055">
        <f>+'Monthly Budget'!N54</f>
        <v>8238.8653846153848</v>
      </c>
      <c r="P54" s="1055">
        <f>+'Monthly Budget'!O54</f>
        <v>7164.2307692307695</v>
      </c>
      <c r="Q54" s="889">
        <f>+'Monthly Budget'!P54</f>
        <v>0</v>
      </c>
      <c r="R54" s="747">
        <f t="shared" si="8"/>
        <v>93135</v>
      </c>
      <c r="S54" s="747">
        <v>56402.099999999991</v>
      </c>
      <c r="T54" s="619">
        <f t="shared" si="9"/>
        <v>36732.900000000009</v>
      </c>
      <c r="U54" s="755"/>
    </row>
    <row r="55" spans="1:22" s="756" customFormat="1" x14ac:dyDescent="0.2">
      <c r="A55" s="760" t="s">
        <v>727</v>
      </c>
      <c r="B55" s="967" t="s">
        <v>728</v>
      </c>
      <c r="C55" s="754"/>
      <c r="D55" s="954">
        <f>+'Monthly Budget'!D55</f>
        <v>0</v>
      </c>
      <c r="E55" s="954">
        <f>+'Monthly Budget'!E55</f>
        <v>0</v>
      </c>
      <c r="F55" s="954">
        <f>+'Monthly Budget'!F55</f>
        <v>0</v>
      </c>
      <c r="G55" s="954">
        <f>+'Monthly Budget'!G55</f>
        <v>0</v>
      </c>
      <c r="H55" s="954">
        <f>+'Monthly Budget'!H55</f>
        <v>0</v>
      </c>
      <c r="I55" s="954">
        <f>+'Monthly Budget'!I55</f>
        <v>0</v>
      </c>
      <c r="J55" s="954">
        <f>+'Monthly Budget'!J55</f>
        <v>0</v>
      </c>
      <c r="K55" s="954">
        <f>+'Monthly Budget'!K55</f>
        <v>0</v>
      </c>
      <c r="L55" s="1016">
        <v>2693.25</v>
      </c>
      <c r="M55" s="1045">
        <f>+'Monthly Budget'!L55</f>
        <v>0</v>
      </c>
      <c r="N55" s="1045">
        <f>+'Monthly Budget'!M55</f>
        <v>0</v>
      </c>
      <c r="O55" s="1045">
        <f>+'Monthly Budget'!N55</f>
        <v>0</v>
      </c>
      <c r="P55" s="1045">
        <f>+'Monthly Budget'!O55</f>
        <v>0</v>
      </c>
      <c r="Q55" s="889">
        <f>+'Monthly Budget'!P55</f>
        <v>0</v>
      </c>
      <c r="R55" s="747">
        <f t="shared" si="8"/>
        <v>0</v>
      </c>
      <c r="S55" s="747">
        <v>0</v>
      </c>
      <c r="T55" s="619">
        <f t="shared" si="9"/>
        <v>0</v>
      </c>
      <c r="U55" s="755"/>
    </row>
    <row r="56" spans="1:22" s="756" customFormat="1" x14ac:dyDescent="0.2">
      <c r="A56" s="760" t="s">
        <v>729</v>
      </c>
      <c r="B56" s="967" t="s">
        <v>730</v>
      </c>
      <c r="C56" s="754"/>
      <c r="D56" s="954">
        <f>+'Monthly Budget'!D56</f>
        <v>5946.7315384615404</v>
      </c>
      <c r="E56" s="954">
        <f>+'Monthly Budget'!E56</f>
        <v>6513.0869230769249</v>
      </c>
      <c r="F56" s="954">
        <f>+'Monthly Budget'!F56</f>
        <v>5946.7315384615404</v>
      </c>
      <c r="G56" s="954">
        <f>+'Monthly Budget'!G56</f>
        <v>6229.9092307692326</v>
      </c>
      <c r="H56" s="954">
        <f>+'Monthly Budget'!H56</f>
        <v>6229.9092307692326</v>
      </c>
      <c r="I56" s="954">
        <f>+'Monthly Budget'!I56</f>
        <v>5946.7315384615404</v>
      </c>
      <c r="J56" s="954">
        <f>+'Monthly Budget'!J56</f>
        <v>6513.0869230769249</v>
      </c>
      <c r="K56" s="954">
        <f>+'Monthly Budget'!K56</f>
        <v>5946.7315384615404</v>
      </c>
      <c r="L56" s="1023">
        <v>6556.8461538461534</v>
      </c>
      <c r="M56" s="1055">
        <f>+'Monthly Budget'!L56</f>
        <v>5946.7315384615404</v>
      </c>
      <c r="N56" s="1055">
        <f>+'Monthly Budget'!M56</f>
        <v>6229.9092307692326</v>
      </c>
      <c r="O56" s="1055">
        <f>+'Monthly Budget'!N56</f>
        <v>6513.0869230769249</v>
      </c>
      <c r="P56" s="1055">
        <f>+'Monthly Budget'!O56</f>
        <v>5663.5538461538472</v>
      </c>
      <c r="Q56" s="889">
        <f>+'Monthly Budget'!P56</f>
        <v>0</v>
      </c>
      <c r="R56" s="747">
        <f t="shared" si="8"/>
        <v>73626.200000000041</v>
      </c>
      <c r="S56" s="747">
        <v>100818.6391350585</v>
      </c>
      <c r="T56" s="619">
        <f t="shared" si="9"/>
        <v>-27192.439135058463</v>
      </c>
      <c r="U56" s="755"/>
    </row>
    <row r="57" spans="1:22" s="756" customFormat="1" x14ac:dyDescent="0.2">
      <c r="A57" s="760" t="s">
        <v>731</v>
      </c>
      <c r="B57" s="968" t="s">
        <v>732</v>
      </c>
      <c r="C57" s="754"/>
      <c r="D57" s="954">
        <f>+'Monthly Budget'!D57</f>
        <v>0</v>
      </c>
      <c r="E57" s="954">
        <f>+'Monthly Budget'!E57</f>
        <v>0</v>
      </c>
      <c r="F57" s="954">
        <f>+'Monthly Budget'!F57</f>
        <v>0</v>
      </c>
      <c r="G57" s="954">
        <f>+'Monthly Budget'!G57</f>
        <v>0</v>
      </c>
      <c r="H57" s="954">
        <f>+'Monthly Budget'!H57</f>
        <v>0</v>
      </c>
      <c r="I57" s="954">
        <f>+'Monthly Budget'!I57</f>
        <v>0</v>
      </c>
      <c r="J57" s="954">
        <f>+'Monthly Budget'!J57</f>
        <v>0</v>
      </c>
      <c r="K57" s="954">
        <f>+'Monthly Budget'!K57</f>
        <v>0</v>
      </c>
      <c r="L57" s="1016">
        <v>0</v>
      </c>
      <c r="M57" s="1045">
        <f>+'Monthly Budget'!L57</f>
        <v>0</v>
      </c>
      <c r="N57" s="1045">
        <f>+'Monthly Budget'!M57</f>
        <v>0</v>
      </c>
      <c r="O57" s="1045">
        <f>+'Monthly Budget'!N57</f>
        <v>0</v>
      </c>
      <c r="P57" s="1045">
        <f>+'Monthly Budget'!O57</f>
        <v>0</v>
      </c>
      <c r="Q57" s="889">
        <f>+'Monthly Budget'!P57</f>
        <v>0</v>
      </c>
      <c r="R57" s="747">
        <f t="shared" si="8"/>
        <v>0</v>
      </c>
      <c r="S57" s="747">
        <v>0</v>
      </c>
      <c r="T57" s="619">
        <f t="shared" si="9"/>
        <v>0</v>
      </c>
      <c r="U57" s="755"/>
    </row>
    <row r="58" spans="1:22" s="756" customFormat="1" x14ac:dyDescent="0.2">
      <c r="A58" s="760" t="s">
        <v>733</v>
      </c>
      <c r="B58" s="967" t="s">
        <v>734</v>
      </c>
      <c r="C58" s="754"/>
      <c r="D58" s="954">
        <f>+'Monthly Budget'!D58</f>
        <v>9382.2749999999996</v>
      </c>
      <c r="E58" s="954">
        <f>+'Monthly Budget'!E58</f>
        <v>10275.824999999999</v>
      </c>
      <c r="F58" s="954">
        <f>+'Monthly Budget'!F58</f>
        <v>9382.2749999999996</v>
      </c>
      <c r="G58" s="954">
        <f>+'Monthly Budget'!G58</f>
        <v>9829.0499999999993</v>
      </c>
      <c r="H58" s="954">
        <f>+'Monthly Budget'!H58</f>
        <v>9829.0499999999993</v>
      </c>
      <c r="I58" s="954">
        <f>+'Monthly Budget'!I58</f>
        <v>9382.2749999999996</v>
      </c>
      <c r="J58" s="954">
        <f>+'Monthly Budget'!J58</f>
        <v>10275.824999999999</v>
      </c>
      <c r="K58" s="954">
        <f>+'Monthly Budget'!K58</f>
        <v>9382.2749999999996</v>
      </c>
      <c r="L58" s="1016">
        <v>2689.6153846153843</v>
      </c>
      <c r="M58" s="1045">
        <f>+'Monthly Budget'!L58</f>
        <v>9382.2749999999996</v>
      </c>
      <c r="N58" s="1045">
        <f>+'Monthly Budget'!M58</f>
        <v>9829.0499999999993</v>
      </c>
      <c r="O58" s="1045">
        <f>+'Monthly Budget'!N58</f>
        <v>10275.824999999999</v>
      </c>
      <c r="P58" s="1045">
        <f>+'Monthly Budget'!O58</f>
        <v>8935.5</v>
      </c>
      <c r="Q58" s="889">
        <f>+'Monthly Budget'!P58</f>
        <v>0</v>
      </c>
      <c r="R58" s="747">
        <f t="shared" si="8"/>
        <v>116161.5</v>
      </c>
      <c r="S58" s="747">
        <v>0</v>
      </c>
      <c r="T58" s="619">
        <f t="shared" si="9"/>
        <v>116161.5</v>
      </c>
      <c r="U58" s="755"/>
    </row>
    <row r="59" spans="1:22" s="756" customFormat="1" x14ac:dyDescent="0.2">
      <c r="A59" s="760" t="s">
        <v>735</v>
      </c>
      <c r="B59" s="967" t="s">
        <v>736</v>
      </c>
      <c r="C59" s="759"/>
      <c r="D59" s="954">
        <f>+'Monthly Budget'!D59</f>
        <v>3449.3307692307694</v>
      </c>
      <c r="E59" s="954">
        <f>+'Monthly Budget'!E59</f>
        <v>3777.8384615384616</v>
      </c>
      <c r="F59" s="954">
        <f>+'Monthly Budget'!F59</f>
        <v>3449.3307692307694</v>
      </c>
      <c r="G59" s="954">
        <f>+'Monthly Budget'!G59</f>
        <v>3613.5846153846155</v>
      </c>
      <c r="H59" s="954">
        <f>+'Monthly Budget'!H59</f>
        <v>3613.5846153846155</v>
      </c>
      <c r="I59" s="954">
        <f>+'Monthly Budget'!I59</f>
        <v>3449.3307692307694</v>
      </c>
      <c r="J59" s="954">
        <f>+'Monthly Budget'!J59</f>
        <v>3777.8384615384616</v>
      </c>
      <c r="K59" s="954">
        <f>+'Monthly Budget'!K59</f>
        <v>3449.3307692307694</v>
      </c>
      <c r="L59" s="1016">
        <v>3088.2923076923075</v>
      </c>
      <c r="M59" s="1045">
        <f>+'Monthly Budget'!L59</f>
        <v>3449.3307692307694</v>
      </c>
      <c r="N59" s="1045">
        <f>+'Monthly Budget'!M59</f>
        <v>3613.5846153846155</v>
      </c>
      <c r="O59" s="1045">
        <f>+'Monthly Budget'!N59</f>
        <v>3777.8384615384616</v>
      </c>
      <c r="P59" s="1045">
        <f>+'Monthly Budget'!O59</f>
        <v>3285.0769230769229</v>
      </c>
      <c r="Q59" s="889">
        <f>+'Monthly Budget'!P59</f>
        <v>0</v>
      </c>
      <c r="R59" s="747">
        <f t="shared" si="8"/>
        <v>42705.999999999993</v>
      </c>
      <c r="S59" s="747">
        <v>0</v>
      </c>
      <c r="T59" s="619">
        <f t="shared" si="9"/>
        <v>42705.999999999993</v>
      </c>
      <c r="U59" s="755"/>
    </row>
    <row r="60" spans="1:22" s="756" customFormat="1" x14ac:dyDescent="0.2">
      <c r="A60" s="757"/>
      <c r="B60" s="758"/>
      <c r="C60" s="759"/>
      <c r="D60" s="954">
        <f>+'Monthly Budget'!D60</f>
        <v>0</v>
      </c>
      <c r="E60" s="954">
        <f>+'Monthly Budget'!E60</f>
        <v>0</v>
      </c>
      <c r="F60" s="954">
        <f>+'Monthly Budget'!F60</f>
        <v>0</v>
      </c>
      <c r="G60" s="954">
        <f>+'Monthly Budget'!G60</f>
        <v>0</v>
      </c>
      <c r="H60" s="954">
        <f>+'Monthly Budget'!H60</f>
        <v>0</v>
      </c>
      <c r="I60" s="954">
        <f>+'Monthly Budget'!I60</f>
        <v>0</v>
      </c>
      <c r="J60" s="954">
        <f>+'Monthly Budget'!J60</f>
        <v>0</v>
      </c>
      <c r="K60" s="954">
        <f>+'Monthly Budget'!K60</f>
        <v>0</v>
      </c>
      <c r="L60" s="1016"/>
      <c r="M60" s="1045">
        <f>+'Monthly Budget'!L60</f>
        <v>0</v>
      </c>
      <c r="N60" s="1045">
        <f>+'Monthly Budget'!M60</f>
        <v>0</v>
      </c>
      <c r="O60" s="1045">
        <f>+'Monthly Budget'!N60</f>
        <v>0</v>
      </c>
      <c r="P60" s="1045">
        <f>+'Monthly Budget'!O60</f>
        <v>0</v>
      </c>
      <c r="Q60" s="889">
        <f>+'Monthly Budget'!P60</f>
        <v>0</v>
      </c>
      <c r="R60" s="747">
        <f t="shared" si="8"/>
        <v>0</v>
      </c>
      <c r="S60" s="747">
        <v>0</v>
      </c>
      <c r="T60" s="619">
        <f t="shared" si="9"/>
        <v>0</v>
      </c>
      <c r="U60" s="755"/>
    </row>
    <row r="61" spans="1:22" x14ac:dyDescent="0.2">
      <c r="A61" s="756"/>
      <c r="B61" s="862" t="s">
        <v>583</v>
      </c>
      <c r="C61" s="759"/>
      <c r="D61" s="954">
        <f>+'Monthly Budget'!D61</f>
        <v>17854.690000000002</v>
      </c>
      <c r="E61" s="954">
        <f>+'Monthly Budget'!E61</f>
        <v>102678.6999891875</v>
      </c>
      <c r="F61" s="954">
        <f>+'Monthly Budget'!F61</f>
        <v>102678.6999891875</v>
      </c>
      <c r="G61" s="954">
        <f>+'Monthly Budget'!G61</f>
        <v>102678.6999891875</v>
      </c>
      <c r="H61" s="954">
        <f>+'Monthly Budget'!H61</f>
        <v>102678.6999891875</v>
      </c>
      <c r="I61" s="954">
        <f>+'Monthly Budget'!I61</f>
        <v>102678.6999891875</v>
      </c>
      <c r="J61" s="954">
        <f>+'Monthly Budget'!J61</f>
        <v>102678.6999891875</v>
      </c>
      <c r="K61" s="954">
        <f>+'Monthly Budget'!K61</f>
        <v>102678.6999891875</v>
      </c>
      <c r="L61" s="1016">
        <v>97823.409598675004</v>
      </c>
      <c r="M61" s="1045">
        <f>+'Monthly Budget'!L61</f>
        <v>102678.6999891875</v>
      </c>
      <c r="N61" s="1045">
        <f>+'Monthly Budget'!M61</f>
        <v>102678.6999891875</v>
      </c>
      <c r="O61" s="1045">
        <f>+'Monthly Budget'!N61</f>
        <v>102678.6999891875</v>
      </c>
      <c r="P61" s="1045">
        <f>+'Monthly Budget'!O61</f>
        <v>102678.6999891875</v>
      </c>
      <c r="Q61" s="889">
        <f>+'Monthly Budget'!P61</f>
        <v>84824.0099891875</v>
      </c>
      <c r="R61" s="747">
        <f t="shared" si="8"/>
        <v>1232144.3998702501</v>
      </c>
      <c r="S61" s="747">
        <v>1077671.7377466613</v>
      </c>
      <c r="T61" s="619">
        <f t="shared" si="9"/>
        <v>154472.66212358885</v>
      </c>
      <c r="U61" s="742"/>
    </row>
    <row r="62" spans="1:22" ht="12" thickBot="1" x14ac:dyDescent="0.25">
      <c r="B62" s="863" t="s">
        <v>378</v>
      </c>
      <c r="C62" s="762">
        <f>SUM(C40:C59)</f>
        <v>0</v>
      </c>
      <c r="D62" s="957">
        <f t="shared" ref="D62:T62" si="10">SUM(D40:D61)</f>
        <v>111999.70169230769</v>
      </c>
      <c r="E62" s="957">
        <f>SUM(E40:E61)</f>
        <v>418473.33741226443</v>
      </c>
      <c r="F62" s="957">
        <f>SUM(F40:F61)</f>
        <v>391091.19502764905</v>
      </c>
      <c r="G62" s="957">
        <f>SUM(G40:G61)</f>
        <v>404782.26621995668</v>
      </c>
      <c r="H62" s="957">
        <f>SUM(H40:H61)</f>
        <v>404782.26621995668</v>
      </c>
      <c r="I62" s="957">
        <f t="shared" si="10"/>
        <v>391091.19502764905</v>
      </c>
      <c r="J62" s="957">
        <f t="shared" si="10"/>
        <v>418473.33741226443</v>
      </c>
      <c r="K62" s="957">
        <f t="shared" si="10"/>
        <v>391091.19502764905</v>
      </c>
      <c r="L62" s="1024">
        <v>347747.70082944422</v>
      </c>
      <c r="M62" s="1057">
        <f t="shared" si="10"/>
        <v>391091.19502764905</v>
      </c>
      <c r="N62" s="1057">
        <f t="shared" si="10"/>
        <v>404782.26621995668</v>
      </c>
      <c r="O62" s="1057">
        <f t="shared" si="10"/>
        <v>418473.33741226443</v>
      </c>
      <c r="P62" s="1057">
        <f t="shared" si="10"/>
        <v>376500.12383534142</v>
      </c>
      <c r="Q62" s="817">
        <f t="shared" si="10"/>
        <v>295926.38925841823</v>
      </c>
      <c r="R62" s="973">
        <f t="shared" si="10"/>
        <v>4818557.8057933273</v>
      </c>
      <c r="S62" s="629">
        <v>3872730.3094086433</v>
      </c>
      <c r="T62" s="629">
        <f t="shared" si="10"/>
        <v>945827.49638468423</v>
      </c>
      <c r="U62" s="742"/>
    </row>
    <row r="63" spans="1:22" ht="12" thickTop="1" x14ac:dyDescent="0.2">
      <c r="B63" s="863"/>
      <c r="C63" s="763"/>
      <c r="D63" s="958"/>
      <c r="E63" s="958"/>
      <c r="F63" s="958"/>
      <c r="G63" s="958"/>
      <c r="H63" s="958"/>
      <c r="I63" s="958"/>
      <c r="J63" s="958"/>
      <c r="K63" s="958"/>
      <c r="L63" s="1025"/>
      <c r="M63" s="1059"/>
      <c r="N63" s="1059"/>
      <c r="O63" s="1059"/>
      <c r="P63" s="1059"/>
      <c r="Q63" s="625"/>
      <c r="R63" s="747">
        <f>SUM(D63:Q63)</f>
        <v>0</v>
      </c>
      <c r="S63" s="634">
        <v>0</v>
      </c>
      <c r="U63" s="742"/>
    </row>
    <row r="64" spans="1:22" x14ac:dyDescent="0.2">
      <c r="B64" s="864" t="s">
        <v>307</v>
      </c>
      <c r="C64" s="763"/>
      <c r="D64" s="953"/>
      <c r="E64" s="953"/>
      <c r="F64" s="953"/>
      <c r="G64" s="953"/>
      <c r="H64" s="953"/>
      <c r="I64" s="953"/>
      <c r="J64" s="953"/>
      <c r="K64" s="953"/>
      <c r="L64" s="1019"/>
      <c r="M64" s="1049"/>
      <c r="N64" s="1049"/>
      <c r="O64" s="1049"/>
      <c r="P64" s="1049"/>
      <c r="Q64" s="810"/>
      <c r="R64" s="747">
        <f>SUM(D64:Q64)</f>
        <v>0</v>
      </c>
      <c r="S64" s="634">
        <v>0</v>
      </c>
      <c r="U64" s="765"/>
      <c r="V64" s="766"/>
    </row>
    <row r="65" spans="1:21" x14ac:dyDescent="0.2">
      <c r="A65" s="744" t="s">
        <v>737</v>
      </c>
      <c r="B65" s="745" t="s">
        <v>379</v>
      </c>
      <c r="C65" s="764"/>
      <c r="D65" s="954">
        <f>+'Monthly Budget'!D65</f>
        <v>0</v>
      </c>
      <c r="E65" s="954">
        <f>+'Monthly Budget'!E65</f>
        <v>0</v>
      </c>
      <c r="F65" s="954">
        <f>+'Monthly Budget'!F65</f>
        <v>0</v>
      </c>
      <c r="G65" s="954">
        <f>+'Monthly Budget'!G65</f>
        <v>0</v>
      </c>
      <c r="H65" s="954">
        <f>+'Monthly Budget'!H65</f>
        <v>0</v>
      </c>
      <c r="I65" s="954">
        <f>+'Monthly Budget'!I65</f>
        <v>0</v>
      </c>
      <c r="J65" s="954">
        <f>+'Monthly Budget'!J65</f>
        <v>0</v>
      </c>
      <c r="K65" s="954">
        <f>+'Monthly Budget'!K65</f>
        <v>0</v>
      </c>
      <c r="L65" s="1016">
        <v>0</v>
      </c>
      <c r="M65" s="1045">
        <f>+'Monthly Budget'!L65</f>
        <v>0</v>
      </c>
      <c r="N65" s="1045">
        <f>+'Monthly Budget'!M65</f>
        <v>0</v>
      </c>
      <c r="O65" s="1045">
        <f>+'Monthly Budget'!N65</f>
        <v>0</v>
      </c>
      <c r="P65" s="1045">
        <f>+'Monthly Budget'!O65</f>
        <v>0</v>
      </c>
      <c r="Q65" s="625"/>
      <c r="R65" s="747">
        <f>SUM(D65:Q65)-L65</f>
        <v>0</v>
      </c>
      <c r="S65" s="747">
        <v>0</v>
      </c>
      <c r="T65" s="619">
        <f>R65-S65</f>
        <v>0</v>
      </c>
      <c r="U65" s="742"/>
    </row>
    <row r="66" spans="1:21" x14ac:dyDescent="0.2">
      <c r="A66" s="744" t="s">
        <v>959</v>
      </c>
      <c r="B66" s="745" t="s">
        <v>960</v>
      </c>
      <c r="C66" s="764"/>
      <c r="D66" s="954">
        <f>+'Monthly Budget'!D66</f>
        <v>727</v>
      </c>
      <c r="E66" s="954">
        <f>+'Monthly Budget'!E66</f>
        <v>727</v>
      </c>
      <c r="F66" s="954">
        <f>+'Monthly Budget'!F66</f>
        <v>716</v>
      </c>
      <c r="G66" s="954">
        <f>+'Monthly Budget'!G66</f>
        <v>514</v>
      </c>
      <c r="H66" s="954">
        <f>+'Monthly Budget'!H66</f>
        <v>984</v>
      </c>
      <c r="I66" s="954">
        <f>+'Monthly Budget'!I66</f>
        <v>981</v>
      </c>
      <c r="J66" s="954">
        <f>+'Monthly Budget'!J66</f>
        <v>899</v>
      </c>
      <c r="K66" s="954">
        <f>+'Monthly Budget'!K66</f>
        <v>1075.2</v>
      </c>
      <c r="L66" s="1016">
        <v>686</v>
      </c>
      <c r="M66" s="1045">
        <f>+'Monthly Budget'!L66</f>
        <v>750.9</v>
      </c>
      <c r="N66" s="1045">
        <f>+'Monthly Budget'!M66</f>
        <v>480</v>
      </c>
      <c r="O66" s="1045">
        <f>+'Monthly Budget'!N66</f>
        <v>480</v>
      </c>
      <c r="P66" s="1045">
        <f>+'Monthly Budget'!O66</f>
        <v>225</v>
      </c>
      <c r="Q66" s="625"/>
      <c r="R66" s="747">
        <f>SUM(D66:Q66)-L66</f>
        <v>8559.0999999999985</v>
      </c>
      <c r="S66" s="747">
        <v>5760</v>
      </c>
      <c r="T66" s="619">
        <f>R66-S66</f>
        <v>2799.0999999999985</v>
      </c>
      <c r="U66" s="742"/>
    </row>
    <row r="67" spans="1:21" x14ac:dyDescent="0.2">
      <c r="A67" s="767" t="s">
        <v>738</v>
      </c>
      <c r="B67" s="745" t="s">
        <v>380</v>
      </c>
      <c r="C67" s="764"/>
      <c r="D67" s="954">
        <f>+'Monthly Budget'!D67</f>
        <v>1350</v>
      </c>
      <c r="E67" s="954">
        <f>+'Monthly Budget'!E67</f>
        <v>1350</v>
      </c>
      <c r="F67" s="954">
        <f>+'Monthly Budget'!F67</f>
        <v>1350</v>
      </c>
      <c r="G67" s="954">
        <f>+'Monthly Budget'!G67</f>
        <v>1350</v>
      </c>
      <c r="H67" s="954">
        <f>+'Monthly Budget'!H67</f>
        <v>1350</v>
      </c>
      <c r="I67" s="954">
        <f>+'Monthly Budget'!I67</f>
        <v>1350</v>
      </c>
      <c r="J67" s="954">
        <f>+'Monthly Budget'!J67</f>
        <v>1350</v>
      </c>
      <c r="K67" s="954">
        <f>+'Monthly Budget'!K67</f>
        <v>1350</v>
      </c>
      <c r="L67" s="1016">
        <v>2538</v>
      </c>
      <c r="M67" s="1045">
        <f>+'Monthly Budget'!L67</f>
        <v>1350</v>
      </c>
      <c r="N67" s="1045">
        <f>+'Monthly Budget'!M67</f>
        <v>1350</v>
      </c>
      <c r="O67" s="1045">
        <f>+'Monthly Budget'!N67</f>
        <v>1350</v>
      </c>
      <c r="P67" s="1045">
        <f>+'Monthly Budget'!O67</f>
        <v>1350</v>
      </c>
      <c r="Q67" s="810"/>
      <c r="R67" s="747">
        <f>SUM(D67:Q67)-L67</f>
        <v>16200</v>
      </c>
      <c r="S67" s="747">
        <v>5965.77</v>
      </c>
      <c r="T67" s="619">
        <f>R67-S67</f>
        <v>10234.23</v>
      </c>
      <c r="U67" s="742"/>
    </row>
    <row r="68" spans="1:21" ht="12" thickBot="1" x14ac:dyDescent="0.25">
      <c r="A68" s="744"/>
      <c r="B68" s="855" t="s">
        <v>381</v>
      </c>
      <c r="C68" s="763"/>
      <c r="D68" s="952">
        <f t="shared" ref="D68:P68" si="11">SUM(D65:D67)</f>
        <v>2077</v>
      </c>
      <c r="E68" s="952">
        <f>SUM(E65:E67)</f>
        <v>2077</v>
      </c>
      <c r="F68" s="952">
        <f>SUM(F65:F67)</f>
        <v>2066</v>
      </c>
      <c r="G68" s="952">
        <f>SUM(G65:G67)</f>
        <v>1864</v>
      </c>
      <c r="H68" s="952">
        <f>SUM(H65:H67)</f>
        <v>2334</v>
      </c>
      <c r="I68" s="952">
        <f t="shared" si="11"/>
        <v>2331</v>
      </c>
      <c r="J68" s="952">
        <f t="shared" si="11"/>
        <v>2249</v>
      </c>
      <c r="K68" s="952">
        <f t="shared" si="11"/>
        <v>2425.1999999999998</v>
      </c>
      <c r="L68" s="1018">
        <v>3224</v>
      </c>
      <c r="M68" s="1048">
        <f t="shared" si="11"/>
        <v>2100.9</v>
      </c>
      <c r="N68" s="1048">
        <f t="shared" si="11"/>
        <v>1830</v>
      </c>
      <c r="O68" s="1048">
        <f t="shared" si="11"/>
        <v>1830</v>
      </c>
      <c r="P68" s="1048">
        <f t="shared" si="11"/>
        <v>1575</v>
      </c>
      <c r="Q68" s="750"/>
      <c r="R68" s="629">
        <f>SUM(R65:R67)</f>
        <v>24759.1</v>
      </c>
      <c r="S68" s="629">
        <v>11725.77</v>
      </c>
      <c r="T68" s="629">
        <f>SUM(T65:T67)</f>
        <v>13033.329999999998</v>
      </c>
      <c r="U68" s="742"/>
    </row>
    <row r="69" spans="1:21" ht="12" thickTop="1" x14ac:dyDescent="0.2">
      <c r="A69" s="744"/>
      <c r="B69" s="855"/>
      <c r="C69" s="763"/>
      <c r="D69" s="953"/>
      <c r="E69" s="953"/>
      <c r="F69" s="953"/>
      <c r="G69" s="953"/>
      <c r="H69" s="953"/>
      <c r="I69" s="953"/>
      <c r="J69" s="953"/>
      <c r="K69" s="953"/>
      <c r="L69" s="1019"/>
      <c r="M69" s="1049"/>
      <c r="N69" s="1049"/>
      <c r="O69" s="1049"/>
      <c r="P69" s="1049"/>
      <c r="Q69" s="625"/>
      <c r="R69" s="635"/>
      <c r="S69" s="635"/>
      <c r="U69" s="742"/>
    </row>
    <row r="70" spans="1:21" x14ac:dyDescent="0.2">
      <c r="B70" s="854" t="s">
        <v>308</v>
      </c>
      <c r="C70" s="763"/>
      <c r="D70" s="953"/>
      <c r="E70" s="953"/>
      <c r="F70" s="953"/>
      <c r="G70" s="953"/>
      <c r="H70" s="953"/>
      <c r="I70" s="953"/>
      <c r="J70" s="953"/>
      <c r="K70" s="953"/>
      <c r="L70" s="1019"/>
      <c r="M70" s="1049"/>
      <c r="N70" s="1049"/>
      <c r="O70" s="1049"/>
      <c r="P70" s="1049"/>
      <c r="Q70" s="625"/>
      <c r="R70" s="634"/>
      <c r="S70" s="634"/>
      <c r="U70" s="742"/>
    </row>
    <row r="71" spans="1:21" x14ac:dyDescent="0.2">
      <c r="A71" s="744" t="s">
        <v>739</v>
      </c>
      <c r="B71" s="745" t="s">
        <v>740</v>
      </c>
      <c r="C71" s="764"/>
      <c r="D71" s="954">
        <f>+'Monthly Budget'!D71</f>
        <v>0</v>
      </c>
      <c r="E71" s="954">
        <f>+'Monthly Budget'!E71</f>
        <v>0</v>
      </c>
      <c r="F71" s="954">
        <f>+'Monthly Budget'!F71</f>
        <v>0</v>
      </c>
      <c r="G71" s="954">
        <f>+'Monthly Budget'!G71</f>
        <v>0</v>
      </c>
      <c r="H71" s="954">
        <f>+'Monthly Budget'!H71</f>
        <v>0</v>
      </c>
      <c r="I71" s="954">
        <f>+'Monthly Budget'!I71</f>
        <v>0</v>
      </c>
      <c r="J71" s="954">
        <f>+'Monthly Budget'!J71</f>
        <v>0</v>
      </c>
      <c r="K71" s="954">
        <f>+'Monthly Budget'!K71</f>
        <v>0</v>
      </c>
      <c r="L71" s="1016">
        <v>0</v>
      </c>
      <c r="M71" s="1045">
        <f>+'Monthly Budget'!L71</f>
        <v>0</v>
      </c>
      <c r="N71" s="1045">
        <f>+'Monthly Budget'!M71</f>
        <v>0</v>
      </c>
      <c r="O71" s="1045">
        <f>+'Monthly Budget'!N71</f>
        <v>0</v>
      </c>
      <c r="P71" s="1045">
        <f>+'Monthly Budget'!O71</f>
        <v>0</v>
      </c>
      <c r="Q71" s="810"/>
      <c r="R71" s="747">
        <f>SUM(D71:Q71)-L71</f>
        <v>0</v>
      </c>
      <c r="S71" s="747">
        <v>0</v>
      </c>
      <c r="T71" s="619">
        <f t="shared" ref="T71:T96" si="12">R71-S71</f>
        <v>0</v>
      </c>
      <c r="U71" s="742"/>
    </row>
    <row r="72" spans="1:21" x14ac:dyDescent="0.2">
      <c r="A72" s="744" t="s">
        <v>741</v>
      </c>
      <c r="B72" s="745" t="s">
        <v>382</v>
      </c>
      <c r="C72" s="764"/>
      <c r="D72" s="954">
        <f>+'Monthly Budget'!D72</f>
        <v>0</v>
      </c>
      <c r="E72" s="954">
        <f>+'Monthly Budget'!E72</f>
        <v>430</v>
      </c>
      <c r="F72" s="954">
        <f>+'Monthly Budget'!F72</f>
        <v>16691.82</v>
      </c>
      <c r="G72" s="954">
        <f>+'Monthly Budget'!G72</f>
        <v>430</v>
      </c>
      <c r="H72" s="954">
        <f>+'Monthly Budget'!H72</f>
        <v>430</v>
      </c>
      <c r="I72" s="954">
        <f>+'Monthly Budget'!I72</f>
        <v>430</v>
      </c>
      <c r="J72" s="954">
        <f>+'Monthly Budget'!J72</f>
        <v>430</v>
      </c>
      <c r="K72" s="954">
        <f>+'Monthly Budget'!K72</f>
        <v>430</v>
      </c>
      <c r="L72" s="1016">
        <v>0</v>
      </c>
      <c r="M72" s="1045">
        <f>+'Monthly Budget'!L72</f>
        <v>430</v>
      </c>
      <c r="N72" s="1045">
        <f>+'Monthly Budget'!M72</f>
        <v>430</v>
      </c>
      <c r="O72" s="1045">
        <f>+'Monthly Budget'!N72</f>
        <v>430</v>
      </c>
      <c r="P72" s="1045">
        <f>+'Monthly Budget'!O72</f>
        <v>0</v>
      </c>
      <c r="Q72" s="810"/>
      <c r="R72" s="747">
        <f>SUM(D72:Q72)-L72</f>
        <v>20561.82</v>
      </c>
      <c r="S72" s="747">
        <v>2225</v>
      </c>
      <c r="T72" s="619">
        <f t="shared" si="12"/>
        <v>18336.82</v>
      </c>
      <c r="U72" s="742"/>
    </row>
    <row r="73" spans="1:21" x14ac:dyDescent="0.2">
      <c r="A73" s="744" t="s">
        <v>742</v>
      </c>
      <c r="B73" s="745" t="s">
        <v>384</v>
      </c>
      <c r="C73" s="764"/>
      <c r="D73" s="954">
        <f>+'Monthly Budget'!D73</f>
        <v>0</v>
      </c>
      <c r="E73" s="954">
        <f>+'Monthly Budget'!E73</f>
        <v>0</v>
      </c>
      <c r="F73" s="954">
        <f>+'Monthly Budget'!F73</f>
        <v>0</v>
      </c>
      <c r="G73" s="954">
        <f>+'Monthly Budget'!G73</f>
        <v>12251.6</v>
      </c>
      <c r="H73" s="954">
        <f>+'Monthly Budget'!H73</f>
        <v>0</v>
      </c>
      <c r="I73" s="954">
        <f>+'Monthly Budget'!I73</f>
        <v>0</v>
      </c>
      <c r="J73" s="954">
        <f>+'Monthly Budget'!J73</f>
        <v>0</v>
      </c>
      <c r="K73" s="954">
        <f>+'Monthly Budget'!K73</f>
        <v>0</v>
      </c>
      <c r="L73" s="1016">
        <v>0</v>
      </c>
      <c r="M73" s="1045">
        <f>+'Monthly Budget'!L73</f>
        <v>0</v>
      </c>
      <c r="N73" s="1045">
        <f>+'Monthly Budget'!M73</f>
        <v>0</v>
      </c>
      <c r="O73" s="1045">
        <f>+'Monthly Budget'!N73</f>
        <v>0</v>
      </c>
      <c r="P73" s="1045">
        <f>+'Monthly Budget'!O73</f>
        <v>0</v>
      </c>
      <c r="Q73" s="810"/>
      <c r="R73" s="747">
        <f>SUM(D73:Q73)-L73</f>
        <v>12251.6</v>
      </c>
      <c r="S73" s="747">
        <v>12248</v>
      </c>
      <c r="T73" s="619">
        <f t="shared" si="12"/>
        <v>3.6000000000003638</v>
      </c>
      <c r="U73" s="872"/>
    </row>
    <row r="74" spans="1:21" x14ac:dyDescent="0.2">
      <c r="A74" s="744" t="s">
        <v>743</v>
      </c>
      <c r="B74" s="745" t="s">
        <v>383</v>
      </c>
      <c r="C74" s="764"/>
      <c r="D74" s="954">
        <f>+'Monthly Budget'!D74</f>
        <v>111000</v>
      </c>
      <c r="E74" s="954">
        <f>+'Monthly Budget'!E74</f>
        <v>0</v>
      </c>
      <c r="F74" s="954">
        <f>+'Monthly Budget'!F74</f>
        <v>0</v>
      </c>
      <c r="G74" s="954">
        <f>+'Monthly Budget'!G74</f>
        <v>0</v>
      </c>
      <c r="H74" s="954">
        <f>+'Monthly Budget'!H74</f>
        <v>0</v>
      </c>
      <c r="I74" s="954">
        <f>+'Monthly Budget'!I74</f>
        <v>0</v>
      </c>
      <c r="J74" s="954">
        <f>+'Monthly Budget'!J74</f>
        <v>0</v>
      </c>
      <c r="K74" s="954">
        <f>+'Monthly Budget'!K74</f>
        <v>0</v>
      </c>
      <c r="L74" s="1016">
        <v>0</v>
      </c>
      <c r="M74" s="1045">
        <f>+'Monthly Budget'!L74</f>
        <v>0</v>
      </c>
      <c r="N74" s="1045">
        <f>+'Monthly Budget'!M74</f>
        <v>0</v>
      </c>
      <c r="O74" s="1045">
        <f>+'Monthly Budget'!N74</f>
        <v>0</v>
      </c>
      <c r="P74" s="1045">
        <f>+'Monthly Budget'!O74</f>
        <v>0</v>
      </c>
      <c r="Q74" s="810"/>
      <c r="R74" s="747">
        <f>SUM(D74:Q74)-L74</f>
        <v>111000</v>
      </c>
      <c r="S74" s="747">
        <v>40000</v>
      </c>
      <c r="T74" s="619">
        <f t="shared" si="12"/>
        <v>71000</v>
      </c>
      <c r="U74" s="742"/>
    </row>
    <row r="75" spans="1:21" x14ac:dyDescent="0.2">
      <c r="A75" s="744" t="s">
        <v>744</v>
      </c>
      <c r="B75" s="745" t="s">
        <v>745</v>
      </c>
      <c r="C75" s="764"/>
      <c r="D75" s="954">
        <f>+'Monthly Budget'!D75</f>
        <v>0</v>
      </c>
      <c r="E75" s="954">
        <f>+'Monthly Budget'!E75</f>
        <v>0</v>
      </c>
      <c r="F75" s="954">
        <f>+'Monthly Budget'!F75</f>
        <v>0</v>
      </c>
      <c r="G75" s="954">
        <f>+'Monthly Budget'!G75</f>
        <v>0</v>
      </c>
      <c r="H75" s="954">
        <f>+'Monthly Budget'!H75</f>
        <v>0</v>
      </c>
      <c r="I75" s="954">
        <f>+'Monthly Budget'!I75</f>
        <v>0</v>
      </c>
      <c r="J75" s="954">
        <f>+'Monthly Budget'!J75</f>
        <v>0</v>
      </c>
      <c r="K75" s="954">
        <f>+'Monthly Budget'!K75</f>
        <v>0</v>
      </c>
      <c r="L75" s="1016">
        <v>0</v>
      </c>
      <c r="M75" s="1045">
        <f>+'Monthly Budget'!L75</f>
        <v>0</v>
      </c>
      <c r="N75" s="1045">
        <f>+'Monthly Budget'!M75</f>
        <v>0</v>
      </c>
      <c r="O75" s="1045">
        <f>+'Monthly Budget'!N75</f>
        <v>0</v>
      </c>
      <c r="P75" s="1045">
        <f>+'Monthly Budget'!O75</f>
        <v>0</v>
      </c>
      <c r="Q75" s="810"/>
      <c r="R75" s="747">
        <f>SUM(D75:Q75)-L75</f>
        <v>0</v>
      </c>
      <c r="S75" s="747">
        <v>0</v>
      </c>
      <c r="T75" s="619">
        <f t="shared" si="12"/>
        <v>0</v>
      </c>
      <c r="U75" s="742"/>
    </row>
    <row r="76" spans="1:21" x14ac:dyDescent="0.2">
      <c r="A76" s="744" t="s">
        <v>1387</v>
      </c>
      <c r="B76" s="745" t="s">
        <v>1389</v>
      </c>
      <c r="C76" s="764"/>
      <c r="D76" s="954">
        <f>+'Monthly Budget'!D76</f>
        <v>0</v>
      </c>
      <c r="E76" s="954">
        <f>+'Monthly Budget'!E76</f>
        <v>0</v>
      </c>
      <c r="F76" s="954">
        <f>+'Monthly Budget'!F76</f>
        <v>0</v>
      </c>
      <c r="G76" s="954">
        <f>+'Monthly Budget'!G76</f>
        <v>0</v>
      </c>
      <c r="H76" s="954">
        <f>+'Monthly Budget'!H76</f>
        <v>0</v>
      </c>
      <c r="I76" s="954">
        <f>+'Monthly Budget'!I76</f>
        <v>0</v>
      </c>
      <c r="J76" s="954">
        <f>+'Monthly Budget'!J76</f>
        <v>0</v>
      </c>
      <c r="K76" s="954">
        <f>+'Monthly Budget'!K76</f>
        <v>0</v>
      </c>
      <c r="L76" s="1016">
        <v>0</v>
      </c>
      <c r="M76" s="1045">
        <f>+'Monthly Budget'!L76</f>
        <v>0</v>
      </c>
      <c r="N76" s="1045">
        <f>+'Monthly Budget'!M76</f>
        <v>0</v>
      </c>
      <c r="O76" s="1045">
        <f>+'Monthly Budget'!N76</f>
        <v>0</v>
      </c>
      <c r="P76" s="1045">
        <f>+'Monthly Budget'!O76</f>
        <v>0</v>
      </c>
      <c r="Q76" s="810"/>
      <c r="R76" s="747"/>
      <c r="S76" s="747"/>
      <c r="U76" s="742"/>
    </row>
    <row r="77" spans="1:21" x14ac:dyDescent="0.2">
      <c r="A77" s="744" t="s">
        <v>1388</v>
      </c>
      <c r="B77" s="745" t="s">
        <v>1390</v>
      </c>
      <c r="C77" s="764"/>
      <c r="D77" s="954">
        <f>+'Monthly Budget'!D77</f>
        <v>0</v>
      </c>
      <c r="E77" s="954">
        <f>+'Monthly Budget'!E77</f>
        <v>0</v>
      </c>
      <c r="F77" s="954">
        <f>+'Monthly Budget'!F77</f>
        <v>0</v>
      </c>
      <c r="G77" s="954">
        <f>+'Monthly Budget'!G77</f>
        <v>0</v>
      </c>
      <c r="H77" s="954">
        <f>+'Monthly Budget'!H77</f>
        <v>0</v>
      </c>
      <c r="I77" s="954">
        <f>+'Monthly Budget'!I77</f>
        <v>0</v>
      </c>
      <c r="J77" s="954">
        <f>+'Monthly Budget'!J77</f>
        <v>0</v>
      </c>
      <c r="K77" s="954">
        <f>+'Monthly Budget'!K77</f>
        <v>0</v>
      </c>
      <c r="L77" s="1016">
        <v>0</v>
      </c>
      <c r="M77" s="1045">
        <f>+'Monthly Budget'!L77</f>
        <v>0</v>
      </c>
      <c r="N77" s="1045">
        <f>+'Monthly Budget'!M77</f>
        <v>0</v>
      </c>
      <c r="O77" s="1045">
        <f>+'Monthly Budget'!N77</f>
        <v>0</v>
      </c>
      <c r="P77" s="1045">
        <f>+'Monthly Budget'!O77</f>
        <v>0</v>
      </c>
      <c r="Q77" s="810"/>
      <c r="R77" s="747"/>
      <c r="S77" s="747"/>
      <c r="U77" s="742"/>
    </row>
    <row r="78" spans="1:21" x14ac:dyDescent="0.2">
      <c r="A78" s="744" t="s">
        <v>746</v>
      </c>
      <c r="B78" s="745" t="s">
        <v>386</v>
      </c>
      <c r="C78" s="764"/>
      <c r="D78" s="954">
        <f>+'Monthly Budget'!D78</f>
        <v>0</v>
      </c>
      <c r="E78" s="954">
        <f>+'Monthly Budget'!E78</f>
        <v>0</v>
      </c>
      <c r="F78" s="954">
        <f>+'Monthly Budget'!F78</f>
        <v>0</v>
      </c>
      <c r="G78" s="954">
        <f>+'Monthly Budget'!G78</f>
        <v>0</v>
      </c>
      <c r="H78" s="954">
        <f>+'Monthly Budget'!H78</f>
        <v>0</v>
      </c>
      <c r="I78" s="954">
        <f>+'Monthly Budget'!I78</f>
        <v>0</v>
      </c>
      <c r="J78" s="954">
        <f>+'Monthly Budget'!J78</f>
        <v>0</v>
      </c>
      <c r="K78" s="954">
        <f>+'Monthly Budget'!K78</f>
        <v>0</v>
      </c>
      <c r="L78" s="1016">
        <v>0</v>
      </c>
      <c r="M78" s="1045">
        <f>+'Monthly Budget'!L78</f>
        <v>0</v>
      </c>
      <c r="N78" s="1045">
        <f>+'Monthly Budget'!M78</f>
        <v>0</v>
      </c>
      <c r="O78" s="1045">
        <f>+'Monthly Budget'!N78</f>
        <v>0</v>
      </c>
      <c r="P78" s="1045">
        <f>+'Monthly Budget'!O78</f>
        <v>0</v>
      </c>
      <c r="Q78" s="810"/>
      <c r="R78" s="747">
        <f t="shared" ref="R78:R96" si="13">SUM(D78:Q78)-L78</f>
        <v>0</v>
      </c>
      <c r="S78" s="747">
        <v>0</v>
      </c>
      <c r="T78" s="619">
        <f t="shared" si="12"/>
        <v>0</v>
      </c>
      <c r="U78" s="742"/>
    </row>
    <row r="79" spans="1:21" x14ac:dyDescent="0.2">
      <c r="A79" s="744" t="s">
        <v>747</v>
      </c>
      <c r="B79" s="745" t="s">
        <v>387</v>
      </c>
      <c r="C79" s="764"/>
      <c r="D79" s="954">
        <f>+'Monthly Budget'!D79</f>
        <v>0</v>
      </c>
      <c r="E79" s="954">
        <f>+'Monthly Budget'!E79</f>
        <v>0</v>
      </c>
      <c r="F79" s="954">
        <f>+'Monthly Budget'!F79</f>
        <v>0</v>
      </c>
      <c r="G79" s="954">
        <f>+'Monthly Budget'!G79</f>
        <v>0</v>
      </c>
      <c r="H79" s="954">
        <f>+'Monthly Budget'!H79</f>
        <v>0</v>
      </c>
      <c r="I79" s="954">
        <f>+'Monthly Budget'!I79</f>
        <v>0</v>
      </c>
      <c r="J79" s="954">
        <f>+'Monthly Budget'!J79</f>
        <v>0</v>
      </c>
      <c r="K79" s="954">
        <f>+'Monthly Budget'!K79</f>
        <v>0</v>
      </c>
      <c r="L79" s="1016">
        <v>0</v>
      </c>
      <c r="M79" s="1045">
        <f>+'Monthly Budget'!L79</f>
        <v>0</v>
      </c>
      <c r="N79" s="1045">
        <f>+'Monthly Budget'!M79</f>
        <v>0</v>
      </c>
      <c r="O79" s="1045">
        <f>+'Monthly Budget'!N79</f>
        <v>0</v>
      </c>
      <c r="P79" s="1045">
        <f>+'Monthly Budget'!O79</f>
        <v>0</v>
      </c>
      <c r="Q79" s="810"/>
      <c r="R79" s="747">
        <f t="shared" si="13"/>
        <v>0</v>
      </c>
      <c r="S79" s="747">
        <v>0</v>
      </c>
      <c r="T79" s="619">
        <f t="shared" si="12"/>
        <v>0</v>
      </c>
      <c r="U79" s="742"/>
    </row>
    <row r="80" spans="1:21" x14ac:dyDescent="0.2">
      <c r="A80" s="744" t="s">
        <v>748</v>
      </c>
      <c r="B80" s="745" t="s">
        <v>749</v>
      </c>
      <c r="C80" s="764"/>
      <c r="D80" s="954">
        <f>+'Monthly Budget'!D80</f>
        <v>0</v>
      </c>
      <c r="E80" s="954">
        <f>+'Monthly Budget'!E80</f>
        <v>1687</v>
      </c>
      <c r="F80" s="954">
        <f>+'Monthly Budget'!F80</f>
        <v>1687</v>
      </c>
      <c r="G80" s="954">
        <f>+'Monthly Budget'!G80</f>
        <v>1687</v>
      </c>
      <c r="H80" s="954">
        <f>+'Monthly Budget'!H80</f>
        <v>1687</v>
      </c>
      <c r="I80" s="954">
        <f>+'Monthly Budget'!I80</f>
        <v>1687</v>
      </c>
      <c r="J80" s="954">
        <f>+'Monthly Budget'!J80</f>
        <v>1687</v>
      </c>
      <c r="K80" s="954">
        <f>+'Monthly Budget'!K80</f>
        <v>1687</v>
      </c>
      <c r="L80" s="1016">
        <v>2722</v>
      </c>
      <c r="M80" s="1045">
        <f>+'Monthly Budget'!L80</f>
        <v>1687</v>
      </c>
      <c r="N80" s="1045">
        <f>+'Monthly Budget'!M80</f>
        <v>1687</v>
      </c>
      <c r="O80" s="1045">
        <f>+'Monthly Budget'!N80</f>
        <v>1687</v>
      </c>
      <c r="P80" s="1045">
        <f>+'Monthly Budget'!O80</f>
        <v>0</v>
      </c>
      <c r="Q80" s="810"/>
      <c r="R80" s="747">
        <f t="shared" si="13"/>
        <v>16870</v>
      </c>
      <c r="S80" s="747">
        <v>12402.76</v>
      </c>
      <c r="T80" s="619">
        <f t="shared" si="12"/>
        <v>4467.24</v>
      </c>
      <c r="U80" s="742"/>
    </row>
    <row r="81" spans="1:21" x14ac:dyDescent="0.2">
      <c r="A81" s="744" t="s">
        <v>750</v>
      </c>
      <c r="B81" s="745" t="s">
        <v>388</v>
      </c>
      <c r="C81" s="764"/>
      <c r="D81" s="954">
        <f>+'Monthly Budget'!D81</f>
        <v>0</v>
      </c>
      <c r="E81" s="954">
        <f>+'Monthly Budget'!E81</f>
        <v>162.6</v>
      </c>
      <c r="F81" s="954">
        <f>+'Monthly Budget'!F81</f>
        <v>162.6</v>
      </c>
      <c r="G81" s="954">
        <f>+'Monthly Budget'!G81</f>
        <v>162.6</v>
      </c>
      <c r="H81" s="954">
        <f>+'Monthly Budget'!H81</f>
        <v>162.6</v>
      </c>
      <c r="I81" s="954">
        <f>+'Monthly Budget'!I81</f>
        <v>162.6</v>
      </c>
      <c r="J81" s="954">
        <f>+'Monthly Budget'!J81</f>
        <v>162.6</v>
      </c>
      <c r="K81" s="954">
        <f>+'Monthly Budget'!K81</f>
        <v>162.6</v>
      </c>
      <c r="L81" s="1016"/>
      <c r="M81" s="1045">
        <f>+'Monthly Budget'!L81</f>
        <v>162.6</v>
      </c>
      <c r="N81" s="1045">
        <f>+'Monthly Budget'!M81</f>
        <v>162.6</v>
      </c>
      <c r="O81" s="1045">
        <f>+'Monthly Budget'!N81</f>
        <v>162.6</v>
      </c>
      <c r="P81" s="1045">
        <f>+'Monthly Budget'!O81</f>
        <v>0</v>
      </c>
      <c r="Q81" s="810"/>
      <c r="R81" s="747">
        <f t="shared" si="13"/>
        <v>1625.9999999999998</v>
      </c>
      <c r="S81" s="747">
        <v>4775</v>
      </c>
      <c r="T81" s="619">
        <f t="shared" si="12"/>
        <v>-3149</v>
      </c>
      <c r="U81" s="742"/>
    </row>
    <row r="82" spans="1:21" x14ac:dyDescent="0.2">
      <c r="A82" s="744" t="s">
        <v>751</v>
      </c>
      <c r="B82" s="745" t="s">
        <v>391</v>
      </c>
      <c r="C82" s="764"/>
      <c r="D82" s="954">
        <f>+'Monthly Budget'!D82</f>
        <v>0</v>
      </c>
      <c r="E82" s="954">
        <f>+'Monthly Budget'!E82</f>
        <v>0</v>
      </c>
      <c r="F82" s="954">
        <f>+'Monthly Budget'!F82</f>
        <v>0</v>
      </c>
      <c r="G82" s="954">
        <f>+'Monthly Budget'!G82</f>
        <v>0</v>
      </c>
      <c r="H82" s="954">
        <f>+'Monthly Budget'!H82</f>
        <v>0</v>
      </c>
      <c r="I82" s="954">
        <f>+'Monthly Budget'!I82</f>
        <v>0</v>
      </c>
      <c r="J82" s="954">
        <f>+'Monthly Budget'!J82</f>
        <v>0</v>
      </c>
      <c r="K82" s="954">
        <f>+'Monthly Budget'!K82</f>
        <v>0</v>
      </c>
      <c r="L82" s="1016">
        <v>0</v>
      </c>
      <c r="M82" s="1045">
        <f>+'Monthly Budget'!L82</f>
        <v>0</v>
      </c>
      <c r="N82" s="1045">
        <f>+'Monthly Budget'!M82</f>
        <v>0</v>
      </c>
      <c r="O82" s="1045">
        <f>+'Monthly Budget'!N82</f>
        <v>0</v>
      </c>
      <c r="P82" s="1045">
        <f>+'Monthly Budget'!O82</f>
        <v>0</v>
      </c>
      <c r="Q82" s="810"/>
      <c r="R82" s="747">
        <f t="shared" si="13"/>
        <v>0</v>
      </c>
      <c r="S82" s="747">
        <v>0</v>
      </c>
      <c r="T82" s="619">
        <f t="shared" si="12"/>
        <v>0</v>
      </c>
      <c r="U82" s="742"/>
    </row>
    <row r="83" spans="1:21" x14ac:dyDescent="0.2">
      <c r="A83" s="744" t="s">
        <v>752</v>
      </c>
      <c r="B83" s="745" t="s">
        <v>753</v>
      </c>
      <c r="C83" s="764"/>
      <c r="D83" s="954">
        <f>+'Monthly Budget'!D83</f>
        <v>0</v>
      </c>
      <c r="E83" s="954">
        <f>+'Monthly Budget'!E83</f>
        <v>0</v>
      </c>
      <c r="F83" s="954">
        <f>+'Monthly Budget'!F83</f>
        <v>0</v>
      </c>
      <c r="G83" s="954">
        <f>+'Monthly Budget'!G83</f>
        <v>0</v>
      </c>
      <c r="H83" s="954">
        <f>+'Monthly Budget'!H83</f>
        <v>0</v>
      </c>
      <c r="I83" s="954">
        <f>+'Monthly Budget'!I83</f>
        <v>0</v>
      </c>
      <c r="J83" s="954">
        <f>+'Monthly Budget'!J83</f>
        <v>0</v>
      </c>
      <c r="K83" s="954">
        <f>+'Monthly Budget'!K83</f>
        <v>0</v>
      </c>
      <c r="L83" s="1016">
        <v>0</v>
      </c>
      <c r="M83" s="1045">
        <f>+'Monthly Budget'!L83</f>
        <v>0</v>
      </c>
      <c r="N83" s="1045">
        <f>+'Monthly Budget'!M83</f>
        <v>0</v>
      </c>
      <c r="O83" s="1045">
        <f>+'Monthly Budget'!N83</f>
        <v>0</v>
      </c>
      <c r="P83" s="1045">
        <f>+'Monthly Budget'!O83</f>
        <v>0</v>
      </c>
      <c r="Q83" s="810"/>
      <c r="R83" s="747">
        <f t="shared" si="13"/>
        <v>0</v>
      </c>
      <c r="S83" s="747">
        <v>0</v>
      </c>
      <c r="T83" s="619">
        <f t="shared" si="12"/>
        <v>0</v>
      </c>
      <c r="U83" s="742"/>
    </row>
    <row r="84" spans="1:21" x14ac:dyDescent="0.2">
      <c r="A84" s="744" t="s">
        <v>754</v>
      </c>
      <c r="B84" s="745" t="s">
        <v>390</v>
      </c>
      <c r="C84" s="764"/>
      <c r="D84" s="954">
        <f>+'Monthly Budget'!D84</f>
        <v>0</v>
      </c>
      <c r="E84" s="954">
        <f>+'Monthly Budget'!E84</f>
        <v>5386</v>
      </c>
      <c r="F84" s="954">
        <f>+'Monthly Budget'!F84</f>
        <v>5386</v>
      </c>
      <c r="G84" s="954">
        <f>+'Monthly Budget'!G84</f>
        <v>5386</v>
      </c>
      <c r="H84" s="954">
        <f>+'Monthly Budget'!H84</f>
        <v>5386</v>
      </c>
      <c r="I84" s="954">
        <f>+'Monthly Budget'!I84</f>
        <v>5386</v>
      </c>
      <c r="J84" s="954">
        <f>+'Monthly Budget'!J84</f>
        <v>5386</v>
      </c>
      <c r="K84" s="954">
        <f>+'Monthly Budget'!K84</f>
        <v>5386</v>
      </c>
      <c r="L84" s="1016">
        <v>1590</v>
      </c>
      <c r="M84" s="1045">
        <f>+'Monthly Budget'!L84</f>
        <v>5386</v>
      </c>
      <c r="N84" s="1045">
        <f>+'Monthly Budget'!M84</f>
        <v>5386</v>
      </c>
      <c r="O84" s="1045">
        <f>+'Monthly Budget'!N84</f>
        <v>5386</v>
      </c>
      <c r="P84" s="1045">
        <f>+'Monthly Budget'!O84</f>
        <v>0</v>
      </c>
      <c r="Q84" s="810"/>
      <c r="R84" s="747">
        <f t="shared" si="13"/>
        <v>53860</v>
      </c>
      <c r="S84" s="794">
        <v>38115</v>
      </c>
      <c r="T84" s="619">
        <f t="shared" si="12"/>
        <v>15745</v>
      </c>
      <c r="U84" s="742"/>
    </row>
    <row r="85" spans="1:21" x14ac:dyDescent="0.2">
      <c r="A85" s="744" t="s">
        <v>755</v>
      </c>
      <c r="B85" s="745" t="s">
        <v>392</v>
      </c>
      <c r="C85" s="764"/>
      <c r="D85" s="954">
        <f>+'Monthly Budget'!D85</f>
        <v>0</v>
      </c>
      <c r="E85" s="954">
        <f>+'Monthly Budget'!E85</f>
        <v>2744</v>
      </c>
      <c r="F85" s="954">
        <f>+'Monthly Budget'!F85</f>
        <v>2744</v>
      </c>
      <c r="G85" s="954">
        <f>+'Monthly Budget'!G85</f>
        <v>2744</v>
      </c>
      <c r="H85" s="954">
        <f>+'Monthly Budget'!H85</f>
        <v>2744</v>
      </c>
      <c r="I85" s="954">
        <f>+'Monthly Budget'!I85</f>
        <v>2744</v>
      </c>
      <c r="J85" s="954">
        <f>+'Monthly Budget'!J85</f>
        <v>2744</v>
      </c>
      <c r="K85" s="954">
        <f>+'Monthly Budget'!K85</f>
        <v>2744</v>
      </c>
      <c r="L85" s="1016">
        <v>0</v>
      </c>
      <c r="M85" s="1045">
        <f>+'Monthly Budget'!L85</f>
        <v>2744</v>
      </c>
      <c r="N85" s="1045">
        <f>+'Monthly Budget'!M85</f>
        <v>2744</v>
      </c>
      <c r="O85" s="1045">
        <f>+'Monthly Budget'!N85</f>
        <v>2744</v>
      </c>
      <c r="P85" s="1045">
        <f>+'Monthly Budget'!O85</f>
        <v>0</v>
      </c>
      <c r="Q85" s="810"/>
      <c r="R85" s="747">
        <f t="shared" si="13"/>
        <v>27440</v>
      </c>
      <c r="S85" s="747">
        <v>19000</v>
      </c>
      <c r="T85" s="619">
        <f t="shared" si="12"/>
        <v>8440</v>
      </c>
      <c r="U85" s="742"/>
    </row>
    <row r="86" spans="1:21" x14ac:dyDescent="0.2">
      <c r="A86" s="744" t="s">
        <v>756</v>
      </c>
      <c r="B86" s="745" t="s">
        <v>389</v>
      </c>
      <c r="C86" s="764"/>
      <c r="D86" s="954">
        <f>+'Monthly Budget'!D86</f>
        <v>0</v>
      </c>
      <c r="E86" s="954">
        <f>+'Monthly Budget'!E86</f>
        <v>0</v>
      </c>
      <c r="F86" s="954">
        <f>+'Monthly Budget'!F86</f>
        <v>0</v>
      </c>
      <c r="G86" s="954">
        <f>+'Monthly Budget'!G86</f>
        <v>0</v>
      </c>
      <c r="H86" s="954">
        <f>+'Monthly Budget'!H86</f>
        <v>0</v>
      </c>
      <c r="I86" s="954">
        <f>+'Monthly Budget'!I86</f>
        <v>0</v>
      </c>
      <c r="J86" s="954">
        <f>+'Monthly Budget'!J86</f>
        <v>0</v>
      </c>
      <c r="K86" s="954">
        <f>+'Monthly Budget'!K86</f>
        <v>0</v>
      </c>
      <c r="L86" s="1016">
        <v>0</v>
      </c>
      <c r="M86" s="1045">
        <f>+'Monthly Budget'!L86</f>
        <v>0</v>
      </c>
      <c r="N86" s="1045">
        <f>+'Monthly Budget'!M86</f>
        <v>0</v>
      </c>
      <c r="O86" s="1045">
        <f>+'Monthly Budget'!N86</f>
        <v>0</v>
      </c>
      <c r="P86" s="1045">
        <f>+'Monthly Budget'!O86</f>
        <v>0</v>
      </c>
      <c r="Q86" s="810"/>
      <c r="R86" s="747">
        <f t="shared" si="13"/>
        <v>0</v>
      </c>
      <c r="S86" s="747">
        <v>0</v>
      </c>
      <c r="T86" s="619">
        <f t="shared" si="12"/>
        <v>0</v>
      </c>
      <c r="U86" s="742"/>
    </row>
    <row r="87" spans="1:21" x14ac:dyDescent="0.2">
      <c r="A87" s="744" t="s">
        <v>757</v>
      </c>
      <c r="B87" s="745" t="s">
        <v>393</v>
      </c>
      <c r="C87" s="764"/>
      <c r="D87" s="954">
        <f>+'Monthly Budget'!D87</f>
        <v>0</v>
      </c>
      <c r="E87" s="954">
        <f>+'Monthly Budget'!E87</f>
        <v>5000</v>
      </c>
      <c r="F87" s="954">
        <f>+'Monthly Budget'!F87</f>
        <v>5000</v>
      </c>
      <c r="G87" s="954">
        <f>+'Monthly Budget'!G87</f>
        <v>5000</v>
      </c>
      <c r="H87" s="954">
        <f>+'Monthly Budget'!H87</f>
        <v>5000</v>
      </c>
      <c r="I87" s="954">
        <f>+'Monthly Budget'!I87</f>
        <v>5000</v>
      </c>
      <c r="J87" s="954">
        <f>+'Monthly Budget'!J87</f>
        <v>5000</v>
      </c>
      <c r="K87" s="954">
        <f>+'Monthly Budget'!K87</f>
        <v>5000</v>
      </c>
      <c r="L87" s="1016">
        <v>1114</v>
      </c>
      <c r="M87" s="1045">
        <f>+'Monthly Budget'!L87</f>
        <v>5000</v>
      </c>
      <c r="N87" s="1045">
        <f>+'Monthly Budget'!M87</f>
        <v>5000</v>
      </c>
      <c r="O87" s="1045">
        <f>+'Monthly Budget'!N87</f>
        <v>5000</v>
      </c>
      <c r="P87" s="1045">
        <f>+'Monthly Budget'!O87</f>
        <v>0</v>
      </c>
      <c r="Q87" s="810"/>
      <c r="R87" s="747">
        <f t="shared" si="13"/>
        <v>50000</v>
      </c>
      <c r="S87" s="747">
        <v>15000</v>
      </c>
      <c r="T87" s="619">
        <f t="shared" si="12"/>
        <v>35000</v>
      </c>
      <c r="U87" s="742"/>
    </row>
    <row r="88" spans="1:21" x14ac:dyDescent="0.2">
      <c r="A88" s="744" t="s">
        <v>758</v>
      </c>
      <c r="B88" s="745" t="s">
        <v>394</v>
      </c>
      <c r="C88" s="764"/>
      <c r="D88" s="954">
        <f>+'Monthly Budget'!D88</f>
        <v>0</v>
      </c>
      <c r="E88" s="954">
        <f>+'Monthly Budget'!E88</f>
        <v>0</v>
      </c>
      <c r="F88" s="954">
        <f>+'Monthly Budget'!F88</f>
        <v>0</v>
      </c>
      <c r="G88" s="954">
        <f>+'Monthly Budget'!G88</f>
        <v>0</v>
      </c>
      <c r="H88" s="954">
        <f>+'Monthly Budget'!H88</f>
        <v>0</v>
      </c>
      <c r="I88" s="954">
        <f>+'Monthly Budget'!I88</f>
        <v>0</v>
      </c>
      <c r="J88" s="954">
        <f>+'Monthly Budget'!J88</f>
        <v>0</v>
      </c>
      <c r="K88" s="954">
        <f>+'Monthly Budget'!K88</f>
        <v>0</v>
      </c>
      <c r="L88" s="1016">
        <v>0</v>
      </c>
      <c r="M88" s="1045">
        <f>+'Monthly Budget'!L88</f>
        <v>0</v>
      </c>
      <c r="N88" s="1045">
        <f>+'Monthly Budget'!M88</f>
        <v>0</v>
      </c>
      <c r="O88" s="1045">
        <f>+'Monthly Budget'!N88</f>
        <v>0</v>
      </c>
      <c r="P88" s="1045">
        <f>+'Monthly Budget'!O88</f>
        <v>0</v>
      </c>
      <c r="Q88" s="810"/>
      <c r="R88" s="747">
        <f t="shared" si="13"/>
        <v>0</v>
      </c>
      <c r="S88" s="747">
        <v>0</v>
      </c>
      <c r="T88" s="619">
        <f t="shared" si="12"/>
        <v>0</v>
      </c>
      <c r="U88" s="742"/>
    </row>
    <row r="89" spans="1:21" x14ac:dyDescent="0.2">
      <c r="A89" s="744" t="s">
        <v>759</v>
      </c>
      <c r="B89" s="745" t="s">
        <v>760</v>
      </c>
      <c r="C89" s="764"/>
      <c r="D89" s="954">
        <f>+'Monthly Budget'!D89</f>
        <v>0</v>
      </c>
      <c r="E89" s="954">
        <f>+'Monthly Budget'!E89</f>
        <v>0</v>
      </c>
      <c r="F89" s="954">
        <f>+'Monthly Budget'!F89</f>
        <v>0</v>
      </c>
      <c r="G89" s="954">
        <f>+'Monthly Budget'!G89</f>
        <v>0</v>
      </c>
      <c r="H89" s="954">
        <f>+'Monthly Budget'!H89</f>
        <v>0</v>
      </c>
      <c r="I89" s="954">
        <f>+'Monthly Budget'!I89</f>
        <v>0</v>
      </c>
      <c r="J89" s="954">
        <f>+'Monthly Budget'!J89</f>
        <v>0</v>
      </c>
      <c r="K89" s="954">
        <f>+'Monthly Budget'!K89</f>
        <v>0</v>
      </c>
      <c r="L89" s="1016">
        <v>0</v>
      </c>
      <c r="M89" s="1045">
        <f>+'Monthly Budget'!L89</f>
        <v>0</v>
      </c>
      <c r="N89" s="1045">
        <f>+'Monthly Budget'!M89</f>
        <v>0</v>
      </c>
      <c r="O89" s="1045">
        <f>+'Monthly Budget'!N89</f>
        <v>0</v>
      </c>
      <c r="P89" s="1045">
        <f>+'Monthly Budget'!O89</f>
        <v>0</v>
      </c>
      <c r="Q89" s="810"/>
      <c r="R89" s="747">
        <f t="shared" si="13"/>
        <v>0</v>
      </c>
      <c r="S89" s="747">
        <v>25000</v>
      </c>
      <c r="T89" s="619">
        <f t="shared" si="12"/>
        <v>-25000</v>
      </c>
      <c r="U89" s="742"/>
    </row>
    <row r="90" spans="1:21" x14ac:dyDescent="0.2">
      <c r="A90" s="744" t="s">
        <v>761</v>
      </c>
      <c r="B90" s="745" t="s">
        <v>762</v>
      </c>
      <c r="C90" s="764"/>
      <c r="D90" s="954">
        <f>+'Monthly Budget'!D90</f>
        <v>0</v>
      </c>
      <c r="E90" s="954">
        <f>+'Monthly Budget'!E90</f>
        <v>0</v>
      </c>
      <c r="F90" s="954">
        <f>+'Monthly Budget'!F90</f>
        <v>0</v>
      </c>
      <c r="G90" s="954">
        <f>+'Monthly Budget'!G90</f>
        <v>0</v>
      </c>
      <c r="H90" s="954">
        <f>+'Monthly Budget'!H90</f>
        <v>0</v>
      </c>
      <c r="I90" s="954">
        <f>+'Monthly Budget'!I90</f>
        <v>0</v>
      </c>
      <c r="J90" s="954">
        <f>+'Monthly Budget'!J90</f>
        <v>0</v>
      </c>
      <c r="K90" s="954">
        <f>+'Monthly Budget'!K90</f>
        <v>0</v>
      </c>
      <c r="L90" s="1016">
        <v>0</v>
      </c>
      <c r="M90" s="1045">
        <f>+'Monthly Budget'!L90</f>
        <v>0</v>
      </c>
      <c r="N90" s="1045">
        <f>+'Monthly Budget'!M90</f>
        <v>0</v>
      </c>
      <c r="O90" s="1045">
        <f>+'Monthly Budget'!N90</f>
        <v>0</v>
      </c>
      <c r="P90" s="1045">
        <f>+'Monthly Budget'!O90</f>
        <v>0</v>
      </c>
      <c r="Q90" s="810"/>
      <c r="R90" s="747">
        <f t="shared" si="13"/>
        <v>0</v>
      </c>
      <c r="S90" s="747">
        <v>0</v>
      </c>
      <c r="T90" s="619">
        <f t="shared" si="12"/>
        <v>0</v>
      </c>
      <c r="U90" s="742"/>
    </row>
    <row r="91" spans="1:21" x14ac:dyDescent="0.2">
      <c r="A91" s="744" t="s">
        <v>763</v>
      </c>
      <c r="B91" s="745" t="s">
        <v>385</v>
      </c>
      <c r="C91" s="764"/>
      <c r="D91" s="954">
        <f>+'Monthly Budget'!D91</f>
        <v>2500</v>
      </c>
      <c r="E91" s="954">
        <f>+'Monthly Budget'!E91</f>
        <v>0</v>
      </c>
      <c r="F91" s="954">
        <f>+'Monthly Budget'!F91</f>
        <v>0</v>
      </c>
      <c r="G91" s="954">
        <f>+'Monthly Budget'!G91</f>
        <v>0</v>
      </c>
      <c r="H91" s="954">
        <f>+'Monthly Budget'!H91</f>
        <v>0</v>
      </c>
      <c r="I91" s="954">
        <f>+'Monthly Budget'!I91</f>
        <v>0</v>
      </c>
      <c r="J91" s="954">
        <f>+'Monthly Budget'!J91</f>
        <v>0</v>
      </c>
      <c r="K91" s="954">
        <f>+'Monthly Budget'!K91</f>
        <v>0</v>
      </c>
      <c r="L91" s="1016">
        <v>0</v>
      </c>
      <c r="M91" s="1045">
        <f>+'Monthly Budget'!L91</f>
        <v>0</v>
      </c>
      <c r="N91" s="1045">
        <f>+'Monthly Budget'!M91</f>
        <v>0</v>
      </c>
      <c r="O91" s="1045">
        <f>+'Monthly Budget'!N91</f>
        <v>0</v>
      </c>
      <c r="P91" s="1045">
        <f>+'Monthly Budget'!O91</f>
        <v>0</v>
      </c>
      <c r="Q91" s="810"/>
      <c r="R91" s="747">
        <f t="shared" si="13"/>
        <v>2500</v>
      </c>
      <c r="S91" s="747">
        <v>0</v>
      </c>
      <c r="T91" s="619">
        <f t="shared" si="12"/>
        <v>2500</v>
      </c>
      <c r="U91" s="742"/>
    </row>
    <row r="92" spans="1:21" x14ac:dyDescent="0.2">
      <c r="A92" s="744" t="s">
        <v>764</v>
      </c>
      <c r="B92" s="745" t="s">
        <v>395</v>
      </c>
      <c r="C92" s="764"/>
      <c r="D92" s="954">
        <f>+'Monthly Budget'!D92</f>
        <v>0</v>
      </c>
      <c r="E92" s="954">
        <f>+'Monthly Budget'!E92</f>
        <v>0</v>
      </c>
      <c r="F92" s="954">
        <f>+'Monthly Budget'!F92</f>
        <v>0</v>
      </c>
      <c r="G92" s="954">
        <f>+'Monthly Budget'!G92</f>
        <v>0</v>
      </c>
      <c r="H92" s="954">
        <f>+'Monthly Budget'!H92</f>
        <v>0</v>
      </c>
      <c r="I92" s="954">
        <f>+'Monthly Budget'!I92</f>
        <v>0</v>
      </c>
      <c r="J92" s="954">
        <f>+'Monthly Budget'!J92</f>
        <v>0</v>
      </c>
      <c r="K92" s="954">
        <f>+'Monthly Budget'!K92</f>
        <v>0</v>
      </c>
      <c r="L92" s="1016">
        <v>739</v>
      </c>
      <c r="M92" s="1045">
        <f>+'Monthly Budget'!L92</f>
        <v>0</v>
      </c>
      <c r="N92" s="1045">
        <f>+'Monthly Budget'!M92</f>
        <v>0</v>
      </c>
      <c r="O92" s="1045">
        <f>+'Monthly Budget'!N92</f>
        <v>0</v>
      </c>
      <c r="P92" s="1045">
        <f>+'Monthly Budget'!O92</f>
        <v>0</v>
      </c>
      <c r="Q92" s="810"/>
      <c r="R92" s="747">
        <f t="shared" si="13"/>
        <v>0</v>
      </c>
      <c r="S92" s="747">
        <v>0</v>
      </c>
      <c r="T92" s="619">
        <f t="shared" si="12"/>
        <v>0</v>
      </c>
      <c r="U92" s="742"/>
    </row>
    <row r="93" spans="1:21" x14ac:dyDescent="0.2">
      <c r="A93" s="744" t="s">
        <v>765</v>
      </c>
      <c r="B93" s="745" t="s">
        <v>766</v>
      </c>
      <c r="C93" s="764"/>
      <c r="D93" s="954">
        <f>+'Monthly Budget'!D93</f>
        <v>0</v>
      </c>
      <c r="E93" s="954">
        <f>+'Monthly Budget'!E93</f>
        <v>0</v>
      </c>
      <c r="F93" s="954">
        <f>+'Monthly Budget'!F93</f>
        <v>0</v>
      </c>
      <c r="G93" s="954">
        <f>+'Monthly Budget'!G93</f>
        <v>0</v>
      </c>
      <c r="H93" s="954">
        <f>+'Monthly Budget'!H93</f>
        <v>0</v>
      </c>
      <c r="I93" s="954">
        <f>+'Monthly Budget'!I93</f>
        <v>0</v>
      </c>
      <c r="J93" s="954">
        <f>+'Monthly Budget'!J93</f>
        <v>0</v>
      </c>
      <c r="K93" s="954">
        <f>+'Monthly Budget'!K93</f>
        <v>0</v>
      </c>
      <c r="L93" s="1016">
        <v>0</v>
      </c>
      <c r="M93" s="1045">
        <f>+'Monthly Budget'!L93</f>
        <v>0</v>
      </c>
      <c r="N93" s="1045">
        <f>+'Monthly Budget'!M93</f>
        <v>0</v>
      </c>
      <c r="O93" s="1045">
        <f>+'Monthly Budget'!N93</f>
        <v>0</v>
      </c>
      <c r="P93" s="1045">
        <f>+'Monthly Budget'!O93</f>
        <v>0</v>
      </c>
      <c r="Q93" s="810"/>
      <c r="R93" s="747">
        <f t="shared" si="13"/>
        <v>0</v>
      </c>
      <c r="S93" s="747">
        <v>0</v>
      </c>
      <c r="T93" s="619">
        <f t="shared" si="12"/>
        <v>0</v>
      </c>
      <c r="U93" s="742"/>
    </row>
    <row r="94" spans="1:21" x14ac:dyDescent="0.2">
      <c r="A94" s="744" t="s">
        <v>767</v>
      </c>
      <c r="B94" s="745" t="s">
        <v>396</v>
      </c>
      <c r="C94" s="764"/>
      <c r="D94" s="954">
        <f>+'Monthly Budget'!D94</f>
        <v>0</v>
      </c>
      <c r="E94" s="954">
        <f>+'Monthly Budget'!E94</f>
        <v>3258</v>
      </c>
      <c r="F94" s="954">
        <f>+'Monthly Budget'!F94</f>
        <v>3258</v>
      </c>
      <c r="G94" s="954">
        <f>+'Monthly Budget'!G94</f>
        <v>3258</v>
      </c>
      <c r="H94" s="954">
        <f>+'Monthly Budget'!H94</f>
        <v>3258</v>
      </c>
      <c r="I94" s="954">
        <f>+'Monthly Budget'!I94</f>
        <v>3258</v>
      </c>
      <c r="J94" s="954">
        <f>+'Monthly Budget'!J94</f>
        <v>3258</v>
      </c>
      <c r="K94" s="954">
        <f>+'Monthly Budget'!K94</f>
        <v>3258</v>
      </c>
      <c r="L94" s="1016">
        <v>0</v>
      </c>
      <c r="M94" s="1045">
        <f>+'Monthly Budget'!L94</f>
        <v>3258</v>
      </c>
      <c r="N94" s="1045">
        <f>+'Monthly Budget'!M94</f>
        <v>3258</v>
      </c>
      <c r="O94" s="1045">
        <f>+'Monthly Budget'!N94</f>
        <v>3258</v>
      </c>
      <c r="P94" s="1045">
        <f>+'Monthly Budget'!O94</f>
        <v>0</v>
      </c>
      <c r="Q94" s="810"/>
      <c r="R94" s="747">
        <f t="shared" si="13"/>
        <v>32580</v>
      </c>
      <c r="S94" s="747">
        <v>1500</v>
      </c>
      <c r="T94" s="619">
        <f t="shared" si="12"/>
        <v>31080</v>
      </c>
      <c r="U94" s="742"/>
    </row>
    <row r="95" spans="1:21" x14ac:dyDescent="0.2">
      <c r="A95" s="744" t="s">
        <v>768</v>
      </c>
      <c r="B95" s="745" t="s">
        <v>769</v>
      </c>
      <c r="C95" s="764"/>
      <c r="D95" s="954">
        <f>+'Monthly Budget'!D95</f>
        <v>0</v>
      </c>
      <c r="E95" s="954">
        <f>+'Monthly Budget'!E95</f>
        <v>0</v>
      </c>
      <c r="F95" s="954">
        <f>+'Monthly Budget'!F95</f>
        <v>0</v>
      </c>
      <c r="G95" s="954">
        <f>+'Monthly Budget'!G95</f>
        <v>0</v>
      </c>
      <c r="H95" s="954">
        <f>+'Monthly Budget'!H95</f>
        <v>0</v>
      </c>
      <c r="I95" s="954">
        <f>+'Monthly Budget'!I95</f>
        <v>0</v>
      </c>
      <c r="J95" s="954">
        <f>+'Monthly Budget'!J95</f>
        <v>0</v>
      </c>
      <c r="K95" s="954">
        <f>+'Monthly Budget'!K95</f>
        <v>0</v>
      </c>
      <c r="L95" s="1016">
        <v>0</v>
      </c>
      <c r="M95" s="1045">
        <f>+'Monthly Budget'!L95</f>
        <v>0</v>
      </c>
      <c r="N95" s="1045">
        <f>+'Monthly Budget'!M95</f>
        <v>0</v>
      </c>
      <c r="O95" s="1045">
        <f>+'Monthly Budget'!N95</f>
        <v>0</v>
      </c>
      <c r="P95" s="1045">
        <f>+'Monthly Budget'!O95</f>
        <v>0</v>
      </c>
      <c r="Q95" s="810"/>
      <c r="R95" s="747">
        <f t="shared" si="13"/>
        <v>0</v>
      </c>
      <c r="S95" s="747">
        <v>0</v>
      </c>
      <c r="T95" s="619">
        <f t="shared" si="12"/>
        <v>0</v>
      </c>
      <c r="U95" s="742"/>
    </row>
    <row r="96" spans="1:21" x14ac:dyDescent="0.2">
      <c r="A96" s="744"/>
      <c r="B96" s="745"/>
      <c r="C96" s="764"/>
      <c r="D96" s="954">
        <f>+'Monthly Budget'!D96</f>
        <v>0</v>
      </c>
      <c r="E96" s="954">
        <f>+'Monthly Budget'!E96</f>
        <v>0</v>
      </c>
      <c r="F96" s="954">
        <f>+'Monthly Budget'!F96</f>
        <v>0</v>
      </c>
      <c r="G96" s="954">
        <f>+'Monthly Budget'!G96</f>
        <v>0</v>
      </c>
      <c r="H96" s="954">
        <f>+'Monthly Budget'!H96</f>
        <v>0</v>
      </c>
      <c r="I96" s="954">
        <f>+'Monthly Budget'!I96</f>
        <v>0</v>
      </c>
      <c r="J96" s="954">
        <f>+'Monthly Budget'!J96</f>
        <v>0</v>
      </c>
      <c r="K96" s="954">
        <f>+'Monthly Budget'!K96</f>
        <v>0</v>
      </c>
      <c r="L96" s="1016"/>
      <c r="M96" s="1045">
        <f>+'Monthly Budget'!L96</f>
        <v>0</v>
      </c>
      <c r="N96" s="1045">
        <f>+'Monthly Budget'!M96</f>
        <v>0</v>
      </c>
      <c r="O96" s="1045">
        <f>+'Monthly Budget'!N96</f>
        <v>0</v>
      </c>
      <c r="P96" s="1045">
        <f>+'Monthly Budget'!O96</f>
        <v>0</v>
      </c>
      <c r="Q96" s="810"/>
      <c r="R96" s="747">
        <f t="shared" si="13"/>
        <v>0</v>
      </c>
      <c r="S96" s="747">
        <v>0</v>
      </c>
      <c r="T96" s="808">
        <f t="shared" si="12"/>
        <v>0</v>
      </c>
      <c r="U96" s="742"/>
    </row>
    <row r="97" spans="1:21" ht="12" thickBot="1" x14ac:dyDescent="0.25">
      <c r="B97" s="855" t="s">
        <v>397</v>
      </c>
      <c r="C97" s="763"/>
      <c r="D97" s="952">
        <f t="shared" ref="D97:P97" si="14">SUM(D71:D96)</f>
        <v>113500</v>
      </c>
      <c r="E97" s="952">
        <f>SUM(E71:E96)</f>
        <v>18667.599999999999</v>
      </c>
      <c r="F97" s="952">
        <f>SUM(F71:F96)</f>
        <v>34929.42</v>
      </c>
      <c r="G97" s="952">
        <f>SUM(G71:G96)</f>
        <v>30919.200000000001</v>
      </c>
      <c r="H97" s="952">
        <f>SUM(H71:H96)</f>
        <v>18667.599999999999</v>
      </c>
      <c r="I97" s="952">
        <f t="shared" si="14"/>
        <v>18667.599999999999</v>
      </c>
      <c r="J97" s="952">
        <f t="shared" si="14"/>
        <v>18667.599999999999</v>
      </c>
      <c r="K97" s="952">
        <f t="shared" si="14"/>
        <v>18667.599999999999</v>
      </c>
      <c r="L97" s="1018">
        <v>6165</v>
      </c>
      <c r="M97" s="1048">
        <f t="shared" si="14"/>
        <v>18667.599999999999</v>
      </c>
      <c r="N97" s="1048">
        <f t="shared" si="14"/>
        <v>18667.599999999999</v>
      </c>
      <c r="O97" s="1048">
        <f t="shared" si="14"/>
        <v>18667.599999999999</v>
      </c>
      <c r="P97" s="1048">
        <f t="shared" si="14"/>
        <v>0</v>
      </c>
      <c r="Q97" s="625"/>
      <c r="R97" s="629">
        <f>SUM(R71:R96)</f>
        <v>328689.42</v>
      </c>
      <c r="S97" s="629">
        <v>170265.76</v>
      </c>
      <c r="T97" s="633">
        <f>SUM(T71:T96)</f>
        <v>158423.66</v>
      </c>
      <c r="U97" s="742"/>
    </row>
    <row r="98" spans="1:21" ht="12" thickTop="1" x14ac:dyDescent="0.2">
      <c r="B98" s="855"/>
      <c r="C98" s="763"/>
      <c r="D98" s="953"/>
      <c r="E98" s="953"/>
      <c r="F98" s="953"/>
      <c r="G98" s="953"/>
      <c r="H98" s="953"/>
      <c r="I98" s="953"/>
      <c r="J98" s="953"/>
      <c r="K98" s="953"/>
      <c r="L98" s="1019"/>
      <c r="M98" s="1049"/>
      <c r="N98" s="1049"/>
      <c r="O98" s="1049"/>
      <c r="P98" s="1049"/>
      <c r="Q98" s="625"/>
      <c r="R98" s="635"/>
      <c r="S98" s="635"/>
      <c r="U98" s="742"/>
    </row>
    <row r="99" spans="1:21" x14ac:dyDescent="0.2">
      <c r="B99" s="771" t="s">
        <v>398</v>
      </c>
      <c r="C99" s="763"/>
      <c r="D99" s="953"/>
      <c r="E99" s="953"/>
      <c r="F99" s="953"/>
      <c r="G99" s="953"/>
      <c r="H99" s="953"/>
      <c r="I99" s="953"/>
      <c r="J99" s="953"/>
      <c r="K99" s="953"/>
      <c r="L99" s="1019"/>
      <c r="M99" s="1049"/>
      <c r="N99" s="1049"/>
      <c r="O99" s="1049"/>
      <c r="P99" s="1049"/>
      <c r="Q99" s="625"/>
      <c r="R99" s="634"/>
      <c r="S99" s="634"/>
      <c r="U99" s="742"/>
    </row>
    <row r="100" spans="1:21" x14ac:dyDescent="0.2">
      <c r="A100" s="744" t="s">
        <v>770</v>
      </c>
      <c r="B100" s="745" t="s">
        <v>399</v>
      </c>
      <c r="C100" s="764"/>
      <c r="D100" s="954">
        <f>+'Monthly Budget'!D100</f>
        <v>0</v>
      </c>
      <c r="E100" s="954">
        <f>+'Monthly Budget'!E100</f>
        <v>0</v>
      </c>
      <c r="F100" s="954">
        <f>+'Monthly Budget'!F100</f>
        <v>0</v>
      </c>
      <c r="G100" s="954">
        <f>+'Monthly Budget'!G100</f>
        <v>0</v>
      </c>
      <c r="H100" s="954">
        <f>+'Monthly Budget'!H100</f>
        <v>0</v>
      </c>
      <c r="I100" s="954">
        <f>+'Monthly Budget'!I100</f>
        <v>0</v>
      </c>
      <c r="J100" s="954">
        <f>+'Monthly Budget'!J100</f>
        <v>0</v>
      </c>
      <c r="K100" s="954">
        <f>+'Monthly Budget'!K100</f>
        <v>0</v>
      </c>
      <c r="L100" s="1016">
        <v>2481.66</v>
      </c>
      <c r="M100" s="1045">
        <f>+'Monthly Budget'!L100</f>
        <v>0</v>
      </c>
      <c r="N100" s="1045">
        <f>+'Monthly Budget'!M100</f>
        <v>386</v>
      </c>
      <c r="O100" s="1045">
        <f>+'Monthly Budget'!N100</f>
        <v>0</v>
      </c>
      <c r="P100" s="1045">
        <f>+'Monthly Budget'!O100</f>
        <v>0</v>
      </c>
      <c r="Q100" s="810"/>
      <c r="R100" s="747">
        <f t="shared" ref="R100:R114" si="15">SUM(D100:Q100)-L100</f>
        <v>386</v>
      </c>
      <c r="S100" s="628">
        <v>0</v>
      </c>
      <c r="T100" s="832">
        <f>R100-S100</f>
        <v>386</v>
      </c>
      <c r="U100" s="742"/>
    </row>
    <row r="101" spans="1:21" x14ac:dyDescent="0.2">
      <c r="A101" s="744" t="s">
        <v>961</v>
      </c>
      <c r="B101" s="745" t="s">
        <v>963</v>
      </c>
      <c r="C101" s="764"/>
      <c r="D101" s="954">
        <f>+'Monthly Budget'!D101</f>
        <v>0</v>
      </c>
      <c r="E101" s="954">
        <f>+'Monthly Budget'!E101</f>
        <v>0</v>
      </c>
      <c r="F101" s="954">
        <f>+'Monthly Budget'!F101</f>
        <v>0</v>
      </c>
      <c r="G101" s="954">
        <f>+'Monthly Budget'!G101</f>
        <v>0</v>
      </c>
      <c r="H101" s="954">
        <f>+'Monthly Budget'!H101</f>
        <v>0</v>
      </c>
      <c r="I101" s="954">
        <f>+'Monthly Budget'!I101</f>
        <v>0</v>
      </c>
      <c r="J101" s="954">
        <f>+'Monthly Budget'!J101</f>
        <v>0</v>
      </c>
      <c r="K101" s="954">
        <f>+'Monthly Budget'!K101</f>
        <v>0</v>
      </c>
      <c r="L101" s="1016">
        <v>1553</v>
      </c>
      <c r="M101" s="1045">
        <f>+'Monthly Budget'!L101</f>
        <v>0</v>
      </c>
      <c r="N101" s="1045">
        <f>+'Monthly Budget'!M101</f>
        <v>0</v>
      </c>
      <c r="O101" s="1045">
        <f>+'Monthly Budget'!N101</f>
        <v>0</v>
      </c>
      <c r="P101" s="1045">
        <f>+'Monthly Budget'!O101</f>
        <v>0</v>
      </c>
      <c r="Q101" s="810"/>
      <c r="R101" s="747">
        <f t="shared" si="15"/>
        <v>0</v>
      </c>
      <c r="S101" s="628">
        <v>0</v>
      </c>
      <c r="T101" s="619">
        <f>R101-S101</f>
        <v>0</v>
      </c>
      <c r="U101" s="742"/>
    </row>
    <row r="102" spans="1:21" x14ac:dyDescent="0.2">
      <c r="A102" s="744" t="s">
        <v>962</v>
      </c>
      <c r="B102" s="745" t="s">
        <v>964</v>
      </c>
      <c r="C102" s="764"/>
      <c r="D102" s="954">
        <f>+'Monthly Budget'!D102</f>
        <v>0</v>
      </c>
      <c r="E102" s="954">
        <f>+'Monthly Budget'!E102</f>
        <v>0</v>
      </c>
      <c r="F102" s="954">
        <f>+'Monthly Budget'!F102</f>
        <v>0</v>
      </c>
      <c r="G102" s="954">
        <f>+'Monthly Budget'!G102</f>
        <v>0</v>
      </c>
      <c r="H102" s="954">
        <f>+'Monthly Budget'!H102</f>
        <v>0</v>
      </c>
      <c r="I102" s="954">
        <f>+'Monthly Budget'!I102</f>
        <v>0</v>
      </c>
      <c r="J102" s="954">
        <f>+'Monthly Budget'!J102</f>
        <v>0</v>
      </c>
      <c r="K102" s="954">
        <f>+'Monthly Budget'!K102</f>
        <v>0</v>
      </c>
      <c r="L102" s="1016">
        <v>0</v>
      </c>
      <c r="M102" s="1045">
        <f>+'Monthly Budget'!L102</f>
        <v>0</v>
      </c>
      <c r="N102" s="1045">
        <f>+'Monthly Budget'!M102</f>
        <v>0</v>
      </c>
      <c r="O102" s="1045">
        <f>+'Monthly Budget'!N102</f>
        <v>0</v>
      </c>
      <c r="P102" s="1045">
        <f>+'Monthly Budget'!O102</f>
        <v>0</v>
      </c>
      <c r="Q102" s="810"/>
      <c r="R102" s="747">
        <f t="shared" si="15"/>
        <v>0</v>
      </c>
      <c r="S102" s="636">
        <v>0</v>
      </c>
      <c r="T102" s="808">
        <f>R102-S102</f>
        <v>0</v>
      </c>
      <c r="U102" s="742" t="s">
        <v>972</v>
      </c>
    </row>
    <row r="103" spans="1:21" ht="12" thickBot="1" x14ac:dyDescent="0.25">
      <c r="B103" s="855" t="s">
        <v>400</v>
      </c>
      <c r="C103" s="763"/>
      <c r="D103" s="952">
        <f>SUM(D100:D102)</f>
        <v>0</v>
      </c>
      <c r="E103" s="952">
        <f>SUM(E100:E102)</f>
        <v>0</v>
      </c>
      <c r="F103" s="952">
        <f>SUM(F100:F102)</f>
        <v>0</v>
      </c>
      <c r="G103" s="952">
        <f>SUM(G100:G102)</f>
        <v>0</v>
      </c>
      <c r="H103" s="952">
        <f>SUM(H100:H102)</f>
        <v>0</v>
      </c>
      <c r="I103" s="952">
        <f t="shared" ref="I103:P103" si="16">SUM(I100:I102)</f>
        <v>0</v>
      </c>
      <c r="J103" s="952">
        <f t="shared" si="16"/>
        <v>0</v>
      </c>
      <c r="K103" s="952">
        <f t="shared" si="16"/>
        <v>0</v>
      </c>
      <c r="L103" s="1018">
        <v>4034.66</v>
      </c>
      <c r="M103" s="1048">
        <f t="shared" si="16"/>
        <v>0</v>
      </c>
      <c r="N103" s="1048">
        <f t="shared" si="16"/>
        <v>386</v>
      </c>
      <c r="O103" s="1048">
        <f t="shared" si="16"/>
        <v>0</v>
      </c>
      <c r="P103" s="1048">
        <f t="shared" si="16"/>
        <v>0</v>
      </c>
      <c r="Q103" s="625"/>
      <c r="R103" s="747">
        <f t="shared" si="15"/>
        <v>386</v>
      </c>
      <c r="S103" s="633">
        <v>0</v>
      </c>
      <c r="T103" s="633">
        <f>SUM(T100:T102)</f>
        <v>386</v>
      </c>
      <c r="U103" s="742"/>
    </row>
    <row r="104" spans="1:21" ht="12" thickTop="1" x14ac:dyDescent="0.2">
      <c r="B104" s="742"/>
      <c r="C104" s="763"/>
      <c r="D104" s="953"/>
      <c r="E104" s="953"/>
      <c r="F104" s="953"/>
      <c r="G104" s="953"/>
      <c r="H104" s="953"/>
      <c r="I104" s="953"/>
      <c r="J104" s="953"/>
      <c r="K104" s="953"/>
      <c r="L104" s="1019"/>
      <c r="M104" s="1049"/>
      <c r="N104" s="1049"/>
      <c r="O104" s="1049"/>
      <c r="P104" s="1049"/>
      <c r="Q104" s="625"/>
      <c r="R104" s="747">
        <f t="shared" si="15"/>
        <v>0</v>
      </c>
      <c r="S104" s="635"/>
      <c r="U104" s="742"/>
    </row>
    <row r="105" spans="1:21" x14ac:dyDescent="0.2">
      <c r="B105" s="854" t="s">
        <v>401</v>
      </c>
      <c r="C105" s="763"/>
      <c r="D105" s="953"/>
      <c r="E105" s="953"/>
      <c r="F105" s="953"/>
      <c r="G105" s="953"/>
      <c r="H105" s="953"/>
      <c r="I105" s="953"/>
      <c r="J105" s="953"/>
      <c r="K105" s="953"/>
      <c r="L105" s="1019"/>
      <c r="M105" s="1049"/>
      <c r="N105" s="1049"/>
      <c r="O105" s="1049"/>
      <c r="P105" s="1049"/>
      <c r="Q105" s="625"/>
      <c r="R105" s="747">
        <f t="shared" si="15"/>
        <v>0</v>
      </c>
      <c r="S105" s="634"/>
      <c r="U105" s="742"/>
    </row>
    <row r="106" spans="1:21" x14ac:dyDescent="0.2">
      <c r="A106" s="744" t="s">
        <v>771</v>
      </c>
      <c r="B106" s="745" t="s">
        <v>402</v>
      </c>
      <c r="C106" s="764"/>
      <c r="D106" s="954">
        <f>+'Monthly Budget'!D106</f>
        <v>8000</v>
      </c>
      <c r="E106" s="954">
        <f>+'Monthly Budget'!E106</f>
        <v>10000</v>
      </c>
      <c r="F106" s="954">
        <f>+'Monthly Budget'!F106</f>
        <v>10000</v>
      </c>
      <c r="G106" s="954">
        <f>+'Monthly Budget'!G106</f>
        <v>10000</v>
      </c>
      <c r="H106" s="954">
        <f>+'Monthly Budget'!H106</f>
        <v>10000</v>
      </c>
      <c r="I106" s="954">
        <f>+'Monthly Budget'!I106</f>
        <v>10000</v>
      </c>
      <c r="J106" s="954">
        <f>+'Monthly Budget'!J106</f>
        <v>10000</v>
      </c>
      <c r="K106" s="954">
        <f>+'Monthly Budget'!K106</f>
        <v>10000</v>
      </c>
      <c r="L106" s="1019">
        <v>6655.2</v>
      </c>
      <c r="M106" s="1049">
        <f>+'Monthly Budget'!L106</f>
        <v>10000</v>
      </c>
      <c r="N106" s="1049">
        <f>+'Monthly Budget'!M106</f>
        <v>10000</v>
      </c>
      <c r="O106" s="1049">
        <f>+'Monthly Budget'!N106</f>
        <v>10000</v>
      </c>
      <c r="P106" s="1049">
        <f>+'Monthly Budget'!O106</f>
        <v>8000</v>
      </c>
      <c r="Q106" s="625"/>
      <c r="R106" s="747">
        <f t="shared" si="15"/>
        <v>116000</v>
      </c>
      <c r="S106" s="747">
        <v>101000</v>
      </c>
      <c r="T106" s="619">
        <f t="shared" ref="T106:T113" si="17">R106-S106</f>
        <v>15000</v>
      </c>
      <c r="U106" s="742"/>
    </row>
    <row r="107" spans="1:21" x14ac:dyDescent="0.2">
      <c r="A107" s="744" t="s">
        <v>773</v>
      </c>
      <c r="B107" s="745" t="s">
        <v>404</v>
      </c>
      <c r="C107" s="764"/>
      <c r="D107" s="954">
        <f>+'Monthly Budget'!D107</f>
        <v>0</v>
      </c>
      <c r="E107" s="954">
        <f>+'Monthly Budget'!E107</f>
        <v>0</v>
      </c>
      <c r="F107" s="954">
        <f>+'Monthly Budget'!F107</f>
        <v>0</v>
      </c>
      <c r="G107" s="954">
        <f>+'Monthly Budget'!G107</f>
        <v>0</v>
      </c>
      <c r="H107" s="954">
        <f>+'Monthly Budget'!H107</f>
        <v>0</v>
      </c>
      <c r="I107" s="954">
        <f>+'Monthly Budget'!I107</f>
        <v>0</v>
      </c>
      <c r="J107" s="954">
        <f>+'Monthly Budget'!J107</f>
        <v>0</v>
      </c>
      <c r="K107" s="954">
        <f>+'Monthly Budget'!K107</f>
        <v>0</v>
      </c>
      <c r="L107" s="1016">
        <v>0</v>
      </c>
      <c r="M107" s="1045">
        <f>+'Monthly Budget'!L107</f>
        <v>0</v>
      </c>
      <c r="N107" s="1045">
        <f>+'Monthly Budget'!M107</f>
        <v>0</v>
      </c>
      <c r="O107" s="1045">
        <f>+'Monthly Budget'!N107</f>
        <v>0</v>
      </c>
      <c r="P107" s="1045">
        <f>+'Monthly Budget'!O107</f>
        <v>0</v>
      </c>
      <c r="Q107" s="625"/>
      <c r="R107" s="747">
        <f t="shared" si="15"/>
        <v>0</v>
      </c>
      <c r="S107" s="747">
        <v>0</v>
      </c>
      <c r="T107" s="619">
        <f t="shared" si="17"/>
        <v>0</v>
      </c>
      <c r="U107" s="742"/>
    </row>
    <row r="108" spans="1:21" x14ac:dyDescent="0.2">
      <c r="A108" s="744" t="s">
        <v>778</v>
      </c>
      <c r="B108" s="745" t="s">
        <v>405</v>
      </c>
      <c r="C108" s="764"/>
      <c r="D108" s="954">
        <f>+'Monthly Budget'!D108</f>
        <v>583</v>
      </c>
      <c r="E108" s="954">
        <f>+'Monthly Budget'!E108</f>
        <v>583</v>
      </c>
      <c r="F108" s="954">
        <f>+'Monthly Budget'!F108</f>
        <v>583</v>
      </c>
      <c r="G108" s="954">
        <f>+'Monthly Budget'!G108</f>
        <v>583</v>
      </c>
      <c r="H108" s="954">
        <f>+'Monthly Budget'!H108</f>
        <v>583</v>
      </c>
      <c r="I108" s="954">
        <f>+'Monthly Budget'!I108</f>
        <v>583</v>
      </c>
      <c r="J108" s="954">
        <f>+'Monthly Budget'!J108</f>
        <v>583</v>
      </c>
      <c r="K108" s="954">
        <f>+'Monthly Budget'!K108</f>
        <v>583</v>
      </c>
      <c r="L108" s="1019">
        <v>375.43</v>
      </c>
      <c r="M108" s="1049">
        <f>+'Monthly Budget'!L108</f>
        <v>583</v>
      </c>
      <c r="N108" s="1049">
        <f>+'Monthly Budget'!M108</f>
        <v>583</v>
      </c>
      <c r="O108" s="1049">
        <f>+'Monthly Budget'!N108</f>
        <v>583</v>
      </c>
      <c r="P108" s="1049">
        <f>+'Monthly Budget'!O108</f>
        <v>583</v>
      </c>
      <c r="Q108" s="625"/>
      <c r="R108" s="747">
        <f t="shared" si="15"/>
        <v>6996</v>
      </c>
      <c r="S108" s="747">
        <v>6600</v>
      </c>
      <c r="T108" s="619">
        <f>R108-S108</f>
        <v>396</v>
      </c>
      <c r="U108" s="742"/>
    </row>
    <row r="109" spans="1:21" x14ac:dyDescent="0.2">
      <c r="A109" s="744" t="s">
        <v>861</v>
      </c>
      <c r="B109" s="745" t="s">
        <v>406</v>
      </c>
      <c r="C109" s="764"/>
      <c r="D109" s="954">
        <f>+'Monthly Budget'!D109</f>
        <v>630</v>
      </c>
      <c r="E109" s="954">
        <f>+'Monthly Budget'!E109</f>
        <v>630</v>
      </c>
      <c r="F109" s="954">
        <f>+'Monthly Budget'!F109</f>
        <v>630</v>
      </c>
      <c r="G109" s="954">
        <f>+'Monthly Budget'!G109</f>
        <v>630</v>
      </c>
      <c r="H109" s="954">
        <f>+'Monthly Budget'!H109</f>
        <v>630</v>
      </c>
      <c r="I109" s="954">
        <f>+'Monthly Budget'!I109</f>
        <v>630</v>
      </c>
      <c r="J109" s="954">
        <f>+'Monthly Budget'!J109</f>
        <v>630</v>
      </c>
      <c r="K109" s="954">
        <f>+'Monthly Budget'!K109</f>
        <v>630</v>
      </c>
      <c r="L109" s="1019">
        <v>374</v>
      </c>
      <c r="M109" s="1049">
        <f>+'Monthly Budget'!L109</f>
        <v>630</v>
      </c>
      <c r="N109" s="1049">
        <f>+'Monthly Budget'!M109</f>
        <v>630</v>
      </c>
      <c r="O109" s="1049">
        <f>+'Monthly Budget'!N109</f>
        <v>630</v>
      </c>
      <c r="P109" s="1049">
        <f>+'Monthly Budget'!O109</f>
        <v>630</v>
      </c>
      <c r="Q109" s="625"/>
      <c r="R109" s="747">
        <f t="shared" si="15"/>
        <v>7560</v>
      </c>
      <c r="S109" s="747">
        <v>3900</v>
      </c>
      <c r="T109" s="619">
        <f t="shared" si="17"/>
        <v>3660</v>
      </c>
      <c r="U109" s="742"/>
    </row>
    <row r="110" spans="1:21" x14ac:dyDescent="0.2">
      <c r="A110" s="744" t="s">
        <v>774</v>
      </c>
      <c r="B110" s="745" t="s">
        <v>407</v>
      </c>
      <c r="C110" s="764"/>
      <c r="D110" s="954">
        <f>+'Monthly Budget'!D110</f>
        <v>0</v>
      </c>
      <c r="E110" s="954">
        <f>+'Monthly Budget'!E110</f>
        <v>0</v>
      </c>
      <c r="F110" s="954">
        <f>+'Monthly Budget'!F110</f>
        <v>0</v>
      </c>
      <c r="G110" s="954">
        <f>+'Monthly Budget'!G110</f>
        <v>0</v>
      </c>
      <c r="H110" s="954">
        <f>+'Monthly Budget'!H110</f>
        <v>0</v>
      </c>
      <c r="I110" s="954">
        <f>+'Monthly Budget'!I110</f>
        <v>0</v>
      </c>
      <c r="J110" s="954">
        <f>+'Monthly Budget'!J110</f>
        <v>0</v>
      </c>
      <c r="K110" s="954">
        <f>+'Monthly Budget'!K110</f>
        <v>0</v>
      </c>
      <c r="L110" s="1016">
        <v>0</v>
      </c>
      <c r="M110" s="1045">
        <f>+'Monthly Budget'!L110</f>
        <v>0</v>
      </c>
      <c r="N110" s="1045">
        <f>+'Monthly Budget'!M110</f>
        <v>0</v>
      </c>
      <c r="O110" s="1045">
        <f>+'Monthly Budget'!N110</f>
        <v>0</v>
      </c>
      <c r="P110" s="1045">
        <f>+'Monthly Budget'!O110</f>
        <v>0</v>
      </c>
      <c r="Q110" s="625"/>
      <c r="R110" s="747">
        <f t="shared" si="15"/>
        <v>0</v>
      </c>
      <c r="S110" s="747">
        <v>0</v>
      </c>
      <c r="T110" s="619">
        <f t="shared" si="17"/>
        <v>0</v>
      </c>
      <c r="U110" s="742"/>
    </row>
    <row r="111" spans="1:21" x14ac:dyDescent="0.2">
      <c r="A111" s="744" t="s">
        <v>776</v>
      </c>
      <c r="B111" s="745" t="s">
        <v>409</v>
      </c>
      <c r="C111" s="764"/>
      <c r="D111" s="954">
        <f>+'Monthly Budget'!D111</f>
        <v>200</v>
      </c>
      <c r="E111" s="954">
        <f>+'Monthly Budget'!E111</f>
        <v>200</v>
      </c>
      <c r="F111" s="954">
        <f>+'Monthly Budget'!F111</f>
        <v>200</v>
      </c>
      <c r="G111" s="954">
        <f>+'Monthly Budget'!G111</f>
        <v>200</v>
      </c>
      <c r="H111" s="954">
        <f>+'Monthly Budget'!H111</f>
        <v>200</v>
      </c>
      <c r="I111" s="954">
        <f>+'Monthly Budget'!I111</f>
        <v>200</v>
      </c>
      <c r="J111" s="954">
        <f>+'Monthly Budget'!J111</f>
        <v>200</v>
      </c>
      <c r="K111" s="954">
        <f>+'Monthly Budget'!K111</f>
        <v>200</v>
      </c>
      <c r="L111" s="1016">
        <v>1641.6599999999999</v>
      </c>
      <c r="M111" s="1045">
        <f>+'Monthly Budget'!L111</f>
        <v>200</v>
      </c>
      <c r="N111" s="1045">
        <f>+'Monthly Budget'!M111</f>
        <v>200</v>
      </c>
      <c r="O111" s="1045">
        <f>+'Monthly Budget'!N111</f>
        <v>200</v>
      </c>
      <c r="P111" s="1045">
        <f>+'Monthly Budget'!O111</f>
        <v>200</v>
      </c>
      <c r="Q111" s="625"/>
      <c r="R111" s="747">
        <f t="shared" si="15"/>
        <v>2400</v>
      </c>
      <c r="S111" s="747">
        <v>24000</v>
      </c>
      <c r="T111" s="832">
        <f t="shared" si="17"/>
        <v>-21600</v>
      </c>
      <c r="U111" s="872" t="s">
        <v>973</v>
      </c>
    </row>
    <row r="112" spans="1:21" x14ac:dyDescent="0.2">
      <c r="A112" s="744" t="s">
        <v>777</v>
      </c>
      <c r="B112" s="745" t="s">
        <v>410</v>
      </c>
      <c r="C112" s="764"/>
      <c r="D112" s="954">
        <f>+'Monthly Budget'!D112</f>
        <v>5635</v>
      </c>
      <c r="E112" s="954">
        <f>+'Monthly Budget'!E112</f>
        <v>5635</v>
      </c>
      <c r="F112" s="954">
        <f>+'Monthly Budget'!F112</f>
        <v>5635</v>
      </c>
      <c r="G112" s="954">
        <f>+'Monthly Budget'!G112</f>
        <v>5635</v>
      </c>
      <c r="H112" s="954">
        <f>+'Monthly Budget'!H112</f>
        <v>5635</v>
      </c>
      <c r="I112" s="954">
        <f>+'Monthly Budget'!I112</f>
        <v>5635</v>
      </c>
      <c r="J112" s="954">
        <f>+'Monthly Budget'!J112</f>
        <v>5635</v>
      </c>
      <c r="K112" s="954">
        <f>+'Monthly Budget'!K112</f>
        <v>5635</v>
      </c>
      <c r="L112" s="1016">
        <v>1400</v>
      </c>
      <c r="M112" s="1045">
        <f>+'Monthly Budget'!L112</f>
        <v>5635</v>
      </c>
      <c r="N112" s="1045">
        <f>+'Monthly Budget'!M112</f>
        <v>5635</v>
      </c>
      <c r="O112" s="1045">
        <f>+'Monthly Budget'!N112</f>
        <v>5635</v>
      </c>
      <c r="P112" s="1045">
        <f>+'Monthly Budget'!O112</f>
        <v>5635</v>
      </c>
      <c r="Q112" s="625"/>
      <c r="R112" s="747">
        <f t="shared" si="15"/>
        <v>67620</v>
      </c>
      <c r="S112" s="747">
        <v>60000</v>
      </c>
      <c r="T112" s="832">
        <f t="shared" si="17"/>
        <v>7620</v>
      </c>
      <c r="U112" s="872"/>
    </row>
    <row r="113" spans="1:21" x14ac:dyDescent="0.2">
      <c r="A113" s="744" t="s">
        <v>853</v>
      </c>
      <c r="B113" s="745" t="s">
        <v>854</v>
      </c>
      <c r="C113" s="764"/>
      <c r="D113" s="954">
        <f>+'Monthly Budget'!D113</f>
        <v>0</v>
      </c>
      <c r="E113" s="954">
        <f>+'Monthly Budget'!E113</f>
        <v>0</v>
      </c>
      <c r="F113" s="954">
        <f>+'Monthly Budget'!F113</f>
        <v>0</v>
      </c>
      <c r="G113" s="954">
        <f>+'Monthly Budget'!G113</f>
        <v>0</v>
      </c>
      <c r="H113" s="954">
        <f>+'Monthly Budget'!H113</f>
        <v>0</v>
      </c>
      <c r="I113" s="954">
        <f>+'Monthly Budget'!I113</f>
        <v>0</v>
      </c>
      <c r="J113" s="954">
        <f>+'Monthly Budget'!J113</f>
        <v>0</v>
      </c>
      <c r="K113" s="954">
        <f>+'Monthly Budget'!K113</f>
        <v>0</v>
      </c>
      <c r="L113" s="1016">
        <v>0</v>
      </c>
      <c r="M113" s="1045">
        <f>+'Monthly Budget'!L113</f>
        <v>0</v>
      </c>
      <c r="N113" s="1045">
        <f>+'Monthly Budget'!M113</f>
        <v>0</v>
      </c>
      <c r="O113" s="1045">
        <f>+'Monthly Budget'!N113</f>
        <v>0</v>
      </c>
      <c r="P113" s="1045">
        <f>+'Monthly Budget'!O113</f>
        <v>0</v>
      </c>
      <c r="Q113" s="625"/>
      <c r="R113" s="747">
        <f t="shared" si="15"/>
        <v>0</v>
      </c>
      <c r="S113" s="747">
        <v>0</v>
      </c>
      <c r="T113" s="619">
        <f t="shared" si="17"/>
        <v>0</v>
      </c>
      <c r="U113" s="742"/>
    </row>
    <row r="114" spans="1:21" x14ac:dyDescent="0.2">
      <c r="A114" s="744" t="s">
        <v>772</v>
      </c>
      <c r="B114" s="745" t="s">
        <v>403</v>
      </c>
      <c r="C114" s="764"/>
      <c r="D114" s="954">
        <f>+'Monthly Budget'!D114</f>
        <v>1528</v>
      </c>
      <c r="E114" s="954">
        <f>+'Monthly Budget'!E114</f>
        <v>1714.95</v>
      </c>
      <c r="F114" s="954">
        <f>+'Monthly Budget'!F114</f>
        <v>1528</v>
      </c>
      <c r="G114" s="954">
        <f>+'Monthly Budget'!G114</f>
        <v>1528</v>
      </c>
      <c r="H114" s="954">
        <f>+'Monthly Budget'!H114</f>
        <v>1528</v>
      </c>
      <c r="I114" s="954">
        <f>+'Monthly Budget'!I114</f>
        <v>1528</v>
      </c>
      <c r="J114" s="954">
        <f>+'Monthly Budget'!J114</f>
        <v>1528</v>
      </c>
      <c r="K114" s="954">
        <f>+'Monthly Budget'!K114</f>
        <v>1528</v>
      </c>
      <c r="L114" s="1016">
        <v>1279.96</v>
      </c>
      <c r="M114" s="1045">
        <f>+'Monthly Budget'!L114</f>
        <v>1528</v>
      </c>
      <c r="N114" s="1045">
        <f>+'Monthly Budget'!M114</f>
        <v>1528</v>
      </c>
      <c r="O114" s="1045">
        <f>+'Monthly Budget'!N114</f>
        <v>1528</v>
      </c>
      <c r="P114" s="1045">
        <f>+'Monthly Budget'!O114</f>
        <v>1528</v>
      </c>
      <c r="Q114" s="625"/>
      <c r="R114" s="747">
        <f t="shared" si="15"/>
        <v>18522.95</v>
      </c>
      <c r="S114" s="747">
        <v>15600</v>
      </c>
      <c r="T114" s="619">
        <f>R114-S114</f>
        <v>2922.9500000000007</v>
      </c>
      <c r="U114" s="742"/>
    </row>
    <row r="115" spans="1:21" ht="12" thickBot="1" x14ac:dyDescent="0.25">
      <c r="B115" s="855" t="s">
        <v>411</v>
      </c>
      <c r="C115" s="763"/>
      <c r="D115" s="952">
        <f t="shared" ref="D115:P115" si="18">SUM(D106:D114)</f>
        <v>16576</v>
      </c>
      <c r="E115" s="952">
        <f>SUM(E106:E114)</f>
        <v>18762.95</v>
      </c>
      <c r="F115" s="952">
        <f>SUM(F106:F114)</f>
        <v>18576</v>
      </c>
      <c r="G115" s="952">
        <f>SUM(G106:G114)</f>
        <v>18576</v>
      </c>
      <c r="H115" s="952">
        <f>SUM(H106:H114)</f>
        <v>18576</v>
      </c>
      <c r="I115" s="952">
        <f t="shared" si="18"/>
        <v>18576</v>
      </c>
      <c r="J115" s="952">
        <f t="shared" si="18"/>
        <v>18576</v>
      </c>
      <c r="K115" s="952">
        <f t="shared" si="18"/>
        <v>18576</v>
      </c>
      <c r="L115" s="1018">
        <v>11726.25</v>
      </c>
      <c r="M115" s="1048">
        <f t="shared" si="18"/>
        <v>18576</v>
      </c>
      <c r="N115" s="1048">
        <f t="shared" si="18"/>
        <v>18576</v>
      </c>
      <c r="O115" s="1048">
        <f t="shared" si="18"/>
        <v>18576</v>
      </c>
      <c r="P115" s="1048">
        <f t="shared" si="18"/>
        <v>16576</v>
      </c>
      <c r="Q115" s="625"/>
      <c r="R115" s="632">
        <f>SUM(R106:R114)</f>
        <v>219098.95</v>
      </c>
      <c r="S115" s="632">
        <v>211100</v>
      </c>
      <c r="T115" s="632">
        <f>SUM(T106:T114)</f>
        <v>7998.9500000000007</v>
      </c>
      <c r="U115" s="742"/>
    </row>
    <row r="116" spans="1:21" ht="12" thickTop="1" x14ac:dyDescent="0.2">
      <c r="B116" s="742"/>
      <c r="C116" s="763"/>
      <c r="D116" s="953"/>
      <c r="E116" s="953"/>
      <c r="F116" s="953"/>
      <c r="G116" s="953"/>
      <c r="H116" s="953"/>
      <c r="I116" s="953"/>
      <c r="J116" s="953"/>
      <c r="K116" s="953"/>
      <c r="L116" s="1019"/>
      <c r="M116" s="1049"/>
      <c r="N116" s="1049"/>
      <c r="O116" s="1049"/>
      <c r="P116" s="1049"/>
      <c r="Q116" s="625"/>
      <c r="R116" s="635"/>
      <c r="S116" s="635"/>
      <c r="U116" s="742"/>
    </row>
    <row r="117" spans="1:21" x14ac:dyDescent="0.2">
      <c r="B117" s="771" t="s">
        <v>314</v>
      </c>
      <c r="C117" s="763"/>
      <c r="D117" s="953"/>
      <c r="E117" s="953"/>
      <c r="F117" s="953"/>
      <c r="G117" s="953"/>
      <c r="H117" s="953"/>
      <c r="I117" s="953"/>
      <c r="J117" s="953"/>
      <c r="K117" s="953"/>
      <c r="L117" s="1019"/>
      <c r="M117" s="1049"/>
      <c r="N117" s="1049"/>
      <c r="O117" s="1049"/>
      <c r="P117" s="1049"/>
      <c r="Q117" s="625"/>
      <c r="R117" s="634"/>
      <c r="S117" s="634"/>
      <c r="U117" s="742"/>
    </row>
    <row r="118" spans="1:21" x14ac:dyDescent="0.2">
      <c r="A118" s="744" t="s">
        <v>779</v>
      </c>
      <c r="B118" s="745" t="s">
        <v>412</v>
      </c>
      <c r="C118" s="764"/>
      <c r="D118" s="951">
        <v>0</v>
      </c>
      <c r="E118" s="951">
        <v>0</v>
      </c>
      <c r="F118" s="951">
        <v>0</v>
      </c>
      <c r="G118" s="951">
        <f>+'Monthly Budget'!G118</f>
        <v>0</v>
      </c>
      <c r="H118" s="951">
        <f>+'Monthly Budget'!H118</f>
        <v>0</v>
      </c>
      <c r="I118" s="951">
        <f>+'Monthly Budget'!I118</f>
        <v>0</v>
      </c>
      <c r="J118" s="951">
        <f>+'Monthly Budget'!J118</f>
        <v>0</v>
      </c>
      <c r="K118" s="951">
        <f>+'Monthly Budget'!K118</f>
        <v>0</v>
      </c>
      <c r="L118" s="1016">
        <v>0</v>
      </c>
      <c r="M118" s="1045">
        <f>+'Monthly Budget'!L118</f>
        <v>0</v>
      </c>
      <c r="N118" s="1045">
        <f>+'Monthly Budget'!M118</f>
        <v>0</v>
      </c>
      <c r="O118" s="1045">
        <f>+'Monthly Budget'!N118</f>
        <v>0</v>
      </c>
      <c r="P118" s="1045">
        <f>+'Monthly Budget'!O118</f>
        <v>0</v>
      </c>
      <c r="Q118" s="810"/>
      <c r="R118" s="747">
        <f>SUM(D118:Q118)-L118</f>
        <v>0</v>
      </c>
      <c r="S118" s="636">
        <v>0</v>
      </c>
      <c r="T118" s="808">
        <f>R118-S118</f>
        <v>0</v>
      </c>
      <c r="U118" s="742"/>
    </row>
    <row r="119" spans="1:21" ht="12" thickBot="1" x14ac:dyDescent="0.25">
      <c r="B119" s="855" t="s">
        <v>413</v>
      </c>
      <c r="C119" s="763"/>
      <c r="D119" s="952">
        <f t="shared" ref="D119:P119" si="19">SUM(D118)</f>
        <v>0</v>
      </c>
      <c r="E119" s="952">
        <f>SUM(E118)</f>
        <v>0</v>
      </c>
      <c r="F119" s="952">
        <f>SUM(F118)</f>
        <v>0</v>
      </c>
      <c r="G119" s="952">
        <f>SUM(G118)</f>
        <v>0</v>
      </c>
      <c r="H119" s="952">
        <f>SUM(H118)</f>
        <v>0</v>
      </c>
      <c r="I119" s="952">
        <f t="shared" si="19"/>
        <v>0</v>
      </c>
      <c r="J119" s="952">
        <f t="shared" si="19"/>
        <v>0</v>
      </c>
      <c r="K119" s="952">
        <f t="shared" si="19"/>
        <v>0</v>
      </c>
      <c r="L119" s="1018">
        <v>0</v>
      </c>
      <c r="M119" s="1048">
        <f t="shared" si="19"/>
        <v>0</v>
      </c>
      <c r="N119" s="1048">
        <f t="shared" si="19"/>
        <v>0</v>
      </c>
      <c r="O119" s="1048">
        <f t="shared" si="19"/>
        <v>0</v>
      </c>
      <c r="P119" s="1048">
        <f t="shared" si="19"/>
        <v>0</v>
      </c>
      <c r="Q119" s="625"/>
      <c r="R119" s="633">
        <f>SUM(R118)</f>
        <v>0</v>
      </c>
      <c r="S119" s="633">
        <v>0</v>
      </c>
      <c r="T119" s="633">
        <v>0</v>
      </c>
      <c r="U119" s="742"/>
    </row>
    <row r="120" spans="1:21" ht="12" thickTop="1" x14ac:dyDescent="0.2">
      <c r="B120" s="855"/>
      <c r="C120" s="763"/>
      <c r="D120" s="953"/>
      <c r="E120" s="953"/>
      <c r="F120" s="953"/>
      <c r="G120" s="953"/>
      <c r="H120" s="953"/>
      <c r="I120" s="953"/>
      <c r="J120" s="953"/>
      <c r="K120" s="953"/>
      <c r="L120" s="1019"/>
      <c r="M120" s="1049"/>
      <c r="N120" s="1049"/>
      <c r="O120" s="1049"/>
      <c r="P120" s="1049"/>
      <c r="Q120" s="625"/>
      <c r="R120" s="635"/>
      <c r="S120" s="635"/>
      <c r="U120" s="742"/>
    </row>
    <row r="121" spans="1:21" x14ac:dyDescent="0.2">
      <c r="B121" s="771" t="s">
        <v>414</v>
      </c>
      <c r="C121" s="763"/>
      <c r="D121" s="953"/>
      <c r="E121" s="953"/>
      <c r="F121" s="953"/>
      <c r="G121" s="953"/>
      <c r="H121" s="953"/>
      <c r="I121" s="953"/>
      <c r="J121" s="953"/>
      <c r="K121" s="953"/>
      <c r="L121" s="1019"/>
      <c r="M121" s="1049"/>
      <c r="N121" s="1049"/>
      <c r="O121" s="1049"/>
      <c r="P121" s="1049"/>
      <c r="Q121" s="625"/>
      <c r="R121" s="634"/>
      <c r="S121" s="634"/>
      <c r="U121" s="742"/>
    </row>
    <row r="122" spans="1:21" x14ac:dyDescent="0.2">
      <c r="B122" s="771" t="s">
        <v>780</v>
      </c>
      <c r="C122" s="763"/>
      <c r="D122" s="954">
        <f>+'Monthly Budget'!D122</f>
        <v>2500</v>
      </c>
      <c r="E122" s="954">
        <f>+'Monthly Budget'!E122</f>
        <v>2500</v>
      </c>
      <c r="F122" s="954">
        <f>+'Monthly Budget'!F122</f>
        <v>2500</v>
      </c>
      <c r="G122" s="954">
        <f>+'Monthly Budget'!G122</f>
        <v>2500</v>
      </c>
      <c r="H122" s="954">
        <f>+'Monthly Budget'!H122</f>
        <v>2500</v>
      </c>
      <c r="I122" s="954">
        <f>+'Monthly Budget'!I122</f>
        <v>2500</v>
      </c>
      <c r="J122" s="954">
        <f>+'Monthly Budget'!J122</f>
        <v>2500</v>
      </c>
      <c r="K122" s="954">
        <f>+'Monthly Budget'!K122</f>
        <v>2500</v>
      </c>
      <c r="L122" s="1016">
        <v>2500</v>
      </c>
      <c r="M122" s="1045">
        <f>+'Monthly Budget'!L122</f>
        <v>2500</v>
      </c>
      <c r="N122" s="1045">
        <f>+'Monthly Budget'!M122</f>
        <v>2500</v>
      </c>
      <c r="O122" s="1045">
        <f>+'Monthly Budget'!N122</f>
        <v>2500</v>
      </c>
      <c r="P122" s="1045">
        <f>+'Monthly Budget'!O122</f>
        <v>2500</v>
      </c>
      <c r="Q122" s="625"/>
      <c r="R122" s="747">
        <f>SUM(D122:Q122)-L122</f>
        <v>30000</v>
      </c>
      <c r="S122" s="747">
        <v>30000</v>
      </c>
      <c r="T122" s="619">
        <f>R122-S122</f>
        <v>0</v>
      </c>
      <c r="U122" s="742"/>
    </row>
    <row r="123" spans="1:21" x14ac:dyDescent="0.2">
      <c r="A123" s="744" t="s">
        <v>781</v>
      </c>
      <c r="B123" s="768" t="s">
        <v>415</v>
      </c>
      <c r="C123" s="763"/>
      <c r="D123" s="954">
        <f>+'Monthly Budget'!D123</f>
        <v>69282</v>
      </c>
      <c r="E123" s="954">
        <f>+'Monthly Budget'!E123</f>
        <v>69282</v>
      </c>
      <c r="F123" s="954">
        <f>+'Monthly Budget'!F123</f>
        <v>69282</v>
      </c>
      <c r="G123" s="954">
        <f>+'Monthly Budget'!G123</f>
        <v>69282</v>
      </c>
      <c r="H123" s="954">
        <f>+'Monthly Budget'!H123</f>
        <v>69282</v>
      </c>
      <c r="I123" s="954">
        <f>+'Monthly Budget'!I123</f>
        <v>69282</v>
      </c>
      <c r="J123" s="954">
        <f>+'Monthly Budget'!J123</f>
        <v>69282</v>
      </c>
      <c r="K123" s="954">
        <f>+'Monthly Budget'!K123</f>
        <v>69282</v>
      </c>
      <c r="L123" s="1015">
        <v>60386.183999999987</v>
      </c>
      <c r="M123" s="1044">
        <f>+'Monthly Budget'!L123</f>
        <v>69282</v>
      </c>
      <c r="N123" s="1044">
        <f>+'Monthly Budget'!M123</f>
        <v>69282</v>
      </c>
      <c r="O123" s="1044">
        <f>+'Monthly Budget'!N123</f>
        <v>69282</v>
      </c>
      <c r="P123" s="1044">
        <f>+'Monthly Budget'!O123</f>
        <v>69282</v>
      </c>
      <c r="Q123" s="608"/>
      <c r="R123" s="747">
        <f>SUM(D123:Q123)-L123</f>
        <v>831384</v>
      </c>
      <c r="S123" s="747">
        <v>763851.43252293579</v>
      </c>
      <c r="T123" s="619">
        <f>R123-S123</f>
        <v>67532.567477064207</v>
      </c>
      <c r="U123" s="742"/>
    </row>
    <row r="124" spans="1:21" ht="12" thickBot="1" x14ac:dyDescent="0.25">
      <c r="B124" s="855" t="s">
        <v>416</v>
      </c>
      <c r="C124" s="763"/>
      <c r="D124" s="952">
        <f t="shared" ref="D124:P124" si="20">SUM(D122:D123)</f>
        <v>71782</v>
      </c>
      <c r="E124" s="952">
        <f>SUM(E122:E123)</f>
        <v>71782</v>
      </c>
      <c r="F124" s="952">
        <f>SUM(F122:F123)</f>
        <v>71782</v>
      </c>
      <c r="G124" s="952">
        <f>SUM(G122:G123)</f>
        <v>71782</v>
      </c>
      <c r="H124" s="952">
        <f>SUM(H122:H123)</f>
        <v>71782</v>
      </c>
      <c r="I124" s="952">
        <f t="shared" si="20"/>
        <v>71782</v>
      </c>
      <c r="J124" s="952">
        <f t="shared" si="20"/>
        <v>71782</v>
      </c>
      <c r="K124" s="952">
        <f t="shared" si="20"/>
        <v>71782</v>
      </c>
      <c r="L124" s="1018">
        <v>62886.183999999987</v>
      </c>
      <c r="M124" s="1048">
        <f t="shared" si="20"/>
        <v>71782</v>
      </c>
      <c r="N124" s="1048">
        <f t="shared" si="20"/>
        <v>71782</v>
      </c>
      <c r="O124" s="1048">
        <f t="shared" si="20"/>
        <v>71782</v>
      </c>
      <c r="P124" s="1048">
        <f t="shared" si="20"/>
        <v>71782</v>
      </c>
      <c r="Q124" s="625"/>
      <c r="R124" s="629">
        <f>SUM(R122:R123)</f>
        <v>861384</v>
      </c>
      <c r="S124" s="629">
        <v>793851.43252293579</v>
      </c>
      <c r="T124" s="629">
        <f>T122+T123</f>
        <v>67532.567477064207</v>
      </c>
      <c r="U124" s="742"/>
    </row>
    <row r="125" spans="1:21" ht="12" thickTop="1" x14ac:dyDescent="0.2">
      <c r="B125" s="742"/>
      <c r="C125" s="763"/>
      <c r="D125" s="953"/>
      <c r="E125" s="953"/>
      <c r="F125" s="953"/>
      <c r="G125" s="953"/>
      <c r="H125" s="953"/>
      <c r="I125" s="953"/>
      <c r="J125" s="953"/>
      <c r="K125" s="953"/>
      <c r="L125" s="1019"/>
      <c r="M125" s="1049"/>
      <c r="N125" s="1049"/>
      <c r="O125" s="1049"/>
      <c r="P125" s="1049"/>
      <c r="Q125" s="625"/>
      <c r="R125" s="635"/>
      <c r="S125" s="635"/>
      <c r="U125" s="742"/>
    </row>
    <row r="126" spans="1:21" x14ac:dyDescent="0.2">
      <c r="B126" s="854" t="s">
        <v>417</v>
      </c>
      <c r="C126" s="763"/>
      <c r="D126" s="953"/>
      <c r="E126" s="953"/>
      <c r="F126" s="953"/>
      <c r="G126" s="953"/>
      <c r="H126" s="953"/>
      <c r="I126" s="953"/>
      <c r="J126" s="953"/>
      <c r="K126" s="953"/>
      <c r="L126" s="1019"/>
      <c r="M126" s="1049"/>
      <c r="N126" s="1049"/>
      <c r="O126" s="1049"/>
      <c r="P126" s="1049"/>
      <c r="Q126" s="625"/>
      <c r="R126" s="634"/>
      <c r="S126" s="634"/>
      <c r="U126" s="742"/>
    </row>
    <row r="127" spans="1:21" x14ac:dyDescent="0.2">
      <c r="A127" s="744" t="s">
        <v>782</v>
      </c>
      <c r="B127" s="745" t="s">
        <v>418</v>
      </c>
      <c r="C127" s="764"/>
      <c r="D127" s="954">
        <f>+'Monthly Budget'!D127</f>
        <v>0</v>
      </c>
      <c r="E127" s="954">
        <f>+'Monthly Budget'!E127</f>
        <v>0</v>
      </c>
      <c r="F127" s="954">
        <f>+'Monthly Budget'!F127</f>
        <v>0</v>
      </c>
      <c r="G127" s="954">
        <f>+'Monthly Budget'!G127</f>
        <v>0</v>
      </c>
      <c r="H127" s="954">
        <f>+'Monthly Budget'!H127</f>
        <v>0</v>
      </c>
      <c r="I127" s="954">
        <f>+'Monthly Budget'!I127</f>
        <v>0</v>
      </c>
      <c r="J127" s="954">
        <f>+'Monthly Budget'!J127</f>
        <v>0</v>
      </c>
      <c r="K127" s="954">
        <f>+'Monthly Budget'!K127</f>
        <v>0</v>
      </c>
      <c r="L127" s="1016">
        <v>0</v>
      </c>
      <c r="M127" s="1045">
        <f>+'Monthly Budget'!L127</f>
        <v>0</v>
      </c>
      <c r="N127" s="1045">
        <f>+'Monthly Budget'!M127</f>
        <v>0</v>
      </c>
      <c r="O127" s="1045">
        <f>+'Monthly Budget'!N127</f>
        <v>0</v>
      </c>
      <c r="P127" s="1045">
        <f>+'Monthly Budget'!O127</f>
        <v>0</v>
      </c>
      <c r="Q127" s="810"/>
      <c r="R127" s="747">
        <f>SUM(D127:Q127)-L127</f>
        <v>0</v>
      </c>
      <c r="S127" s="634">
        <v>0</v>
      </c>
      <c r="T127" s="619">
        <f>R127-S127</f>
        <v>0</v>
      </c>
      <c r="U127" s="742"/>
    </row>
    <row r="128" spans="1:21" x14ac:dyDescent="0.2">
      <c r="A128" s="744" t="s">
        <v>783</v>
      </c>
      <c r="B128" s="745" t="s">
        <v>419</v>
      </c>
      <c r="C128" s="764"/>
      <c r="D128" s="954">
        <f>+'Monthly Budget'!D128</f>
        <v>450</v>
      </c>
      <c r="E128" s="954">
        <f>+'Monthly Budget'!E128</f>
        <v>450</v>
      </c>
      <c r="F128" s="954">
        <f>+'Monthly Budget'!F128</f>
        <v>450</v>
      </c>
      <c r="G128" s="954">
        <f>+'Monthly Budget'!G128</f>
        <v>450</v>
      </c>
      <c r="H128" s="954">
        <f>+'Monthly Budget'!H128</f>
        <v>450</v>
      </c>
      <c r="I128" s="954">
        <f>+'Monthly Budget'!I128</f>
        <v>450</v>
      </c>
      <c r="J128" s="954">
        <f>+'Monthly Budget'!J128</f>
        <v>450</v>
      </c>
      <c r="K128" s="954">
        <f>+'Monthly Budget'!K128</f>
        <v>450</v>
      </c>
      <c r="L128" s="1016">
        <v>0</v>
      </c>
      <c r="M128" s="1045">
        <f>+'Monthly Budget'!L128</f>
        <v>450</v>
      </c>
      <c r="N128" s="1045">
        <f>+'Monthly Budget'!M128</f>
        <v>450</v>
      </c>
      <c r="O128" s="1045">
        <f>+'Monthly Budget'!N128</f>
        <v>450</v>
      </c>
      <c r="P128" s="1045">
        <f>+'Monthly Budget'!O128</f>
        <v>450</v>
      </c>
      <c r="Q128" s="810">
        <v>0</v>
      </c>
      <c r="R128" s="747">
        <f>SUM(D128:Q128)-L128</f>
        <v>5400</v>
      </c>
      <c r="S128" s="747">
        <v>3500</v>
      </c>
      <c r="T128" s="619">
        <f>R128-S128</f>
        <v>1900</v>
      </c>
      <c r="U128" s="742"/>
    </row>
    <row r="129" spans="1:21" ht="12" thickBot="1" x14ac:dyDescent="0.25">
      <c r="B129" s="855" t="s">
        <v>420</v>
      </c>
      <c r="C129" s="763"/>
      <c r="D129" s="952">
        <f t="shared" ref="D129:P129" si="21">SUM(D127:D128)</f>
        <v>450</v>
      </c>
      <c r="E129" s="952">
        <f>SUM(E127:E128)</f>
        <v>450</v>
      </c>
      <c r="F129" s="952">
        <f>SUM(F127:F128)</f>
        <v>450</v>
      </c>
      <c r="G129" s="952">
        <f>SUM(G127:G128)</f>
        <v>450</v>
      </c>
      <c r="H129" s="952">
        <f>SUM(H127:H128)</f>
        <v>450</v>
      </c>
      <c r="I129" s="952">
        <f t="shared" si="21"/>
        <v>450</v>
      </c>
      <c r="J129" s="952">
        <f t="shared" si="21"/>
        <v>450</v>
      </c>
      <c r="K129" s="952">
        <f t="shared" si="21"/>
        <v>450</v>
      </c>
      <c r="L129" s="1018">
        <v>0</v>
      </c>
      <c r="M129" s="1048">
        <f t="shared" si="21"/>
        <v>450</v>
      </c>
      <c r="N129" s="1048">
        <f t="shared" si="21"/>
        <v>450</v>
      </c>
      <c r="O129" s="1048">
        <f t="shared" si="21"/>
        <v>450</v>
      </c>
      <c r="P129" s="1048">
        <f t="shared" si="21"/>
        <v>450</v>
      </c>
      <c r="Q129" s="625"/>
      <c r="R129" s="629">
        <f>SUM(R127:R128)</f>
        <v>5400</v>
      </c>
      <c r="S129" s="629">
        <v>3500</v>
      </c>
      <c r="T129" s="629">
        <f>SUM(T127:T128)</f>
        <v>1900</v>
      </c>
      <c r="U129" s="742"/>
    </row>
    <row r="130" spans="1:21" ht="12" thickTop="1" x14ac:dyDescent="0.2">
      <c r="B130" s="855"/>
      <c r="C130" s="763"/>
      <c r="D130" s="953"/>
      <c r="E130" s="953"/>
      <c r="F130" s="953"/>
      <c r="G130" s="953"/>
      <c r="H130" s="953"/>
      <c r="I130" s="953"/>
      <c r="J130" s="953"/>
      <c r="K130" s="953"/>
      <c r="L130" s="1019"/>
      <c r="M130" s="1049"/>
      <c r="N130" s="1049"/>
      <c r="O130" s="1049"/>
      <c r="P130" s="1049"/>
      <c r="Q130" s="625"/>
      <c r="R130" s="635"/>
      <c r="S130" s="635"/>
      <c r="U130" s="742"/>
    </row>
    <row r="131" spans="1:21" x14ac:dyDescent="0.2">
      <c r="B131" s="854" t="s">
        <v>316</v>
      </c>
      <c r="C131" s="763"/>
      <c r="D131" s="953"/>
      <c r="E131" s="953"/>
      <c r="F131" s="953"/>
      <c r="G131" s="953"/>
      <c r="H131" s="953"/>
      <c r="I131" s="953"/>
      <c r="J131" s="953"/>
      <c r="K131" s="953"/>
      <c r="L131" s="1019"/>
      <c r="M131" s="1049"/>
      <c r="N131" s="1049"/>
      <c r="O131" s="1049"/>
      <c r="P131" s="1049"/>
      <c r="Q131" s="625"/>
      <c r="R131" s="634"/>
      <c r="S131" s="634"/>
      <c r="U131" s="742"/>
    </row>
    <row r="132" spans="1:21" x14ac:dyDescent="0.2">
      <c r="A132" s="733" t="s">
        <v>784</v>
      </c>
      <c r="B132" s="742" t="s">
        <v>785</v>
      </c>
      <c r="C132" s="764"/>
      <c r="D132" s="954">
        <f>+'Monthly Budget'!D132</f>
        <v>0</v>
      </c>
      <c r="E132" s="954">
        <f>+'Monthly Budget'!E132</f>
        <v>0</v>
      </c>
      <c r="F132" s="954">
        <f>+'Monthly Budget'!F132</f>
        <v>0</v>
      </c>
      <c r="G132" s="954">
        <f>+'Monthly Budget'!G132</f>
        <v>0</v>
      </c>
      <c r="H132" s="954">
        <f>+'Monthly Budget'!H132</f>
        <v>0</v>
      </c>
      <c r="I132" s="954">
        <f>+'Monthly Budget'!I132</f>
        <v>0</v>
      </c>
      <c r="J132" s="954">
        <f>+'Monthly Budget'!J132</f>
        <v>0</v>
      </c>
      <c r="K132" s="954">
        <f>+'Monthly Budget'!K132</f>
        <v>0</v>
      </c>
      <c r="L132" s="1016">
        <v>0</v>
      </c>
      <c r="M132" s="1045">
        <f>+'Monthly Budget'!L132</f>
        <v>0</v>
      </c>
      <c r="N132" s="1045">
        <f>+'Monthly Budget'!M132</f>
        <v>0</v>
      </c>
      <c r="O132" s="1045">
        <f>+'Monthly Budget'!N132</f>
        <v>0</v>
      </c>
      <c r="P132" s="1045">
        <f>+'Monthly Budget'!O132</f>
        <v>0</v>
      </c>
      <c r="Q132" s="810"/>
      <c r="R132" s="747">
        <f t="shared" ref="R132:R161" si="22">SUM(D132:Q132)-L132</f>
        <v>0</v>
      </c>
      <c r="S132" s="747">
        <v>0</v>
      </c>
      <c r="T132" s="619">
        <f t="shared" ref="T132:T161" si="23">R132-S132</f>
        <v>0</v>
      </c>
      <c r="U132" s="742"/>
    </row>
    <row r="133" spans="1:21" x14ac:dyDescent="0.2">
      <c r="A133" s="733" t="s">
        <v>786</v>
      </c>
      <c r="B133" s="742" t="s">
        <v>421</v>
      </c>
      <c r="C133" s="764"/>
      <c r="D133" s="954">
        <f>+'Monthly Budget'!D133</f>
        <v>0</v>
      </c>
      <c r="E133" s="954">
        <f>+'Monthly Budget'!E133</f>
        <v>0</v>
      </c>
      <c r="F133" s="954">
        <f>+'Monthly Budget'!F133</f>
        <v>0</v>
      </c>
      <c r="G133" s="954">
        <f>+'Monthly Budget'!G133</f>
        <v>0</v>
      </c>
      <c r="H133" s="954">
        <f>+'Monthly Budget'!H133</f>
        <v>0</v>
      </c>
      <c r="I133" s="954">
        <f>+'Monthly Budget'!I133</f>
        <v>0</v>
      </c>
      <c r="J133" s="954">
        <f>+'Monthly Budget'!J133</f>
        <v>0</v>
      </c>
      <c r="K133" s="954">
        <f>+'Monthly Budget'!K133</f>
        <v>0</v>
      </c>
      <c r="L133" s="1026">
        <v>0</v>
      </c>
      <c r="M133" s="1045">
        <f>+'Monthly Budget'!L133</f>
        <v>0</v>
      </c>
      <c r="N133" s="1045">
        <f>+'Monthly Budget'!M133</f>
        <v>0</v>
      </c>
      <c r="O133" s="1045">
        <f>+'Monthly Budget'!N133</f>
        <v>0</v>
      </c>
      <c r="P133" s="1045">
        <f>+'Monthly Budget'!O133</f>
        <v>0</v>
      </c>
      <c r="Q133" s="810"/>
      <c r="R133" s="747">
        <f t="shared" si="22"/>
        <v>0</v>
      </c>
      <c r="S133" s="747">
        <v>0</v>
      </c>
      <c r="T133" s="619">
        <f t="shared" si="23"/>
        <v>0</v>
      </c>
      <c r="U133" s="742" t="s">
        <v>975</v>
      </c>
    </row>
    <row r="134" spans="1:21" x14ac:dyDescent="0.2">
      <c r="B134" s="742" t="s">
        <v>1008</v>
      </c>
      <c r="C134" s="764"/>
      <c r="D134" s="954">
        <f>+'Monthly Budget'!D134</f>
        <v>65650</v>
      </c>
      <c r="E134" s="954">
        <f>+'Monthly Budget'!E134</f>
        <v>65650</v>
      </c>
      <c r="F134" s="954">
        <f>+'Monthly Budget'!F134</f>
        <v>65650</v>
      </c>
      <c r="G134" s="954">
        <f>+'Monthly Budget'!G134</f>
        <v>65650</v>
      </c>
      <c r="H134" s="954">
        <f>+'Monthly Budget'!H134</f>
        <v>65650</v>
      </c>
      <c r="I134" s="954">
        <f>+'Monthly Budget'!I134</f>
        <v>65650</v>
      </c>
      <c r="J134" s="954">
        <f>+'Monthly Budget'!J134</f>
        <v>65650</v>
      </c>
      <c r="K134" s="954">
        <f>+'Monthly Budget'!K134</f>
        <v>65650</v>
      </c>
      <c r="L134" s="1026">
        <v>61898.07</v>
      </c>
      <c r="M134" s="1045">
        <f>+'Monthly Budget'!L134</f>
        <v>65650</v>
      </c>
      <c r="N134" s="1045">
        <f>+'Monthly Budget'!M134</f>
        <v>65650</v>
      </c>
      <c r="O134" s="1045">
        <f>+'Monthly Budget'!N134</f>
        <v>65650</v>
      </c>
      <c r="P134" s="1045">
        <f>+'Monthly Budget'!O134</f>
        <v>65650</v>
      </c>
      <c r="Q134" s="810"/>
      <c r="R134" s="747">
        <f t="shared" si="22"/>
        <v>787800</v>
      </c>
      <c r="S134" s="747">
        <v>702163.80000000016</v>
      </c>
      <c r="T134" s="619">
        <f t="shared" si="23"/>
        <v>85636.199999999837</v>
      </c>
      <c r="U134" s="742"/>
    </row>
    <row r="135" spans="1:21" x14ac:dyDescent="0.2">
      <c r="B135" s="742" t="s">
        <v>1007</v>
      </c>
      <c r="C135" s="764"/>
      <c r="D135" s="954">
        <f>+'Monthly Budget'!D135</f>
        <v>1416.2599999999984</v>
      </c>
      <c r="E135" s="954">
        <f>+'Monthly Budget'!E135</f>
        <v>1416.25</v>
      </c>
      <c r="F135" s="954">
        <f>+'Monthly Budget'!F135</f>
        <v>1416.2600000000002</v>
      </c>
      <c r="G135" s="954">
        <f>+'Monthly Budget'!G135</f>
        <v>1416.25</v>
      </c>
      <c r="H135" s="954">
        <f>+'Monthly Budget'!H135</f>
        <v>1416.25</v>
      </c>
      <c r="I135" s="954">
        <f>+'Monthly Budget'!I135</f>
        <v>4416.25</v>
      </c>
      <c r="J135" s="954">
        <f>+'Monthly Budget'!J135</f>
        <v>1416.25</v>
      </c>
      <c r="K135" s="954">
        <f>+'Monthly Budget'!K135</f>
        <v>4749.58</v>
      </c>
      <c r="L135" s="1026">
        <v>1416.25</v>
      </c>
      <c r="M135" s="1065">
        <f>+'Monthly Budget'!L135</f>
        <v>6916.2800000000007</v>
      </c>
      <c r="N135" s="1065">
        <f>+'Monthly Budget'!M135</f>
        <v>1641.25</v>
      </c>
      <c r="O135" s="1065">
        <f>+'Monthly Budget'!N135</f>
        <v>1416.25</v>
      </c>
      <c r="P135" s="1065">
        <f>+'Monthly Budget'!O135</f>
        <v>1416.25</v>
      </c>
      <c r="Q135" s="810"/>
      <c r="R135" s="747">
        <f t="shared" si="22"/>
        <v>29053.379999999997</v>
      </c>
      <c r="S135" s="747">
        <v>21995</v>
      </c>
      <c r="T135" s="619">
        <f t="shared" si="23"/>
        <v>7058.3799999999974</v>
      </c>
      <c r="U135" s="742"/>
    </row>
    <row r="136" spans="1:21" x14ac:dyDescent="0.2">
      <c r="A136" s="733" t="s">
        <v>787</v>
      </c>
      <c r="B136" s="969" t="s">
        <v>788</v>
      </c>
      <c r="C136" s="764"/>
      <c r="D136" s="954">
        <f>+'Monthly Budget'!D136</f>
        <v>0</v>
      </c>
      <c r="E136" s="954">
        <f>+'Monthly Budget'!E136</f>
        <v>0</v>
      </c>
      <c r="F136" s="954">
        <f>+'Monthly Budget'!F136</f>
        <v>0</v>
      </c>
      <c r="G136" s="954">
        <f>+'Monthly Budget'!G136</f>
        <v>0</v>
      </c>
      <c r="H136" s="954">
        <f>+'Monthly Budget'!H136</f>
        <v>0</v>
      </c>
      <c r="I136" s="954">
        <f>+'Monthly Budget'!I136</f>
        <v>0</v>
      </c>
      <c r="J136" s="954">
        <f>+'Monthly Budget'!J136</f>
        <v>0</v>
      </c>
      <c r="K136" s="954">
        <f>+'Monthly Budget'!K136</f>
        <v>0</v>
      </c>
      <c r="L136" s="1016">
        <v>0</v>
      </c>
      <c r="M136" s="1066">
        <f>+'Monthly Budget'!L133</f>
        <v>0</v>
      </c>
      <c r="N136" s="1066">
        <f>+'Monthly Budget'!M133</f>
        <v>0</v>
      </c>
      <c r="O136" s="1066">
        <f>+'Monthly Budget'!N133</f>
        <v>0</v>
      </c>
      <c r="P136" s="1066">
        <f>+'Monthly Budget'!O133</f>
        <v>0</v>
      </c>
      <c r="Q136" s="810"/>
      <c r="R136" s="747">
        <f t="shared" si="22"/>
        <v>0</v>
      </c>
      <c r="S136" s="747">
        <v>0</v>
      </c>
      <c r="T136" s="619">
        <f t="shared" si="23"/>
        <v>0</v>
      </c>
      <c r="U136" s="742"/>
    </row>
    <row r="137" spans="1:21" x14ac:dyDescent="0.2">
      <c r="A137" s="733" t="s">
        <v>789</v>
      </c>
      <c r="B137" s="742" t="s">
        <v>790</v>
      </c>
      <c r="C137" s="764"/>
      <c r="D137" s="954">
        <f>+'Monthly Budget'!D137</f>
        <v>0</v>
      </c>
      <c r="E137" s="954">
        <f>+'Monthly Budget'!E137</f>
        <v>0</v>
      </c>
      <c r="F137" s="954">
        <f>+'Monthly Budget'!F137</f>
        <v>0</v>
      </c>
      <c r="G137" s="954">
        <f>+'Monthly Budget'!G137</f>
        <v>30821</v>
      </c>
      <c r="H137" s="954">
        <f>+'Monthly Budget'!H137</f>
        <v>0</v>
      </c>
      <c r="I137" s="954">
        <f>+'Monthly Budget'!I137</f>
        <v>0</v>
      </c>
      <c r="J137" s="954">
        <f>+'Monthly Budget'!J137</f>
        <v>0</v>
      </c>
      <c r="K137" s="954">
        <f>+'Monthly Budget'!K137</f>
        <v>0</v>
      </c>
      <c r="L137" s="1016">
        <v>0</v>
      </c>
      <c r="M137" s="1045">
        <f>+'Monthly Budget'!L137</f>
        <v>0</v>
      </c>
      <c r="N137" s="1045">
        <f>+'Monthly Budget'!M137</f>
        <v>0</v>
      </c>
      <c r="O137" s="1045">
        <f>+'Monthly Budget'!N137</f>
        <v>0</v>
      </c>
      <c r="P137" s="1045">
        <f>+'Monthly Budget'!O137</f>
        <v>0</v>
      </c>
      <c r="Q137" s="810"/>
      <c r="R137" s="747">
        <f t="shared" si="22"/>
        <v>30821</v>
      </c>
      <c r="S137" s="747">
        <v>21024</v>
      </c>
      <c r="T137" s="619">
        <f t="shared" si="23"/>
        <v>9797</v>
      </c>
      <c r="U137" s="742" t="s">
        <v>970</v>
      </c>
    </row>
    <row r="138" spans="1:21" x14ac:dyDescent="0.2">
      <c r="A138" s="733" t="s">
        <v>791</v>
      </c>
      <c r="B138" s="742" t="s">
        <v>792</v>
      </c>
      <c r="C138" s="764"/>
      <c r="D138" s="954">
        <f>+'Monthly Budget'!D138</f>
        <v>10736</v>
      </c>
      <c r="E138" s="954">
        <f>+'Monthly Budget'!E138</f>
        <v>0</v>
      </c>
      <c r="F138" s="954">
        <f>+'Monthly Budget'!F138</f>
        <v>0</v>
      </c>
      <c r="G138" s="954">
        <f>+'Monthly Budget'!G138</f>
        <v>169685</v>
      </c>
      <c r="H138" s="954">
        <f>+'Monthly Budget'!H138</f>
        <v>0</v>
      </c>
      <c r="I138" s="954">
        <f>+'Monthly Budget'!I138</f>
        <v>0</v>
      </c>
      <c r="J138" s="954">
        <f>+'Monthly Budget'!J138</f>
        <v>0</v>
      </c>
      <c r="K138" s="954">
        <f>+'Monthly Budget'!K138</f>
        <v>0</v>
      </c>
      <c r="L138" s="1016">
        <v>0</v>
      </c>
      <c r="M138" s="1045">
        <f>+'Monthly Budget'!L138</f>
        <v>0</v>
      </c>
      <c r="N138" s="1045">
        <f>+'Monthly Budget'!M138</f>
        <v>0</v>
      </c>
      <c r="O138" s="1045">
        <f>+'Monthly Budget'!N138</f>
        <v>0</v>
      </c>
      <c r="P138" s="1045">
        <f>+'Monthly Budget'!O138</f>
        <v>0</v>
      </c>
      <c r="Q138" s="810"/>
      <c r="R138" s="747">
        <f t="shared" si="22"/>
        <v>180421</v>
      </c>
      <c r="S138" s="747">
        <v>104559.01</v>
      </c>
      <c r="T138" s="619">
        <f t="shared" si="23"/>
        <v>75861.990000000005</v>
      </c>
      <c r="U138" s="742" t="s">
        <v>970</v>
      </c>
    </row>
    <row r="139" spans="1:21" x14ac:dyDescent="0.2">
      <c r="A139" s="733" t="s">
        <v>946</v>
      </c>
      <c r="B139" s="742" t="s">
        <v>947</v>
      </c>
      <c r="C139" s="764"/>
      <c r="D139" s="954">
        <f>+'Monthly Budget'!D139</f>
        <v>0</v>
      </c>
      <c r="E139" s="954">
        <f>+'Monthly Budget'!E139</f>
        <v>0</v>
      </c>
      <c r="F139" s="954">
        <f>+'Monthly Budget'!F139</f>
        <v>0</v>
      </c>
      <c r="G139" s="954">
        <f>+'Monthly Budget'!G139</f>
        <v>0</v>
      </c>
      <c r="H139" s="954">
        <f>+'Monthly Budget'!H139</f>
        <v>0</v>
      </c>
      <c r="I139" s="954">
        <f>+'Monthly Budget'!I139</f>
        <v>0</v>
      </c>
      <c r="J139" s="954">
        <f>+'Monthly Budget'!J139</f>
        <v>0</v>
      </c>
      <c r="K139" s="954">
        <f>+'Monthly Budget'!K139</f>
        <v>0</v>
      </c>
      <c r="L139" s="1016">
        <v>0</v>
      </c>
      <c r="M139" s="1045">
        <f>+'Monthly Budget'!L139</f>
        <v>0</v>
      </c>
      <c r="N139" s="1045">
        <f>+'Monthly Budget'!M139</f>
        <v>0</v>
      </c>
      <c r="O139" s="1045">
        <f>+'Monthly Budget'!N139</f>
        <v>0</v>
      </c>
      <c r="P139" s="1045">
        <f>+'Monthly Budget'!O139</f>
        <v>0</v>
      </c>
      <c r="Q139" s="810"/>
      <c r="R139" s="747">
        <f t="shared" si="22"/>
        <v>0</v>
      </c>
      <c r="S139" s="747">
        <v>0</v>
      </c>
      <c r="T139" s="619">
        <f t="shared" si="23"/>
        <v>0</v>
      </c>
      <c r="U139" s="742"/>
    </row>
    <row r="140" spans="1:21" x14ac:dyDescent="0.2">
      <c r="A140" s="733" t="s">
        <v>793</v>
      </c>
      <c r="B140" s="742" t="s">
        <v>794</v>
      </c>
      <c r="C140" s="764"/>
      <c r="D140" s="954">
        <f>+'Monthly Budget'!D140</f>
        <v>0</v>
      </c>
      <c r="E140" s="954">
        <f>+'Monthly Budget'!E140</f>
        <v>12500</v>
      </c>
      <c r="F140" s="954">
        <f>+'Monthly Budget'!F140</f>
        <v>0</v>
      </c>
      <c r="G140" s="954">
        <f>+'Monthly Budget'!G140</f>
        <v>0</v>
      </c>
      <c r="H140" s="954">
        <f>+'Monthly Budget'!H140</f>
        <v>0</v>
      </c>
      <c r="I140" s="954">
        <f>+'Monthly Budget'!I140</f>
        <v>0</v>
      </c>
      <c r="J140" s="954">
        <f>+'Monthly Budget'!J140</f>
        <v>0</v>
      </c>
      <c r="K140" s="954">
        <f>+'Monthly Budget'!K140</f>
        <v>0</v>
      </c>
      <c r="L140" s="1016">
        <v>0</v>
      </c>
      <c r="M140" s="1045">
        <f>+'Monthly Budget'!L140</f>
        <v>0</v>
      </c>
      <c r="N140" s="1045">
        <f>+'Monthly Budget'!M140</f>
        <v>0</v>
      </c>
      <c r="O140" s="1045">
        <f>+'Monthly Budget'!N140</f>
        <v>0</v>
      </c>
      <c r="P140" s="1045">
        <f>+'Monthly Budget'!O140</f>
        <v>0</v>
      </c>
      <c r="Q140" s="810"/>
      <c r="R140" s="747">
        <f t="shared" si="22"/>
        <v>12500</v>
      </c>
      <c r="S140" s="747">
        <v>8500</v>
      </c>
      <c r="T140" s="619">
        <f t="shared" si="23"/>
        <v>4000</v>
      </c>
      <c r="U140" s="742"/>
    </row>
    <row r="141" spans="1:21" x14ac:dyDescent="0.2">
      <c r="A141" s="733" t="s">
        <v>795</v>
      </c>
      <c r="B141" s="742" t="s">
        <v>422</v>
      </c>
      <c r="C141" s="764"/>
      <c r="D141" s="954">
        <f>+'Monthly Budget'!D141</f>
        <v>0</v>
      </c>
      <c r="E141" s="954">
        <f>+'Monthly Budget'!E141</f>
        <v>0</v>
      </c>
      <c r="F141" s="954">
        <f>+'Monthly Budget'!F141</f>
        <v>0</v>
      </c>
      <c r="G141" s="954">
        <f>+'Monthly Budget'!G141</f>
        <v>0</v>
      </c>
      <c r="H141" s="954">
        <f>+'Monthly Budget'!H141</f>
        <v>0</v>
      </c>
      <c r="I141" s="954">
        <f>+'Monthly Budget'!I141</f>
        <v>0</v>
      </c>
      <c r="J141" s="954">
        <f>+'Monthly Budget'!J141</f>
        <v>0</v>
      </c>
      <c r="K141" s="954">
        <f>+'Monthly Budget'!K141</f>
        <v>0</v>
      </c>
      <c r="L141" s="1016">
        <v>0</v>
      </c>
      <c r="M141" s="1045">
        <f>+'Monthly Budget'!L141</f>
        <v>0</v>
      </c>
      <c r="N141" s="1045">
        <f>+'Monthly Budget'!M141</f>
        <v>0</v>
      </c>
      <c r="O141" s="1045">
        <f>+'Monthly Budget'!N141</f>
        <v>0</v>
      </c>
      <c r="P141" s="1045">
        <f>+'Monthly Budget'!O141</f>
        <v>0</v>
      </c>
      <c r="Q141" s="810"/>
      <c r="R141" s="747">
        <f t="shared" si="22"/>
        <v>0</v>
      </c>
      <c r="S141" s="747">
        <v>0</v>
      </c>
      <c r="T141" s="619">
        <f t="shared" si="23"/>
        <v>0</v>
      </c>
      <c r="U141" s="742"/>
    </row>
    <row r="142" spans="1:21" x14ac:dyDescent="0.2">
      <c r="A142" s="733">
        <v>0</v>
      </c>
      <c r="B142" s="742" t="s">
        <v>424</v>
      </c>
      <c r="C142" s="764"/>
      <c r="D142" s="954">
        <f>+'Monthly Budget'!D142</f>
        <v>0</v>
      </c>
      <c r="E142" s="954">
        <f>+'Monthly Budget'!E142</f>
        <v>0</v>
      </c>
      <c r="F142" s="954">
        <f>+'Monthly Budget'!F142</f>
        <v>0</v>
      </c>
      <c r="G142" s="954">
        <f>+'Monthly Budget'!G142</f>
        <v>0</v>
      </c>
      <c r="H142" s="954">
        <f>+'Monthly Budget'!H142</f>
        <v>0</v>
      </c>
      <c r="I142" s="954">
        <f>+'Monthly Budget'!I142</f>
        <v>0</v>
      </c>
      <c r="J142" s="954">
        <f>+'Monthly Budget'!J142</f>
        <v>0</v>
      </c>
      <c r="K142" s="954">
        <f>+'Monthly Budget'!K142</f>
        <v>0</v>
      </c>
      <c r="L142" s="1016">
        <v>0</v>
      </c>
      <c r="M142" s="1045">
        <f>+'Monthly Budget'!L142</f>
        <v>0</v>
      </c>
      <c r="N142" s="1045">
        <f>+'Monthly Budget'!M142</f>
        <v>0</v>
      </c>
      <c r="O142" s="1045">
        <f>+'Monthly Budget'!N142</f>
        <v>0</v>
      </c>
      <c r="P142" s="1045">
        <f>+'Monthly Budget'!O142</f>
        <v>0</v>
      </c>
      <c r="Q142" s="810"/>
      <c r="R142" s="747">
        <f t="shared" si="22"/>
        <v>0</v>
      </c>
      <c r="S142" s="747">
        <v>0</v>
      </c>
      <c r="T142" s="619">
        <f t="shared" si="23"/>
        <v>0</v>
      </c>
      <c r="U142" s="742"/>
    </row>
    <row r="143" spans="1:21" x14ac:dyDescent="0.2">
      <c r="A143" s="733" t="s">
        <v>797</v>
      </c>
      <c r="B143" s="742" t="s">
        <v>798</v>
      </c>
      <c r="C143" s="764"/>
      <c r="D143" s="954">
        <f>+'Monthly Budget'!D143</f>
        <v>0</v>
      </c>
      <c r="E143" s="954">
        <f>+'Monthly Budget'!E143</f>
        <v>87.92</v>
      </c>
      <c r="F143" s="954">
        <f>+'Monthly Budget'!F143</f>
        <v>98.53</v>
      </c>
      <c r="G143" s="954">
        <f>+'Monthly Budget'!G143</f>
        <v>1169.6300000000001</v>
      </c>
      <c r="H143" s="954">
        <f>+'Monthly Budget'!H143</f>
        <v>99.710000000000008</v>
      </c>
      <c r="I143" s="954">
        <f>+'Monthly Budget'!I143</f>
        <v>132.02000000000001</v>
      </c>
      <c r="J143" s="954">
        <f>+'Monthly Budget'!J143</f>
        <v>99.83</v>
      </c>
      <c r="K143" s="954">
        <f>+'Monthly Budget'!K143</f>
        <v>107.01</v>
      </c>
      <c r="L143" s="1016">
        <v>284.07</v>
      </c>
      <c r="M143" s="1045">
        <f>+'Monthly Budget'!L143</f>
        <v>124.47</v>
      </c>
      <c r="N143" s="1045">
        <f>+'Monthly Budget'!M143</f>
        <v>168</v>
      </c>
      <c r="O143" s="1045">
        <f>+'Monthly Budget'!N143</f>
        <v>300</v>
      </c>
      <c r="P143" s="1045">
        <f>+'Monthly Budget'!O143</f>
        <v>1013</v>
      </c>
      <c r="Q143" s="811"/>
      <c r="R143" s="747">
        <f t="shared" si="22"/>
        <v>3400.12</v>
      </c>
      <c r="S143" s="747">
        <v>3600</v>
      </c>
      <c r="T143" s="619">
        <f t="shared" si="23"/>
        <v>-199.88000000000011</v>
      </c>
      <c r="U143" s="742"/>
    </row>
    <row r="144" spans="1:21" x14ac:dyDescent="0.2">
      <c r="A144" s="744" t="s">
        <v>775</v>
      </c>
      <c r="B144" s="745" t="s">
        <v>408</v>
      </c>
      <c r="C144" s="764"/>
      <c r="D144" s="954">
        <f>+'Monthly Budget'!D144</f>
        <v>2225</v>
      </c>
      <c r="E144" s="954">
        <f>+'Monthly Budget'!E144</f>
        <v>2225</v>
      </c>
      <c r="F144" s="954">
        <f>+'Monthly Budget'!F144</f>
        <v>2225</v>
      </c>
      <c r="G144" s="954">
        <f>+'Monthly Budget'!G144</f>
        <v>2225</v>
      </c>
      <c r="H144" s="954">
        <f>+'Monthly Budget'!H144</f>
        <v>2225</v>
      </c>
      <c r="I144" s="954">
        <f>+'Monthly Budget'!I144</f>
        <v>2225</v>
      </c>
      <c r="J144" s="954">
        <f>+'Monthly Budget'!J144</f>
        <v>2225</v>
      </c>
      <c r="K144" s="954">
        <f>+'Monthly Budget'!K144</f>
        <v>2225</v>
      </c>
      <c r="L144" s="1016">
        <v>1279</v>
      </c>
      <c r="M144" s="1045">
        <f>+'Monthly Budget'!L144</f>
        <v>2225</v>
      </c>
      <c r="N144" s="1045">
        <f>+'Monthly Budget'!M144</f>
        <v>2225</v>
      </c>
      <c r="O144" s="1045">
        <f>+'Monthly Budget'!N144</f>
        <v>2225</v>
      </c>
      <c r="P144" s="1045">
        <f>+'Monthly Budget'!O144</f>
        <v>2225</v>
      </c>
      <c r="Q144" s="810"/>
      <c r="R144" s="747">
        <f t="shared" si="22"/>
        <v>26700</v>
      </c>
      <c r="S144" s="747">
        <v>21600</v>
      </c>
      <c r="T144" s="619">
        <f>R144-S144</f>
        <v>5100</v>
      </c>
      <c r="U144" s="872"/>
    </row>
    <row r="145" spans="1:21" x14ac:dyDescent="0.2">
      <c r="A145" s="733" t="s">
        <v>799</v>
      </c>
      <c r="B145" s="742" t="s">
        <v>423</v>
      </c>
      <c r="C145" s="764"/>
      <c r="D145" s="954">
        <f>+'Monthly Budget'!D145</f>
        <v>3568</v>
      </c>
      <c r="E145" s="954">
        <f>+'Monthly Budget'!E145</f>
        <v>3568</v>
      </c>
      <c r="F145" s="954">
        <f>+'Monthly Budget'!F145</f>
        <v>3568</v>
      </c>
      <c r="G145" s="954">
        <f>+'Monthly Budget'!G145</f>
        <v>3568</v>
      </c>
      <c r="H145" s="954">
        <f>+'Monthly Budget'!H145</f>
        <v>3568</v>
      </c>
      <c r="I145" s="954">
        <f>+'Monthly Budget'!I145</f>
        <v>3568</v>
      </c>
      <c r="J145" s="954">
        <f>+'Monthly Budget'!J145</f>
        <v>3568</v>
      </c>
      <c r="K145" s="954">
        <f>+'Monthly Budget'!K145</f>
        <v>3568</v>
      </c>
      <c r="L145" s="1016">
        <v>5747.53</v>
      </c>
      <c r="M145" s="1045">
        <f>+'Monthly Budget'!L145</f>
        <v>3568</v>
      </c>
      <c r="N145" s="1045">
        <f>+'Monthly Budget'!M145</f>
        <v>3568</v>
      </c>
      <c r="O145" s="1045">
        <f>+'Monthly Budget'!N145</f>
        <v>3568</v>
      </c>
      <c r="P145" s="1045">
        <f>+'Monthly Budget'!O145</f>
        <v>3568</v>
      </c>
      <c r="Q145" s="810"/>
      <c r="R145" s="747">
        <f t="shared" si="22"/>
        <v>42816</v>
      </c>
      <c r="S145" s="747">
        <v>21847.29</v>
      </c>
      <c r="T145" s="619">
        <f t="shared" si="23"/>
        <v>20968.71</v>
      </c>
      <c r="U145" s="742"/>
    </row>
    <row r="146" spans="1:21" x14ac:dyDescent="0.2">
      <c r="A146" s="733" t="s">
        <v>948</v>
      </c>
      <c r="B146" s="742" t="s">
        <v>423</v>
      </c>
      <c r="C146" s="764"/>
      <c r="D146" s="954">
        <f>+'Monthly Budget'!D146</f>
        <v>0</v>
      </c>
      <c r="E146" s="954">
        <f>+'Monthly Budget'!E146</f>
        <v>0</v>
      </c>
      <c r="F146" s="954">
        <f>+'Monthly Budget'!F146</f>
        <v>0</v>
      </c>
      <c r="G146" s="954">
        <f>+'Monthly Budget'!G146</f>
        <v>0</v>
      </c>
      <c r="H146" s="954">
        <f>+'Monthly Budget'!H146</f>
        <v>0</v>
      </c>
      <c r="I146" s="954">
        <f>+'Monthly Budget'!I146</f>
        <v>0</v>
      </c>
      <c r="J146" s="954">
        <f>+'Monthly Budget'!J146</f>
        <v>0</v>
      </c>
      <c r="K146" s="954">
        <f>+'Monthly Budget'!K146</f>
        <v>0</v>
      </c>
      <c r="L146" s="1016">
        <v>0</v>
      </c>
      <c r="M146" s="1045">
        <f>+'Monthly Budget'!L146</f>
        <v>0</v>
      </c>
      <c r="N146" s="1045">
        <f>+'Monthly Budget'!M146</f>
        <v>0</v>
      </c>
      <c r="O146" s="1045">
        <f>+'Monthly Budget'!N146</f>
        <v>0</v>
      </c>
      <c r="P146" s="1045">
        <f>+'Monthly Budget'!O146</f>
        <v>0</v>
      </c>
      <c r="Q146" s="810"/>
      <c r="R146" s="747">
        <f t="shared" si="22"/>
        <v>0</v>
      </c>
      <c r="S146" s="747">
        <v>1137.6000000000001</v>
      </c>
      <c r="T146" s="619">
        <f t="shared" si="23"/>
        <v>-1137.6000000000001</v>
      </c>
      <c r="U146" s="742"/>
    </row>
    <row r="147" spans="1:21" x14ac:dyDescent="0.2">
      <c r="A147" s="733" t="s">
        <v>800</v>
      </c>
      <c r="B147" s="742" t="s">
        <v>425</v>
      </c>
      <c r="C147" s="764"/>
      <c r="D147" s="954">
        <f>+'Monthly Budget'!D147</f>
        <v>3698.23</v>
      </c>
      <c r="E147" s="954">
        <f>+'Monthly Budget'!E147</f>
        <v>3698.23</v>
      </c>
      <c r="F147" s="954">
        <f>+'Monthly Budget'!F147</f>
        <v>3698.23</v>
      </c>
      <c r="G147" s="954">
        <f>+'Monthly Budget'!G147</f>
        <v>3698.23</v>
      </c>
      <c r="H147" s="954">
        <f>+'Monthly Budget'!H147</f>
        <v>3698.23</v>
      </c>
      <c r="I147" s="954">
        <f>+'Monthly Budget'!I147</f>
        <v>3698.23</v>
      </c>
      <c r="J147" s="954">
        <f>+'Monthly Budget'!J147</f>
        <v>3698.23</v>
      </c>
      <c r="K147" s="954">
        <f>+'Monthly Budget'!K147</f>
        <v>3698.23</v>
      </c>
      <c r="L147" s="1016">
        <v>3698.23</v>
      </c>
      <c r="M147" s="1045">
        <f>+'Monthly Budget'!L147</f>
        <v>3698.23</v>
      </c>
      <c r="N147" s="1045">
        <f>+'Monthly Budget'!M147</f>
        <v>3698.23</v>
      </c>
      <c r="O147" s="1045">
        <f>+'Monthly Budget'!N147</f>
        <v>3698.23</v>
      </c>
      <c r="P147" s="1045">
        <f>+'Monthly Budget'!O147</f>
        <v>3698.23</v>
      </c>
      <c r="Q147" s="810"/>
      <c r="R147" s="747">
        <f t="shared" si="22"/>
        <v>44378.760000000009</v>
      </c>
      <c r="S147" s="747">
        <v>53381.324404761901</v>
      </c>
      <c r="T147" s="619">
        <f t="shared" si="23"/>
        <v>-9002.5644047618916</v>
      </c>
      <c r="U147" s="742" t="s">
        <v>971</v>
      </c>
    </row>
    <row r="148" spans="1:21" x14ac:dyDescent="0.2">
      <c r="A148" s="733" t="s">
        <v>801</v>
      </c>
      <c r="B148" s="742" t="s">
        <v>802</v>
      </c>
      <c r="C148" s="764"/>
      <c r="D148" s="954">
        <f>+'Monthly Budget'!D148</f>
        <v>0</v>
      </c>
      <c r="E148" s="954">
        <f>+'Monthly Budget'!E148</f>
        <v>0</v>
      </c>
      <c r="F148" s="954">
        <f>+'Monthly Budget'!F148</f>
        <v>0</v>
      </c>
      <c r="G148" s="954">
        <f>+'Monthly Budget'!G148</f>
        <v>0</v>
      </c>
      <c r="H148" s="954">
        <f>+'Monthly Budget'!H148</f>
        <v>0</v>
      </c>
      <c r="I148" s="954">
        <f>+'Monthly Budget'!I148</f>
        <v>0</v>
      </c>
      <c r="J148" s="954">
        <f>+'Monthly Budget'!J148</f>
        <v>0</v>
      </c>
      <c r="K148" s="954">
        <f>+'Monthly Budget'!K148</f>
        <v>0</v>
      </c>
      <c r="L148" s="1016">
        <v>0</v>
      </c>
      <c r="M148" s="1045">
        <f>+'Monthly Budget'!L148</f>
        <v>0</v>
      </c>
      <c r="N148" s="1045">
        <f>+'Monthly Budget'!M148</f>
        <v>0</v>
      </c>
      <c r="O148" s="1045">
        <f>+'Monthly Budget'!N148</f>
        <v>0</v>
      </c>
      <c r="P148" s="1045">
        <f>+'Monthly Budget'!O148</f>
        <v>0</v>
      </c>
      <c r="Q148" s="810"/>
      <c r="R148" s="747">
        <f t="shared" si="22"/>
        <v>0</v>
      </c>
      <c r="S148" s="747">
        <v>0</v>
      </c>
      <c r="T148" s="619">
        <f t="shared" si="23"/>
        <v>0</v>
      </c>
      <c r="U148" s="742"/>
    </row>
    <row r="149" spans="1:21" x14ac:dyDescent="0.2">
      <c r="A149" s="733" t="s">
        <v>803</v>
      </c>
      <c r="B149" s="742" t="s">
        <v>426</v>
      </c>
      <c r="C149" s="764"/>
      <c r="D149" s="954">
        <f>+'Monthly Budget'!D149</f>
        <v>34080.559999999998</v>
      </c>
      <c r="E149" s="954">
        <f>+'Monthly Budget'!E149</f>
        <v>34080.559999999998</v>
      </c>
      <c r="F149" s="954">
        <f>+'Monthly Budget'!F149</f>
        <v>34080.559999999998</v>
      </c>
      <c r="G149" s="954">
        <f>+'Monthly Budget'!G149</f>
        <v>34080.559999999998</v>
      </c>
      <c r="H149" s="954">
        <f>+'Monthly Budget'!H149</f>
        <v>34080.559999999998</v>
      </c>
      <c r="I149" s="954">
        <f>+'Monthly Budget'!I149</f>
        <v>34080.559999999998</v>
      </c>
      <c r="J149" s="954">
        <f>+'Monthly Budget'!J149</f>
        <v>34080.559999999998</v>
      </c>
      <c r="K149" s="954">
        <f>+'Monthly Budget'!K149</f>
        <v>34080.559999999998</v>
      </c>
      <c r="L149" s="1016">
        <v>34080.559999999998</v>
      </c>
      <c r="M149" s="1045">
        <f>+'Monthly Budget'!L149</f>
        <v>34080.559999999998</v>
      </c>
      <c r="N149" s="1045">
        <f>+'Monthly Budget'!M149</f>
        <v>34080.559999999998</v>
      </c>
      <c r="O149" s="1045">
        <f>+'Monthly Budget'!N149</f>
        <v>34080.559999999998</v>
      </c>
      <c r="P149" s="1045">
        <f>+'Monthly Budget'!O149</f>
        <v>34080.559999999998</v>
      </c>
      <c r="Q149" s="810"/>
      <c r="R149" s="747">
        <f t="shared" si="22"/>
        <v>408966.72</v>
      </c>
      <c r="S149" s="747">
        <v>398625.9791025641</v>
      </c>
      <c r="T149" s="619">
        <f t="shared" si="23"/>
        <v>10340.74089743587</v>
      </c>
      <c r="U149" s="742" t="s">
        <v>971</v>
      </c>
    </row>
    <row r="150" spans="1:21" x14ac:dyDescent="0.2">
      <c r="A150" s="733" t="s">
        <v>804</v>
      </c>
      <c r="B150" s="742" t="s">
        <v>427</v>
      </c>
      <c r="C150" s="764"/>
      <c r="D150" s="954">
        <f>+'Monthly Budget'!D150</f>
        <v>345.83</v>
      </c>
      <c r="E150" s="954">
        <f>+'Monthly Budget'!E150</f>
        <v>345.83</v>
      </c>
      <c r="F150" s="954">
        <f>+'Monthly Budget'!F150</f>
        <v>345.83</v>
      </c>
      <c r="G150" s="954">
        <f>+'Monthly Budget'!G150</f>
        <v>345.83</v>
      </c>
      <c r="H150" s="954">
        <f>+'Monthly Budget'!H150</f>
        <v>345.83</v>
      </c>
      <c r="I150" s="954">
        <f>+'Monthly Budget'!I150</f>
        <v>345.83</v>
      </c>
      <c r="J150" s="954">
        <f>+'Monthly Budget'!J150</f>
        <v>345.83</v>
      </c>
      <c r="K150" s="954">
        <f>+'Monthly Budget'!K150</f>
        <v>345.83</v>
      </c>
      <c r="L150" s="1016">
        <v>345.83</v>
      </c>
      <c r="M150" s="1045">
        <f>+'Monthly Budget'!L150</f>
        <v>345.83</v>
      </c>
      <c r="N150" s="1045">
        <f>+'Monthly Budget'!M150</f>
        <v>345.83</v>
      </c>
      <c r="O150" s="1045">
        <f>+'Monthly Budget'!N150</f>
        <v>345.83</v>
      </c>
      <c r="P150" s="1045">
        <f>+'Monthly Budget'!O150</f>
        <v>345.83</v>
      </c>
      <c r="Q150" s="810"/>
      <c r="R150" s="747">
        <f t="shared" si="22"/>
        <v>4149.96</v>
      </c>
      <c r="S150" s="747">
        <v>48858.939999999995</v>
      </c>
      <c r="T150" s="619">
        <f t="shared" si="23"/>
        <v>-44708.979999999996</v>
      </c>
      <c r="U150" s="742" t="s">
        <v>971</v>
      </c>
    </row>
    <row r="151" spans="1:21" x14ac:dyDescent="0.2">
      <c r="A151" s="733" t="s">
        <v>805</v>
      </c>
      <c r="B151" s="742" t="s">
        <v>428</v>
      </c>
      <c r="C151" s="764"/>
      <c r="D151" s="954">
        <f>+'Monthly Budget'!D151</f>
        <v>4646.67</v>
      </c>
      <c r="E151" s="954">
        <f>+'Monthly Budget'!E151</f>
        <v>4646.67</v>
      </c>
      <c r="F151" s="954">
        <f>+'Monthly Budget'!F151</f>
        <v>4646.67</v>
      </c>
      <c r="G151" s="954">
        <f>+'Monthly Budget'!G151</f>
        <v>4646.67</v>
      </c>
      <c r="H151" s="954">
        <f>+'Monthly Budget'!H151</f>
        <v>4646.67</v>
      </c>
      <c r="I151" s="954">
        <f>+'Monthly Budget'!I151</f>
        <v>4646.67</v>
      </c>
      <c r="J151" s="954">
        <f>+'Monthly Budget'!J151</f>
        <v>4646.67</v>
      </c>
      <c r="K151" s="954">
        <f>+'Monthly Budget'!K151</f>
        <v>4646.67</v>
      </c>
      <c r="L151" s="1016">
        <v>4646.67</v>
      </c>
      <c r="M151" s="1045">
        <f>+'Monthly Budget'!L151</f>
        <v>4646.67</v>
      </c>
      <c r="N151" s="1045">
        <f>+'Monthly Budget'!M151</f>
        <v>4646.67</v>
      </c>
      <c r="O151" s="1045">
        <f>+'Monthly Budget'!N151</f>
        <v>4646.67</v>
      </c>
      <c r="P151" s="1045">
        <f>+'Monthly Budget'!O151</f>
        <v>4646.67</v>
      </c>
      <c r="Q151" s="810"/>
      <c r="R151" s="747">
        <f t="shared" si="22"/>
        <v>55760.039999999986</v>
      </c>
      <c r="S151" s="747">
        <v>4149.9757142857143</v>
      </c>
      <c r="T151" s="619">
        <f t="shared" si="23"/>
        <v>51610.064285714274</v>
      </c>
      <c r="U151" s="742" t="s">
        <v>971</v>
      </c>
    </row>
    <row r="152" spans="1:21" x14ac:dyDescent="0.2">
      <c r="A152" s="733" t="s">
        <v>806</v>
      </c>
      <c r="B152" s="742" t="s">
        <v>429</v>
      </c>
      <c r="C152" s="764"/>
      <c r="D152" s="954">
        <f>+'Monthly Budget'!D152</f>
        <v>0</v>
      </c>
      <c r="E152" s="954">
        <f>+'Monthly Budget'!E152</f>
        <v>0</v>
      </c>
      <c r="F152" s="954">
        <f>+'Monthly Budget'!F152</f>
        <v>0</v>
      </c>
      <c r="G152" s="954">
        <f>+'Monthly Budget'!G152</f>
        <v>0</v>
      </c>
      <c r="H152" s="954">
        <f>+'Monthly Budget'!H152</f>
        <v>0</v>
      </c>
      <c r="I152" s="954">
        <f>+'Monthly Budget'!I152</f>
        <v>0</v>
      </c>
      <c r="J152" s="954">
        <f>+'Monthly Budget'!J152</f>
        <v>0</v>
      </c>
      <c r="K152" s="954">
        <f>+'Monthly Budget'!K152</f>
        <v>0</v>
      </c>
      <c r="L152" s="1016">
        <v>0</v>
      </c>
      <c r="M152" s="1045">
        <f>+'Monthly Budget'!L152</f>
        <v>0</v>
      </c>
      <c r="N152" s="1045">
        <f>+'Monthly Budget'!M152</f>
        <v>0</v>
      </c>
      <c r="O152" s="1045">
        <f>+'Monthly Budget'!N152</f>
        <v>0</v>
      </c>
      <c r="P152" s="1045">
        <f>+'Monthly Budget'!O152</f>
        <v>0</v>
      </c>
      <c r="Q152" s="810"/>
      <c r="R152" s="747">
        <f t="shared" si="22"/>
        <v>0</v>
      </c>
      <c r="S152" s="747">
        <v>0</v>
      </c>
      <c r="T152" s="619">
        <f t="shared" si="23"/>
        <v>0</v>
      </c>
      <c r="U152" s="742"/>
    </row>
    <row r="153" spans="1:21" x14ac:dyDescent="0.2">
      <c r="A153" s="733" t="s">
        <v>807</v>
      </c>
      <c r="B153" s="742" t="s">
        <v>430</v>
      </c>
      <c r="C153" s="764"/>
      <c r="D153" s="954">
        <f>+'Monthly Budget'!D153</f>
        <v>188</v>
      </c>
      <c r="E153" s="954">
        <f>+'Monthly Budget'!E153</f>
        <v>188</v>
      </c>
      <c r="F153" s="954">
        <f>+'Monthly Budget'!F153</f>
        <v>188</v>
      </c>
      <c r="G153" s="954">
        <f>+'Monthly Budget'!G153</f>
        <v>188</v>
      </c>
      <c r="H153" s="954">
        <f>+'Monthly Budget'!H153</f>
        <v>188</v>
      </c>
      <c r="I153" s="954">
        <f>+'Monthly Budget'!I153</f>
        <v>188</v>
      </c>
      <c r="J153" s="954">
        <f>+'Monthly Budget'!J153</f>
        <v>188</v>
      </c>
      <c r="K153" s="954">
        <f>+'Monthly Budget'!K153</f>
        <v>188</v>
      </c>
      <c r="L153" s="1016">
        <v>0</v>
      </c>
      <c r="M153" s="1045">
        <f>+'Monthly Budget'!L153</f>
        <v>188</v>
      </c>
      <c r="N153" s="1045">
        <f>+'Monthly Budget'!M153</f>
        <v>188</v>
      </c>
      <c r="O153" s="1045">
        <f>+'Monthly Budget'!N153</f>
        <v>188</v>
      </c>
      <c r="P153" s="1045">
        <f>+'Monthly Budget'!O153</f>
        <v>188</v>
      </c>
      <c r="Q153" s="810"/>
      <c r="R153" s="747">
        <f t="shared" si="22"/>
        <v>2256</v>
      </c>
      <c r="S153" s="747">
        <v>2400</v>
      </c>
      <c r="T153" s="619">
        <f t="shared" si="23"/>
        <v>-144</v>
      </c>
      <c r="U153" s="742"/>
    </row>
    <row r="154" spans="1:21" x14ac:dyDescent="0.2">
      <c r="A154" s="733" t="s">
        <v>808</v>
      </c>
      <c r="B154" s="742" t="s">
        <v>431</v>
      </c>
      <c r="C154" s="764"/>
      <c r="D154" s="954">
        <f>+'Monthly Budget'!D154</f>
        <v>2006</v>
      </c>
      <c r="E154" s="954">
        <f>+'Monthly Budget'!E154</f>
        <v>2006</v>
      </c>
      <c r="F154" s="954">
        <f>+'Monthly Budget'!F154</f>
        <v>2006</v>
      </c>
      <c r="G154" s="954">
        <f>+'Monthly Budget'!G154</f>
        <v>2006</v>
      </c>
      <c r="H154" s="954">
        <f>+'Monthly Budget'!H154</f>
        <v>2006</v>
      </c>
      <c r="I154" s="954">
        <f>+'Monthly Budget'!I154</f>
        <v>2006</v>
      </c>
      <c r="J154" s="954">
        <f>+'Monthly Budget'!J154</f>
        <v>2006</v>
      </c>
      <c r="K154" s="954">
        <f>+'Monthly Budget'!K154</f>
        <v>2006</v>
      </c>
      <c r="L154" s="1016">
        <v>1211</v>
      </c>
      <c r="M154" s="1045">
        <f>+'Monthly Budget'!L154</f>
        <v>2006</v>
      </c>
      <c r="N154" s="1045">
        <f>+'Monthly Budget'!M154</f>
        <v>2006</v>
      </c>
      <c r="O154" s="1045">
        <f>+'Monthly Budget'!N154</f>
        <v>2006</v>
      </c>
      <c r="P154" s="1045">
        <f>+'Monthly Budget'!O154</f>
        <v>2006</v>
      </c>
      <c r="Q154" s="810"/>
      <c r="R154" s="747">
        <f t="shared" si="22"/>
        <v>24072</v>
      </c>
      <c r="S154" s="747">
        <v>17100</v>
      </c>
      <c r="T154" s="619">
        <f t="shared" si="23"/>
        <v>6972</v>
      </c>
      <c r="U154" s="742"/>
    </row>
    <row r="155" spans="1:21" x14ac:dyDescent="0.2">
      <c r="A155" s="733" t="s">
        <v>809</v>
      </c>
      <c r="B155" s="742" t="s">
        <v>432</v>
      </c>
      <c r="C155" s="764"/>
      <c r="D155" s="954">
        <f>+'Monthly Budget'!D155</f>
        <v>0</v>
      </c>
      <c r="E155" s="954">
        <f>+'Monthly Budget'!E155</f>
        <v>0</v>
      </c>
      <c r="F155" s="954">
        <f>+'Monthly Budget'!F155</f>
        <v>0</v>
      </c>
      <c r="G155" s="954">
        <f>+'Monthly Budget'!G155</f>
        <v>0</v>
      </c>
      <c r="H155" s="954">
        <f>+'Monthly Budget'!H155</f>
        <v>0</v>
      </c>
      <c r="I155" s="954">
        <f>+'Monthly Budget'!I155</f>
        <v>0</v>
      </c>
      <c r="J155" s="954">
        <f>+'Monthly Budget'!J155</f>
        <v>0</v>
      </c>
      <c r="K155" s="954">
        <f>+'Monthly Budget'!K155</f>
        <v>0</v>
      </c>
      <c r="L155" s="1016">
        <v>0</v>
      </c>
      <c r="M155" s="1045">
        <f>+'Monthly Budget'!L155</f>
        <v>0</v>
      </c>
      <c r="N155" s="1045">
        <f>+'Monthly Budget'!M155</f>
        <v>0</v>
      </c>
      <c r="O155" s="1045">
        <f>+'Monthly Budget'!N155</f>
        <v>0</v>
      </c>
      <c r="P155" s="1045">
        <f>+'Monthly Budget'!O155</f>
        <v>0</v>
      </c>
      <c r="Q155" s="810"/>
      <c r="R155" s="747">
        <f t="shared" si="22"/>
        <v>0</v>
      </c>
      <c r="S155" s="747">
        <v>0</v>
      </c>
      <c r="T155" s="619">
        <f t="shared" si="23"/>
        <v>0</v>
      </c>
      <c r="U155" s="742"/>
    </row>
    <row r="156" spans="1:21" x14ac:dyDescent="0.2">
      <c r="A156" s="733" t="s">
        <v>810</v>
      </c>
      <c r="B156" s="742" t="s">
        <v>433</v>
      </c>
      <c r="C156" s="764"/>
      <c r="D156" s="954">
        <f>+'Monthly Budget'!D156</f>
        <v>0</v>
      </c>
      <c r="E156" s="954">
        <f>+'Monthly Budget'!E156</f>
        <v>0</v>
      </c>
      <c r="F156" s="954">
        <f>+'Monthly Budget'!F156</f>
        <v>0</v>
      </c>
      <c r="G156" s="954">
        <f>+'Monthly Budget'!G156</f>
        <v>0</v>
      </c>
      <c r="H156" s="954">
        <f>+'Monthly Budget'!H156</f>
        <v>0</v>
      </c>
      <c r="I156" s="954">
        <f>+'Monthly Budget'!I156</f>
        <v>0</v>
      </c>
      <c r="J156" s="954">
        <f>+'Monthly Budget'!J156</f>
        <v>0</v>
      </c>
      <c r="K156" s="954">
        <f>+'Monthly Budget'!K156</f>
        <v>0</v>
      </c>
      <c r="L156" s="1016">
        <v>0</v>
      </c>
      <c r="M156" s="1045">
        <f>+'Monthly Budget'!L156</f>
        <v>0</v>
      </c>
      <c r="N156" s="1045">
        <f>+'Monthly Budget'!M156</f>
        <v>0</v>
      </c>
      <c r="O156" s="1045">
        <f>+'Monthly Budget'!N156</f>
        <v>0</v>
      </c>
      <c r="P156" s="1045">
        <f>+'Monthly Budget'!O156</f>
        <v>0</v>
      </c>
      <c r="Q156" s="810"/>
      <c r="R156" s="747">
        <f t="shared" si="22"/>
        <v>0</v>
      </c>
      <c r="S156" s="747">
        <v>0</v>
      </c>
      <c r="T156" s="619">
        <f t="shared" si="23"/>
        <v>0</v>
      </c>
      <c r="U156" s="742"/>
    </row>
    <row r="157" spans="1:21" x14ac:dyDescent="0.2">
      <c r="A157" s="733" t="s">
        <v>811</v>
      </c>
      <c r="B157" s="742" t="s">
        <v>434</v>
      </c>
      <c r="C157" s="764"/>
      <c r="D157" s="954">
        <f>+'Monthly Budget'!D157</f>
        <v>41</v>
      </c>
      <c r="E157" s="954">
        <f>+'Monthly Budget'!E157</f>
        <v>41</v>
      </c>
      <c r="F157" s="954">
        <f>+'Monthly Budget'!F157</f>
        <v>41</v>
      </c>
      <c r="G157" s="954">
        <f>+'Monthly Budget'!G157</f>
        <v>41</v>
      </c>
      <c r="H157" s="954">
        <f>+'Monthly Budget'!H157</f>
        <v>41</v>
      </c>
      <c r="I157" s="954">
        <f>+'Monthly Budget'!I157</f>
        <v>41</v>
      </c>
      <c r="J157" s="954">
        <f>+'Monthly Budget'!J157</f>
        <v>41</v>
      </c>
      <c r="K157" s="954">
        <f>+'Monthly Budget'!K157</f>
        <v>41</v>
      </c>
      <c r="L157" s="1016">
        <v>0</v>
      </c>
      <c r="M157" s="1045">
        <f>+'Monthly Budget'!L157</f>
        <v>41</v>
      </c>
      <c r="N157" s="1045">
        <f>+'Monthly Budget'!M157</f>
        <v>41</v>
      </c>
      <c r="O157" s="1045">
        <f>+'Monthly Budget'!N157</f>
        <v>41</v>
      </c>
      <c r="P157" s="1045">
        <f>+'Monthly Budget'!O157</f>
        <v>41</v>
      </c>
      <c r="Q157" s="810"/>
      <c r="R157" s="747">
        <f t="shared" si="22"/>
        <v>492</v>
      </c>
      <c r="S157" s="747">
        <v>608</v>
      </c>
      <c r="T157" s="619">
        <f t="shared" si="23"/>
        <v>-116</v>
      </c>
      <c r="U157" s="742"/>
    </row>
    <row r="158" spans="1:21" x14ac:dyDescent="0.2">
      <c r="A158" s="733" t="s">
        <v>812</v>
      </c>
      <c r="B158" s="742" t="s">
        <v>435</v>
      </c>
      <c r="C158" s="764"/>
      <c r="D158" s="954">
        <f>+'Monthly Budget'!D158</f>
        <v>0</v>
      </c>
      <c r="E158" s="954">
        <f>+'Monthly Budget'!E158</f>
        <v>0</v>
      </c>
      <c r="F158" s="954">
        <f>+'Monthly Budget'!F158</f>
        <v>0</v>
      </c>
      <c r="G158" s="954">
        <f>+'Monthly Budget'!G158</f>
        <v>61.25</v>
      </c>
      <c r="H158" s="954">
        <f>+'Monthly Budget'!H158</f>
        <v>0</v>
      </c>
      <c r="I158" s="954">
        <f>+'Monthly Budget'!I158</f>
        <v>0</v>
      </c>
      <c r="J158" s="954">
        <f>+'Monthly Budget'!J158</f>
        <v>0</v>
      </c>
      <c r="K158" s="954">
        <f>+'Monthly Budget'!K158</f>
        <v>0</v>
      </c>
      <c r="L158" s="1016">
        <v>0</v>
      </c>
      <c r="M158" s="1045">
        <f>+'Monthly Budget'!L158</f>
        <v>0</v>
      </c>
      <c r="N158" s="1045">
        <f>+'Monthly Budget'!M158</f>
        <v>0</v>
      </c>
      <c r="O158" s="1045">
        <f>+'Monthly Budget'!N158</f>
        <v>0</v>
      </c>
      <c r="P158" s="1045">
        <f>+'Monthly Budget'!O158</f>
        <v>0</v>
      </c>
      <c r="Q158" s="810"/>
      <c r="R158" s="747">
        <f t="shared" si="22"/>
        <v>61.25</v>
      </c>
      <c r="S158" s="747">
        <v>79.5</v>
      </c>
      <c r="T158" s="619">
        <f t="shared" si="23"/>
        <v>-18.25</v>
      </c>
      <c r="U158" s="742"/>
    </row>
    <row r="159" spans="1:21" x14ac:dyDescent="0.2">
      <c r="A159" s="733" t="s">
        <v>813</v>
      </c>
      <c r="B159" s="742" t="s">
        <v>814</v>
      </c>
      <c r="C159" s="764"/>
      <c r="D159" s="954">
        <f>+'Monthly Budget'!D159</f>
        <v>0</v>
      </c>
      <c r="E159" s="954">
        <f>+'Monthly Budget'!E159</f>
        <v>0</v>
      </c>
      <c r="F159" s="954">
        <f>+'Monthly Budget'!F159</f>
        <v>0</v>
      </c>
      <c r="G159" s="954">
        <f>+'Monthly Budget'!G159</f>
        <v>0</v>
      </c>
      <c r="H159" s="954">
        <f>+'Monthly Budget'!H159</f>
        <v>0</v>
      </c>
      <c r="I159" s="954">
        <f>+'Monthly Budget'!I159</f>
        <v>0</v>
      </c>
      <c r="J159" s="954">
        <f>+'Monthly Budget'!J159</f>
        <v>0</v>
      </c>
      <c r="K159" s="954">
        <f>+'Monthly Budget'!K159</f>
        <v>0</v>
      </c>
      <c r="L159" s="1016">
        <v>0</v>
      </c>
      <c r="M159" s="1045">
        <f>+'Monthly Budget'!L159</f>
        <v>0</v>
      </c>
      <c r="N159" s="1045">
        <f>+'Monthly Budget'!M159</f>
        <v>0</v>
      </c>
      <c r="O159" s="1045">
        <f>+'Monthly Budget'!N159</f>
        <v>0</v>
      </c>
      <c r="P159" s="1045">
        <f>+'Monthly Budget'!O159</f>
        <v>0</v>
      </c>
      <c r="Q159" s="810"/>
      <c r="R159" s="747">
        <f t="shared" si="22"/>
        <v>0</v>
      </c>
      <c r="S159" s="747">
        <v>0</v>
      </c>
      <c r="T159" s="619">
        <f t="shared" si="23"/>
        <v>0</v>
      </c>
      <c r="U159" s="872"/>
    </row>
    <row r="160" spans="1:21" x14ac:dyDescent="0.2">
      <c r="A160" s="733" t="s">
        <v>815</v>
      </c>
      <c r="B160" s="742" t="s">
        <v>436</v>
      </c>
      <c r="C160" s="764"/>
      <c r="D160" s="954">
        <f>+'Monthly Budget'!D160</f>
        <v>10073</v>
      </c>
      <c r="E160" s="954">
        <f>+'Monthly Budget'!E160</f>
        <v>10073</v>
      </c>
      <c r="F160" s="954">
        <f>+'Monthly Budget'!F160</f>
        <v>10073</v>
      </c>
      <c r="G160" s="954">
        <f>+'Monthly Budget'!G160</f>
        <v>10073</v>
      </c>
      <c r="H160" s="954">
        <f>+'Monthly Budget'!H160</f>
        <v>10073</v>
      </c>
      <c r="I160" s="954">
        <f>+'Monthly Budget'!I160</f>
        <v>10073</v>
      </c>
      <c r="J160" s="954">
        <f>+'Monthly Budget'!J160</f>
        <v>10073</v>
      </c>
      <c r="K160" s="954">
        <f>+'Monthly Budget'!K160</f>
        <v>10073</v>
      </c>
      <c r="L160" s="1016">
        <v>100</v>
      </c>
      <c r="M160" s="1045">
        <f>+'Monthly Budget'!L160</f>
        <v>10073</v>
      </c>
      <c r="N160" s="1045">
        <f>+'Monthly Budget'!M160</f>
        <v>10073</v>
      </c>
      <c r="O160" s="1045">
        <f>+'Monthly Budget'!N160</f>
        <v>0</v>
      </c>
      <c r="P160" s="1045">
        <f>+'Monthly Budget'!O160</f>
        <v>0</v>
      </c>
      <c r="Q160" s="810"/>
      <c r="R160" s="747">
        <f t="shared" si="22"/>
        <v>100730</v>
      </c>
      <c r="S160" s="747">
        <v>4200</v>
      </c>
      <c r="T160" s="619">
        <f t="shared" si="23"/>
        <v>96530</v>
      </c>
      <c r="U160" s="742"/>
    </row>
    <row r="161" spans="1:21" x14ac:dyDescent="0.2">
      <c r="B161" s="742"/>
      <c r="C161" s="764"/>
      <c r="D161" s="954">
        <f>+'Monthly Budget'!D161</f>
        <v>0</v>
      </c>
      <c r="E161" s="954">
        <f>+'Monthly Budget'!E161</f>
        <v>0</v>
      </c>
      <c r="F161" s="954">
        <f>+'Monthly Budget'!F161</f>
        <v>0</v>
      </c>
      <c r="G161" s="954">
        <f>+'Monthly Budget'!G161</f>
        <v>0</v>
      </c>
      <c r="H161" s="954">
        <f>+'Monthly Budget'!H161</f>
        <v>0</v>
      </c>
      <c r="I161" s="954">
        <f>+'Monthly Budget'!I161</f>
        <v>0</v>
      </c>
      <c r="J161" s="954">
        <f>+'Monthly Budget'!J161</f>
        <v>0</v>
      </c>
      <c r="K161" s="954">
        <f>+'Monthly Budget'!K161</f>
        <v>0</v>
      </c>
      <c r="L161" s="1016"/>
      <c r="M161" s="1045">
        <f>+'Monthly Budget'!L161</f>
        <v>0</v>
      </c>
      <c r="N161" s="1045">
        <f>+'Monthly Budget'!M161</f>
        <v>0</v>
      </c>
      <c r="O161" s="1045">
        <f>+'Monthly Budget'!N161</f>
        <v>0</v>
      </c>
      <c r="P161" s="1045">
        <f>+'Monthly Budget'!O161</f>
        <v>0</v>
      </c>
      <c r="Q161" s="810"/>
      <c r="R161" s="747">
        <f t="shared" si="22"/>
        <v>0</v>
      </c>
      <c r="S161" s="747">
        <v>0</v>
      </c>
      <c r="T161" s="619">
        <f t="shared" si="23"/>
        <v>0</v>
      </c>
      <c r="U161" s="742"/>
    </row>
    <row r="162" spans="1:21" ht="12" thickBot="1" x14ac:dyDescent="0.25">
      <c r="B162" s="855" t="s">
        <v>437</v>
      </c>
      <c r="C162" s="763"/>
      <c r="D162" s="952">
        <f t="shared" ref="D162:P162" si="24">SUM(D132:D161)</f>
        <v>138674.54999999999</v>
      </c>
      <c r="E162" s="952">
        <f>SUM(E132:E161)</f>
        <v>140526.46</v>
      </c>
      <c r="F162" s="952">
        <f>SUM(F132:F161)</f>
        <v>128037.07999999999</v>
      </c>
      <c r="G162" s="952">
        <f>SUM(G132:G161)</f>
        <v>329675.42</v>
      </c>
      <c r="H162" s="952">
        <f>SUM(H132:H161)</f>
        <v>128038.25</v>
      </c>
      <c r="I162" s="952">
        <f t="shared" si="24"/>
        <v>131070.56</v>
      </c>
      <c r="J162" s="952">
        <f t="shared" si="24"/>
        <v>128038.37</v>
      </c>
      <c r="K162" s="952">
        <f t="shared" si="24"/>
        <v>131378.88</v>
      </c>
      <c r="L162" s="1016">
        <v>114707.20999999999</v>
      </c>
      <c r="M162" s="1048">
        <f t="shared" si="24"/>
        <v>133563.03999999998</v>
      </c>
      <c r="N162" s="1048">
        <f t="shared" si="24"/>
        <v>128331.54</v>
      </c>
      <c r="O162" s="1048">
        <f t="shared" si="24"/>
        <v>118165.54</v>
      </c>
      <c r="P162" s="1048">
        <f t="shared" si="24"/>
        <v>118878.54</v>
      </c>
      <c r="Q162" s="625"/>
      <c r="R162" s="629">
        <f>SUM(R132:R161)</f>
        <v>1754378.23</v>
      </c>
      <c r="S162" s="629">
        <v>1435830.4192216117</v>
      </c>
      <c r="T162" s="629">
        <f>SUM(T132:T161)</f>
        <v>318547.81077838806</v>
      </c>
      <c r="U162" s="742"/>
    </row>
    <row r="163" spans="1:21" ht="12" thickTop="1" x14ac:dyDescent="0.2">
      <c r="B163" s="855"/>
      <c r="C163" s="763"/>
      <c r="D163" s="953"/>
      <c r="E163" s="953"/>
      <c r="F163" s="953"/>
      <c r="G163" s="953"/>
      <c r="H163" s="953"/>
      <c r="I163" s="953"/>
      <c r="J163" s="953"/>
      <c r="K163" s="953"/>
      <c r="L163" s="1019"/>
      <c r="M163" s="1049"/>
      <c r="N163" s="1049"/>
      <c r="O163" s="1049"/>
      <c r="P163" s="1049"/>
      <c r="Q163" s="625"/>
      <c r="R163" s="634"/>
      <c r="S163" s="634"/>
      <c r="U163" s="742"/>
    </row>
    <row r="164" spans="1:21" ht="12" x14ac:dyDescent="0.2">
      <c r="B164" s="865" t="s">
        <v>438</v>
      </c>
      <c r="C164" s="763"/>
      <c r="D164" s="953"/>
      <c r="E164" s="953"/>
      <c r="F164" s="953"/>
      <c r="G164" s="953"/>
      <c r="H164" s="953"/>
      <c r="I164" s="953"/>
      <c r="J164" s="953"/>
      <c r="K164" s="953"/>
      <c r="L164" s="1019"/>
      <c r="M164" s="1049"/>
      <c r="N164" s="1049"/>
      <c r="O164" s="1049"/>
      <c r="P164" s="1049"/>
      <c r="Q164" s="625"/>
      <c r="R164" s="634"/>
      <c r="S164" s="634"/>
      <c r="U164" s="742"/>
    </row>
    <row r="165" spans="1:21" x14ac:dyDescent="0.2">
      <c r="A165" s="744" t="s">
        <v>816</v>
      </c>
      <c r="B165" s="768" t="s">
        <v>439</v>
      </c>
      <c r="C165" s="764"/>
      <c r="D165" s="951">
        <v>0</v>
      </c>
      <c r="E165" s="951">
        <v>0</v>
      </c>
      <c r="F165" s="951">
        <v>0</v>
      </c>
      <c r="G165" s="951">
        <v>0</v>
      </c>
      <c r="H165" s="951">
        <v>0</v>
      </c>
      <c r="I165" s="951">
        <v>0</v>
      </c>
      <c r="J165" s="951">
        <v>0</v>
      </c>
      <c r="K165" s="951">
        <v>0</v>
      </c>
      <c r="L165" s="1016">
        <v>0</v>
      </c>
      <c r="M165" s="1045">
        <v>0</v>
      </c>
      <c r="N165" s="1045">
        <v>0</v>
      </c>
      <c r="O165" s="1045">
        <v>0</v>
      </c>
      <c r="P165" s="1045">
        <v>0</v>
      </c>
      <c r="Q165" s="810"/>
      <c r="R165" s="747">
        <f>SUM(D165:Q165)-L165</f>
        <v>0</v>
      </c>
      <c r="S165" s="634">
        <v>0</v>
      </c>
      <c r="T165" s="619">
        <f>R165-S165</f>
        <v>0</v>
      </c>
      <c r="U165" s="742"/>
    </row>
    <row r="166" spans="1:21" ht="12" thickBot="1" x14ac:dyDescent="0.25">
      <c r="A166" s="744"/>
      <c r="B166" s="855" t="s">
        <v>440</v>
      </c>
      <c r="C166" s="764"/>
      <c r="D166" s="959">
        <f t="shared" ref="D166:P166" si="25">D165</f>
        <v>0</v>
      </c>
      <c r="E166" s="959">
        <f>E165</f>
        <v>0</v>
      </c>
      <c r="F166" s="959">
        <f>F165</f>
        <v>0</v>
      </c>
      <c r="G166" s="959">
        <f>G165</f>
        <v>0</v>
      </c>
      <c r="H166" s="959">
        <f>H165</f>
        <v>0</v>
      </c>
      <c r="I166" s="959">
        <f t="shared" si="25"/>
        <v>0</v>
      </c>
      <c r="J166" s="959">
        <f t="shared" si="25"/>
        <v>0</v>
      </c>
      <c r="K166" s="959">
        <f t="shared" si="25"/>
        <v>0</v>
      </c>
      <c r="L166" s="1027">
        <v>0</v>
      </c>
      <c r="M166" s="1068">
        <f t="shared" si="25"/>
        <v>0</v>
      </c>
      <c r="N166" s="1068">
        <f t="shared" si="25"/>
        <v>0</v>
      </c>
      <c r="O166" s="1068">
        <f t="shared" si="25"/>
        <v>0</v>
      </c>
      <c r="P166" s="1068">
        <f t="shared" si="25"/>
        <v>0</v>
      </c>
      <c r="Q166" s="810"/>
      <c r="R166" s="769">
        <f>SUM(R165)</f>
        <v>0</v>
      </c>
      <c r="S166" s="769">
        <v>0</v>
      </c>
      <c r="T166" s="640">
        <f>T165</f>
        <v>0</v>
      </c>
      <c r="U166" s="742"/>
    </row>
    <row r="167" spans="1:21" ht="12" thickTop="1" x14ac:dyDescent="0.2">
      <c r="B167" s="742"/>
      <c r="C167" s="763"/>
      <c r="D167" s="953"/>
      <c r="E167" s="953"/>
      <c r="F167" s="953"/>
      <c r="G167" s="953"/>
      <c r="H167" s="953"/>
      <c r="I167" s="953"/>
      <c r="J167" s="953"/>
      <c r="K167" s="953"/>
      <c r="L167" s="1019"/>
      <c r="M167" s="1049"/>
      <c r="N167" s="1049"/>
      <c r="O167" s="1049"/>
      <c r="P167" s="1049"/>
      <c r="Q167" s="625"/>
      <c r="R167" s="634"/>
      <c r="S167" s="634"/>
      <c r="U167" s="742"/>
    </row>
    <row r="168" spans="1:21" s="829" customFormat="1" x14ac:dyDescent="0.2">
      <c r="A168" s="733"/>
      <c r="B168" s="854" t="s">
        <v>441</v>
      </c>
      <c r="C168" s="763"/>
      <c r="D168" s="953"/>
      <c r="E168" s="953"/>
      <c r="F168" s="953"/>
      <c r="G168" s="953"/>
      <c r="H168" s="953"/>
      <c r="I168" s="953"/>
      <c r="J168" s="953"/>
      <c r="K168" s="953"/>
      <c r="L168" s="1019"/>
      <c r="M168" s="1049"/>
      <c r="N168" s="1049"/>
      <c r="O168" s="1049"/>
      <c r="P168" s="1049"/>
      <c r="Q168" s="625"/>
      <c r="R168" s="634"/>
      <c r="S168" s="634"/>
      <c r="T168" s="619"/>
      <c r="U168" s="742"/>
    </row>
    <row r="169" spans="1:21" x14ac:dyDescent="0.2">
      <c r="A169" s="733" t="s">
        <v>817</v>
      </c>
      <c r="B169" s="742" t="s">
        <v>443</v>
      </c>
      <c r="C169" s="764"/>
      <c r="D169" s="954">
        <f>+'Monthly Budget'!D169</f>
        <v>0</v>
      </c>
      <c r="E169" s="954">
        <f>+'Monthly Budget'!E169</f>
        <v>6337</v>
      </c>
      <c r="F169" s="954">
        <f>+'Monthly Budget'!F169</f>
        <v>6337</v>
      </c>
      <c r="G169" s="954">
        <f>+'Monthly Budget'!G169</f>
        <v>6337</v>
      </c>
      <c r="H169" s="954">
        <f>+'Monthly Budget'!H169</f>
        <v>6337</v>
      </c>
      <c r="I169" s="954">
        <f>+'Monthly Budget'!I169</f>
        <v>6337</v>
      </c>
      <c r="J169" s="954">
        <f>+'Monthly Budget'!J169</f>
        <v>6337</v>
      </c>
      <c r="K169" s="954">
        <f>+'Monthly Budget'!K169</f>
        <v>6337</v>
      </c>
      <c r="L169" s="1016">
        <v>127</v>
      </c>
      <c r="M169" s="1045">
        <f>+'Monthly Budget'!L169</f>
        <v>6337</v>
      </c>
      <c r="N169" s="1045">
        <f>+'Monthly Budget'!M169</f>
        <v>6337</v>
      </c>
      <c r="O169" s="1045">
        <f>+'Monthly Budget'!N169</f>
        <v>6337</v>
      </c>
      <c r="P169" s="1045">
        <f>+'Monthly Budget'!O169</f>
        <v>0</v>
      </c>
      <c r="Q169" s="810"/>
      <c r="R169" s="747">
        <f t="shared" ref="R169:R184" si="26">SUM(D169:Q169)-L169</f>
        <v>63370</v>
      </c>
      <c r="S169" s="747">
        <v>0</v>
      </c>
      <c r="T169" s="619">
        <f t="shared" ref="T169:T176" si="27">R169-S169</f>
        <v>63370</v>
      </c>
      <c r="U169" s="830"/>
    </row>
    <row r="170" spans="1:21" x14ac:dyDescent="0.2">
      <c r="A170" s="829" t="s">
        <v>818</v>
      </c>
      <c r="B170" s="830" t="s">
        <v>442</v>
      </c>
      <c r="C170" s="831"/>
      <c r="D170" s="954">
        <f>+'Monthly Budget'!D170</f>
        <v>0</v>
      </c>
      <c r="E170" s="954">
        <f>+'Monthly Budget'!E170</f>
        <v>0</v>
      </c>
      <c r="F170" s="954">
        <f>+'Monthly Budget'!F170</f>
        <v>0</v>
      </c>
      <c r="G170" s="954">
        <f>+'Monthly Budget'!G170</f>
        <v>0</v>
      </c>
      <c r="H170" s="954">
        <f>+'Monthly Budget'!H170</f>
        <v>0</v>
      </c>
      <c r="I170" s="954">
        <f>+'Monthly Budget'!I170</f>
        <v>0</v>
      </c>
      <c r="J170" s="954">
        <f>+'Monthly Budget'!J170</f>
        <v>0</v>
      </c>
      <c r="K170" s="954">
        <f>+'Monthly Budget'!K170</f>
        <v>0</v>
      </c>
      <c r="L170" s="1016">
        <v>0</v>
      </c>
      <c r="M170" s="1045">
        <f>+'Monthly Budget'!L170</f>
        <v>0</v>
      </c>
      <c r="N170" s="1045">
        <f>+'Monthly Budget'!M170</f>
        <v>0</v>
      </c>
      <c r="O170" s="1045">
        <f>+'Monthly Budget'!N170</f>
        <v>0</v>
      </c>
      <c r="P170" s="1045">
        <f>+'Monthly Budget'!O170</f>
        <v>0</v>
      </c>
      <c r="Q170" s="810"/>
      <c r="R170" s="747">
        <f t="shared" si="26"/>
        <v>0</v>
      </c>
      <c r="S170" s="747">
        <v>0</v>
      </c>
      <c r="T170" s="619">
        <f t="shared" si="27"/>
        <v>0</v>
      </c>
      <c r="U170" s="742"/>
    </row>
    <row r="171" spans="1:21" x14ac:dyDescent="0.2">
      <c r="A171" s="733" t="s">
        <v>819</v>
      </c>
      <c r="B171" s="881" t="s">
        <v>444</v>
      </c>
      <c r="C171" s="764"/>
      <c r="D171" s="954">
        <f>+'Monthly Budget'!D171</f>
        <v>951</v>
      </c>
      <c r="E171" s="954">
        <f>+'Monthly Budget'!E171</f>
        <v>951</v>
      </c>
      <c r="F171" s="954">
        <f>+'Monthly Budget'!F171</f>
        <v>951</v>
      </c>
      <c r="G171" s="954">
        <f>+'Monthly Budget'!G171</f>
        <v>951</v>
      </c>
      <c r="H171" s="954">
        <f>+'Monthly Budget'!H171</f>
        <v>951</v>
      </c>
      <c r="I171" s="954">
        <f>+'Monthly Budget'!I171</f>
        <v>951</v>
      </c>
      <c r="J171" s="954">
        <f>+'Monthly Budget'!J171</f>
        <v>951</v>
      </c>
      <c r="K171" s="954">
        <f>+'Monthly Budget'!K171</f>
        <v>951</v>
      </c>
      <c r="L171" s="1016">
        <v>1500</v>
      </c>
      <c r="M171" s="1045">
        <f>+'Monthly Budget'!L171</f>
        <v>951</v>
      </c>
      <c r="N171" s="1045">
        <f>+'Monthly Budget'!M171</f>
        <v>951</v>
      </c>
      <c r="O171" s="1045">
        <f>+'Monthly Budget'!N171</f>
        <v>951</v>
      </c>
      <c r="P171" s="1045">
        <f>+'Monthly Budget'!O171</f>
        <v>951</v>
      </c>
      <c r="Q171" s="810"/>
      <c r="R171" s="747">
        <f t="shared" si="26"/>
        <v>11412</v>
      </c>
      <c r="S171" s="747">
        <v>7300.41</v>
      </c>
      <c r="T171" s="1098">
        <f>R171-S171</f>
        <v>4111.59</v>
      </c>
      <c r="U171" s="742"/>
    </row>
    <row r="172" spans="1:21" x14ac:dyDescent="0.2">
      <c r="A172" s="733" t="s">
        <v>820</v>
      </c>
      <c r="B172" s="742" t="s">
        <v>445</v>
      </c>
      <c r="C172" s="764"/>
      <c r="D172" s="954">
        <f>+'Monthly Budget'!D172</f>
        <v>2863</v>
      </c>
      <c r="E172" s="954">
        <f>+'Monthly Budget'!E172</f>
        <v>2863</v>
      </c>
      <c r="F172" s="954">
        <f>+'Monthly Budget'!F172</f>
        <v>2863</v>
      </c>
      <c r="G172" s="954">
        <f>+'Monthly Budget'!G172</f>
        <v>2863</v>
      </c>
      <c r="H172" s="954">
        <f>+'Monthly Budget'!H172</f>
        <v>2863</v>
      </c>
      <c r="I172" s="954">
        <f>+'Monthly Budget'!I172</f>
        <v>2863</v>
      </c>
      <c r="J172" s="954">
        <f>+'Monthly Budget'!J172</f>
        <v>2863</v>
      </c>
      <c r="K172" s="954">
        <f>+'Monthly Budget'!K172</f>
        <v>2863</v>
      </c>
      <c r="L172" s="1016">
        <v>1620.1100000000001</v>
      </c>
      <c r="M172" s="1045">
        <f>+'Monthly Budget'!L172</f>
        <v>2863</v>
      </c>
      <c r="N172" s="1045">
        <f>+'Monthly Budget'!M172</f>
        <v>2863</v>
      </c>
      <c r="O172" s="1045">
        <f>+'Monthly Budget'!N172</f>
        <v>2863</v>
      </c>
      <c r="P172" s="1045">
        <f>+'Monthly Budget'!O172</f>
        <v>2863</v>
      </c>
      <c r="Q172" s="810"/>
      <c r="R172" s="747">
        <f t="shared" si="26"/>
        <v>34356</v>
      </c>
      <c r="S172" s="747">
        <v>27500</v>
      </c>
      <c r="T172" s="1098">
        <f>R172-S172</f>
        <v>6856</v>
      </c>
      <c r="U172" s="742"/>
    </row>
    <row r="173" spans="1:21" x14ac:dyDescent="0.2">
      <c r="A173" s="733" t="s">
        <v>821</v>
      </c>
      <c r="B173" s="742" t="s">
        <v>446</v>
      </c>
      <c r="C173" s="764"/>
      <c r="D173" s="954">
        <f>+'Monthly Budget'!D173</f>
        <v>0</v>
      </c>
      <c r="E173" s="954">
        <f>+'Monthly Budget'!E173</f>
        <v>0</v>
      </c>
      <c r="F173" s="954">
        <f>+'Monthly Budget'!F173</f>
        <v>0</v>
      </c>
      <c r="G173" s="954">
        <f>+'Monthly Budget'!G173</f>
        <v>0</v>
      </c>
      <c r="H173" s="954">
        <f>+'Monthly Budget'!H173</f>
        <v>0</v>
      </c>
      <c r="I173" s="954">
        <f>+'Monthly Budget'!I173</f>
        <v>0</v>
      </c>
      <c r="J173" s="954">
        <f>+'Monthly Budget'!J173</f>
        <v>0</v>
      </c>
      <c r="K173" s="954">
        <f>+'Monthly Budget'!K173</f>
        <v>0</v>
      </c>
      <c r="L173" s="1016">
        <v>0</v>
      </c>
      <c r="M173" s="1045">
        <f>+'Monthly Budget'!L173</f>
        <v>0</v>
      </c>
      <c r="N173" s="1045">
        <f>+'Monthly Budget'!M173</f>
        <v>0</v>
      </c>
      <c r="O173" s="1045">
        <f>+'Monthly Budget'!N173</f>
        <v>0</v>
      </c>
      <c r="P173" s="1045">
        <f>+'Monthly Budget'!O173</f>
        <v>0</v>
      </c>
      <c r="Q173" s="810"/>
      <c r="R173" s="747">
        <f t="shared" si="26"/>
        <v>0</v>
      </c>
      <c r="S173" s="747">
        <v>0</v>
      </c>
      <c r="T173" s="619">
        <f t="shared" si="27"/>
        <v>0</v>
      </c>
      <c r="U173" s="742"/>
    </row>
    <row r="174" spans="1:21" x14ac:dyDescent="0.2">
      <c r="A174" s="733" t="s">
        <v>822</v>
      </c>
      <c r="B174" s="742" t="s">
        <v>447</v>
      </c>
      <c r="C174" s="764"/>
      <c r="D174" s="954">
        <f>+'Monthly Budget'!D174</f>
        <v>2908</v>
      </c>
      <c r="E174" s="954">
        <f>+'Monthly Budget'!E174</f>
        <v>2908</v>
      </c>
      <c r="F174" s="954">
        <f>+'Monthly Budget'!F174</f>
        <v>2908</v>
      </c>
      <c r="G174" s="954">
        <f>+'Monthly Budget'!G174</f>
        <v>2908</v>
      </c>
      <c r="H174" s="954">
        <f>+'Monthly Budget'!H174</f>
        <v>2908</v>
      </c>
      <c r="I174" s="954">
        <f>+'Monthly Budget'!I174</f>
        <v>2908</v>
      </c>
      <c r="J174" s="954">
        <f>+'Monthly Budget'!J174</f>
        <v>2908</v>
      </c>
      <c r="K174" s="954">
        <f>+'Monthly Budget'!K174</f>
        <v>2908</v>
      </c>
      <c r="L174" s="1016">
        <v>2692.48</v>
      </c>
      <c r="M174" s="1045">
        <f>+'Monthly Budget'!L174</f>
        <v>2908</v>
      </c>
      <c r="N174" s="1045">
        <f>+'Monthly Budget'!M174</f>
        <v>2908</v>
      </c>
      <c r="O174" s="1045">
        <f>+'Monthly Budget'!N174</f>
        <v>2908</v>
      </c>
      <c r="P174" s="1045">
        <f>+'Monthly Budget'!O174</f>
        <v>2908</v>
      </c>
      <c r="Q174" s="810"/>
      <c r="R174" s="747">
        <f t="shared" si="26"/>
        <v>34895.999999999993</v>
      </c>
      <c r="S174" s="747">
        <v>25000</v>
      </c>
      <c r="T174" s="619">
        <f t="shared" si="27"/>
        <v>9895.9999999999927</v>
      </c>
      <c r="U174" s="742"/>
    </row>
    <row r="175" spans="1:21" x14ac:dyDescent="0.2">
      <c r="A175" s="733" t="s">
        <v>950</v>
      </c>
      <c r="B175" s="742" t="s">
        <v>949</v>
      </c>
      <c r="C175" s="764"/>
      <c r="D175" s="954">
        <f>+'Monthly Budget'!D175</f>
        <v>0</v>
      </c>
      <c r="E175" s="954">
        <f>+'Monthly Budget'!E175</f>
        <v>0</v>
      </c>
      <c r="F175" s="954">
        <f>+'Monthly Budget'!F175</f>
        <v>0</v>
      </c>
      <c r="G175" s="954">
        <f>+'Monthly Budget'!G175</f>
        <v>0</v>
      </c>
      <c r="H175" s="954">
        <f>+'Monthly Budget'!H175</f>
        <v>2135.25</v>
      </c>
      <c r="I175" s="954">
        <f>+'Monthly Budget'!I175</f>
        <v>0</v>
      </c>
      <c r="J175" s="954">
        <f>+'Monthly Budget'!J175</f>
        <v>0</v>
      </c>
      <c r="K175" s="954">
        <f>+'Monthly Budget'!K175</f>
        <v>7.75</v>
      </c>
      <c r="L175" s="1016">
        <v>7.75</v>
      </c>
      <c r="M175" s="1045">
        <f>+'Monthly Budget'!L175</f>
        <v>0</v>
      </c>
      <c r="N175" s="1045">
        <f>+'Monthly Budget'!M175</f>
        <v>0</v>
      </c>
      <c r="O175" s="1045">
        <f>+'Monthly Budget'!N175</f>
        <v>0</v>
      </c>
      <c r="P175" s="1045">
        <f>+'Monthly Budget'!O175</f>
        <v>29</v>
      </c>
      <c r="Q175" s="810"/>
      <c r="R175" s="747">
        <f t="shared" si="26"/>
        <v>2172</v>
      </c>
      <c r="S175" s="747">
        <v>1259.55</v>
      </c>
      <c r="T175" s="619">
        <f t="shared" si="27"/>
        <v>912.45</v>
      </c>
      <c r="U175" s="742"/>
    </row>
    <row r="176" spans="1:21" x14ac:dyDescent="0.2">
      <c r="A176" s="733" t="s">
        <v>823</v>
      </c>
      <c r="B176" s="742" t="s">
        <v>448</v>
      </c>
      <c r="C176" s="764"/>
      <c r="D176" s="954">
        <f>+'Monthly Budget'!D176</f>
        <v>0</v>
      </c>
      <c r="E176" s="954">
        <f>+'Monthly Budget'!E176</f>
        <v>0</v>
      </c>
      <c r="F176" s="954">
        <f>+'Monthly Budget'!F176</f>
        <v>0</v>
      </c>
      <c r="G176" s="954">
        <f>+'Monthly Budget'!G176</f>
        <v>0</v>
      </c>
      <c r="H176" s="954">
        <f>+'Monthly Budget'!H176</f>
        <v>134</v>
      </c>
      <c r="I176" s="954">
        <f>+'Monthly Budget'!I176</f>
        <v>0</v>
      </c>
      <c r="J176" s="954">
        <f>+'Monthly Budget'!J176</f>
        <v>0</v>
      </c>
      <c r="K176" s="954">
        <f>+'Monthly Budget'!K176</f>
        <v>0</v>
      </c>
      <c r="L176" s="1016">
        <v>112.5</v>
      </c>
      <c r="M176" s="1045">
        <f>+'Monthly Budget'!L176</f>
        <v>75</v>
      </c>
      <c r="N176" s="1045">
        <f>+'Monthly Budget'!M176</f>
        <v>463</v>
      </c>
      <c r="O176" s="1045">
        <f>+'Monthly Budget'!N176</f>
        <v>538</v>
      </c>
      <c r="P176" s="1045">
        <f>+'Monthly Budget'!O176</f>
        <v>465.5</v>
      </c>
      <c r="Q176" s="810"/>
      <c r="R176" s="747">
        <f t="shared" si="26"/>
        <v>1675.5</v>
      </c>
      <c r="S176" s="747">
        <v>3150</v>
      </c>
      <c r="T176" s="619">
        <f t="shared" si="27"/>
        <v>-1474.5</v>
      </c>
      <c r="U176" s="742"/>
    </row>
    <row r="177" spans="1:21" x14ac:dyDescent="0.2">
      <c r="A177" s="733" t="s">
        <v>824</v>
      </c>
      <c r="B177" s="742" t="s">
        <v>449</v>
      </c>
      <c r="C177" s="764"/>
      <c r="D177" s="954">
        <f>+'Monthly Budget'!D177</f>
        <v>0</v>
      </c>
      <c r="E177" s="954">
        <f>+'Monthly Budget'!E177</f>
        <v>0</v>
      </c>
      <c r="F177" s="954">
        <f>+'Monthly Budget'!F177</f>
        <v>2993.76</v>
      </c>
      <c r="G177" s="954">
        <f>+'Monthly Budget'!G177</f>
        <v>3641.84</v>
      </c>
      <c r="H177" s="954">
        <f>+'Monthly Budget'!H177</f>
        <v>3810.2400000000002</v>
      </c>
      <c r="I177" s="954">
        <f>+'Monthly Budget'!I177</f>
        <v>3094.26</v>
      </c>
      <c r="J177" s="954">
        <f>+'Monthly Budget'!J177</f>
        <v>2576.92</v>
      </c>
      <c r="K177" s="954">
        <f>+'Monthly Budget'!K177</f>
        <v>3218.46</v>
      </c>
      <c r="L177" s="1016">
        <v>2950</v>
      </c>
      <c r="M177" s="1045">
        <f>+'Monthly Budget'!L177</f>
        <v>3466.25</v>
      </c>
      <c r="N177" s="1045">
        <f>+'Monthly Budget'!M177</f>
        <v>3087</v>
      </c>
      <c r="O177" s="1045">
        <f>+'Monthly Budget'!N177</f>
        <v>3200</v>
      </c>
      <c r="P177" s="1045">
        <f>+'Monthly Budget'!O177</f>
        <v>1267</v>
      </c>
      <c r="Q177" s="810"/>
      <c r="R177" s="747">
        <f t="shared" si="26"/>
        <v>30355.729999999996</v>
      </c>
      <c r="S177" s="747">
        <v>32000</v>
      </c>
      <c r="T177" s="619">
        <f>R177-S177</f>
        <v>-1644.2700000000041</v>
      </c>
      <c r="U177" s="742"/>
    </row>
    <row r="178" spans="1:21" x14ac:dyDescent="0.2">
      <c r="A178" s="733" t="s">
        <v>825</v>
      </c>
      <c r="B178" s="742" t="s">
        <v>826</v>
      </c>
      <c r="C178" s="764"/>
      <c r="D178" s="954">
        <f>+'Monthly Budget'!D178</f>
        <v>0</v>
      </c>
      <c r="E178" s="954">
        <f>+'Monthly Budget'!E178</f>
        <v>0</v>
      </c>
      <c r="F178" s="954">
        <f>+'Monthly Budget'!F178</f>
        <v>0</v>
      </c>
      <c r="G178" s="954">
        <f>+'Monthly Budget'!G178</f>
        <v>0</v>
      </c>
      <c r="H178" s="954">
        <f>+'Monthly Budget'!H178</f>
        <v>0</v>
      </c>
      <c r="I178" s="954">
        <f>+'Monthly Budget'!I178</f>
        <v>0</v>
      </c>
      <c r="J178" s="954">
        <f>+'Monthly Budget'!J178</f>
        <v>0</v>
      </c>
      <c r="K178" s="954">
        <f>+'Monthly Budget'!K178</f>
        <v>0</v>
      </c>
      <c r="L178" s="1016">
        <v>0</v>
      </c>
      <c r="M178" s="1045">
        <f>+'Monthly Budget'!L178</f>
        <v>0</v>
      </c>
      <c r="N178" s="1045">
        <f>+'Monthly Budget'!M178</f>
        <v>0</v>
      </c>
      <c r="O178" s="1045">
        <f>+'Monthly Budget'!N178</f>
        <v>0</v>
      </c>
      <c r="P178" s="1045">
        <f>+'Monthly Budget'!O178</f>
        <v>0</v>
      </c>
      <c r="Q178" s="810"/>
      <c r="R178" s="747">
        <f t="shared" si="26"/>
        <v>0</v>
      </c>
      <c r="S178" s="747">
        <v>0</v>
      </c>
      <c r="T178" s="619">
        <f t="shared" ref="T178:T183" si="28">R178-S178</f>
        <v>0</v>
      </c>
      <c r="U178" s="742"/>
    </row>
    <row r="179" spans="1:21" x14ac:dyDescent="0.2">
      <c r="A179" s="733" t="s">
        <v>827</v>
      </c>
      <c r="B179" s="742" t="s">
        <v>450</v>
      </c>
      <c r="C179" s="764"/>
      <c r="D179" s="954">
        <f>+'Monthly Budget'!D179</f>
        <v>0</v>
      </c>
      <c r="E179" s="954">
        <f>+'Monthly Budget'!E179</f>
        <v>0</v>
      </c>
      <c r="F179" s="954">
        <f>+'Monthly Budget'!F179</f>
        <v>0</v>
      </c>
      <c r="G179" s="954">
        <f>+'Monthly Budget'!G179</f>
        <v>0</v>
      </c>
      <c r="H179" s="954">
        <f>+'Monthly Budget'!H179</f>
        <v>0</v>
      </c>
      <c r="I179" s="954">
        <f>+'Monthly Budget'!I179</f>
        <v>0</v>
      </c>
      <c r="J179" s="954">
        <f>+'Monthly Budget'!J179</f>
        <v>0</v>
      </c>
      <c r="K179" s="954">
        <f>+'Monthly Budget'!K179</f>
        <v>0</v>
      </c>
      <c r="L179" s="1016">
        <v>0</v>
      </c>
      <c r="M179" s="1045">
        <f>+'Monthly Budget'!L179</f>
        <v>0</v>
      </c>
      <c r="N179" s="1045">
        <f>+'Monthly Budget'!M179</f>
        <v>0</v>
      </c>
      <c r="O179" s="1045">
        <f>+'Monthly Budget'!N179</f>
        <v>0</v>
      </c>
      <c r="P179" s="1045">
        <f>+'Monthly Budget'!O179</f>
        <v>996</v>
      </c>
      <c r="Q179" s="810"/>
      <c r="R179" s="747">
        <f t="shared" si="26"/>
        <v>996</v>
      </c>
      <c r="S179" s="747">
        <v>0</v>
      </c>
      <c r="T179" s="619">
        <f t="shared" si="28"/>
        <v>996</v>
      </c>
      <c r="U179" s="742"/>
    </row>
    <row r="180" spans="1:21" x14ac:dyDescent="0.2">
      <c r="A180" s="733" t="s">
        <v>828</v>
      </c>
      <c r="B180" s="742" t="s">
        <v>451</v>
      </c>
      <c r="C180" s="764"/>
      <c r="D180" s="954">
        <f>+'Monthly Budget'!D180</f>
        <v>0</v>
      </c>
      <c r="E180" s="954">
        <f>+'Monthly Budget'!E180</f>
        <v>0</v>
      </c>
      <c r="F180" s="954">
        <f>+'Monthly Budget'!F180</f>
        <v>0</v>
      </c>
      <c r="G180" s="954">
        <f>+'Monthly Budget'!G180</f>
        <v>0</v>
      </c>
      <c r="H180" s="954">
        <f>+'Monthly Budget'!H180</f>
        <v>0</v>
      </c>
      <c r="I180" s="954">
        <f>+'Monthly Budget'!I180</f>
        <v>0</v>
      </c>
      <c r="J180" s="954">
        <f>+'Monthly Budget'!J180</f>
        <v>0</v>
      </c>
      <c r="K180" s="954">
        <f>+'Monthly Budget'!K180</f>
        <v>0</v>
      </c>
      <c r="L180" s="1016">
        <v>0</v>
      </c>
      <c r="M180" s="1045">
        <f>+'Monthly Budget'!L180</f>
        <v>0</v>
      </c>
      <c r="N180" s="1045">
        <f>+'Monthly Budget'!M180</f>
        <v>0</v>
      </c>
      <c r="O180" s="1045">
        <f>+'Monthly Budget'!N180</f>
        <v>0</v>
      </c>
      <c r="P180" s="1045">
        <f>+'Monthly Budget'!O180</f>
        <v>0</v>
      </c>
      <c r="Q180" s="810"/>
      <c r="R180" s="747">
        <f t="shared" si="26"/>
        <v>0</v>
      </c>
      <c r="S180" s="747">
        <v>0</v>
      </c>
      <c r="T180" s="619">
        <f>R180-S180</f>
        <v>0</v>
      </c>
      <c r="U180" s="742"/>
    </row>
    <row r="181" spans="1:21" x14ac:dyDescent="0.2">
      <c r="A181" s="733" t="s">
        <v>829</v>
      </c>
      <c r="B181" s="742" t="s">
        <v>452</v>
      </c>
      <c r="C181" s="764"/>
      <c r="D181" s="954">
        <f>+'Monthly Budget'!D181</f>
        <v>13247</v>
      </c>
      <c r="E181" s="954">
        <f>+'Monthly Budget'!E181</f>
        <v>13247</v>
      </c>
      <c r="F181" s="954">
        <f>+'Monthly Budget'!F181</f>
        <v>13247</v>
      </c>
      <c r="G181" s="954">
        <f>+'Monthly Budget'!G181</f>
        <v>13247</v>
      </c>
      <c r="H181" s="954">
        <f>+'Monthly Budget'!H181</f>
        <v>13247</v>
      </c>
      <c r="I181" s="954">
        <f>+'Monthly Budget'!I181</f>
        <v>13247</v>
      </c>
      <c r="J181" s="954">
        <f>+'Monthly Budget'!J181</f>
        <v>13247</v>
      </c>
      <c r="K181" s="954">
        <f>+'Monthly Budget'!K181</f>
        <v>13247</v>
      </c>
      <c r="L181" s="1019">
        <v>10900</v>
      </c>
      <c r="M181" s="1049">
        <f>+'Monthly Budget'!L181</f>
        <v>13247</v>
      </c>
      <c r="N181" s="1049">
        <f>+'Monthly Budget'!M181</f>
        <v>13247</v>
      </c>
      <c r="O181" s="1049">
        <f>+'Monthly Budget'!N181</f>
        <v>13247</v>
      </c>
      <c r="P181" s="1049">
        <f>+'Monthly Budget'!O181</f>
        <v>13247</v>
      </c>
      <c r="Q181" s="810"/>
      <c r="R181" s="747">
        <f t="shared" si="26"/>
        <v>158964</v>
      </c>
      <c r="S181" s="747">
        <v>88600</v>
      </c>
      <c r="T181" s="619">
        <f t="shared" si="28"/>
        <v>70364</v>
      </c>
      <c r="U181" s="742"/>
    </row>
    <row r="182" spans="1:21" x14ac:dyDescent="0.2">
      <c r="A182" s="733" t="s">
        <v>830</v>
      </c>
      <c r="B182" s="742" t="s">
        <v>831</v>
      </c>
      <c r="C182" s="764"/>
      <c r="D182" s="954">
        <f>+'Monthly Budget'!D182</f>
        <v>0</v>
      </c>
      <c r="E182" s="954">
        <f>+'Monthly Budget'!E182</f>
        <v>0</v>
      </c>
      <c r="F182" s="954">
        <f>+'Monthly Budget'!F182</f>
        <v>0</v>
      </c>
      <c r="G182" s="954">
        <f>+'Monthly Budget'!G182</f>
        <v>0</v>
      </c>
      <c r="H182" s="954">
        <f>+'Monthly Budget'!H182</f>
        <v>0</v>
      </c>
      <c r="I182" s="954">
        <f>+'Monthly Budget'!I182</f>
        <v>0</v>
      </c>
      <c r="J182" s="954">
        <f>+'Monthly Budget'!J182</f>
        <v>0</v>
      </c>
      <c r="K182" s="954">
        <f>+'Monthly Budget'!K182</f>
        <v>0</v>
      </c>
      <c r="L182" s="1016">
        <v>1105</v>
      </c>
      <c r="M182" s="1045">
        <f>+'Monthly Budget'!L182</f>
        <v>0</v>
      </c>
      <c r="N182" s="1045">
        <f>+'Monthly Budget'!M182</f>
        <v>0</v>
      </c>
      <c r="O182" s="1045">
        <f>+'Monthly Budget'!N182</f>
        <v>0</v>
      </c>
      <c r="P182" s="1045" t="str">
        <f>+'Monthly Budget'!O182</f>
        <v xml:space="preserve"> </v>
      </c>
      <c r="Q182" s="810"/>
      <c r="R182" s="747">
        <f t="shared" si="26"/>
        <v>0</v>
      </c>
      <c r="S182" s="747">
        <v>3055</v>
      </c>
      <c r="T182" s="619">
        <f t="shared" si="28"/>
        <v>-3055</v>
      </c>
      <c r="U182" s="742"/>
    </row>
    <row r="183" spans="1:21" x14ac:dyDescent="0.2">
      <c r="A183" s="733" t="s">
        <v>832</v>
      </c>
      <c r="B183" s="742" t="s">
        <v>833</v>
      </c>
      <c r="C183" s="764"/>
      <c r="D183" s="954">
        <f>+'Monthly Budget'!D183</f>
        <v>0</v>
      </c>
      <c r="E183" s="954">
        <f>+'Monthly Budget'!E183</f>
        <v>0</v>
      </c>
      <c r="F183" s="954">
        <f>+'Monthly Budget'!F183</f>
        <v>0</v>
      </c>
      <c r="G183" s="954">
        <f>+'Monthly Budget'!G183</f>
        <v>0</v>
      </c>
      <c r="H183" s="954">
        <f>+'Monthly Budget'!H183</f>
        <v>0</v>
      </c>
      <c r="I183" s="954">
        <f>+'Monthly Budget'!I183</f>
        <v>0</v>
      </c>
      <c r="J183" s="954">
        <f>+'Monthly Budget'!J183</f>
        <v>0</v>
      </c>
      <c r="K183" s="954">
        <f>+'Monthly Budget'!K183</f>
        <v>0</v>
      </c>
      <c r="L183" s="1016">
        <v>0</v>
      </c>
      <c r="M183" s="1045">
        <f>+'Monthly Budget'!L183</f>
        <v>0</v>
      </c>
      <c r="N183" s="1045">
        <f>+'Monthly Budget'!M183</f>
        <v>0</v>
      </c>
      <c r="O183" s="1045">
        <f>+'Monthly Budget'!N183</f>
        <v>0</v>
      </c>
      <c r="P183" s="1045">
        <f>+'Monthly Budget'!O183</f>
        <v>0</v>
      </c>
      <c r="Q183" s="810"/>
      <c r="R183" s="747">
        <f t="shared" si="26"/>
        <v>0</v>
      </c>
      <c r="S183" s="747">
        <v>0</v>
      </c>
      <c r="T183" s="619">
        <f t="shared" si="28"/>
        <v>0</v>
      </c>
      <c r="U183" s="742"/>
    </row>
    <row r="184" spans="1:21" x14ac:dyDescent="0.2">
      <c r="A184" s="733" t="s">
        <v>834</v>
      </c>
      <c r="B184" s="742" t="s">
        <v>453</v>
      </c>
      <c r="C184" s="764"/>
      <c r="D184" s="954">
        <f>+'Monthly Budget'!D184</f>
        <v>0</v>
      </c>
      <c r="E184" s="954">
        <f>+'Monthly Budget'!E184</f>
        <v>7345</v>
      </c>
      <c r="F184" s="954">
        <f>+'Monthly Budget'!F184</f>
        <v>7345</v>
      </c>
      <c r="G184" s="954">
        <f>+'Monthly Budget'!G184</f>
        <v>7345</v>
      </c>
      <c r="H184" s="954">
        <f>+'Monthly Budget'!H184</f>
        <v>7345</v>
      </c>
      <c r="I184" s="954">
        <f>+'Monthly Budget'!I184</f>
        <v>7345</v>
      </c>
      <c r="J184" s="954">
        <f>+'Monthly Budget'!J184</f>
        <v>7345</v>
      </c>
      <c r="K184" s="954">
        <f>+'Monthly Budget'!K184</f>
        <v>7345</v>
      </c>
      <c r="L184" s="1016">
        <v>6177.4800000000005</v>
      </c>
      <c r="M184" s="1045">
        <f>+'Monthly Budget'!L184</f>
        <v>7345</v>
      </c>
      <c r="N184" s="1045">
        <f>+'Monthly Budget'!M184</f>
        <v>7345</v>
      </c>
      <c r="O184" s="1045">
        <f>+'Monthly Budget'!N184</f>
        <v>7345</v>
      </c>
      <c r="P184" s="1045">
        <f>+'Monthly Budget'!O184</f>
        <v>0</v>
      </c>
      <c r="Q184" s="810"/>
      <c r="R184" s="747">
        <f t="shared" si="26"/>
        <v>73450.000000000015</v>
      </c>
      <c r="S184" s="747">
        <v>71498.139999999985</v>
      </c>
      <c r="T184" s="1098" t="s">
        <v>1374</v>
      </c>
      <c r="U184" s="742"/>
    </row>
    <row r="185" spans="1:21" ht="12" thickBot="1" x14ac:dyDescent="0.25">
      <c r="B185" s="855"/>
      <c r="C185" s="763"/>
      <c r="D185" s="952">
        <f>SUM(D169:D184)</f>
        <v>19969</v>
      </c>
      <c r="E185" s="952">
        <f>SUM(E169:E184)</f>
        <v>33651</v>
      </c>
      <c r="F185" s="952">
        <f>SUM(F169:F184)</f>
        <v>36644.76</v>
      </c>
      <c r="G185" s="952">
        <f>SUM(G169:G184)</f>
        <v>37292.839999999997</v>
      </c>
      <c r="H185" s="952">
        <f>SUM(H169:H184)</f>
        <v>39730.490000000005</v>
      </c>
      <c r="I185" s="952">
        <f t="shared" ref="I185:P185" si="29">SUM(I169:I184)</f>
        <v>36745.26</v>
      </c>
      <c r="J185" s="952">
        <f t="shared" si="29"/>
        <v>36227.919999999998</v>
      </c>
      <c r="K185" s="952">
        <f t="shared" si="29"/>
        <v>36877.21</v>
      </c>
      <c r="L185" s="1018">
        <v>27192.32</v>
      </c>
      <c r="M185" s="1048">
        <f t="shared" si="29"/>
        <v>37192.25</v>
      </c>
      <c r="N185" s="1048">
        <f t="shared" si="29"/>
        <v>37201</v>
      </c>
      <c r="O185" s="1048">
        <f t="shared" si="29"/>
        <v>37389</v>
      </c>
      <c r="P185" s="1048">
        <f t="shared" si="29"/>
        <v>22726.5</v>
      </c>
      <c r="Q185" s="625"/>
      <c r="R185" s="609">
        <f>SUM(R169:R184)</f>
        <v>411647.23</v>
      </c>
      <c r="S185" s="609">
        <v>259363.1</v>
      </c>
      <c r="T185" s="609">
        <f>SUM(T169:T184)</f>
        <v>150332.26999999999</v>
      </c>
      <c r="U185" s="742"/>
    </row>
    <row r="186" spans="1:21" ht="12" thickTop="1" x14ac:dyDescent="0.2">
      <c r="B186" s="742"/>
      <c r="C186" s="763"/>
      <c r="D186" s="953"/>
      <c r="E186" s="953"/>
      <c r="F186" s="953"/>
      <c r="G186" s="953"/>
      <c r="H186" s="953"/>
      <c r="I186" s="953"/>
      <c r="J186" s="953"/>
      <c r="K186" s="953"/>
      <c r="L186" s="1019"/>
      <c r="M186" s="1049"/>
      <c r="N186" s="1049"/>
      <c r="O186" s="1049"/>
      <c r="P186" s="1049"/>
      <c r="Q186" s="625"/>
      <c r="R186" s="635"/>
      <c r="S186" s="635"/>
      <c r="U186" s="742"/>
    </row>
    <row r="187" spans="1:21" x14ac:dyDescent="0.2">
      <c r="B187" s="864" t="s">
        <v>454</v>
      </c>
      <c r="C187" s="763">
        <f>+C62+C68+C97+C103+C115+C119+C124+C129+C162+C165+C185</f>
        <v>0</v>
      </c>
      <c r="D187" s="958">
        <f t="shared" ref="D187:P187" si="30">D62+D68+D97+D103+D115+D119+D124+D129+D162+D165+D185</f>
        <v>475028.25169230771</v>
      </c>
      <c r="E187" s="958">
        <f t="shared" si="30"/>
        <v>704390.34741226444</v>
      </c>
      <c r="F187" s="958">
        <f t="shared" si="30"/>
        <v>683576.45502764906</v>
      </c>
      <c r="G187" s="958">
        <f>G62+G68+G97+G103+G115+G119+G124+G129+G162+G165+G185</f>
        <v>895341.72621995665</v>
      </c>
      <c r="H187" s="958">
        <f t="shared" si="30"/>
        <v>684360.60621995665</v>
      </c>
      <c r="I187" s="958">
        <f t="shared" si="30"/>
        <v>670713.6150276491</v>
      </c>
      <c r="J187" s="958">
        <f t="shared" si="30"/>
        <v>694464.22741226444</v>
      </c>
      <c r="K187" s="958">
        <f t="shared" si="30"/>
        <v>671248.08502764907</v>
      </c>
      <c r="L187" s="1025">
        <v>577683.32482944417</v>
      </c>
      <c r="M187" s="1059">
        <f t="shared" si="30"/>
        <v>673422.98502764897</v>
      </c>
      <c r="N187" s="1059">
        <f t="shared" si="30"/>
        <v>682006.4062199567</v>
      </c>
      <c r="O187" s="1059">
        <f t="shared" si="30"/>
        <v>685333.47741226444</v>
      </c>
      <c r="P187" s="1059">
        <f t="shared" si="30"/>
        <v>608488.16383534146</v>
      </c>
      <c r="Q187" s="812">
        <f>Q62</f>
        <v>295926.38925841823</v>
      </c>
      <c r="R187" s="634">
        <f>+R68+R97+R103+R115+R119+R124+R129+R162+R166+R185+R62</f>
        <v>8424300.7357933279</v>
      </c>
      <c r="S187" s="634">
        <v>6758366.7911531907</v>
      </c>
      <c r="T187" s="619">
        <f>R187-S187</f>
        <v>1665933.9446401373</v>
      </c>
      <c r="U187" s="742"/>
    </row>
    <row r="188" spans="1:21" x14ac:dyDescent="0.2">
      <c r="B188" s="742"/>
      <c r="C188" s="763"/>
      <c r="D188" s="953"/>
      <c r="E188" s="953"/>
      <c r="F188" s="953"/>
      <c r="G188" s="953"/>
      <c r="H188" s="953"/>
      <c r="I188" s="953"/>
      <c r="J188" s="953"/>
      <c r="K188" s="953"/>
      <c r="L188" s="1019"/>
      <c r="M188" s="1049"/>
      <c r="N188" s="1049"/>
      <c r="O188" s="1049"/>
      <c r="P188" s="1049"/>
      <c r="Q188" s="625"/>
      <c r="R188" s="634"/>
      <c r="S188" s="634"/>
      <c r="U188" s="742"/>
    </row>
    <row r="189" spans="1:21" ht="12" thickBot="1" x14ac:dyDescent="0.25">
      <c r="B189" s="866" t="s">
        <v>455</v>
      </c>
      <c r="C189" s="770"/>
      <c r="D189" s="960">
        <f>+D36-D187-C187</f>
        <v>115690.697133535</v>
      </c>
      <c r="E189" s="960">
        <f t="shared" ref="E189:O189" si="31">+E36-E187</f>
        <v>-47766.231919755111</v>
      </c>
      <c r="F189" s="960">
        <f t="shared" si="31"/>
        <v>213400.30046486028</v>
      </c>
      <c r="G189" s="960">
        <f>+G36-G187</f>
        <v>-238717.61072744732</v>
      </c>
      <c r="H189" s="960">
        <f t="shared" si="31"/>
        <v>-27736.490727447323</v>
      </c>
      <c r="I189" s="960">
        <f t="shared" si="31"/>
        <v>-14089.499535139767</v>
      </c>
      <c r="J189" s="960">
        <f t="shared" si="31"/>
        <v>-37840.111919755116</v>
      </c>
      <c r="K189" s="960">
        <f t="shared" si="31"/>
        <v>-14623.969535139739</v>
      </c>
      <c r="L189" s="1028">
        <v>-12831.804829444154</v>
      </c>
      <c r="M189" s="1070">
        <f t="shared" si="31"/>
        <v>-16798.869535139645</v>
      </c>
      <c r="N189" s="1070">
        <f t="shared" si="31"/>
        <v>-25382.290727447369</v>
      </c>
      <c r="O189" s="1070">
        <f t="shared" si="31"/>
        <v>-45685.361919755116</v>
      </c>
      <c r="P189" s="1070">
        <f>+P36-P187-Q187</f>
        <v>106186.72906541638</v>
      </c>
      <c r="Q189" s="637"/>
      <c r="R189" s="633">
        <f>+R36-R187</f>
        <v>-33362.709883214906</v>
      </c>
      <c r="S189" s="633">
        <v>-147775.18679539207</v>
      </c>
      <c r="T189" s="809">
        <f>R189-S189</f>
        <v>114412.47691217717</v>
      </c>
      <c r="U189" s="742"/>
    </row>
    <row r="190" spans="1:21" ht="12" thickTop="1" x14ac:dyDescent="0.2">
      <c r="B190" s="852"/>
      <c r="D190" s="961"/>
      <c r="E190" s="961"/>
      <c r="F190" s="961"/>
      <c r="G190" s="961"/>
      <c r="H190" s="961"/>
      <c r="I190" s="961"/>
      <c r="J190" s="961"/>
      <c r="K190" s="961"/>
      <c r="L190" s="1029"/>
      <c r="M190" s="1072"/>
      <c r="N190" s="1072"/>
      <c r="O190" s="1072"/>
      <c r="P190" s="1072"/>
      <c r="Q190" s="813"/>
      <c r="R190" s="638"/>
      <c r="S190" s="638"/>
      <c r="U190" s="742"/>
    </row>
    <row r="191" spans="1:21" x14ac:dyDescent="0.2">
      <c r="B191" s="843" t="s">
        <v>857</v>
      </c>
      <c r="C191" s="771"/>
      <c r="D191" s="961"/>
      <c r="E191" s="961"/>
      <c r="F191" s="961"/>
      <c r="G191" s="961"/>
      <c r="H191" s="961"/>
      <c r="I191" s="961"/>
      <c r="J191" s="961"/>
      <c r="K191" s="961"/>
      <c r="L191" s="1029"/>
      <c r="M191" s="1072"/>
      <c r="N191" s="1072"/>
      <c r="O191" s="1072"/>
      <c r="P191" s="1072"/>
      <c r="Q191" s="814"/>
      <c r="R191" s="844">
        <f>(+R187-R124)/858</f>
        <v>8814.5882701553946</v>
      </c>
      <c r="S191" s="844">
        <v>6840.0405488879069</v>
      </c>
      <c r="U191" s="742"/>
    </row>
    <row r="192" spans="1:21" x14ac:dyDescent="0.2">
      <c r="B192" s="742"/>
      <c r="C192" s="771"/>
      <c r="D192" s="954">
        <f>+'Monthly Budget'!D192</f>
        <v>0</v>
      </c>
      <c r="E192" s="954">
        <f>+'Monthly Budget'!E192</f>
        <v>0</v>
      </c>
      <c r="F192" s="954">
        <f>+'Monthly Budget'!F192</f>
        <v>0</v>
      </c>
      <c r="G192" s="954">
        <f>+'Monthly Budget'!G192</f>
        <v>0</v>
      </c>
      <c r="H192" s="954">
        <f>+'Monthly Budget'!H192</f>
        <v>0</v>
      </c>
      <c r="I192" s="954">
        <f>+'Monthly Budget'!I192</f>
        <v>0</v>
      </c>
      <c r="J192" s="954">
        <f>+'Monthly Budget'!J192</f>
        <v>0</v>
      </c>
      <c r="K192" s="954">
        <f>+'Monthly Budget'!K192</f>
        <v>0</v>
      </c>
      <c r="L192" s="1029"/>
      <c r="M192" s="1072">
        <f>+'Monthly Budget'!L192</f>
        <v>0</v>
      </c>
      <c r="N192" s="1072"/>
      <c r="O192" s="1072"/>
      <c r="P192" s="1072"/>
      <c r="R192" s="627"/>
      <c r="S192" s="627"/>
      <c r="U192" s="742"/>
    </row>
    <row r="193" spans="1:21" x14ac:dyDescent="0.2">
      <c r="B193" s="867"/>
      <c r="C193" s="771"/>
      <c r="D193" s="962">
        <f t="shared" ref="D193:I193" si="32">+D189-D192</f>
        <v>115690.697133535</v>
      </c>
      <c r="E193" s="962">
        <f t="shared" si="32"/>
        <v>-47766.231919755111</v>
      </c>
      <c r="F193" s="962">
        <f t="shared" si="32"/>
        <v>213400.30046486028</v>
      </c>
      <c r="G193" s="962">
        <f>+G189-G192</f>
        <v>-238717.61072744732</v>
      </c>
      <c r="H193" s="962">
        <f t="shared" si="32"/>
        <v>-27736.490727447323</v>
      </c>
      <c r="I193" s="962">
        <f t="shared" si="32"/>
        <v>-14089.499535139767</v>
      </c>
      <c r="J193" s="962">
        <f>+J189-J192</f>
        <v>-37840.111919755116</v>
      </c>
      <c r="K193" s="962">
        <f>+K189-K192</f>
        <v>-14623.969535139739</v>
      </c>
      <c r="L193" s="1030"/>
      <c r="M193" s="1074">
        <f>+M189-M192</f>
        <v>-16798.869535139645</v>
      </c>
      <c r="N193" s="1074"/>
      <c r="O193" s="1074"/>
      <c r="P193" s="1074"/>
      <c r="Q193" s="815"/>
      <c r="R193" s="627"/>
      <c r="S193" s="627"/>
      <c r="T193" s="617"/>
      <c r="U193" s="742"/>
    </row>
    <row r="194" spans="1:21" x14ac:dyDescent="0.2">
      <c r="B194" s="742"/>
      <c r="C194" s="771"/>
      <c r="D194" s="961"/>
      <c r="E194" s="961"/>
      <c r="F194" s="961"/>
      <c r="G194" s="961"/>
      <c r="H194" s="961"/>
      <c r="I194" s="961"/>
      <c r="J194" s="961"/>
      <c r="K194" s="961"/>
      <c r="L194" s="1029"/>
      <c r="M194" s="1072"/>
      <c r="N194" s="1072"/>
      <c r="O194" s="1072"/>
      <c r="P194" s="1072"/>
      <c r="Q194" s="816"/>
      <c r="R194" s="624"/>
      <c r="S194" s="624"/>
      <c r="T194" s="617"/>
      <c r="U194" s="742"/>
    </row>
    <row r="195" spans="1:21" x14ac:dyDescent="0.2">
      <c r="B195" s="771" t="s">
        <v>456</v>
      </c>
      <c r="C195" s="771"/>
      <c r="D195" s="961">
        <f>+'Monthly Budget'!D195</f>
        <v>2770272</v>
      </c>
      <c r="E195" s="961">
        <f>+D201</f>
        <v>495128.98713353497</v>
      </c>
      <c r="F195" s="961">
        <f>+E201</f>
        <v>-25827.941919755111</v>
      </c>
      <c r="G195" s="961">
        <f>+L201</f>
        <v>24718.905170555845</v>
      </c>
      <c r="H195" s="961">
        <f>+G201</f>
        <v>-86779.32072744731</v>
      </c>
      <c r="I195" s="961">
        <f>+H201</f>
        <v>-5798.2007274473217</v>
      </c>
      <c r="J195" s="961">
        <f>+I201</f>
        <v>7848.7904648602344</v>
      </c>
      <c r="K195" s="961" t="e">
        <f>+J201</f>
        <v>#REF!</v>
      </c>
      <c r="L195" s="1030">
        <v>2104384.4500000007</v>
      </c>
      <c r="M195" s="1072" t="e">
        <f>+J201</f>
        <v>#REF!</v>
      </c>
      <c r="N195" s="1072">
        <f>+M201</f>
        <v>5139.4204648603554</v>
      </c>
      <c r="O195" s="1072">
        <f>+N201</f>
        <v>-3444.0007274473683</v>
      </c>
      <c r="P195" s="1072">
        <f>+O201</f>
        <v>-23747.071919755115</v>
      </c>
      <c r="Q195" s="815"/>
      <c r="R195" s="619">
        <f>+D195</f>
        <v>2770272</v>
      </c>
      <c r="S195" s="619">
        <v>2540704.0345116789</v>
      </c>
      <c r="T195" s="617"/>
      <c r="U195" s="742"/>
    </row>
    <row r="196" spans="1:21" x14ac:dyDescent="0.2">
      <c r="B196" s="742"/>
      <c r="C196" s="771"/>
      <c r="D196" s="961"/>
      <c r="E196" s="961"/>
      <c r="F196" s="961"/>
      <c r="G196" s="961"/>
      <c r="H196" s="961"/>
      <c r="I196" s="961"/>
      <c r="J196" s="961"/>
      <c r="K196" s="961"/>
      <c r="L196" s="1029"/>
      <c r="M196" s="1072"/>
      <c r="N196" s="1072"/>
      <c r="O196" s="1072"/>
      <c r="P196" s="1072"/>
      <c r="Q196" s="816"/>
      <c r="R196" s="624"/>
      <c r="S196" s="624"/>
      <c r="T196" s="617"/>
      <c r="U196" s="742"/>
    </row>
    <row r="197" spans="1:21" x14ac:dyDescent="0.2">
      <c r="B197" s="742" t="s">
        <v>318</v>
      </c>
      <c r="C197" s="742"/>
      <c r="D197" s="961">
        <f t="shared" ref="D197:P197" si="33">SUM(D147:D151)</f>
        <v>42771.29</v>
      </c>
      <c r="E197" s="961">
        <f t="shared" si="33"/>
        <v>42771.29</v>
      </c>
      <c r="F197" s="961">
        <f t="shared" si="33"/>
        <v>42771.29</v>
      </c>
      <c r="G197" s="961">
        <f>SUM(G147:G151)</f>
        <v>42771.29</v>
      </c>
      <c r="H197" s="961">
        <f t="shared" si="33"/>
        <v>42771.29</v>
      </c>
      <c r="I197" s="961">
        <f t="shared" si="33"/>
        <v>42771.29</v>
      </c>
      <c r="J197" s="961">
        <f t="shared" si="33"/>
        <v>42771.29</v>
      </c>
      <c r="K197" s="961">
        <f t="shared" si="33"/>
        <v>42771.29</v>
      </c>
      <c r="L197" s="1029">
        <v>42771.29</v>
      </c>
      <c r="M197" s="1072">
        <f t="shared" si="33"/>
        <v>42771.29</v>
      </c>
      <c r="N197" s="1072">
        <f t="shared" si="33"/>
        <v>42771.29</v>
      </c>
      <c r="O197" s="1072">
        <f t="shared" si="33"/>
        <v>42771.29</v>
      </c>
      <c r="P197" s="1072">
        <f t="shared" si="33"/>
        <v>42771.29</v>
      </c>
      <c r="Q197" s="815"/>
      <c r="R197" s="747">
        <f>SUM(D197:Q197)-L197</f>
        <v>513255.47999999992</v>
      </c>
      <c r="S197" s="747">
        <v>505016.21922161168</v>
      </c>
      <c r="T197" s="619">
        <f>R197-S197</f>
        <v>8239.2607783882413</v>
      </c>
      <c r="U197" s="742"/>
    </row>
    <row r="198" spans="1:21" ht="45" x14ac:dyDescent="0.2">
      <c r="B198" s="742" t="s">
        <v>457</v>
      </c>
      <c r="C198" s="742"/>
      <c r="D198" s="951">
        <f>+'Monthly Budget'!D198</f>
        <v>357500</v>
      </c>
      <c r="E198" s="951">
        <f>+'Monthly Budget'!E198</f>
        <v>0</v>
      </c>
      <c r="F198" s="951">
        <f>+'Monthly Budget'!F198</f>
        <v>0</v>
      </c>
      <c r="G198" s="951">
        <f>+'Monthly Budget'!G198</f>
        <v>130000</v>
      </c>
      <c r="H198" s="951">
        <f>+'Monthly Budget'!H198</f>
        <v>0</v>
      </c>
      <c r="I198" s="951">
        <f>+'Monthly Budget'!J198</f>
        <v>0</v>
      </c>
      <c r="J198" s="951" t="e">
        <f>+'Monthly Budget'!#REF!</f>
        <v>#REF!</v>
      </c>
      <c r="K198" s="951">
        <f>+'Monthly Budget'!K198</f>
        <v>0</v>
      </c>
      <c r="L198" s="1029">
        <v>0</v>
      </c>
      <c r="M198" s="1045">
        <f>+'Monthly Budget'!L198</f>
        <v>0</v>
      </c>
      <c r="N198" s="1045">
        <f>+'Monthly Budget'!M198</f>
        <v>0</v>
      </c>
      <c r="O198" s="1045">
        <f>+'Monthly Budget'!N198</f>
        <v>0</v>
      </c>
      <c r="P198" s="1045">
        <f>+'Monthly Budget'!O198</f>
        <v>0</v>
      </c>
      <c r="Q198" s="810"/>
      <c r="R198" s="747" t="e">
        <f>SUM(D198:Q198)-L198</f>
        <v>#REF!</v>
      </c>
      <c r="S198" s="747">
        <v>-1020000</v>
      </c>
      <c r="T198" s="773" t="s">
        <v>1375</v>
      </c>
      <c r="U198" s="872" t="s">
        <v>965</v>
      </c>
    </row>
    <row r="199" spans="1:21" x14ac:dyDescent="0.2">
      <c r="B199" s="742" t="s">
        <v>835</v>
      </c>
      <c r="C199" s="742"/>
      <c r="D199" s="961">
        <f>+'Monthly Budget'!D199</f>
        <v>-20833</v>
      </c>
      <c r="E199" s="961">
        <f>+'Monthly Budget'!E199</f>
        <v>-20833</v>
      </c>
      <c r="F199" s="961">
        <f>+'Monthly Budget'!F199</f>
        <v>-20833</v>
      </c>
      <c r="G199" s="961">
        <f>+'Monthly Budget'!G199</f>
        <v>-20833</v>
      </c>
      <c r="H199" s="961">
        <f>+'Monthly Budget'!H199</f>
        <v>-20833</v>
      </c>
      <c r="I199" s="961">
        <f>+'Monthly Budget'!I199</f>
        <v>-20833</v>
      </c>
      <c r="J199" s="961">
        <f>+'Monthly Budget'!J199</f>
        <v>-20833</v>
      </c>
      <c r="K199" s="961">
        <f>+'Monthly Budget'!K199</f>
        <v>-20833</v>
      </c>
      <c r="L199" s="1029">
        <v>-5220.58</v>
      </c>
      <c r="M199" s="1072">
        <f>+'Monthly Budget'!L199</f>
        <v>-20833</v>
      </c>
      <c r="N199" s="1072">
        <f>+'Monthly Budget'!M199</f>
        <v>-20833</v>
      </c>
      <c r="O199" s="1072">
        <f>+'Monthly Budget'!N199</f>
        <v>-20833</v>
      </c>
      <c r="P199" s="1072">
        <f>+'Monthly Budget'!O199</f>
        <v>-20833</v>
      </c>
      <c r="Q199" s="810"/>
      <c r="R199" s="747">
        <f>SUM(D199:Q199)-L199</f>
        <v>-249996</v>
      </c>
      <c r="S199" s="747">
        <v>0</v>
      </c>
      <c r="T199" s="619">
        <f>R199-S199</f>
        <v>-249996</v>
      </c>
      <c r="U199" s="742" t="s">
        <v>974</v>
      </c>
    </row>
    <row r="200" spans="1:21" x14ac:dyDescent="0.2">
      <c r="B200" s="742"/>
      <c r="C200" s="742"/>
      <c r="D200" s="961"/>
      <c r="E200" s="961"/>
      <c r="F200" s="961"/>
      <c r="G200" s="961"/>
      <c r="H200" s="961"/>
      <c r="I200" s="961"/>
      <c r="J200" s="961"/>
      <c r="K200" s="961"/>
      <c r="L200" s="1016"/>
      <c r="M200" s="1072"/>
      <c r="N200" s="1072"/>
      <c r="O200" s="1072"/>
      <c r="P200" s="1072"/>
      <c r="Q200" s="816"/>
      <c r="R200" s="747">
        <f>SUM(D200:Q200)</f>
        <v>0</v>
      </c>
      <c r="S200" s="747">
        <v>0</v>
      </c>
      <c r="T200" s="617"/>
      <c r="U200" s="742"/>
    </row>
    <row r="201" spans="1:21" x14ac:dyDescent="0.2">
      <c r="B201" s="771" t="s">
        <v>458</v>
      </c>
      <c r="C201" s="771"/>
      <c r="D201" s="961">
        <f t="shared" ref="D201:P201" si="34">+D189+D197+D198+D199</f>
        <v>495128.98713353497</v>
      </c>
      <c r="E201" s="961">
        <f t="shared" si="34"/>
        <v>-25827.941919755111</v>
      </c>
      <c r="F201" s="961">
        <f>+F189+F197+F198+F199</f>
        <v>235338.59046486029</v>
      </c>
      <c r="G201" s="961">
        <f>+G189+G197+G198+G199</f>
        <v>-86779.32072744731</v>
      </c>
      <c r="H201" s="961">
        <f t="shared" si="34"/>
        <v>-5798.2007274473217</v>
      </c>
      <c r="I201" s="961">
        <f t="shared" si="34"/>
        <v>7848.7904648602344</v>
      </c>
      <c r="J201" s="961" t="e">
        <f t="shared" si="34"/>
        <v>#REF!</v>
      </c>
      <c r="K201" s="961">
        <f t="shared" si="34"/>
        <v>7314.3204648602623</v>
      </c>
      <c r="L201" s="1029">
        <v>24718.905170555845</v>
      </c>
      <c r="M201" s="1072">
        <f t="shared" si="34"/>
        <v>5139.4204648603554</v>
      </c>
      <c r="N201" s="1072">
        <f t="shared" si="34"/>
        <v>-3444.0007274473683</v>
      </c>
      <c r="O201" s="1072">
        <f t="shared" si="34"/>
        <v>-23747.071919755115</v>
      </c>
      <c r="P201" s="1072">
        <f t="shared" si="34"/>
        <v>128125.01906541639</v>
      </c>
      <c r="Q201" s="815"/>
      <c r="R201" s="619" t="e">
        <f>+R189+R197+R198+R199</f>
        <v>#REF!</v>
      </c>
      <c r="S201" s="619">
        <v>-662758.96757378033</v>
      </c>
      <c r="T201" s="619" t="e">
        <f>R201-S201</f>
        <v>#REF!</v>
      </c>
      <c r="U201" s="742"/>
    </row>
    <row r="202" spans="1:21" s="773" customFormat="1" x14ac:dyDescent="0.2">
      <c r="A202" s="733"/>
      <c r="B202" s="742"/>
      <c r="C202" s="742"/>
      <c r="D202" s="961"/>
      <c r="E202" s="961"/>
      <c r="F202" s="961"/>
      <c r="G202" s="961"/>
      <c r="H202" s="961"/>
      <c r="I202" s="961"/>
      <c r="J202" s="961"/>
      <c r="K202" s="961"/>
      <c r="L202" s="1029"/>
      <c r="M202" s="1072"/>
      <c r="N202" s="1072"/>
      <c r="O202" s="1072"/>
      <c r="P202" s="1072"/>
      <c r="Q202" s="816"/>
      <c r="R202" s="624"/>
      <c r="S202" s="624"/>
      <c r="T202" s="617"/>
      <c r="U202" s="742"/>
    </row>
    <row r="203" spans="1:21" s="773" customFormat="1" ht="12" thickBot="1" x14ac:dyDescent="0.25">
      <c r="A203" s="733"/>
      <c r="B203" s="868" t="s">
        <v>459</v>
      </c>
      <c r="C203" s="868"/>
      <c r="D203" s="963"/>
      <c r="E203" s="963"/>
      <c r="F203" s="963"/>
      <c r="G203" s="963"/>
      <c r="H203" s="963"/>
      <c r="I203" s="963"/>
      <c r="J203" s="963"/>
      <c r="K203" s="963"/>
      <c r="L203" s="1031">
        <v>2129103.3551705563</v>
      </c>
      <c r="M203" s="1076"/>
      <c r="N203" s="1076"/>
      <c r="O203" s="1076"/>
      <c r="P203" s="1076"/>
      <c r="Q203" s="620"/>
      <c r="R203" s="639" t="e">
        <f>+R195+R201</f>
        <v>#REF!</v>
      </c>
      <c r="S203" s="639">
        <v>1877945.0669378985</v>
      </c>
      <c r="T203" s="617"/>
      <c r="U203" s="772"/>
    </row>
    <row r="204" spans="1:21" s="257" customFormat="1" ht="13.5" thickTop="1" x14ac:dyDescent="0.2">
      <c r="A204" s="773"/>
      <c r="B204" s="869"/>
      <c r="C204" s="773"/>
      <c r="D204" s="619"/>
      <c r="E204" s="619"/>
      <c r="F204" s="619"/>
      <c r="G204" s="619"/>
      <c r="H204" s="619"/>
      <c r="I204" s="619"/>
      <c r="J204" s="619"/>
      <c r="K204" s="619"/>
      <c r="L204" s="619"/>
      <c r="M204" s="619"/>
      <c r="N204" s="619"/>
      <c r="O204" s="619"/>
      <c r="P204" s="619"/>
      <c r="Q204" s="619"/>
      <c r="R204" s="619"/>
      <c r="S204" s="619"/>
      <c r="T204" s="641"/>
      <c r="U204" s="774"/>
    </row>
    <row r="205" spans="1:21" s="257" customFormat="1" ht="12.75" x14ac:dyDescent="0.2">
      <c r="A205" s="773"/>
      <c r="B205" s="870"/>
      <c r="C205" s="773"/>
      <c r="D205" s="619"/>
      <c r="E205" s="619"/>
      <c r="F205" s="619"/>
      <c r="G205" s="619"/>
      <c r="H205" s="619"/>
      <c r="I205" s="619"/>
      <c r="J205" s="619"/>
      <c r="K205" s="619"/>
      <c r="L205" s="619"/>
      <c r="M205" s="619"/>
      <c r="N205" s="619"/>
      <c r="O205" s="619"/>
      <c r="P205" s="619"/>
      <c r="Q205" s="619"/>
      <c r="R205" s="773"/>
      <c r="S205" s="619">
        <v>9635</v>
      </c>
      <c r="T205" s="773"/>
    </row>
    <row r="206" spans="1:21" ht="12.75" x14ac:dyDescent="0.2">
      <c r="A206" s="257"/>
      <c r="B206" s="871"/>
      <c r="C206" s="257"/>
      <c r="D206" s="619"/>
      <c r="E206" s="619"/>
      <c r="F206" s="619"/>
      <c r="G206" s="619"/>
      <c r="H206" s="619"/>
      <c r="I206" s="619"/>
      <c r="J206" s="619"/>
      <c r="K206" s="619"/>
      <c r="L206" s="619"/>
      <c r="M206" s="619"/>
      <c r="N206" s="619"/>
      <c r="O206" s="619"/>
      <c r="P206" s="619"/>
      <c r="Q206" s="619"/>
      <c r="R206" s="619"/>
      <c r="S206" s="619">
        <v>1868310.0669378985</v>
      </c>
      <c r="U206" s="257"/>
    </row>
    <row r="207" spans="1:21" ht="12.75" x14ac:dyDescent="0.2">
      <c r="A207" s="257"/>
      <c r="B207" s="871"/>
      <c r="C207" s="257"/>
      <c r="D207" s="619"/>
      <c r="E207" s="619"/>
      <c r="F207" s="619"/>
      <c r="G207" s="619"/>
      <c r="H207" s="619"/>
      <c r="I207" s="619"/>
      <c r="J207" s="619"/>
      <c r="K207" s="619"/>
      <c r="L207" s="619"/>
      <c r="M207" s="619"/>
      <c r="N207" s="619"/>
      <c r="O207" s="619"/>
      <c r="P207" s="619"/>
      <c r="Q207" s="619"/>
      <c r="R207" s="619"/>
      <c r="S207" s="619"/>
      <c r="U207" s="257"/>
    </row>
    <row r="217" spans="3:3" x14ac:dyDescent="0.2">
      <c r="C217" s="775"/>
    </row>
    <row r="218" spans="3:3" x14ac:dyDescent="0.2">
      <c r="C218" s="775"/>
    </row>
    <row r="219" spans="3:3" x14ac:dyDescent="0.2">
      <c r="C219" s="775"/>
    </row>
    <row r="220" spans="3:3" x14ac:dyDescent="0.2">
      <c r="C220" s="775"/>
    </row>
    <row r="221" spans="3:3" x14ac:dyDescent="0.2">
      <c r="C221" s="775"/>
    </row>
    <row r="222" spans="3:3" x14ac:dyDescent="0.2">
      <c r="C222" s="775"/>
    </row>
    <row r="223" spans="3:3" x14ac:dyDescent="0.2">
      <c r="C223" s="775"/>
    </row>
    <row r="224" spans="3:3" x14ac:dyDescent="0.2">
      <c r="C224" s="775"/>
    </row>
    <row r="225" spans="3:3" x14ac:dyDescent="0.2">
      <c r="C225" s="775"/>
    </row>
    <row r="226" spans="3:3" x14ac:dyDescent="0.2">
      <c r="C226" s="775"/>
    </row>
    <row r="227" spans="3:3" x14ac:dyDescent="0.2">
      <c r="C227" s="775"/>
    </row>
    <row r="228" spans="3:3" x14ac:dyDescent="0.2">
      <c r="C228" s="775"/>
    </row>
    <row r="229" spans="3:3" x14ac:dyDescent="0.2">
      <c r="C229" s="775"/>
    </row>
    <row r="230" spans="3:3" x14ac:dyDescent="0.2">
      <c r="C230" s="775"/>
    </row>
    <row r="231" spans="3:3" x14ac:dyDescent="0.2">
      <c r="C231" s="775"/>
    </row>
    <row r="232" spans="3:3" x14ac:dyDescent="0.2">
      <c r="C232" s="775"/>
    </row>
    <row r="233" spans="3:3" x14ac:dyDescent="0.2">
      <c r="C233" s="775"/>
    </row>
    <row r="234" spans="3:3" x14ac:dyDescent="0.2">
      <c r="C234" s="775"/>
    </row>
    <row r="235" spans="3:3" x14ac:dyDescent="0.2">
      <c r="C235" s="775"/>
    </row>
    <row r="236" spans="3:3" x14ac:dyDescent="0.2">
      <c r="C236" s="775"/>
    </row>
    <row r="237" spans="3:3" x14ac:dyDescent="0.2">
      <c r="C237" s="775"/>
    </row>
    <row r="238" spans="3:3" x14ac:dyDescent="0.2">
      <c r="C238" s="775"/>
    </row>
    <row r="239" spans="3:3" x14ac:dyDescent="0.2">
      <c r="C239" s="775"/>
    </row>
    <row r="240" spans="3:3" x14ac:dyDescent="0.2">
      <c r="C240" s="775"/>
    </row>
    <row r="241" spans="3:3" x14ac:dyDescent="0.2">
      <c r="C241" s="775"/>
    </row>
    <row r="242" spans="3:3" x14ac:dyDescent="0.2">
      <c r="C242" s="775"/>
    </row>
    <row r="243" spans="3:3" x14ac:dyDescent="0.2">
      <c r="C243" s="775"/>
    </row>
    <row r="244" spans="3:3" x14ac:dyDescent="0.2">
      <c r="C244" s="775"/>
    </row>
    <row r="245" spans="3:3" x14ac:dyDescent="0.2">
      <c r="C245" s="775"/>
    </row>
    <row r="246" spans="3:3" x14ac:dyDescent="0.2">
      <c r="C246" s="775"/>
    </row>
    <row r="247" spans="3:3" x14ac:dyDescent="0.2">
      <c r="C247" s="775"/>
    </row>
    <row r="248" spans="3:3" x14ac:dyDescent="0.2">
      <c r="C248" s="775"/>
    </row>
    <row r="249" spans="3:3" x14ac:dyDescent="0.2">
      <c r="C249" s="775"/>
    </row>
    <row r="250" spans="3:3" x14ac:dyDescent="0.2">
      <c r="C250" s="775"/>
    </row>
    <row r="251" spans="3:3" x14ac:dyDescent="0.2">
      <c r="C251" s="775"/>
    </row>
    <row r="252" spans="3:3" x14ac:dyDescent="0.2">
      <c r="C252" s="775"/>
    </row>
    <row r="253" spans="3:3" x14ac:dyDescent="0.2">
      <c r="C253" s="775"/>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5CF8EEC4B66149B8D4F31C7C585418" ma:contentTypeVersion="13" ma:contentTypeDescription="Create a new document." ma:contentTypeScope="" ma:versionID="8e6495647d460804f60a47551ef5401e">
  <xsd:schema xmlns:xsd="http://www.w3.org/2001/XMLSchema" xmlns:xs="http://www.w3.org/2001/XMLSchema" xmlns:p="http://schemas.microsoft.com/office/2006/metadata/properties" xmlns:ns3="50752b27-45e3-42d4-8b15-a7f1e6c31836" xmlns:ns4="a47b3462-f91d-426d-a8f9-ec2dc3d2d2ec" targetNamespace="http://schemas.microsoft.com/office/2006/metadata/properties" ma:root="true" ma:fieldsID="489a392015fff9d25aca3a9b0958d579" ns3:_="" ns4:_="">
    <xsd:import namespace="50752b27-45e3-42d4-8b15-a7f1e6c31836"/>
    <xsd:import namespace="a47b3462-f91d-426d-a8f9-ec2dc3d2d2ec"/>
    <xsd:element name="properties">
      <xsd:complexType>
        <xsd:sequence>
          <xsd:element name="documentManagement">
            <xsd:complexType>
              <xsd:all>
                <xsd:element ref="ns3:MediaServiceMetadata" minOccurs="0"/>
                <xsd:element ref="ns3:MediaServiceFastMetadata"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752b27-45e3-42d4-8b15-a7f1e6c318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description="" ma:indexed="true"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7b3462-f91d-426d-a8f9-ec2dc3d2d2e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0752b27-45e3-42d4-8b15-a7f1e6c31836" xsi:nil="true"/>
  </documentManagement>
</p:properties>
</file>

<file path=customXml/itemProps1.xml><?xml version="1.0" encoding="utf-8"?>
<ds:datastoreItem xmlns:ds="http://schemas.openxmlformats.org/officeDocument/2006/customXml" ds:itemID="{02794FF3-9D65-46DD-BCFB-21C8568264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752b27-45e3-42d4-8b15-a7f1e6c31836"/>
    <ds:schemaRef ds:uri="a47b3462-f91d-426d-a8f9-ec2dc3d2d2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68C28E-B67C-45E2-AF2B-421C602FA928}">
  <ds:schemaRefs>
    <ds:schemaRef ds:uri="http://schemas.microsoft.com/sharepoint/v3/contenttype/forms"/>
  </ds:schemaRefs>
</ds:datastoreItem>
</file>

<file path=customXml/itemProps3.xml><?xml version="1.0" encoding="utf-8"?>
<ds:datastoreItem xmlns:ds="http://schemas.openxmlformats.org/officeDocument/2006/customXml" ds:itemID="{9A20701F-DF41-49A0-A9BF-461483E21A86}">
  <ds:schemaRefs>
    <ds:schemaRef ds:uri="http://purl.org/dc/terms/"/>
    <ds:schemaRef ds:uri="http://schemas.openxmlformats.org/package/2006/metadata/core-properties"/>
    <ds:schemaRef ds:uri="http://schemas.microsoft.com/office/2006/documentManagement/types"/>
    <ds:schemaRef ds:uri="a47b3462-f91d-426d-a8f9-ec2dc3d2d2ec"/>
    <ds:schemaRef ds:uri="http://purl.org/dc/elements/1.1/"/>
    <ds:schemaRef ds:uri="http://schemas.microsoft.com/office/2006/metadata/properties"/>
    <ds:schemaRef ds:uri="http://schemas.microsoft.com/office/infopath/2007/PartnerControls"/>
    <ds:schemaRef ds:uri="50752b27-45e3-42d4-8b15-a7f1e6c3183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231</vt:i4>
      </vt:variant>
    </vt:vector>
  </HeadingPairs>
  <TitlesOfParts>
    <vt:vector size="248" baseType="lpstr">
      <vt:lpstr>Assumptions </vt:lpstr>
      <vt:lpstr>Annual Budget</vt:lpstr>
      <vt:lpstr>Board Format</vt:lpstr>
      <vt:lpstr>Monthly Budget</vt:lpstr>
      <vt:lpstr>Trend Report</vt:lpstr>
      <vt:lpstr>Master Salary List</vt:lpstr>
      <vt:lpstr>All charter school calculator</vt:lpstr>
      <vt:lpstr>Sheet1</vt:lpstr>
      <vt:lpstr>Monthly compared to prior month</vt:lpstr>
      <vt:lpstr> Detail 2022-23 FEFP Third</vt:lpstr>
      <vt:lpstr>111-112-113 ADDITIONAL FUND (2</vt:lpstr>
      <vt:lpstr>Transportation Per Student (2)</vt:lpstr>
      <vt:lpstr>75% or more ESE calculation (2</vt:lpstr>
      <vt:lpstr> Detail 2014-15 Conf FEFP</vt:lpstr>
      <vt:lpstr>111-112-113 ADDITIONAL FUND</vt:lpstr>
      <vt:lpstr>Transportation Per Student</vt:lpstr>
      <vt:lpstr>75% or more ESE calculation</vt:lpstr>
      <vt:lpstr>'75% or more ESE calculation'!_1.__2009_10_FEFP_State_and_Local_Funding</vt:lpstr>
      <vt:lpstr>'75% or more ESE calculation (2'!_1.__2009_10_FEFP_State_and_Local_Funding</vt:lpstr>
      <vt:lpstr>'75% or more ESE calculation'!_1.__2010_11_FEFP_State_and_Local_Funding</vt:lpstr>
      <vt:lpstr>'75% or more ESE calculation (2'!_1.__2010_11_FEFP_State_and_Local_Funding</vt:lpstr>
      <vt:lpstr>'75% or more ESE calculation'!_101_Basic_K_3</vt:lpstr>
      <vt:lpstr>'75% or more ESE calculation (2'!_101_Basic_K_3</vt:lpstr>
      <vt:lpstr>'75% or more ESE calculation'!_102_Basic_4_8</vt:lpstr>
      <vt:lpstr>'75% or more ESE calculation (2'!_102_Basic_4_8</vt:lpstr>
      <vt:lpstr>'75% or more ESE calculation'!_103_Basic_9_12</vt:lpstr>
      <vt:lpstr>'75% or more ESE calculation (2'!_103_Basic_9_12</vt:lpstr>
      <vt:lpstr>'75% or more ESE calculation'!_111_Basic_K_3_with_ESE_Services</vt:lpstr>
      <vt:lpstr>'75% or more ESE calculation (2'!_111_Basic_K_3_with_ESE_Services</vt:lpstr>
      <vt:lpstr>'75% or more ESE calculation'!_112_Basic_4_8_with_ESE_Services</vt:lpstr>
      <vt:lpstr>'75% or more ESE calculation (2'!_112_Basic_4_8_with_ESE_Services</vt:lpstr>
      <vt:lpstr>'75% or more ESE calculation'!_113_Basic_9_12_with_ESE_Services</vt:lpstr>
      <vt:lpstr>'75% or more ESE calculation (2'!_113_Basic_9_12_with_ESE_Services</vt:lpstr>
      <vt:lpstr>'75% or more ESE calculation'!_130_ESOL__Grade_Level_4_8</vt:lpstr>
      <vt:lpstr>'75% or more ESE calculation (2'!_130_ESOL__Grade_Level_4_8</vt:lpstr>
      <vt:lpstr>'75% or more ESE calculation'!_130_ESOL__Grade_Level_9_12</vt:lpstr>
      <vt:lpstr>'75% or more ESE calculation (2'!_130_ESOL__Grade_Level_9_12</vt:lpstr>
      <vt:lpstr>'75% or more ESE calculation'!_130_ESOL__Grade_Level_PK_3</vt:lpstr>
      <vt:lpstr>'75% or more ESE calculation (2'!_130_ESOL__Grade_Level_PK_3</vt:lpstr>
      <vt:lpstr>'75% or more ESE calculation'!_2.__ESE_Guaranteed_Allocation</vt:lpstr>
      <vt:lpstr>'75% or more ESE calculation (2'!_2.__ESE_Guaranteed_Allocation</vt:lpstr>
      <vt:lpstr>_2000_01_District_Cost_Differential</vt:lpstr>
      <vt:lpstr>'75% or more ESE calculation'!_2010_11_Base_Funding_WFTE_x_BSA_x_DCD</vt:lpstr>
      <vt:lpstr>'75% or more ESE calculation (2'!_2010_11_Base_Funding_WFTE_x_BSA_x_DCD</vt:lpstr>
      <vt:lpstr>'75% or more ESE calculation'!_254_ESE_Level_4__Grade_Level_4_8</vt:lpstr>
      <vt:lpstr>'75% or more ESE calculation (2'!_254_ESE_Level_4__Grade_Level_4_8</vt:lpstr>
      <vt:lpstr>'75% or more ESE calculation'!_254_ESE_Level_4__Grade_Level_9_12</vt:lpstr>
      <vt:lpstr>'75% or more ESE calculation (2'!_254_ESE_Level_4__Grade_Level_9_12</vt:lpstr>
      <vt:lpstr>'75% or more ESE calculation'!_254_ESE_Level_4__Grade_Level_PK_3</vt:lpstr>
      <vt:lpstr>'75% or more ESE calculation (2'!_254_ESE_Level_4__Grade_Level_PK_3</vt:lpstr>
      <vt:lpstr>'75% or more ESE calculation'!_255_ESE_Level_5__Grade_Level_4_8</vt:lpstr>
      <vt:lpstr>'75% or more ESE calculation (2'!_255_ESE_Level_5__Grade_Level_4_8</vt:lpstr>
      <vt:lpstr>'75% or more ESE calculation'!_255_ESE_Level_5__Grade_Level_9_12</vt:lpstr>
      <vt:lpstr>'75% or more ESE calculation (2'!_255_ESE_Level_5__Grade_Level_9_12</vt:lpstr>
      <vt:lpstr>'75% or more ESE calculation'!_255_ESE_Level_5__Grade_Level_PK_3</vt:lpstr>
      <vt:lpstr>'75% or more ESE calculation (2'!_255_ESE_Level_5__Grade_Level_PK_3</vt:lpstr>
      <vt:lpstr>'75% or more ESE calculation'!_3.__Supplemental_Academic_Instruction</vt:lpstr>
      <vt:lpstr>'75% or more ESE calculation (2'!_3.__Supplemental_Academic_Instruction</vt:lpstr>
      <vt:lpstr>'75% or more ESE calculation'!_300_Career_Education__Grades_9_12</vt:lpstr>
      <vt:lpstr>'75% or more ESE calculation (2'!_300_Career_Education__Grades_9_12</vt:lpstr>
      <vt:lpstr>'75% or more ESE calculation'!_4_8</vt:lpstr>
      <vt:lpstr>'75% or more ESE calculation (2'!_4_8</vt:lpstr>
      <vt:lpstr>'75% or more ESE calculation'!_9_12</vt:lpstr>
      <vt:lpstr>'75% or more ESE calculation (2'!_9_12</vt:lpstr>
      <vt:lpstr>Actual_Basic_Discretionary_Revenue</vt:lpstr>
      <vt:lpstr>Alachua</vt:lpstr>
      <vt:lpstr>'75% or more ESE calculation'!Allocation_factors</vt:lpstr>
      <vt:lpstr>'75% or more ESE calculation (2'!Allocation_factors</vt:lpstr>
      <vt:lpstr>Baker</vt:lpstr>
      <vt:lpstr>'75% or more ESE calculation'!Base_Student_Allocation</vt:lpstr>
      <vt:lpstr>'75% or more ESE calculation (2'!Base_Student_Allocation</vt:lpstr>
      <vt:lpstr>'75% or more ESE calculation'!Based_on_the_Second_Calculation_of_the_FEFP_2010_11</vt:lpstr>
      <vt:lpstr>'75% or more ESE calculation (2'!Based_on_the_Second_Calculation_of_the_FEFP_2010_11</vt:lpstr>
      <vt:lpstr>Bay</vt:lpstr>
      <vt:lpstr>Bradford</vt:lpstr>
      <vt:lpstr>Brevard</vt:lpstr>
      <vt:lpstr>Broward</vt:lpstr>
      <vt:lpstr>Calhoun</vt:lpstr>
      <vt:lpstr>Charlotte</vt:lpstr>
      <vt:lpstr>Citrus</vt:lpstr>
      <vt:lpstr>Class_Size_Allocation_Factors</vt:lpstr>
      <vt:lpstr>Clay</vt:lpstr>
      <vt:lpstr>Collier</vt:lpstr>
      <vt:lpstr>Columbia</vt:lpstr>
      <vt:lpstr>'75% or more ESE calculation'!DCD</vt:lpstr>
      <vt:lpstr>'75% or more ESE calculation (2'!DCD</vt:lpstr>
      <vt:lpstr>Declining_Enrollment_Supplement</vt:lpstr>
      <vt:lpstr>DeSoto</vt:lpstr>
      <vt:lpstr>Discretionary__Lottery__District_Discretionary_Funds</vt:lpstr>
      <vt:lpstr>Discretionary_Tax_Compression_0.748_mills</vt:lpstr>
      <vt:lpstr>District</vt:lpstr>
      <vt:lpstr>'75% or more ESE calculation'!District_Cost_Differential</vt:lpstr>
      <vt:lpstr>'75% or more ESE calculation (2'!District_Cost_Differential</vt:lpstr>
      <vt:lpstr>District_Cost_Differential_DCD</vt:lpstr>
      <vt:lpstr>'75% or more ESE calculation'!District_SAI_Allocation</vt:lpstr>
      <vt:lpstr>'75% or more ESE calculation (2'!District_SAI_Allocation</vt:lpstr>
      <vt:lpstr>Districts</vt:lpstr>
      <vt:lpstr>'75% or more ESE calculation'!divided_by_district_FTE</vt:lpstr>
      <vt:lpstr>'75% or more ESE calculation (2'!divided_by_district_FTE</vt:lpstr>
      <vt:lpstr>Dixie</vt:lpstr>
      <vt:lpstr>Dual_Enrollment_Allocation</vt:lpstr>
      <vt:lpstr>Duval</vt:lpstr>
      <vt:lpstr>Escambia</vt:lpstr>
      <vt:lpstr>ESE_Guaranteed_Allocation_Dollars</vt:lpstr>
      <vt:lpstr>ESE_LEVEL_1</vt:lpstr>
      <vt:lpstr>ESE_LEVEL_1_Program_111__Grades_K_3</vt:lpstr>
      <vt:lpstr>ESE_LEVEL_1_Program_112__Grades_4_8</vt:lpstr>
      <vt:lpstr>ESE_LEVEL_1_Program_113__Grades_9_12</vt:lpstr>
      <vt:lpstr>ESE_LEVEL_2_Program_111__Grades_K_3</vt:lpstr>
      <vt:lpstr>ESE_LEVEL_2_Program_112__Grades_4_8</vt:lpstr>
      <vt:lpstr>ESE_LEVEL_2_Program_113__Grades_9_12</vt:lpstr>
      <vt:lpstr>ESE_LEVEL_3_Program_111__Grades_K_3</vt:lpstr>
      <vt:lpstr>ESE_LEVEL_3_Program_112__Grades_4_8</vt:lpstr>
      <vt:lpstr>ESE_LEVEL_3_Program_113__Grades_9_12</vt:lpstr>
      <vt:lpstr>ESE_Program_111__Grades_K_3</vt:lpstr>
      <vt:lpstr>FAMU_Lab_School</vt:lpstr>
      <vt:lpstr>FAU_Lab_School</vt:lpstr>
      <vt:lpstr>FAU_St._Lucie</vt:lpstr>
      <vt:lpstr>Fl_Virtual_School</vt:lpstr>
      <vt:lpstr>Flagler</vt:lpstr>
      <vt:lpstr>Franklin</vt:lpstr>
      <vt:lpstr>FSU_Lab_Broward</vt:lpstr>
      <vt:lpstr>FSU_Lab_Leon</vt:lpstr>
      <vt:lpstr>'75% or more ESE calculation'!FTE</vt:lpstr>
      <vt:lpstr>'75% or more ESE calculation (2'!FTE</vt:lpstr>
      <vt:lpstr>Gadsden</vt:lpstr>
      <vt:lpstr>Gilchrist</vt:lpstr>
      <vt:lpstr>Glades</vt:lpstr>
      <vt:lpstr>'75% or more ESE calculation'!Grade_Level</vt:lpstr>
      <vt:lpstr>'75% or more ESE calculation (2'!Grade_Level</vt:lpstr>
      <vt:lpstr>Grades_4_Through_8</vt:lpstr>
      <vt:lpstr>Grades_9_through_12</vt:lpstr>
      <vt:lpstr>Grades_K_Through_3</vt:lpstr>
      <vt:lpstr>'75% or more ESE calculation'!Guarantee_Per_Student</vt:lpstr>
      <vt:lpstr>'75% or more ESE calculation (2'!Guarantee_Per_Student</vt:lpstr>
      <vt:lpstr>Gulf</vt:lpstr>
      <vt:lpstr>Hamilton</vt:lpstr>
      <vt:lpstr>Hardee</vt:lpstr>
      <vt:lpstr>Hendry</vt:lpstr>
      <vt:lpstr>Hernando</vt:lpstr>
      <vt:lpstr>Highlands</vt:lpstr>
      <vt:lpstr>Hillsborough</vt:lpstr>
      <vt:lpstr>Holmes</vt:lpstr>
      <vt:lpstr>Indian_River</vt:lpstr>
      <vt:lpstr>Instructional_Materials_Allocation__Less_science_lab_and_dual_enrollment</vt:lpstr>
      <vt:lpstr>Jackson</vt:lpstr>
      <vt:lpstr>Jefferson</vt:lpstr>
      <vt:lpstr>k_3</vt:lpstr>
      <vt:lpstr>Lab_School_Discretionary_Contribution</vt:lpstr>
      <vt:lpstr>Lafayette</vt:lpstr>
      <vt:lpstr>Lake</vt:lpstr>
      <vt:lpstr>Lee</vt:lpstr>
      <vt:lpstr>Leon</vt:lpstr>
      <vt:lpstr>Levy</vt:lpstr>
      <vt:lpstr>Liberty</vt:lpstr>
      <vt:lpstr>Madison</vt:lpstr>
      <vt:lpstr>Manatee</vt:lpstr>
      <vt:lpstr>Marion</vt:lpstr>
      <vt:lpstr>Martin</vt:lpstr>
      <vt:lpstr>'75% or more ESE calculation'!Matrix_Level</vt:lpstr>
      <vt:lpstr>'75% or more ESE calculation (2'!Matrix_Level</vt:lpstr>
      <vt:lpstr>Miami_Dade</vt:lpstr>
      <vt:lpstr>Minimum_Guarantee_Adjustment</vt:lpstr>
      <vt:lpstr>Monroe</vt:lpstr>
      <vt:lpstr>Nassau</vt:lpstr>
      <vt:lpstr>'75% or more ESE calculation'!Number_of_FTE</vt:lpstr>
      <vt:lpstr>'75% or more ESE calculation (2'!Number_of_FTE</vt:lpstr>
      <vt:lpstr>Okaloosa</vt:lpstr>
      <vt:lpstr>Okeechobee</vt:lpstr>
      <vt:lpstr>Orange</vt:lpstr>
      <vt:lpstr>Osceola</vt:lpstr>
      <vt:lpstr>Palm_Beach</vt:lpstr>
      <vt:lpstr>Pasco</vt:lpstr>
      <vt:lpstr>'75% or more ESE calculation'!Per_Student</vt:lpstr>
      <vt:lpstr>'75% or more ESE calculation (2'!Per_Student</vt:lpstr>
      <vt:lpstr>Pinellas</vt:lpstr>
      <vt:lpstr>'75% or more ESE calculation'!PK___3</vt:lpstr>
      <vt:lpstr>'75% or more ESE calculation (2'!PK___3</vt:lpstr>
      <vt:lpstr>Polk</vt:lpstr>
      <vt:lpstr>' Detail 2014-15 Conf FEFP'!Print_Area</vt:lpstr>
      <vt:lpstr>' Detail 2022-23 FEFP Third'!Print_Area</vt:lpstr>
      <vt:lpstr>'111-112-113 ADDITIONAL FUND'!Print_Area</vt:lpstr>
      <vt:lpstr>'111-112-113 ADDITIONAL FUND (2'!Print_Area</vt:lpstr>
      <vt:lpstr>'75% or more ESE calculation'!Print_Area</vt:lpstr>
      <vt:lpstr>'75% or more ESE calculation (2'!Print_Area</vt:lpstr>
      <vt:lpstr>'All charter school calculator'!Print_Area</vt:lpstr>
      <vt:lpstr>'Annual Budget'!Print_Area</vt:lpstr>
      <vt:lpstr>'Assumptions '!Print_Area</vt:lpstr>
      <vt:lpstr>'Board Format'!Print_Area</vt:lpstr>
      <vt:lpstr>'Master Salary List'!Print_Area</vt:lpstr>
      <vt:lpstr>'Monthly Budget'!Print_Area</vt:lpstr>
      <vt:lpstr>'Transportation Per Student'!Print_Area</vt:lpstr>
      <vt:lpstr>'Transportation Per Student (2)'!Print_Area</vt:lpstr>
      <vt:lpstr>' Detail 2014-15 Conf FEFP'!Print_Titles</vt:lpstr>
      <vt:lpstr>' Detail 2022-23 FEFP Third'!Print_Titles</vt:lpstr>
      <vt:lpstr>'Board Format'!Print_Titles</vt:lpstr>
      <vt:lpstr>'Master Salary List'!Print_Titles</vt:lpstr>
      <vt:lpstr>'Monthly Budget'!Print_Titles</vt:lpstr>
      <vt:lpstr>'75% or more ESE calculation'!Program</vt:lpstr>
      <vt:lpstr>'75% or more ESE calculation (2'!Program</vt:lpstr>
      <vt:lpstr>'75% or more ESE calculation'!Program______________________________Cost_Factor</vt:lpstr>
      <vt:lpstr>'75% or more ESE calculation (2'!Program______________________________Cost_Factor</vt:lpstr>
      <vt:lpstr>Program_111__Grades_K_3</vt:lpstr>
      <vt:lpstr>Program_112__Grades_4_8</vt:lpstr>
      <vt:lpstr>Program_113__Grades_9_12</vt:lpstr>
      <vt:lpstr>Proratioin_to_Veto</vt:lpstr>
      <vt:lpstr>Proration_to_the_Appropriation</vt:lpstr>
      <vt:lpstr>Putnam</vt:lpstr>
      <vt:lpstr>'75% or more ESE calculation (2'!Revenue_Estimate_Worksheet_for___________Charter_School</vt:lpstr>
      <vt:lpstr>Safe_Schools_Allocation</vt:lpstr>
      <vt:lpstr>Santa_Rosa</vt:lpstr>
      <vt:lpstr>Sarasota</vt:lpstr>
      <vt:lpstr>'75% or more ESE calculation'!School_District</vt:lpstr>
      <vt:lpstr>'75% or more ESE calculation (2'!School_District</vt:lpstr>
      <vt:lpstr>Seminole</vt:lpstr>
      <vt:lpstr>Sparsity_Supplement</vt:lpstr>
      <vt:lpstr>St._Johns</vt:lpstr>
      <vt:lpstr>St._Lucie</vt:lpstr>
      <vt:lpstr>Sumter</vt:lpstr>
      <vt:lpstr>Supplemental_Academic_Instruction</vt:lpstr>
      <vt:lpstr>Suwannee</vt:lpstr>
      <vt:lpstr>Taylor</vt:lpstr>
      <vt:lpstr>'75% or more ESE calculation'!Total</vt:lpstr>
      <vt:lpstr>'75% or more ESE calculation (2'!Total</vt:lpstr>
      <vt:lpstr>'75% or more ESE calculation'!Total_Class_Size_Reduction_Funds</vt:lpstr>
      <vt:lpstr>'75% or more ESE calculation (2'!Total_Class_Size_Reduction_Funds</vt:lpstr>
      <vt:lpstr>'75% or more ESE calculation'!Total_from_ESE_Guarantee</vt:lpstr>
      <vt:lpstr>'75% or more ESE calculation (2'!Total_from_ESE_Guarantee</vt:lpstr>
      <vt:lpstr>'75% or more ESE calculation'!Total_FTE_with_ESE_Services</vt:lpstr>
      <vt:lpstr>'75% or more ESE calculation (2'!Total_FTE_with_ESE_Services</vt:lpstr>
      <vt:lpstr>Total_Instructional_Materials_Allocation</vt:lpstr>
      <vt:lpstr>Total_Potential_Disc.</vt:lpstr>
      <vt:lpstr>Total_Proration_to_Funds_Available</vt:lpstr>
      <vt:lpstr>'75% or more ESE calculation'!Totals</vt:lpstr>
      <vt:lpstr>'75% or more ESE calculation (2'!Totals</vt:lpstr>
      <vt:lpstr>UF_Lab_School</vt:lpstr>
      <vt:lpstr>Union</vt:lpstr>
      <vt:lpstr>UnWeighted_FTE</vt:lpstr>
      <vt:lpstr>Volusia</vt:lpstr>
      <vt:lpstr>Wakulla</vt:lpstr>
      <vt:lpstr>Walton</vt:lpstr>
      <vt:lpstr>Washington</vt:lpstr>
      <vt:lpstr>Washington_Special</vt:lpstr>
      <vt:lpstr>'75% or more ESE calculation'!Weighted_FTE____________b__x__c</vt:lpstr>
      <vt:lpstr>'75% or more ESE calculation (2'!Weighted_FTE____________b__x__c</vt:lpstr>
      <vt:lpstr>'75% or more ESE calculation'!Weighted_FTE__From_Section_1</vt:lpstr>
      <vt:lpstr>'75% or more ESE calculation (2'!Weighted_FTE__From_Section_1</vt:lpstr>
      <vt:lpstr>Weighted_FTE_Funded</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Kapelewski</dc:creator>
  <cp:lastModifiedBy>Imagine Business Manager</cp:lastModifiedBy>
  <cp:lastPrinted>2023-06-16T13:34:34Z</cp:lastPrinted>
  <dcterms:created xsi:type="dcterms:W3CDTF">1998-02-12T20:21:54Z</dcterms:created>
  <dcterms:modified xsi:type="dcterms:W3CDTF">2023-06-16T13:39:25Z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0x0101009F5CF8EEC4B66149B8D4F31C7C585418</vt:lpwstr>
  </property>
</Properties>
</file>