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Doug\DGA\Results 2017\"/>
    </mc:Choice>
  </mc:AlternateContent>
  <bookViews>
    <workbookView xWindow="480" yWindow="60" windowWidth="10380" windowHeight="5010" tabRatio="810"/>
  </bookViews>
  <sheets>
    <sheet name="Active Mem Hist" sheetId="31" r:id="rId1"/>
    <sheet name="Top Ten Lists" sheetId="36" r:id="rId2"/>
    <sheet name="Former Mem Hist" sheetId="32" r:id="rId3"/>
    <sheet name="Hole In One" sheetId="37" r:id="rId4"/>
    <sheet name="Major List" sheetId="27" r:id="rId5"/>
    <sheet name="Major List Sort" sheetId="28" r:id="rId6"/>
    <sheet name="WS History" sheetId="4" r:id="rId7"/>
    <sheet name="WS Recap" sheetId="1" r:id="rId8"/>
    <sheet name="WS Recap by YR" sheetId="25" r:id="rId9"/>
    <sheet name="WS Money Dist" sheetId="26" r:id="rId10"/>
    <sheet name="MP History" sheetId="3" r:id="rId11"/>
    <sheet name="MP Recap" sheetId="2" r:id="rId12"/>
    <sheet name="Partners History" sheetId="13" r:id="rId13"/>
    <sheet name="Fall Classic History" sheetId="14" r:id="rId14"/>
    <sheet name="Fall Classic Summary" sheetId="34" r:id="rId15"/>
    <sheet name="Mini Spring Trip History" sheetId="29" r:id="rId16"/>
    <sheet name="MST Summary" sheetId="33" r:id="rId17"/>
    <sheet name="Money" sheetId="6" r:id="rId18"/>
    <sheet name="Vardon" sheetId="5" r:id="rId19"/>
    <sheet name="Most Improved" sheetId="9" r:id="rId20"/>
    <sheet name="Total Annual Rds" sheetId="20" r:id="rId21"/>
    <sheet name="InterClub" sheetId="8" r:id="rId22"/>
    <sheet name="InterClub recap" sheetId="7" r:id="rId23"/>
  </sheets>
  <definedNames>
    <definedName name="_xlnm._FilterDatabase" localSheetId="17" hidden="1">Money!$A$4:$C$54</definedName>
    <definedName name="_xlnm.Print_Area" localSheetId="2">'Former Mem Hist'!$A$1:$J$95</definedName>
    <definedName name="_xlnm.Print_Area" localSheetId="17">Money!$A$1:$G$53</definedName>
    <definedName name="_xlnm.Print_Area" localSheetId="20">'Total Annual Rds'!$A$1:$P$29</definedName>
    <definedName name="_xlnm.Print_Area" localSheetId="18">Vardon!$A$1:$G$53</definedName>
    <definedName name="_xlnm.Print_Area" localSheetId="6">'WS History'!$A$1:$O$130</definedName>
  </definedNames>
  <calcPr calcId="152511"/>
  <pivotCaches>
    <pivotCache cacheId="0" r:id="rId24"/>
    <pivotCache cacheId="1" r:id="rId25"/>
    <pivotCache cacheId="2" r:id="rId26"/>
  </pivotCaches>
</workbook>
</file>

<file path=xl/calcChain.xml><?xml version="1.0" encoding="utf-8"?>
<calcChain xmlns="http://schemas.openxmlformats.org/spreadsheetml/2006/main">
  <c r="C11" i="33" l="1"/>
  <c r="C5" i="33"/>
  <c r="C14" i="34"/>
  <c r="E118" i="25"/>
  <c r="D117" i="25"/>
  <c r="D116" i="25"/>
  <c r="D115" i="25"/>
  <c r="D114" i="25"/>
  <c r="D113" i="25"/>
  <c r="D112" i="25"/>
  <c r="D111" i="25"/>
  <c r="D110" i="25"/>
  <c r="D109" i="25"/>
  <c r="D108" i="25"/>
  <c r="D107" i="25"/>
  <c r="D106" i="25"/>
  <c r="D105" i="25"/>
  <c r="D104" i="25"/>
  <c r="D103" i="25"/>
  <c r="D102" i="25"/>
  <c r="D101" i="25"/>
  <c r="D100" i="25"/>
  <c r="D99" i="25"/>
  <c r="D98" i="25"/>
  <c r="D97" i="25"/>
  <c r="D96" i="25"/>
  <c r="D95" i="25"/>
  <c r="D94" i="25"/>
  <c r="D93" i="25"/>
  <c r="D92" i="25"/>
  <c r="D91" i="25"/>
  <c r="D90" i="25"/>
  <c r="D89" i="25"/>
  <c r="D88" i="25"/>
  <c r="D87" i="25"/>
  <c r="D86" i="25"/>
  <c r="D85" i="25"/>
  <c r="D84" i="25"/>
  <c r="D83" i="25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2" i="25"/>
  <c r="C50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" i="25"/>
  <c r="C2" i="25"/>
  <c r="O112" i="4"/>
  <c r="F50" i="31" l="1"/>
  <c r="D50" i="31"/>
  <c r="F49" i="31"/>
  <c r="D49" i="31"/>
  <c r="F48" i="31"/>
  <c r="D48" i="31"/>
  <c r="F47" i="31"/>
  <c r="D47" i="31"/>
  <c r="F46" i="31"/>
  <c r="D46" i="31"/>
  <c r="F45" i="31"/>
  <c r="D45" i="31"/>
  <c r="H80" i="32"/>
  <c r="E80" i="32"/>
  <c r="G80" i="32" s="1"/>
  <c r="C80" i="32"/>
  <c r="D80" i="32" s="1"/>
  <c r="F44" i="31"/>
  <c r="D44" i="31"/>
  <c r="F43" i="31"/>
  <c r="D43" i="31"/>
  <c r="F42" i="31"/>
  <c r="D42" i="31"/>
  <c r="F41" i="31"/>
  <c r="D41" i="31"/>
  <c r="F40" i="31"/>
  <c r="D40" i="31"/>
  <c r="F39" i="31"/>
  <c r="D39" i="31"/>
  <c r="F38" i="31"/>
  <c r="D38" i="31"/>
  <c r="F37" i="31"/>
  <c r="D37" i="31"/>
  <c r="F36" i="31"/>
  <c r="D36" i="31"/>
  <c r="F34" i="31"/>
  <c r="D34" i="31"/>
  <c r="F33" i="31"/>
  <c r="D33" i="31"/>
  <c r="F32" i="31"/>
  <c r="D32" i="31"/>
  <c r="F31" i="31"/>
  <c r="D31" i="31"/>
  <c r="F30" i="31"/>
  <c r="D30" i="31"/>
  <c r="F29" i="31"/>
  <c r="D29" i="31"/>
  <c r="F28" i="31"/>
  <c r="D28" i="31"/>
  <c r="F80" i="32" l="1"/>
  <c r="E61" i="32" l="1"/>
  <c r="G61" i="32" s="1"/>
  <c r="C61" i="32"/>
  <c r="D61" i="32" s="1"/>
  <c r="F27" i="31"/>
  <c r="D27" i="31"/>
  <c r="F26" i="31"/>
  <c r="D26" i="31"/>
  <c r="F23" i="31"/>
  <c r="D23" i="31"/>
  <c r="Q21" i="31"/>
  <c r="H21" i="31"/>
  <c r="G21" i="31"/>
  <c r="E21" i="31"/>
  <c r="I21" i="31"/>
  <c r="F22" i="31"/>
  <c r="D22" i="31"/>
  <c r="F20" i="31"/>
  <c r="D20" i="31"/>
  <c r="E47" i="32"/>
  <c r="G47" i="32" s="1"/>
  <c r="C47" i="32"/>
  <c r="D47" i="32" s="1"/>
  <c r="F19" i="31"/>
  <c r="D19" i="31"/>
  <c r="F61" i="32" l="1"/>
  <c r="F47" i="32"/>
  <c r="F18" i="31"/>
  <c r="D18" i="31"/>
  <c r="F17" i="31"/>
  <c r="D17" i="31"/>
  <c r="F16" i="31"/>
  <c r="D16" i="31"/>
  <c r="F15" i="31"/>
  <c r="D15" i="31"/>
  <c r="F14" i="31"/>
  <c r="D14" i="31"/>
  <c r="F13" i="31"/>
  <c r="D13" i="31"/>
  <c r="F12" i="31"/>
  <c r="D12" i="31"/>
  <c r="F11" i="31"/>
  <c r="D11" i="31"/>
  <c r="F10" i="31"/>
  <c r="D10" i="31"/>
  <c r="F9" i="31"/>
  <c r="D9" i="31"/>
  <c r="F8" i="31"/>
  <c r="D8" i="31"/>
  <c r="F7" i="31"/>
  <c r="D7" i="31"/>
  <c r="Q44" i="31" l="1"/>
  <c r="H44" i="31"/>
  <c r="E44" i="31"/>
  <c r="I44" i="31"/>
  <c r="Q27" i="31"/>
  <c r="H27" i="31"/>
  <c r="G27" i="31"/>
  <c r="E27" i="31"/>
  <c r="I27" i="31"/>
  <c r="G44" i="31" l="1"/>
  <c r="C8" i="33"/>
  <c r="C24" i="33"/>
  <c r="G118" i="25" l="1"/>
  <c r="F118" i="25"/>
  <c r="B22" i="1" l="1"/>
  <c r="B112" i="1"/>
  <c r="B94" i="1"/>
  <c r="B113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64" i="1"/>
  <c r="Q50" i="31" l="1"/>
  <c r="H50" i="31"/>
  <c r="G50" i="31"/>
  <c r="E50" i="31"/>
  <c r="I50" i="31"/>
  <c r="Q17" i="31"/>
  <c r="H17" i="31"/>
  <c r="G17" i="31"/>
  <c r="E17" i="31"/>
  <c r="I17" i="31"/>
  <c r="E23" i="32" l="1"/>
  <c r="G23" i="32" s="1"/>
  <c r="C23" i="32"/>
  <c r="D23" i="32" s="1"/>
  <c r="F23" i="32" l="1"/>
  <c r="C18" i="33"/>
  <c r="C17" i="33"/>
  <c r="C6" i="33"/>
  <c r="E8" i="36" l="1"/>
  <c r="E7" i="36"/>
  <c r="C23" i="33" l="1"/>
  <c r="C22" i="33"/>
  <c r="C21" i="33"/>
  <c r="C20" i="33"/>
  <c r="C19" i="33"/>
  <c r="C16" i="33"/>
  <c r="C15" i="33"/>
  <c r="C14" i="33"/>
  <c r="C13" i="33"/>
  <c r="C12" i="33"/>
  <c r="C10" i="33"/>
  <c r="C9" i="33"/>
  <c r="C7" i="33"/>
  <c r="C69" i="34"/>
  <c r="C68" i="34"/>
  <c r="C67" i="34"/>
  <c r="C66" i="34"/>
  <c r="C65" i="34"/>
  <c r="C64" i="34"/>
  <c r="C63" i="34"/>
  <c r="C62" i="34"/>
  <c r="C61" i="34"/>
  <c r="C60" i="34"/>
  <c r="C59" i="34"/>
  <c r="C58" i="34"/>
  <c r="C57" i="34"/>
  <c r="C56" i="34"/>
  <c r="C55" i="34"/>
  <c r="C54" i="34"/>
  <c r="C53" i="34"/>
  <c r="C52" i="34"/>
  <c r="C51" i="34"/>
  <c r="C50" i="34"/>
  <c r="C49" i="34"/>
  <c r="C48" i="34"/>
  <c r="C47" i="34"/>
  <c r="C46" i="34"/>
  <c r="C45" i="34"/>
  <c r="C44" i="34"/>
  <c r="C43" i="34"/>
  <c r="C42" i="34"/>
  <c r="C41" i="34"/>
  <c r="C40" i="34"/>
  <c r="C39" i="34"/>
  <c r="C38" i="34"/>
  <c r="C37" i="34"/>
  <c r="C36" i="34"/>
  <c r="C35" i="34"/>
  <c r="C34" i="34"/>
  <c r="C33" i="34"/>
  <c r="C32" i="34"/>
  <c r="C31" i="34"/>
  <c r="C30" i="34"/>
  <c r="C29" i="34"/>
  <c r="C28" i="34"/>
  <c r="C27" i="34"/>
  <c r="C26" i="34"/>
  <c r="C25" i="34"/>
  <c r="C24" i="34"/>
  <c r="C23" i="34"/>
  <c r="C22" i="34"/>
  <c r="C21" i="34"/>
  <c r="C20" i="34"/>
  <c r="C19" i="34"/>
  <c r="C18" i="34"/>
  <c r="C17" i="34"/>
  <c r="C16" i="34"/>
  <c r="C15" i="34"/>
  <c r="C13" i="34"/>
  <c r="C12" i="34"/>
  <c r="C11" i="34"/>
  <c r="C10" i="34"/>
  <c r="C9" i="34"/>
  <c r="C8" i="34"/>
  <c r="C7" i="34"/>
  <c r="C6" i="34"/>
  <c r="C5" i="34"/>
  <c r="AX118" i="25" l="1"/>
  <c r="AW118" i="25"/>
  <c r="AV118" i="25"/>
  <c r="AU118" i="25"/>
  <c r="AT118" i="25"/>
  <c r="AS118" i="25"/>
  <c r="AR118" i="25"/>
  <c r="AQ118" i="25"/>
  <c r="AP118" i="25"/>
  <c r="AO118" i="25"/>
  <c r="AN118" i="25"/>
  <c r="AM118" i="25"/>
  <c r="AL118" i="25"/>
  <c r="AK118" i="25"/>
  <c r="AJ118" i="25"/>
  <c r="AI118" i="25"/>
  <c r="AH118" i="25"/>
  <c r="AG118" i="25"/>
  <c r="AF118" i="25"/>
  <c r="AE118" i="25"/>
  <c r="AD118" i="25"/>
  <c r="AC118" i="25"/>
  <c r="AB118" i="25"/>
  <c r="AA118" i="25"/>
  <c r="Z118" i="25"/>
  <c r="Y118" i="25"/>
  <c r="X118" i="25"/>
  <c r="W118" i="25"/>
  <c r="V118" i="25"/>
  <c r="U118" i="25"/>
  <c r="T118" i="25"/>
  <c r="S118" i="25"/>
  <c r="R118" i="25"/>
  <c r="Q118" i="25"/>
  <c r="P118" i="25"/>
  <c r="O118" i="25"/>
  <c r="N118" i="25"/>
  <c r="M118" i="25"/>
  <c r="L118" i="25"/>
  <c r="K118" i="25"/>
  <c r="J118" i="25"/>
  <c r="I118" i="25"/>
  <c r="H118" i="25"/>
  <c r="B118" i="25"/>
  <c r="D118" i="25"/>
  <c r="C118" i="25"/>
  <c r="N13" i="28" l="1"/>
  <c r="N55" i="28"/>
  <c r="N46" i="28"/>
  <c r="N9" i="28"/>
  <c r="N25" i="27"/>
  <c r="Q35" i="31" l="1"/>
  <c r="Q30" i="31"/>
  <c r="Q25" i="31"/>
  <c r="Q24" i="31"/>
  <c r="Q13" i="31"/>
  <c r="H13" i="31"/>
  <c r="G13" i="31"/>
  <c r="E13" i="31"/>
  <c r="I13" i="31"/>
  <c r="Q49" i="31"/>
  <c r="Q48" i="31"/>
  <c r="Q47" i="31"/>
  <c r="Q46" i="31"/>
  <c r="Q45" i="31"/>
  <c r="Q43" i="31"/>
  <c r="Q42" i="31"/>
  <c r="Q41" i="31"/>
  <c r="Q40" i="31"/>
  <c r="Q39" i="31"/>
  <c r="Q38" i="31"/>
  <c r="Q37" i="31"/>
  <c r="Q36" i="31"/>
  <c r="Q34" i="31"/>
  <c r="Q33" i="31"/>
  <c r="Q32" i="31"/>
  <c r="Q31" i="31"/>
  <c r="Q29" i="31"/>
  <c r="Q28" i="31"/>
  <c r="Q26" i="31"/>
  <c r="Q23" i="31"/>
  <c r="Q22" i="31"/>
  <c r="Q20" i="31"/>
  <c r="Q19" i="31"/>
  <c r="Q18" i="31"/>
  <c r="Q16" i="31"/>
  <c r="Q15" i="31"/>
  <c r="Q14" i="31"/>
  <c r="Q12" i="31"/>
  <c r="Q11" i="31"/>
  <c r="Q10" i="31"/>
  <c r="Q9" i="31"/>
  <c r="Q8" i="31"/>
  <c r="Q7" i="31"/>
  <c r="H38" i="31" l="1"/>
  <c r="G38" i="31"/>
  <c r="E38" i="31"/>
  <c r="I38" i="31" l="1"/>
  <c r="E64" i="32" l="1"/>
  <c r="G64" i="32" s="1"/>
  <c r="C64" i="32"/>
  <c r="D64" i="32" s="1"/>
  <c r="E39" i="32"/>
  <c r="G39" i="32" s="1"/>
  <c r="C39" i="32"/>
  <c r="E26" i="32"/>
  <c r="G26" i="32" s="1"/>
  <c r="C26" i="32"/>
  <c r="H94" i="32"/>
  <c r="G94" i="32"/>
  <c r="F94" i="32"/>
  <c r="D94" i="32"/>
  <c r="E93" i="32"/>
  <c r="G93" i="32" s="1"/>
  <c r="C93" i="32"/>
  <c r="D93" i="32" s="1"/>
  <c r="G92" i="32"/>
  <c r="F92" i="32"/>
  <c r="D92" i="32"/>
  <c r="H91" i="32"/>
  <c r="E91" i="32"/>
  <c r="G91" i="32" s="1"/>
  <c r="C91" i="32"/>
  <c r="H90" i="32"/>
  <c r="E90" i="32"/>
  <c r="G90" i="32" s="1"/>
  <c r="C90" i="32"/>
  <c r="D90" i="32" s="1"/>
  <c r="H89" i="32"/>
  <c r="G89" i="32"/>
  <c r="H88" i="32"/>
  <c r="G88" i="32"/>
  <c r="E87" i="32"/>
  <c r="G87" i="32" s="1"/>
  <c r="C87" i="32"/>
  <c r="D87" i="32" s="1"/>
  <c r="H86" i="32"/>
  <c r="G86" i="32"/>
  <c r="F86" i="32"/>
  <c r="D86" i="32"/>
  <c r="H85" i="32"/>
  <c r="G85" i="32"/>
  <c r="F85" i="32"/>
  <c r="D85" i="32"/>
  <c r="E84" i="32"/>
  <c r="F84" i="32" s="1"/>
  <c r="D84" i="32"/>
  <c r="H83" i="32"/>
  <c r="G83" i="32"/>
  <c r="F83" i="32"/>
  <c r="D83" i="32"/>
  <c r="H82" i="32"/>
  <c r="G82" i="32"/>
  <c r="F82" i="32"/>
  <c r="D82" i="32"/>
  <c r="H81" i="32"/>
  <c r="G81" i="32"/>
  <c r="F81" i="32"/>
  <c r="D81" i="32"/>
  <c r="H79" i="32"/>
  <c r="E79" i="32"/>
  <c r="G79" i="32" s="1"/>
  <c r="C79" i="32"/>
  <c r="D79" i="32" s="1"/>
  <c r="H78" i="32"/>
  <c r="G78" i="32"/>
  <c r="F78" i="32"/>
  <c r="D78" i="32"/>
  <c r="H77" i="32"/>
  <c r="G77" i="32"/>
  <c r="F77" i="32"/>
  <c r="D77" i="32"/>
  <c r="H76" i="32"/>
  <c r="G76" i="32"/>
  <c r="F76" i="32"/>
  <c r="D76" i="32"/>
  <c r="E75" i="32"/>
  <c r="G75" i="32" s="1"/>
  <c r="C75" i="32"/>
  <c r="D75" i="32" s="1"/>
  <c r="H74" i="32"/>
  <c r="G74" i="32"/>
  <c r="F74" i="32"/>
  <c r="D74" i="32"/>
  <c r="H73" i="32"/>
  <c r="G73" i="32"/>
  <c r="F73" i="32"/>
  <c r="D73" i="32"/>
  <c r="H72" i="32"/>
  <c r="G72" i="32"/>
  <c r="F72" i="32"/>
  <c r="D72" i="32"/>
  <c r="H71" i="32"/>
  <c r="E71" i="32"/>
  <c r="G71" i="32" s="1"/>
  <c r="C71" i="32"/>
  <c r="H70" i="32"/>
  <c r="G70" i="32"/>
  <c r="F70" i="32"/>
  <c r="D70" i="32"/>
  <c r="H69" i="32"/>
  <c r="G69" i="32"/>
  <c r="F69" i="32"/>
  <c r="D69" i="32"/>
  <c r="E68" i="32"/>
  <c r="G68" i="32" s="1"/>
  <c r="C68" i="32"/>
  <c r="D68" i="32" s="1"/>
  <c r="G67" i="32"/>
  <c r="F67" i="32"/>
  <c r="D67" i="32"/>
  <c r="H66" i="32"/>
  <c r="E66" i="32"/>
  <c r="C66" i="32"/>
  <c r="D66" i="32" s="1"/>
  <c r="H65" i="32"/>
  <c r="E65" i="32"/>
  <c r="C65" i="32"/>
  <c r="D65" i="32" s="1"/>
  <c r="H63" i="32"/>
  <c r="G63" i="32"/>
  <c r="F63" i="32"/>
  <c r="D63" i="32"/>
  <c r="H62" i="32"/>
  <c r="G62" i="32"/>
  <c r="F62" i="32"/>
  <c r="D62" i="32"/>
  <c r="G60" i="32"/>
  <c r="F60" i="32"/>
  <c r="D60" i="32"/>
  <c r="E59" i="32"/>
  <c r="C59" i="32"/>
  <c r="D59" i="32" s="1"/>
  <c r="H58" i="32"/>
  <c r="G58" i="32"/>
  <c r="F58" i="32"/>
  <c r="D58" i="32"/>
  <c r="E57" i="32"/>
  <c r="G57" i="32" s="1"/>
  <c r="C57" i="32"/>
  <c r="D57" i="32" s="1"/>
  <c r="H56" i="32"/>
  <c r="G56" i="32"/>
  <c r="F56" i="32"/>
  <c r="D56" i="32"/>
  <c r="E55" i="32"/>
  <c r="C55" i="32"/>
  <c r="D55" i="32" s="1"/>
  <c r="E54" i="32"/>
  <c r="C54" i="32"/>
  <c r="D54" i="32" s="1"/>
  <c r="H53" i="32"/>
  <c r="G53" i="32"/>
  <c r="H52" i="32"/>
  <c r="G52" i="32"/>
  <c r="F52" i="32"/>
  <c r="D52" i="32"/>
  <c r="H51" i="32"/>
  <c r="G51" i="32"/>
  <c r="F51" i="32"/>
  <c r="D51" i="32"/>
  <c r="E50" i="32"/>
  <c r="G50" i="32" s="1"/>
  <c r="C50" i="32"/>
  <c r="D50" i="32" s="1"/>
  <c r="H49" i="32"/>
  <c r="G49" i="32"/>
  <c r="F49" i="32"/>
  <c r="D49" i="32"/>
  <c r="E48" i="32"/>
  <c r="G48" i="32" s="1"/>
  <c r="C48" i="32"/>
  <c r="D48" i="32" s="1"/>
  <c r="H46" i="32"/>
  <c r="G46" i="32"/>
  <c r="F46" i="32"/>
  <c r="D46" i="32"/>
  <c r="H45" i="32"/>
  <c r="G45" i="32"/>
  <c r="F45" i="32"/>
  <c r="D45" i="32"/>
  <c r="H44" i="32"/>
  <c r="E44" i="32"/>
  <c r="G44" i="32" s="1"/>
  <c r="C44" i="32"/>
  <c r="H43" i="32"/>
  <c r="G43" i="32"/>
  <c r="F43" i="32"/>
  <c r="D43" i="32"/>
  <c r="H42" i="32"/>
  <c r="G42" i="32"/>
  <c r="F42" i="32"/>
  <c r="D42" i="32"/>
  <c r="H41" i="32"/>
  <c r="E41" i="32"/>
  <c r="G41" i="32" s="1"/>
  <c r="C41" i="32"/>
  <c r="D41" i="32" s="1"/>
  <c r="H40" i="32"/>
  <c r="E40" i="32"/>
  <c r="G40" i="32" s="1"/>
  <c r="C40" i="32"/>
  <c r="H38" i="32"/>
  <c r="E38" i="32"/>
  <c r="G38" i="32" s="1"/>
  <c r="C38" i="32"/>
  <c r="D38" i="32" s="1"/>
  <c r="E37" i="32"/>
  <c r="C37" i="32"/>
  <c r="D37" i="32" s="1"/>
  <c r="H36" i="32"/>
  <c r="G36" i="32"/>
  <c r="F36" i="32"/>
  <c r="D36" i="32"/>
  <c r="H35" i="32"/>
  <c r="G35" i="32"/>
  <c r="F35" i="32"/>
  <c r="D35" i="32"/>
  <c r="H34" i="32"/>
  <c r="G34" i="32"/>
  <c r="F34" i="32"/>
  <c r="D34" i="32"/>
  <c r="H33" i="32"/>
  <c r="G33" i="32"/>
  <c r="F33" i="32"/>
  <c r="D33" i="32"/>
  <c r="H32" i="32"/>
  <c r="E32" i="32"/>
  <c r="C32" i="32"/>
  <c r="D32" i="32" s="1"/>
  <c r="H31" i="32"/>
  <c r="E31" i="32"/>
  <c r="C31" i="32"/>
  <c r="D31" i="32" s="1"/>
  <c r="H30" i="32"/>
  <c r="E30" i="32"/>
  <c r="C30" i="32"/>
  <c r="D30" i="32" s="1"/>
  <c r="H29" i="32"/>
  <c r="G29" i="32"/>
  <c r="F29" i="32"/>
  <c r="D29" i="32"/>
  <c r="H28" i="32"/>
  <c r="G28" i="32"/>
  <c r="F28" i="32"/>
  <c r="D28" i="32"/>
  <c r="E27" i="32"/>
  <c r="G27" i="32" s="1"/>
  <c r="D27" i="32"/>
  <c r="H25" i="32"/>
  <c r="E25" i="32"/>
  <c r="C25" i="32"/>
  <c r="D25" i="32" s="1"/>
  <c r="H24" i="32"/>
  <c r="E24" i="32"/>
  <c r="C24" i="32"/>
  <c r="D24" i="32" s="1"/>
  <c r="E22" i="32"/>
  <c r="G22" i="32" s="1"/>
  <c r="C22" i="32"/>
  <c r="D22" i="32" s="1"/>
  <c r="H21" i="32"/>
  <c r="G21" i="32"/>
  <c r="F21" i="32"/>
  <c r="D21" i="32"/>
  <c r="H19" i="32"/>
  <c r="G19" i="32"/>
  <c r="F19" i="32"/>
  <c r="D19" i="32"/>
  <c r="G18" i="32"/>
  <c r="F18" i="32"/>
  <c r="D18" i="32"/>
  <c r="H17" i="32"/>
  <c r="G17" i="32"/>
  <c r="F17" i="32"/>
  <c r="D17" i="32"/>
  <c r="H16" i="32"/>
  <c r="G16" i="32"/>
  <c r="F16" i="32"/>
  <c r="D16" i="32"/>
  <c r="E15" i="32"/>
  <c r="G15" i="32" s="1"/>
  <c r="C15" i="32"/>
  <c r="D15" i="32" s="1"/>
  <c r="H13" i="32"/>
  <c r="G13" i="32"/>
  <c r="F13" i="32"/>
  <c r="D13" i="32"/>
  <c r="H12" i="32"/>
  <c r="G12" i="32"/>
  <c r="F12" i="32"/>
  <c r="D12" i="32"/>
  <c r="H11" i="32"/>
  <c r="G11" i="32"/>
  <c r="F11" i="32"/>
  <c r="D11" i="32"/>
  <c r="E10" i="32"/>
  <c r="G10" i="32" s="1"/>
  <c r="C10" i="32"/>
  <c r="H9" i="32"/>
  <c r="G9" i="32"/>
  <c r="F9" i="32"/>
  <c r="D9" i="32"/>
  <c r="H8" i="32"/>
  <c r="F8" i="32"/>
  <c r="D8" i="32"/>
  <c r="F7" i="32"/>
  <c r="D7" i="32"/>
  <c r="I49" i="31"/>
  <c r="H49" i="31"/>
  <c r="E49" i="31"/>
  <c r="I48" i="31"/>
  <c r="H48" i="31"/>
  <c r="E48" i="31"/>
  <c r="I47" i="31"/>
  <c r="H47" i="31"/>
  <c r="G47" i="31"/>
  <c r="E47" i="31"/>
  <c r="I46" i="31"/>
  <c r="H46" i="31"/>
  <c r="E46" i="31"/>
  <c r="I45" i="31"/>
  <c r="H45" i="31"/>
  <c r="E45" i="31"/>
  <c r="I43" i="31"/>
  <c r="H43" i="31"/>
  <c r="E43" i="31"/>
  <c r="I42" i="31"/>
  <c r="H42" i="31"/>
  <c r="E42" i="31"/>
  <c r="I41" i="31"/>
  <c r="H41" i="31"/>
  <c r="E41" i="31"/>
  <c r="I40" i="31"/>
  <c r="H40" i="31"/>
  <c r="E40" i="31"/>
  <c r="I39" i="31"/>
  <c r="H39" i="31"/>
  <c r="E39" i="31"/>
  <c r="I37" i="31"/>
  <c r="H37" i="31"/>
  <c r="E37" i="31"/>
  <c r="I36" i="31"/>
  <c r="H36" i="31"/>
  <c r="E36" i="31"/>
  <c r="I35" i="31"/>
  <c r="F35" i="31"/>
  <c r="H35" i="31" s="1"/>
  <c r="D35" i="31"/>
  <c r="E35" i="31" s="1"/>
  <c r="I34" i="31"/>
  <c r="H34" i="31"/>
  <c r="E34" i="31"/>
  <c r="I33" i="31"/>
  <c r="H33" i="31"/>
  <c r="E33" i="31"/>
  <c r="I32" i="31"/>
  <c r="H32" i="31"/>
  <c r="E32" i="31"/>
  <c r="I31" i="31"/>
  <c r="H31" i="31"/>
  <c r="E31" i="31"/>
  <c r="I30" i="31"/>
  <c r="H30" i="31"/>
  <c r="E30" i="31"/>
  <c r="H29" i="31"/>
  <c r="E29" i="31"/>
  <c r="I28" i="31"/>
  <c r="H28" i="31"/>
  <c r="E28" i="31"/>
  <c r="I26" i="31"/>
  <c r="H26" i="31"/>
  <c r="E26" i="31"/>
  <c r="I25" i="31"/>
  <c r="F25" i="31"/>
  <c r="H25" i="31" s="1"/>
  <c r="D25" i="31"/>
  <c r="E25" i="31" s="1"/>
  <c r="I24" i="31"/>
  <c r="F24" i="31"/>
  <c r="H24" i="31" s="1"/>
  <c r="D24" i="31"/>
  <c r="I23" i="31"/>
  <c r="H23" i="31"/>
  <c r="E23" i="31"/>
  <c r="H22" i="31"/>
  <c r="E22" i="31"/>
  <c r="I20" i="31"/>
  <c r="H20" i="31"/>
  <c r="E20" i="31"/>
  <c r="I19" i="31"/>
  <c r="H19" i="31"/>
  <c r="E19" i="31"/>
  <c r="I18" i="31"/>
  <c r="H18" i="31"/>
  <c r="E18" i="31"/>
  <c r="I16" i="31"/>
  <c r="E16" i="31"/>
  <c r="I15" i="31"/>
  <c r="E15" i="31"/>
  <c r="I14" i="31"/>
  <c r="H14" i="31"/>
  <c r="E14" i="31"/>
  <c r="I12" i="31"/>
  <c r="E12" i="31"/>
  <c r="I11" i="31"/>
  <c r="E11" i="31"/>
  <c r="I10" i="31"/>
  <c r="E10" i="31"/>
  <c r="I9" i="31"/>
  <c r="E9" i="31"/>
  <c r="I8" i="31"/>
  <c r="E8" i="31"/>
  <c r="I7" i="31"/>
  <c r="H7" i="31"/>
  <c r="E24" i="31" l="1"/>
  <c r="D51" i="31"/>
  <c r="F71" i="32"/>
  <c r="F64" i="32"/>
  <c r="G8" i="31"/>
  <c r="G10" i="31"/>
  <c r="F40" i="32"/>
  <c r="F26" i="32"/>
  <c r="F39" i="32"/>
  <c r="D26" i="32"/>
  <c r="D39" i="32"/>
  <c r="F30" i="32"/>
  <c r="F32" i="32"/>
  <c r="D40" i="32"/>
  <c r="F44" i="32"/>
  <c r="G9" i="31"/>
  <c r="G12" i="31"/>
  <c r="G22" i="31"/>
  <c r="G28" i="31"/>
  <c r="F54" i="32"/>
  <c r="F65" i="32"/>
  <c r="F91" i="32"/>
  <c r="G8" i="32"/>
  <c r="C95" i="32"/>
  <c r="D44" i="32"/>
  <c r="F25" i="32"/>
  <c r="D71" i="32"/>
  <c r="D91" i="32"/>
  <c r="G11" i="31"/>
  <c r="G16" i="31"/>
  <c r="G20" i="31"/>
  <c r="G29" i="31"/>
  <c r="G15" i="31"/>
  <c r="G7" i="32"/>
  <c r="D10" i="32"/>
  <c r="F10" i="32"/>
  <c r="F22" i="32"/>
  <c r="F24" i="32"/>
  <c r="F31" i="32"/>
  <c r="F37" i="32"/>
  <c r="F38" i="32"/>
  <c r="F41" i="32"/>
  <c r="F48" i="32"/>
  <c r="F55" i="32"/>
  <c r="F57" i="32"/>
  <c r="F59" i="32"/>
  <c r="F66" i="32"/>
  <c r="F68" i="32"/>
  <c r="F75" i="32"/>
  <c r="F87" i="32"/>
  <c r="F15" i="32"/>
  <c r="F27" i="32"/>
  <c r="F50" i="32"/>
  <c r="F79" i="32"/>
  <c r="F90" i="32"/>
  <c r="F93" i="32"/>
  <c r="G24" i="32"/>
  <c r="G25" i="32"/>
  <c r="G30" i="32"/>
  <c r="G31" i="32"/>
  <c r="G32" i="32"/>
  <c r="G37" i="32"/>
  <c r="G54" i="32"/>
  <c r="G55" i="32"/>
  <c r="G59" i="32"/>
  <c r="G65" i="32"/>
  <c r="G66" i="32"/>
  <c r="G84" i="32"/>
  <c r="H8" i="31"/>
  <c r="H9" i="31"/>
  <c r="H10" i="31"/>
  <c r="H11" i="31"/>
  <c r="H12" i="31"/>
  <c r="H15" i="31"/>
  <c r="H16" i="31"/>
  <c r="E7" i="31"/>
  <c r="G7" i="31"/>
  <c r="G14" i="31"/>
  <c r="G18" i="31"/>
  <c r="G19" i="31"/>
  <c r="G23" i="31"/>
  <c r="G24" i="31"/>
  <c r="G25" i="31"/>
  <c r="G26" i="31"/>
  <c r="G30" i="31"/>
  <c r="G31" i="31"/>
  <c r="G32" i="31"/>
  <c r="G33" i="31"/>
  <c r="G34" i="31"/>
  <c r="G35" i="31"/>
  <c r="G36" i="31"/>
  <c r="G37" i="31"/>
  <c r="G39" i="31"/>
  <c r="G40" i="31"/>
  <c r="G41" i="31"/>
  <c r="G42" i="31"/>
  <c r="G43" i="31"/>
  <c r="G45" i="31"/>
  <c r="G46" i="31"/>
  <c r="G48" i="31"/>
  <c r="G49" i="31"/>
  <c r="B22" i="2" l="1"/>
  <c r="B21" i="2"/>
  <c r="N66" i="28"/>
  <c r="N78" i="28"/>
  <c r="N90" i="28"/>
  <c r="N65" i="28"/>
  <c r="N64" i="28"/>
  <c r="N63" i="28"/>
  <c r="N62" i="28"/>
  <c r="N61" i="28"/>
  <c r="N60" i="28"/>
  <c r="N59" i="28"/>
  <c r="N58" i="28"/>
  <c r="N99" i="28"/>
  <c r="N107" i="28"/>
  <c r="N98" i="28"/>
  <c r="N57" i="28"/>
  <c r="N89" i="28"/>
  <c r="N56" i="28"/>
  <c r="N97" i="28"/>
  <c r="N77" i="28"/>
  <c r="N103" i="28"/>
  <c r="N54" i="28"/>
  <c r="N53" i="28"/>
  <c r="N52" i="28"/>
  <c r="N96" i="28"/>
  <c r="N51" i="28"/>
  <c r="N76" i="28"/>
  <c r="N50" i="28"/>
  <c r="N88" i="28"/>
  <c r="N48" i="28"/>
  <c r="N47" i="28"/>
  <c r="N75" i="28"/>
  <c r="N87" i="28"/>
  <c r="N45" i="28"/>
  <c r="N74" i="28"/>
  <c r="N86" i="28"/>
  <c r="N95" i="28"/>
  <c r="N44" i="28"/>
  <c r="N43" i="28"/>
  <c r="N102" i="28"/>
  <c r="N94" i="28"/>
  <c r="N108" i="28"/>
  <c r="N42" i="28"/>
  <c r="N110" i="28"/>
  <c r="N41" i="28"/>
  <c r="N105" i="28"/>
  <c r="N40" i="28"/>
  <c r="N112" i="28"/>
  <c r="N104" i="28"/>
  <c r="N39" i="28"/>
  <c r="N38" i="28"/>
  <c r="N73" i="28"/>
  <c r="N37" i="28"/>
  <c r="N36" i="28"/>
  <c r="N72" i="28"/>
  <c r="N35" i="28"/>
  <c r="N24" i="28"/>
  <c r="N25" i="28"/>
  <c r="N34" i="28"/>
  <c r="N33" i="28"/>
  <c r="N106" i="28"/>
  <c r="N32" i="28"/>
  <c r="N93" i="28"/>
  <c r="N85" i="28"/>
  <c r="N31" i="28"/>
  <c r="N92" i="28"/>
  <c r="N101" i="28"/>
  <c r="N30" i="28"/>
  <c r="N29" i="28"/>
  <c r="N28" i="28"/>
  <c r="N27" i="28"/>
  <c r="N26" i="28"/>
  <c r="N23" i="28"/>
  <c r="N91" i="28"/>
  <c r="N84" i="28"/>
  <c r="N83" i="28"/>
  <c r="N17" i="28"/>
  <c r="N22" i="28"/>
  <c r="N21" i="28"/>
  <c r="N15" i="28"/>
  <c r="N20" i="28"/>
  <c r="N71" i="28"/>
  <c r="N19" i="28"/>
  <c r="N49" i="28"/>
  <c r="N16" i="28"/>
  <c r="N70" i="28"/>
  <c r="N18" i="28"/>
  <c r="N14" i="28"/>
  <c r="N12" i="28"/>
  <c r="N11" i="28"/>
  <c r="N10" i="28"/>
  <c r="N82" i="28"/>
  <c r="N69" i="28"/>
  <c r="N111" i="28"/>
  <c r="N68" i="28"/>
  <c r="N100" i="28"/>
  <c r="N8" i="28"/>
  <c r="N81" i="28"/>
  <c r="N7" i="28"/>
  <c r="N6" i="28"/>
  <c r="N4" i="28"/>
  <c r="N2" i="28"/>
  <c r="N3" i="28"/>
  <c r="N67" i="28"/>
  <c r="N80" i="28"/>
  <c r="N79" i="28"/>
  <c r="N109" i="28"/>
  <c r="N5" i="28"/>
  <c r="N105" i="27"/>
  <c r="N113" i="27"/>
  <c r="N112" i="27"/>
  <c r="N111" i="27"/>
  <c r="N110" i="27"/>
  <c r="N109" i="27"/>
  <c r="N108" i="27"/>
  <c r="N107" i="27"/>
  <c r="N106" i="27"/>
  <c r="N104" i="27"/>
  <c r="N103" i="27"/>
  <c r="N102" i="27"/>
  <c r="N101" i="27"/>
  <c r="N100" i="27"/>
  <c r="N99" i="27"/>
  <c r="N98" i="27"/>
  <c r="N97" i="27"/>
  <c r="N96" i="27"/>
  <c r="N94" i="27"/>
  <c r="N93" i="27"/>
  <c r="N92" i="27"/>
  <c r="N91" i="27"/>
  <c r="N90" i="27"/>
  <c r="N89" i="27"/>
  <c r="N88" i="27"/>
  <c r="N87" i="27"/>
  <c r="N86" i="27"/>
  <c r="N85" i="27"/>
  <c r="N84" i="27"/>
  <c r="N83" i="27"/>
  <c r="N81" i="27"/>
  <c r="N80" i="27"/>
  <c r="N79" i="27"/>
  <c r="N78" i="27"/>
  <c r="N77" i="27"/>
  <c r="N76" i="27"/>
  <c r="N75" i="27"/>
  <c r="N74" i="27"/>
  <c r="N73" i="27"/>
  <c r="N72" i="27"/>
  <c r="N71" i="27"/>
  <c r="N70" i="27"/>
  <c r="N69" i="27"/>
  <c r="N68" i="27"/>
  <c r="N67" i="27"/>
  <c r="N66" i="27"/>
  <c r="N65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4" i="27"/>
  <c r="N23" i="27"/>
  <c r="N22" i="27"/>
  <c r="N21" i="27"/>
  <c r="N20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4" i="27"/>
  <c r="N3" i="27"/>
  <c r="B83" i="2" l="1"/>
  <c r="G9" i="8"/>
  <c r="G107" i="8"/>
  <c r="G98" i="8"/>
  <c r="G89" i="8"/>
  <c r="G80" i="8"/>
  <c r="G72" i="8"/>
  <c r="G63" i="8"/>
  <c r="G53" i="8"/>
  <c r="G36" i="8"/>
  <c r="G27" i="8"/>
  <c r="G18" i="8"/>
  <c r="C30" i="7"/>
  <c r="C38" i="7"/>
  <c r="C37" i="7"/>
  <c r="C36" i="7"/>
  <c r="C35" i="7"/>
  <c r="C34" i="7"/>
  <c r="C33" i="7"/>
  <c r="C32" i="7"/>
  <c r="C31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B93" i="2"/>
  <c r="B78" i="2"/>
  <c r="B74" i="2"/>
  <c r="B72" i="2"/>
  <c r="B67" i="2"/>
  <c r="B54" i="2"/>
  <c r="B10" i="2"/>
  <c r="B100" i="2"/>
  <c r="B99" i="2"/>
  <c r="B96" i="2"/>
  <c r="B95" i="2"/>
  <c r="B94" i="2"/>
  <c r="B92" i="2"/>
  <c r="B91" i="2"/>
  <c r="B90" i="2"/>
  <c r="B89" i="2"/>
  <c r="B87" i="2"/>
  <c r="B86" i="2"/>
  <c r="B85" i="2"/>
  <c r="B84" i="2"/>
  <c r="B82" i="2"/>
  <c r="B81" i="2"/>
  <c r="B80" i="2"/>
  <c r="B79" i="2"/>
  <c r="B77" i="2"/>
  <c r="B76" i="2"/>
  <c r="B75" i="2"/>
  <c r="B73" i="2"/>
  <c r="B71" i="2"/>
  <c r="B70" i="2"/>
  <c r="B69" i="2"/>
  <c r="B68" i="2"/>
  <c r="B66" i="2"/>
  <c r="B65" i="2"/>
  <c r="B64" i="2"/>
  <c r="B63" i="2"/>
  <c r="B62" i="2"/>
  <c r="B61" i="2"/>
  <c r="B60" i="2"/>
  <c r="B59" i="2"/>
  <c r="B58" i="2"/>
  <c r="B57" i="2"/>
  <c r="B56" i="2"/>
  <c r="B55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0" i="2"/>
  <c r="B19" i="2"/>
  <c r="B18" i="2"/>
  <c r="B17" i="2"/>
  <c r="B16" i="2"/>
  <c r="B15" i="2"/>
  <c r="B14" i="2"/>
  <c r="B13" i="2"/>
  <c r="B12" i="2"/>
  <c r="B11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<sst xmlns="http://schemas.openxmlformats.org/spreadsheetml/2006/main" count="3824" uniqueCount="1004">
  <si>
    <t>Babetski</t>
  </si>
  <si>
    <t>Banks</t>
  </si>
  <si>
    <t>Cavallo</t>
  </si>
  <si>
    <t>Ceglia</t>
  </si>
  <si>
    <t>Conway</t>
  </si>
  <si>
    <t>DeSimone</t>
  </si>
  <si>
    <t>Failing</t>
  </si>
  <si>
    <t>Fitzgerald</t>
  </si>
  <si>
    <t>Glassen</t>
  </si>
  <si>
    <t>Greene</t>
  </si>
  <si>
    <t xml:space="preserve">Grote </t>
  </si>
  <si>
    <t>Heda</t>
  </si>
  <si>
    <t>Jeffries</t>
  </si>
  <si>
    <t>Keefer</t>
  </si>
  <si>
    <t>Keller, B</t>
  </si>
  <si>
    <t>Keller, G</t>
  </si>
  <si>
    <t>Kerr</t>
  </si>
  <si>
    <t>Knox</t>
  </si>
  <si>
    <t>Korleski</t>
  </si>
  <si>
    <t>Kozlow</t>
  </si>
  <si>
    <t>Krasinski</t>
  </si>
  <si>
    <t>Marshall</t>
  </si>
  <si>
    <t>McColgan</t>
  </si>
  <si>
    <t>Minutello</t>
  </si>
  <si>
    <t>Nolan</t>
  </si>
  <si>
    <t>Nowark</t>
  </si>
  <si>
    <t>Perry,D</t>
  </si>
  <si>
    <t>Perry,J</t>
  </si>
  <si>
    <t>Perry,R</t>
  </si>
  <si>
    <t>Prisco</t>
  </si>
  <si>
    <t>Rackowski</t>
  </si>
  <si>
    <t>Rapp</t>
  </si>
  <si>
    <t>Sinclair</t>
  </si>
  <si>
    <t>Stamas</t>
  </si>
  <si>
    <t>Thiry, F</t>
  </si>
  <si>
    <t>Thiry,L</t>
  </si>
  <si>
    <t>Winhold</t>
  </si>
  <si>
    <t>Wrobel,D</t>
  </si>
  <si>
    <t>Wrobel,T</t>
  </si>
  <si>
    <t>Qualified</t>
  </si>
  <si>
    <t>Won</t>
  </si>
  <si>
    <t>Piccoli</t>
  </si>
  <si>
    <t>Ayers</t>
  </si>
  <si>
    <t>Banias</t>
  </si>
  <si>
    <t>Barsky Jr.</t>
  </si>
  <si>
    <t>Barsky Sr.</t>
  </si>
  <si>
    <t>Bilik</t>
  </si>
  <si>
    <t>Bushey</t>
  </si>
  <si>
    <t>Caldwell</t>
  </si>
  <si>
    <t>Cerciello</t>
  </si>
  <si>
    <t>Daggett</t>
  </si>
  <si>
    <t>DeMeola</t>
  </si>
  <si>
    <t>Elvin</t>
  </si>
  <si>
    <t>Fairlie,D</t>
  </si>
  <si>
    <t>Fairlie,S</t>
  </si>
  <si>
    <t>Foster</t>
  </si>
  <si>
    <t>Frackenpohl</t>
  </si>
  <si>
    <t>Geis</t>
  </si>
  <si>
    <t>Germann</t>
  </si>
  <si>
    <t>Hagen</t>
  </si>
  <si>
    <t>Holm</t>
  </si>
  <si>
    <t>Hopkins</t>
  </si>
  <si>
    <t>Hradil</t>
  </si>
  <si>
    <t>Jackson</t>
  </si>
  <si>
    <t>Kennedy</t>
  </si>
  <si>
    <t>Kopper</t>
  </si>
  <si>
    <t>Kutzleb</t>
  </si>
  <si>
    <t>Mantrom</t>
  </si>
  <si>
    <t>Novellino</t>
  </si>
  <si>
    <t>Pawluk</t>
  </si>
  <si>
    <t>Rackowski, J.</t>
  </si>
  <si>
    <t>Rocco</t>
  </si>
  <si>
    <t>Savino</t>
  </si>
  <si>
    <t>Schorn</t>
  </si>
  <si>
    <t>Schunk</t>
  </si>
  <si>
    <t>Shovlin</t>
  </si>
  <si>
    <t>Silva</t>
  </si>
  <si>
    <t>Smith</t>
  </si>
  <si>
    <t>Storm</t>
  </si>
  <si>
    <t>Szem</t>
  </si>
  <si>
    <t>Terrible</t>
  </si>
  <si>
    <t>Thompson Jr.</t>
  </si>
  <si>
    <t>Thompson Sr.</t>
  </si>
  <si>
    <t>Trahmann</t>
  </si>
  <si>
    <t>Weckenman</t>
  </si>
  <si>
    <t>West</t>
  </si>
  <si>
    <t>Zappulla, C.</t>
  </si>
  <si>
    <t>Koenig</t>
  </si>
  <si>
    <t>Haderer</t>
  </si>
  <si>
    <t>Name</t>
  </si>
  <si>
    <t>Years Qualified</t>
  </si>
  <si>
    <t xml:space="preserve">                     DGA Match Play History</t>
  </si>
  <si>
    <t>Year</t>
  </si>
  <si>
    <t>SemiFinalists</t>
  </si>
  <si>
    <t>Finalists</t>
  </si>
  <si>
    <t>Winner</t>
  </si>
  <si>
    <t>Score</t>
  </si>
  <si>
    <t>1978</t>
  </si>
  <si>
    <t>Shunk</t>
  </si>
  <si>
    <t>1979</t>
  </si>
  <si>
    <t>E. Rackowski</t>
  </si>
  <si>
    <t>1980</t>
  </si>
  <si>
    <t>Jackson, Schorn</t>
  </si>
  <si>
    <t>1981</t>
  </si>
  <si>
    <t>1982</t>
  </si>
  <si>
    <t>G. Keller, Greene</t>
  </si>
  <si>
    <t>G. Keller</t>
  </si>
  <si>
    <t>Knox, Banias</t>
  </si>
  <si>
    <t>1983</t>
  </si>
  <si>
    <t>Jackson, Stamas</t>
  </si>
  <si>
    <t>E. Rackowski, Banias</t>
  </si>
  <si>
    <t>1984</t>
  </si>
  <si>
    <t>L. Thiry</t>
  </si>
  <si>
    <t>1985</t>
  </si>
  <si>
    <t>S. Fairlie</t>
  </si>
  <si>
    <t>1986</t>
  </si>
  <si>
    <t>Conway, Cavallo</t>
  </si>
  <si>
    <t>1987</t>
  </si>
  <si>
    <t>Nolan, Kerr</t>
  </si>
  <si>
    <t>Sinclair, Stamas</t>
  </si>
  <si>
    <t>1988</t>
  </si>
  <si>
    <t>Schorn, G. Keller</t>
  </si>
  <si>
    <t>Jackson, Bilik</t>
  </si>
  <si>
    <t>1989</t>
  </si>
  <si>
    <t>Haderer, Winhold</t>
  </si>
  <si>
    <t>Minutello, G. Keller</t>
  </si>
  <si>
    <t>1990</t>
  </si>
  <si>
    <t>E. Rackowski, Stamas</t>
  </si>
  <si>
    <t>DeMeola, D. Perry</t>
  </si>
  <si>
    <t>1991</t>
  </si>
  <si>
    <t>Conway, Smith</t>
  </si>
  <si>
    <t>2 &amp; 1</t>
  </si>
  <si>
    <t>D. Perry, Hagen</t>
  </si>
  <si>
    <t>1992</t>
  </si>
  <si>
    <t>Conway, G. Keller</t>
  </si>
  <si>
    <t>2 Up</t>
  </si>
  <si>
    <t>D. Wrobel, Sinclair</t>
  </si>
  <si>
    <t>1993</t>
  </si>
  <si>
    <t>D. Wrobel</t>
  </si>
  <si>
    <t>1 Up</t>
  </si>
  <si>
    <t>D. Wrobel, B. Keller</t>
  </si>
  <si>
    <t>D.Wrobel</t>
  </si>
  <si>
    <t>1994</t>
  </si>
  <si>
    <t>Haderer, G. Keller</t>
  </si>
  <si>
    <t>D. Perry</t>
  </si>
  <si>
    <t>4 &amp; 3</t>
  </si>
  <si>
    <t>D. Perry, Rackowski</t>
  </si>
  <si>
    <t>Conway, F. Thiry</t>
  </si>
  <si>
    <t>3 &amp; 2</t>
  </si>
  <si>
    <t>Glassen, Rackowski</t>
  </si>
  <si>
    <t>McColgan,F. Thiry</t>
  </si>
  <si>
    <t>5 &amp; 4</t>
  </si>
  <si>
    <t>B. Keller, Nolan</t>
  </si>
  <si>
    <t>B. Keller</t>
  </si>
  <si>
    <t>R. Perry, D. Perry</t>
  </si>
  <si>
    <t>R. Perry</t>
  </si>
  <si>
    <t>Marshall, Minutello</t>
  </si>
  <si>
    <t>DGA World Series History</t>
  </si>
  <si>
    <t>1st Round</t>
  </si>
  <si>
    <t>2nd Round</t>
  </si>
  <si>
    <t>3rd Round</t>
  </si>
  <si>
    <t>4th Round</t>
  </si>
  <si>
    <t>Low 72 Hole</t>
  </si>
  <si>
    <t>Multiple Wins</t>
  </si>
  <si>
    <t>CHAMPION</t>
  </si>
  <si>
    <t>1972</t>
  </si>
  <si>
    <t>1973</t>
  </si>
  <si>
    <t xml:space="preserve">Storm     </t>
  </si>
  <si>
    <t xml:space="preserve">Banias      </t>
  </si>
  <si>
    <t xml:space="preserve">Jackson   </t>
  </si>
  <si>
    <t xml:space="preserve">Rackowski,E </t>
  </si>
  <si>
    <t>1974</t>
  </si>
  <si>
    <t xml:space="preserve">Cerciello </t>
  </si>
  <si>
    <t xml:space="preserve">Shunk       </t>
  </si>
  <si>
    <t xml:space="preserve">McColgan  </t>
  </si>
  <si>
    <t xml:space="preserve">Daggett     </t>
  </si>
  <si>
    <t>1975</t>
  </si>
  <si>
    <t xml:space="preserve">Rackowski,J </t>
  </si>
  <si>
    <t xml:space="preserve">Kerr      </t>
  </si>
  <si>
    <t xml:space="preserve">Thompson Jr </t>
  </si>
  <si>
    <t>Thompson,Jr</t>
  </si>
  <si>
    <t>1976</t>
  </si>
  <si>
    <t xml:space="preserve">Minutello </t>
  </si>
  <si>
    <t xml:space="preserve">Frackenpohl </t>
  </si>
  <si>
    <t xml:space="preserve">Keller,G    </t>
  </si>
  <si>
    <t xml:space="preserve"> 74P</t>
  </si>
  <si>
    <t>1977</t>
  </si>
  <si>
    <t xml:space="preserve">Fairlie,D </t>
  </si>
  <si>
    <t xml:space="preserve">Kennedy   </t>
  </si>
  <si>
    <t xml:space="preserve">Prisco    </t>
  </si>
  <si>
    <t xml:space="preserve">Fairlie,D   </t>
  </si>
  <si>
    <t xml:space="preserve">Stamas    </t>
  </si>
  <si>
    <t xml:space="preserve"> 75P</t>
  </si>
  <si>
    <t xml:space="preserve">Greene    </t>
  </si>
  <si>
    <t xml:space="preserve">Thompson,Jr </t>
  </si>
  <si>
    <t xml:space="preserve">Shunk     </t>
  </si>
  <si>
    <t xml:space="preserve">Thompson,Sr </t>
  </si>
  <si>
    <t xml:space="preserve">Szem        </t>
  </si>
  <si>
    <t xml:space="preserve">Prisco      </t>
  </si>
  <si>
    <t xml:space="preserve">Greene  </t>
  </si>
  <si>
    <t xml:space="preserve">McColgan    </t>
  </si>
  <si>
    <t xml:space="preserve">Stamas      </t>
  </si>
  <si>
    <t xml:space="preserve">Greene     </t>
  </si>
  <si>
    <t xml:space="preserve">Jackson     </t>
  </si>
  <si>
    <t xml:space="preserve">Keller,G   </t>
  </si>
  <si>
    <t xml:space="preserve">Schorn     </t>
  </si>
  <si>
    <t xml:space="preserve">L. Thiry      </t>
  </si>
  <si>
    <t xml:space="preserve">Kerr        </t>
  </si>
  <si>
    <t xml:space="preserve">Cerciello   </t>
  </si>
  <si>
    <t xml:space="preserve">Keller,G  </t>
  </si>
  <si>
    <t>Thompson,Sr</t>
  </si>
  <si>
    <t xml:space="preserve">L. Thiry     </t>
  </si>
  <si>
    <t xml:space="preserve">Keefer     </t>
  </si>
  <si>
    <t xml:space="preserve">Prisco     </t>
  </si>
  <si>
    <t>Rackowski,E</t>
  </si>
  <si>
    <t xml:space="preserve">Bilik       </t>
  </si>
  <si>
    <t xml:space="preserve">Conway    </t>
  </si>
  <si>
    <t xml:space="preserve">Haderer     </t>
  </si>
  <si>
    <t xml:space="preserve">Banias    </t>
  </si>
  <si>
    <t xml:space="preserve">Cavallo   </t>
  </si>
  <si>
    <t xml:space="preserve">Minutello   </t>
  </si>
  <si>
    <t xml:space="preserve">Kozlow    </t>
  </si>
  <si>
    <t xml:space="preserve">Cavallo     </t>
  </si>
  <si>
    <t xml:space="preserve">Thiry       </t>
  </si>
  <si>
    <t xml:space="preserve">Fitzgerald </t>
  </si>
  <si>
    <t xml:space="preserve">Glassen     </t>
  </si>
  <si>
    <t xml:space="preserve">Hagen       </t>
  </si>
  <si>
    <t xml:space="preserve">L. Thiry       </t>
  </si>
  <si>
    <t xml:space="preserve">Conway      </t>
  </si>
  <si>
    <t>Thiry</t>
  </si>
  <si>
    <t>T. Wrobel</t>
  </si>
  <si>
    <t>1995</t>
  </si>
  <si>
    <t>1996</t>
  </si>
  <si>
    <t>F. Thiry</t>
  </si>
  <si>
    <t>73P</t>
  </si>
  <si>
    <t xml:space="preserve"> </t>
  </si>
  <si>
    <t xml:space="preserve">Most times qualified:                       </t>
  </si>
  <si>
    <t xml:space="preserve">Most times won:                             </t>
  </si>
  <si>
    <t>Lowest qualifying score:</t>
  </si>
  <si>
    <t xml:space="preserve">Lowest winning score:                       </t>
  </si>
  <si>
    <t xml:space="preserve">Highest qualifying score:                   </t>
  </si>
  <si>
    <t xml:space="preserve">Highest winning score:                      </t>
  </si>
  <si>
    <t xml:space="preserve">Most years qualified in a row:              </t>
  </si>
  <si>
    <t>1977-81</t>
  </si>
  <si>
    <t xml:space="preserve">Most times qualified by 72 hole total:    </t>
  </si>
  <si>
    <t xml:space="preserve">Lowest 72 hole qualifying score:            </t>
  </si>
  <si>
    <t xml:space="preserve">Current members who have never qualified:   </t>
  </si>
  <si>
    <t>Keller, R.</t>
  </si>
  <si>
    <t>1998</t>
  </si>
  <si>
    <t>T, Wrobel, Fitzgerald</t>
  </si>
  <si>
    <t>Conway, Nowark</t>
  </si>
  <si>
    <t>F. Thiry, Heda</t>
  </si>
  <si>
    <t>D. Wrobel, Failing</t>
  </si>
  <si>
    <t>Lanterman</t>
  </si>
  <si>
    <t>J. Perry</t>
  </si>
  <si>
    <t>2000</t>
  </si>
  <si>
    <t>Brown</t>
  </si>
  <si>
    <t>Grote</t>
  </si>
  <si>
    <t>Price</t>
  </si>
  <si>
    <t>Rutigliano</t>
  </si>
  <si>
    <t>Schwartz</t>
  </si>
  <si>
    <t>Nowark, Kozlow</t>
  </si>
  <si>
    <t>Grote, Minutello</t>
  </si>
  <si>
    <t>2001</t>
  </si>
  <si>
    <t>69P</t>
  </si>
  <si>
    <t>Rinaldi</t>
  </si>
  <si>
    <t>Urbano</t>
  </si>
  <si>
    <t>J. Perry, Prisco</t>
  </si>
  <si>
    <t>Grote, Jeffries</t>
  </si>
  <si>
    <t>Sinclair, Korleski</t>
  </si>
  <si>
    <t>B. Keller, T. Wrobel</t>
  </si>
  <si>
    <t>D. Fairlie</t>
  </si>
  <si>
    <t>E. Kerr</t>
  </si>
  <si>
    <t>G. Caldwell</t>
  </si>
  <si>
    <t>B. Thompson, Jr.</t>
  </si>
  <si>
    <t>J. Banias</t>
  </si>
  <si>
    <t>G. Stamas</t>
  </si>
  <si>
    <t>E. Kopper</t>
  </si>
  <si>
    <t>Vardon Trophy History</t>
  </si>
  <si>
    <t>Avg Net</t>
  </si>
  <si>
    <t>Money Winner History</t>
  </si>
  <si>
    <t>I. Minutello</t>
  </si>
  <si>
    <t>G. Nolan</t>
  </si>
  <si>
    <t>G. Prisco</t>
  </si>
  <si>
    <t>A. Szem</t>
  </si>
  <si>
    <t>D. Daggett</t>
  </si>
  <si>
    <t>B. Failing</t>
  </si>
  <si>
    <t>J. Glassen</t>
  </si>
  <si>
    <t>D. Price</t>
  </si>
  <si>
    <t>71P</t>
  </si>
  <si>
    <t>Price, D. Perry</t>
  </si>
  <si>
    <t>InterClub Teams</t>
  </si>
  <si>
    <t>Pine Barrens</t>
  </si>
  <si>
    <t>Brown/Conway</t>
  </si>
  <si>
    <t>Alt Shot</t>
  </si>
  <si>
    <t>(Capt)</t>
  </si>
  <si>
    <t>5th Place</t>
  </si>
  <si>
    <t>Rutigliano/Sinclair</t>
  </si>
  <si>
    <t>Better Ball</t>
  </si>
  <si>
    <t>F. Thiry/L. Thiry</t>
  </si>
  <si>
    <t>Ind Net</t>
  </si>
  <si>
    <t>Conway/Greene</t>
  </si>
  <si>
    <t>2nd Place</t>
  </si>
  <si>
    <t>D. Perry/Wolters</t>
  </si>
  <si>
    <t>B. Keller/L. Thiry</t>
  </si>
  <si>
    <t>Wolters</t>
  </si>
  <si>
    <t>Hawke Pointe</t>
  </si>
  <si>
    <t>Conway/Fitzgerald</t>
  </si>
  <si>
    <t>1st Place</t>
  </si>
  <si>
    <t>Babetski/Sinclair</t>
  </si>
  <si>
    <t>Keefer/D. Perry</t>
  </si>
  <si>
    <t>Mattawang</t>
  </si>
  <si>
    <t>D. Perry/T. Wrobel</t>
  </si>
  <si>
    <t>Grote/Price</t>
  </si>
  <si>
    <t>Prisco/Knox</t>
  </si>
  <si>
    <t>G. Keller/Krasinski</t>
  </si>
  <si>
    <t>Wrobel</t>
  </si>
  <si>
    <t>Jeffries/Lanterman</t>
  </si>
  <si>
    <t>DeSimone/Minutello</t>
  </si>
  <si>
    <t>J. Perry/F. Thiry</t>
  </si>
  <si>
    <t>Nowark/L. Thiry</t>
  </si>
  <si>
    <t>Conway/B. Keller</t>
  </si>
  <si>
    <t>4th Place</t>
  </si>
  <si>
    <t>Minutello/L. Thiry</t>
  </si>
  <si>
    <t>Ceglia/D. Perry</t>
  </si>
  <si>
    <t>Ceglia/McColgan</t>
  </si>
  <si>
    <t>6th Place</t>
  </si>
  <si>
    <t>D. Perry/R. Perry</t>
  </si>
  <si>
    <t>Banks/L. Thiry</t>
  </si>
  <si>
    <t>Ceglia/G. Keller</t>
  </si>
  <si>
    <t>Glassen/F. Thiry</t>
  </si>
  <si>
    <t>McColgan/Rackowski</t>
  </si>
  <si>
    <t>Nolan/R. Perry</t>
  </si>
  <si>
    <t>Center Valley</t>
  </si>
  <si>
    <t>Rackowski/McColgan</t>
  </si>
  <si>
    <t>Conway/Ceglia</t>
  </si>
  <si>
    <t>(RAIN)</t>
  </si>
  <si>
    <t>R. Perry/Nolan</t>
  </si>
  <si>
    <t>Kerr/D. Perry</t>
  </si>
  <si>
    <t>Nolan/L. Thiry</t>
  </si>
  <si>
    <t>Conway/R. Perry</t>
  </si>
  <si>
    <t>Minutello/G. Keller</t>
  </si>
  <si>
    <t>Conway/D. Wrobel</t>
  </si>
  <si>
    <t>Minutello/Rackowski</t>
  </si>
  <si>
    <t>Captain</t>
  </si>
  <si>
    <t>Team</t>
  </si>
  <si>
    <t>#Wins</t>
  </si>
  <si>
    <t>Keller, B.</t>
  </si>
  <si>
    <t>Keller, G.</t>
  </si>
  <si>
    <t>Perry, J.</t>
  </si>
  <si>
    <t>Perry, R.</t>
  </si>
  <si>
    <t>Thiry, F.</t>
  </si>
  <si>
    <t>Thiry, L.</t>
  </si>
  <si>
    <t>Wrobel D.</t>
  </si>
  <si>
    <t>Wrobel, T.</t>
  </si>
  <si>
    <t>T. McColgan</t>
  </si>
  <si>
    <t>B. Haderer</t>
  </si>
  <si>
    <t>B. Thompson, Sr.</t>
  </si>
  <si>
    <t>G. Cavallo</t>
  </si>
  <si>
    <t>D. Sinclair</t>
  </si>
  <si>
    <t>D. Hagen</t>
  </si>
  <si>
    <t>P. DeMeola</t>
  </si>
  <si>
    <t>R. Fitzgerald</t>
  </si>
  <si>
    <t>Most Improved</t>
  </si>
  <si>
    <t>D. Conway</t>
  </si>
  <si>
    <t>M. Greene</t>
  </si>
  <si>
    <t>E. Rackoswki</t>
  </si>
  <si>
    <t>E. Korleski</t>
  </si>
  <si>
    <t>Grand Total</t>
  </si>
  <si>
    <t>2003</t>
  </si>
  <si>
    <t xml:space="preserve">                     DGA Partners Tournament History</t>
  </si>
  <si>
    <t>Cavallo/Korleski, G. Keller/D. Perry</t>
  </si>
  <si>
    <t>Cavallo/Korleski</t>
  </si>
  <si>
    <t>+8</t>
  </si>
  <si>
    <t>Minutello/L. Thiry, F. Thiry/Heda</t>
  </si>
  <si>
    <t>Babetski/Nowark, B. Keller/Winhold</t>
  </si>
  <si>
    <t>Babetski/Nowark</t>
  </si>
  <si>
    <t>Minutello/L. Thiry, Jeffries/Rapp</t>
  </si>
  <si>
    <t>1999</t>
  </si>
  <si>
    <t>Conway/McColgan, Minutello, L. Thiry</t>
  </si>
  <si>
    <t>Conway/McColgan</t>
  </si>
  <si>
    <t>Tiebreaker</t>
  </si>
  <si>
    <t>DeSimone/Rackowski, Ceglia/R. Perry</t>
  </si>
  <si>
    <t>DeSimone/Rackowski</t>
  </si>
  <si>
    <t>Babetski/Nowark, DeSimone/Rackowski</t>
  </si>
  <si>
    <t>+5</t>
  </si>
  <si>
    <t>Ceglia/G. Keller, B. Keller/Marshall</t>
  </si>
  <si>
    <t>J. Perry/Rapp, Failing/Schwartz</t>
  </si>
  <si>
    <t>J. Perry/Rapp</t>
  </si>
  <si>
    <t>+6</t>
  </si>
  <si>
    <t>Krasinski/Lanterman, Conway/McColgan</t>
  </si>
  <si>
    <t>Krasinski/Lanterman</t>
  </si>
  <si>
    <t>Price/Rutigliano, Knox/Prisco</t>
  </si>
  <si>
    <t>Price/Rutigliano</t>
  </si>
  <si>
    <t>J. Perry/Rapp, Jeffries/Sinclair</t>
  </si>
  <si>
    <t>Brown/Fitzgerald, Knox/Prisco</t>
  </si>
  <si>
    <t>Brown/Fitzgerald</t>
  </si>
  <si>
    <t>+1</t>
  </si>
  <si>
    <t>Banks/Grote, Krasinski/Lanterman</t>
  </si>
  <si>
    <t>Banks/Grote</t>
  </si>
  <si>
    <t>3rd Place</t>
  </si>
  <si>
    <t>Ties/Comments</t>
  </si>
  <si>
    <t>2002</t>
  </si>
  <si>
    <t>Keller, George</t>
  </si>
  <si>
    <t>Byrne, Michael</t>
  </si>
  <si>
    <t>Ceglia, Ron</t>
  </si>
  <si>
    <t>Barsky, Bob</t>
  </si>
  <si>
    <t>Minutello, Min</t>
  </si>
  <si>
    <t>Wrobel, Tom</t>
  </si>
  <si>
    <t>Kerr, Ed</t>
  </si>
  <si>
    <t>Korleski, Ed</t>
  </si>
  <si>
    <t>Rapp, Bruce</t>
  </si>
  <si>
    <t>Jeffries, Mike</t>
  </si>
  <si>
    <t>Perry, Dave</t>
  </si>
  <si>
    <t>Perry, Rob</t>
  </si>
  <si>
    <t>Nolan, George</t>
  </si>
  <si>
    <t>Sinclair, Des</t>
  </si>
  <si>
    <t>Kimberly, Tom</t>
  </si>
  <si>
    <t>Conway, Doug</t>
  </si>
  <si>
    <t xml:space="preserve">Nowark, Bob </t>
  </si>
  <si>
    <t>Caruso, Bill</t>
  </si>
  <si>
    <t>Byrne, Brian</t>
  </si>
  <si>
    <t>Caruso 4, Perry, R 5</t>
  </si>
  <si>
    <t>Playoff</t>
  </si>
  <si>
    <t>Sokol, Rob</t>
  </si>
  <si>
    <t>Kimberley, Tom</t>
  </si>
  <si>
    <t>Glassen, Joe</t>
  </si>
  <si>
    <t>DeMeola, Paul</t>
  </si>
  <si>
    <t>Stamas, George</t>
  </si>
  <si>
    <t>Jackson, Jim</t>
  </si>
  <si>
    <t>Thiry, Larry</t>
  </si>
  <si>
    <t>Kozlow, Mike</t>
  </si>
  <si>
    <t>Hagen, Duane</t>
  </si>
  <si>
    <t>Manos, John</t>
  </si>
  <si>
    <t>Zappulla, Chas.</t>
  </si>
  <si>
    <t>Hagen, Dean</t>
  </si>
  <si>
    <t>Smith, Doug</t>
  </si>
  <si>
    <t>Haderer, Bob</t>
  </si>
  <si>
    <t>Sgroi, Sam</t>
  </si>
  <si>
    <t>Thompson Jr, Bob</t>
  </si>
  <si>
    <t>Schorn, John</t>
  </si>
  <si>
    <t>Bilik, John</t>
  </si>
  <si>
    <t>Manos, Bill</t>
  </si>
  <si>
    <t>Keefer, Harry</t>
  </si>
  <si>
    <t>McColgan, Tom</t>
  </si>
  <si>
    <t>Keller, Bob</t>
  </si>
  <si>
    <t>Auriemma, Tony</t>
  </si>
  <si>
    <t>Mauskopf, Bill</t>
  </si>
  <si>
    <t>Fairlie, Dan</t>
  </si>
  <si>
    <t>Weckenman, Joe</t>
  </si>
  <si>
    <t>Banias, Jack</t>
  </si>
  <si>
    <t>Greene, Marty</t>
  </si>
  <si>
    <t>Szem, Al</t>
  </si>
  <si>
    <t>Bradley, Pete</t>
  </si>
  <si>
    <t>Daggett, Dave</t>
  </si>
  <si>
    <t>McGrath</t>
  </si>
  <si>
    <t>1965</t>
  </si>
  <si>
    <t>1964</t>
  </si>
  <si>
    <t>2004</t>
  </si>
  <si>
    <t>D. Perry, Nowark</t>
  </si>
  <si>
    <t>F. Thiry, Minutello</t>
  </si>
  <si>
    <t>Years Qualified for Finals</t>
  </si>
  <si>
    <t>Nolan/D. Perry, Conway/L. Thiry</t>
  </si>
  <si>
    <t>Nolan/D. Perry</t>
  </si>
  <si>
    <t>Ceglia/DeSimone, Jeffries/Urbano</t>
  </si>
  <si>
    <t>Ceglia/DeSimone</t>
  </si>
  <si>
    <t>Perry, John</t>
  </si>
  <si>
    <t>2005</t>
  </si>
  <si>
    <t>Schuler</t>
  </si>
  <si>
    <t>DeSimone, Grote</t>
  </si>
  <si>
    <t>Fitzgerald, Nolan</t>
  </si>
  <si>
    <t>Conway/L. Thiry, Heda/F. Thiry</t>
  </si>
  <si>
    <t>Conway/L. Thiry</t>
  </si>
  <si>
    <t>Babetski/Nowark, Nolan/D. Perry</t>
  </si>
  <si>
    <t>D. Wagner DQ</t>
  </si>
  <si>
    <t>Schuler, Mark</t>
  </si>
  <si>
    <t>Wolters, Luke</t>
  </si>
  <si>
    <t>L. Wolters</t>
  </si>
  <si>
    <t>Count of Winner</t>
  </si>
  <si>
    <t>Conway/DeSimone</t>
  </si>
  <si>
    <t>Rapp/L. Thiry</t>
  </si>
  <si>
    <t>Grote/Rinaldi</t>
  </si>
  <si>
    <t>2006</t>
  </si>
  <si>
    <t>Getchis</t>
  </si>
  <si>
    <t>2007</t>
  </si>
  <si>
    <t>S. Smith, Sinclair</t>
  </si>
  <si>
    <t>G. Keller, F. Thiry</t>
  </si>
  <si>
    <t>Jeffries/Rinaldi, Kozlow/Lanterman</t>
  </si>
  <si>
    <t>Cavallo/Korleski, Greene/Knox</t>
  </si>
  <si>
    <t>Greene/Knox</t>
  </si>
  <si>
    <t>Ceglia/DeSimone, Nolan/D. Perry</t>
  </si>
  <si>
    <t>Babetski/Nowark, Price/Rutigliano</t>
  </si>
  <si>
    <t>+4</t>
  </si>
  <si>
    <t>Brown, G. Keller</t>
  </si>
  <si>
    <t>Nolan, Rapp</t>
  </si>
  <si>
    <t>3 &amp; 1</t>
  </si>
  <si>
    <t>Schwartz , Don</t>
  </si>
  <si>
    <t>Grote, Dennis</t>
  </si>
  <si>
    <t>B. Babetski</t>
  </si>
  <si>
    <t>P. Getchis</t>
  </si>
  <si>
    <t>Getchis, Phil</t>
  </si>
  <si>
    <t>Perry, Tracy</t>
  </si>
  <si>
    <t>Nowark, Bob</t>
  </si>
  <si>
    <t>2008</t>
  </si>
  <si>
    <t>Getchis. Nolan</t>
  </si>
  <si>
    <t>Minutello, J. Perry</t>
  </si>
  <si>
    <t>Greene/Lanterman</t>
  </si>
  <si>
    <t>Ceglia Sr/DeSimone</t>
  </si>
  <si>
    <t>Getchis/J. Perry, Greene/ Lanterman</t>
  </si>
  <si>
    <t>Ceglia Jr</t>
  </si>
  <si>
    <t>Emma</t>
  </si>
  <si>
    <t>Petronchak</t>
  </si>
  <si>
    <t>Lanterman, Ken</t>
  </si>
  <si>
    <t>Ceglia Sr</t>
  </si>
  <si>
    <t>2009</t>
  </si>
  <si>
    <t>G. Keller, Rinaldi</t>
  </si>
  <si>
    <t>Grote, Nowark</t>
  </si>
  <si>
    <t>Klech</t>
  </si>
  <si>
    <t>Dendinger</t>
  </si>
  <si>
    <t>Rolph</t>
  </si>
  <si>
    <t>Musella</t>
  </si>
  <si>
    <t>Babetski/Nowark, Price Rutigliano</t>
  </si>
  <si>
    <t>B. Keller/Wrobel, Musella/J. Perry</t>
  </si>
  <si>
    <t>B. Keller/Wrobel</t>
  </si>
  <si>
    <t>Cavallo, Greg</t>
  </si>
  <si>
    <t>Babetski/Nowark, Jeffries/Rinaldi</t>
  </si>
  <si>
    <t>Schuler/Sinclair, Dendinger/Klech</t>
  </si>
  <si>
    <t>Schuler/Sinclair</t>
  </si>
  <si>
    <t>Cavallo, Minutello</t>
  </si>
  <si>
    <t>Emma, Smith</t>
  </si>
  <si>
    <t>Smith, Shawn</t>
  </si>
  <si>
    <t>DeNapoli</t>
  </si>
  <si>
    <t>Evans</t>
  </si>
  <si>
    <t>2010</t>
  </si>
  <si>
    <t>J. Petronchak</t>
  </si>
  <si>
    <t>1.3130</t>
  </si>
  <si>
    <t>Jeffries/Rinaldi</t>
  </si>
  <si>
    <t>Ceglia Sr/DeSimone, G. Keller/Smith</t>
  </si>
  <si>
    <t>+9</t>
  </si>
  <si>
    <t>Musella. Joe</t>
  </si>
  <si>
    <t>M. Schuler</t>
  </si>
  <si>
    <t>Total Annual Rounds</t>
  </si>
  <si>
    <t>Individual Highest</t>
  </si>
  <si>
    <t>Ind # Rds</t>
  </si>
  <si>
    <t># Member over 50 Rds</t>
  </si>
  <si>
    <t>Min Minutello</t>
  </si>
  <si>
    <t>Irwin Brown, George Keller III</t>
  </si>
  <si>
    <t>3 people over 70 rounds</t>
  </si>
  <si>
    <t>Comments</t>
  </si>
  <si>
    <t>Ron Ceglia Sr</t>
  </si>
  <si>
    <t>Mark Schuler</t>
  </si>
  <si>
    <t>George Nolan</t>
  </si>
  <si>
    <t>George Keller III</t>
  </si>
  <si>
    <t>Row Labels</t>
  </si>
  <si>
    <t>J. Musella</t>
  </si>
  <si>
    <t xml:space="preserve">Perry, D   </t>
  </si>
  <si>
    <t>Old Homstead</t>
  </si>
  <si>
    <t>Beaver Brook</t>
  </si>
  <si>
    <t>WS Points</t>
  </si>
  <si>
    <t>Perry, D</t>
  </si>
  <si>
    <t>Perry, D.</t>
  </si>
  <si>
    <t>Most times qualified without a win:</t>
  </si>
  <si>
    <t>G Keller</t>
  </si>
  <si>
    <t>Highest 72 hole qualifying score:</t>
  </si>
  <si>
    <t>Kerr, Wrobel, T.</t>
  </si>
  <si>
    <t>1981, 2004</t>
  </si>
  <si>
    <t>DeLeon</t>
  </si>
  <si>
    <t>Houchin</t>
  </si>
  <si>
    <t>1989*</t>
  </si>
  <si>
    <t>Player</t>
  </si>
  <si>
    <t>Q</t>
  </si>
  <si>
    <t>I</t>
  </si>
  <si>
    <t>A</t>
  </si>
  <si>
    <t>W</t>
  </si>
  <si>
    <t>Totals</t>
  </si>
  <si>
    <t>YEAR</t>
  </si>
  <si>
    <t>PLAYER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</si>
  <si>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</si>
  <si>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</si>
  <si>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</si>
  <si>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</si>
  <si>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</si>
  <si>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</si>
  <si>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</si>
  <si>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</si>
  <si>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</si>
  <si>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</si>
  <si>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</si>
  <si>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</si>
  <si>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Babetski, F. Thiry</t>
  </si>
  <si>
    <t>Rolph, Wolters</t>
  </si>
  <si>
    <t>Babetski/Nowark, Grote/Rapp</t>
  </si>
  <si>
    <t>Price/Rutigliano, Jeffries/Rinaldi</t>
  </si>
  <si>
    <t>2011</t>
  </si>
  <si>
    <t>DeNapoli, Tom</t>
  </si>
  <si>
    <t>Keller, George  307</t>
  </si>
  <si>
    <t>M. Rolph</t>
  </si>
  <si>
    <t>Concordia</t>
  </si>
  <si>
    <t xml:space="preserve">Thiry     </t>
  </si>
  <si>
    <t>Smith, S.</t>
  </si>
  <si>
    <t>Tucci</t>
  </si>
  <si>
    <t>Conway, Jeffries</t>
  </si>
  <si>
    <t>Rutigliano, L. Thiry</t>
  </si>
  <si>
    <t>Babetski/Nowark, Emma/Evans</t>
  </si>
  <si>
    <t>Heda/F. Thiry, Schuler/Sinclair</t>
  </si>
  <si>
    <t>Heda/F. Thiry</t>
  </si>
  <si>
    <t>19 Holes</t>
  </si>
  <si>
    <t>2012</t>
  </si>
  <si>
    <t>Musella, Joe</t>
  </si>
  <si>
    <t>Total Strokes</t>
  </si>
  <si>
    <t>Avg Score</t>
  </si>
  <si>
    <t>R. Evans</t>
  </si>
  <si>
    <t>S. DeLeon</t>
  </si>
  <si>
    <t>Shane DeLeon</t>
  </si>
  <si>
    <t>2 &gt; 80, 2 70-80, 6 60-70, 2 50-60</t>
  </si>
  <si>
    <t>Individual Shots</t>
  </si>
  <si>
    <t>R. Ceglia Sr</t>
  </si>
  <si>
    <t>I. Brown</t>
  </si>
  <si>
    <t>1 more than R Ceglia Sr</t>
  </si>
  <si>
    <t>Notes</t>
  </si>
  <si>
    <t>Indiv Shots Tot</t>
  </si>
  <si>
    <t>2013</t>
  </si>
  <si>
    <t>DeLeon, Shane</t>
  </si>
  <si>
    <t>Where</t>
  </si>
  <si>
    <t>MBS</t>
  </si>
  <si>
    <t>O</t>
  </si>
  <si>
    <t>MB</t>
  </si>
  <si>
    <t>OC</t>
  </si>
  <si>
    <t>P</t>
  </si>
  <si>
    <t>Member</t>
  </si>
  <si>
    <t>WS</t>
  </si>
  <si>
    <t>WS Yrs</t>
  </si>
  <si>
    <t>2008, 2010</t>
  </si>
  <si>
    <t>1986, 2007</t>
  </si>
  <si>
    <t>1978, 1981</t>
  </si>
  <si>
    <t>2004, 2009</t>
  </si>
  <si>
    <t>1973, 1988</t>
  </si>
  <si>
    <t>1972, 1990</t>
  </si>
  <si>
    <t>1980, 1985, 2000</t>
  </si>
  <si>
    <t>2001, 2011</t>
  </si>
  <si>
    <t>1982, 1987</t>
  </si>
  <si>
    <t>1997</t>
  </si>
  <si>
    <t>1984, 1991</t>
  </si>
  <si>
    <t>1975, 1977, 1989</t>
  </si>
  <si>
    <t>MP</t>
  </si>
  <si>
    <t>MP Yrs</t>
  </si>
  <si>
    <t>1985, 1998, 2003, 2012</t>
  </si>
  <si>
    <t>1982, 1989</t>
  </si>
  <si>
    <t>1980, 1986, 2010</t>
  </si>
  <si>
    <t>2005, 2006, 2008</t>
  </si>
  <si>
    <t>2000, 2009</t>
  </si>
  <si>
    <t>1994, 2004</t>
  </si>
  <si>
    <t>1978, 1979</t>
  </si>
  <si>
    <t>1992, 2002, 2007</t>
  </si>
  <si>
    <t>1999, 2011</t>
  </si>
  <si>
    <t>Partners</t>
  </si>
  <si>
    <t>Partners Yrs</t>
  </si>
  <si>
    <t>Babetski/Nowark, Conway/L. Thiry</t>
  </si>
  <si>
    <t>Emma/Evans, G. Keller/S. Smith</t>
  </si>
  <si>
    <t>Emma/Evans</t>
  </si>
  <si>
    <t>TB</t>
  </si>
  <si>
    <t>1997, 2005, 2013</t>
  </si>
  <si>
    <t>1999, 2005, 2013</t>
  </si>
  <si>
    <t>Fall Classic</t>
  </si>
  <si>
    <t>Fall Classic Yrs</t>
  </si>
  <si>
    <t>2005, 2007</t>
  </si>
  <si>
    <t>1974, 1978</t>
  </si>
  <si>
    <t>1970</t>
  </si>
  <si>
    <t>1964, 1967, 1972, 1995</t>
  </si>
  <si>
    <t>1968, 1979</t>
  </si>
  <si>
    <t>Total Majors</t>
  </si>
  <si>
    <t>Rackowski, E.</t>
  </si>
  <si>
    <t>Rismanchi</t>
  </si>
  <si>
    <t>Rolph, Mike</t>
  </si>
  <si>
    <t>Evans, Reese</t>
  </si>
  <si>
    <t>Emma, Ron</t>
  </si>
  <si>
    <t>1998, 2000, 2001</t>
  </si>
  <si>
    <t>76P</t>
  </si>
  <si>
    <t>Evans, Rinaldi</t>
  </si>
  <si>
    <t>Emma, Babetski</t>
  </si>
  <si>
    <t>R. Ceglia Sr.</t>
  </si>
  <si>
    <t>1 &gt; 80, 2 70-80, 4 60-70, 5 50-60</t>
  </si>
  <si>
    <t>Current Members</t>
  </si>
  <si>
    <t>Status</t>
  </si>
  <si>
    <t>Years</t>
  </si>
  <si>
    <t>Rounds</t>
  </si>
  <si>
    <t>Rds/Year</t>
  </si>
  <si>
    <t>Tot Money</t>
  </si>
  <si>
    <t>Money/Rd</t>
  </si>
  <si>
    <t>Money/Yr</t>
  </si>
  <si>
    <t>Memb. Yr</t>
  </si>
  <si>
    <t>HOF Year</t>
  </si>
  <si>
    <t>Active</t>
  </si>
  <si>
    <t>Ceglia, Jr</t>
  </si>
  <si>
    <t>Ceglia, Sr</t>
  </si>
  <si>
    <t>Desimone</t>
  </si>
  <si>
    <t>Lifetime</t>
  </si>
  <si>
    <t>Keller,G</t>
  </si>
  <si>
    <t>Thiry,F</t>
  </si>
  <si>
    <t>Former Members</t>
  </si>
  <si>
    <t>Final Yr.</t>
  </si>
  <si>
    <t>Abruzzo</t>
  </si>
  <si>
    <t>Bitner</t>
  </si>
  <si>
    <t>Campana</t>
  </si>
  <si>
    <t>Chervenyak</t>
  </si>
  <si>
    <t>Daniel</t>
  </si>
  <si>
    <t>Downing</t>
  </si>
  <si>
    <t>Elia</t>
  </si>
  <si>
    <t>Fairlie,D (HOF 2001)</t>
  </si>
  <si>
    <t>Hamilton</t>
  </si>
  <si>
    <t>Koenig I</t>
  </si>
  <si>
    <t>Koenig II</t>
  </si>
  <si>
    <t>Maurus</t>
  </si>
  <si>
    <t>Pollack</t>
  </si>
  <si>
    <t>Richold</t>
  </si>
  <si>
    <t>Simon</t>
  </si>
  <si>
    <t>Wrobel,Dave</t>
  </si>
  <si>
    <t>Wrobel,Doug</t>
  </si>
  <si>
    <t>Wrobel,J</t>
  </si>
  <si>
    <t>HOF Yr.</t>
  </si>
  <si>
    <t>Keller,B</t>
  </si>
  <si>
    <t>Current Streak</t>
  </si>
  <si>
    <t>Longest Streak</t>
  </si>
  <si>
    <t>Yrs + $</t>
  </si>
  <si>
    <t>Yrs - $</t>
  </si>
  <si>
    <t>2</t>
  </si>
  <si>
    <t>Rinaldi, Jim</t>
  </si>
  <si>
    <t>%</t>
  </si>
  <si>
    <t>Ellis</t>
  </si>
  <si>
    <t>2014</t>
  </si>
  <si>
    <t>Ellios</t>
  </si>
  <si>
    <t>Warrenbrook</t>
  </si>
  <si>
    <t>Neshanic</t>
  </si>
  <si>
    <t>Great Bear GC</t>
  </si>
  <si>
    <t>Ceglia Sr.</t>
  </si>
  <si>
    <t>J. Perry, Ceglia Sr.</t>
  </si>
  <si>
    <t>2006, 2014</t>
  </si>
  <si>
    <t>1982,91,96,2006, 09, 12, 14</t>
  </si>
  <si>
    <t>Lowest WS Point Winner Total v1</t>
  </si>
  <si>
    <t>v1 - 6 points divided among first place finishers</t>
  </si>
  <si>
    <t>Highest WS Point Winner Total v1</t>
  </si>
  <si>
    <t>Lowest WS Point Winner Total v2</t>
  </si>
  <si>
    <t>v2 Points (determined by # of players) divided among first place finishers</t>
  </si>
  <si>
    <t>Highest WS Point Winner Total v2</t>
  </si>
  <si>
    <t>Lowest WS Points to Qualify v2</t>
  </si>
  <si>
    <t>Mussela</t>
  </si>
  <si>
    <t>Cavallo, Sinclair</t>
  </si>
  <si>
    <t>Babetski, Rismanchi</t>
  </si>
  <si>
    <t>9 &amp; 7</t>
  </si>
  <si>
    <t>Petronchak/Rolph, Babetski/Nowark</t>
  </si>
  <si>
    <t>Emma/Evans, Ceglia Sr/DeLeon</t>
  </si>
  <si>
    <t>Ceglia Sr/DeLeon</t>
  </si>
  <si>
    <t>+7</t>
  </si>
  <si>
    <t>Petronchak, Jim</t>
  </si>
  <si>
    <t>Ceglia Sr, Ron</t>
  </si>
  <si>
    <t>Rutigliano, John</t>
  </si>
  <si>
    <t>Rismanchi, Mansour</t>
  </si>
  <si>
    <t>Thiry, Frank 157</t>
  </si>
  <si>
    <t>1st</t>
  </si>
  <si>
    <t>2nd</t>
  </si>
  <si>
    <t>3rd</t>
  </si>
  <si>
    <t>4th</t>
  </si>
  <si>
    <t>5th</t>
  </si>
  <si>
    <t>Top 5</t>
  </si>
  <si>
    <t>M. Rismanchi</t>
  </si>
  <si>
    <t>2&gt;70, 4 60-70, 4 50-60</t>
  </si>
  <si>
    <t>26 more than M. Rismanchi</t>
  </si>
  <si>
    <t>Fall Classic Summary</t>
  </si>
  <si>
    <t>Pos</t>
  </si>
  <si>
    <t>Top Ten # Rounds</t>
  </si>
  <si>
    <t>Top Ten # Rounds/Year</t>
  </si>
  <si>
    <t>Top Ten Total Money</t>
  </si>
  <si>
    <t>Top Ten Money/Year</t>
  </si>
  <si>
    <t>Top Five World Series Wins</t>
  </si>
  <si>
    <t>Top Five Match Play Wins</t>
  </si>
  <si>
    <t>5 Tied</t>
  </si>
  <si>
    <t>Wins</t>
  </si>
  <si>
    <t>Top Five Partners Wins</t>
  </si>
  <si>
    <t>Top Five Fall Classic Wins</t>
  </si>
  <si>
    <t>1976, 1983, 1989, 1995, 2012, 2015</t>
  </si>
  <si>
    <t>Cavallo, Evans</t>
  </si>
  <si>
    <t>Babetski, Korleski</t>
  </si>
  <si>
    <t>Petronchak/Rolph, Ceglia Jr/Fitzgerald</t>
  </si>
  <si>
    <t>Ceglia Jr/Fitzgerald</t>
  </si>
  <si>
    <t>Price/Rutigliano, Ceglia Sr/Smith</t>
  </si>
  <si>
    <t>2015</t>
  </si>
  <si>
    <t>Pierson, Rusty</t>
  </si>
  <si>
    <t>Pierson, Russell, 158</t>
  </si>
  <si>
    <t>Pierson, Russell</t>
  </si>
  <si>
    <t>Griffith</t>
  </si>
  <si>
    <t>Yusko</t>
  </si>
  <si>
    <t>2002, 2006, 2015</t>
  </si>
  <si>
    <t>2016</t>
  </si>
  <si>
    <t>1993, 2016</t>
  </si>
  <si>
    <t>Jim Petronchak</t>
  </si>
  <si>
    <t>1&gt;80, 2 70-80, 1 60-70, 5 50-60</t>
  </si>
  <si>
    <t>149 more than J. Petronchak</t>
  </si>
  <si>
    <t>D.Tucci</t>
  </si>
  <si>
    <t>S. Smith</t>
  </si>
  <si>
    <t>M. Jeffries</t>
  </si>
  <si>
    <t>Kimberly, Tom  307</t>
  </si>
  <si>
    <t>Perry,D/Schuler, Tucci/Rismanchi</t>
  </si>
  <si>
    <t>Perry,D/Schuler</t>
  </si>
  <si>
    <t>+2</t>
  </si>
  <si>
    <t>Babetski, Rapp</t>
  </si>
  <si>
    <t>Nowark, Emma</t>
  </si>
  <si>
    <t>6 &amp; 4</t>
  </si>
  <si>
    <t>Green Knoll</t>
  </si>
  <si>
    <t xml:space="preserve">Thiry, L. </t>
  </si>
  <si>
    <t>Quail Brook</t>
  </si>
  <si>
    <t>Spooky Brook</t>
  </si>
  <si>
    <t>1975,77,89,95,12,15</t>
  </si>
  <si>
    <t>Smoot</t>
  </si>
  <si>
    <t>L</t>
  </si>
  <si>
    <t>Kukoff</t>
  </si>
  <si>
    <t>PH</t>
  </si>
  <si>
    <t>Evans Jr, Reese</t>
  </si>
  <si>
    <t>Evans Sr, Reese</t>
  </si>
  <si>
    <t>Thiry, Frank</t>
  </si>
  <si>
    <t>Evans Jr</t>
  </si>
  <si>
    <t>Evans Sr</t>
  </si>
  <si>
    <t>Mini Spring Trip Summary</t>
  </si>
  <si>
    <t>DGA History - 12/2016</t>
  </si>
  <si>
    <t>Bradley</t>
  </si>
  <si>
    <t>Kimberly</t>
  </si>
  <si>
    <t>Date</t>
  </si>
  <si>
    <t>DGA?</t>
  </si>
  <si>
    <t>Course</t>
  </si>
  <si>
    <t>Hole</t>
  </si>
  <si>
    <t>Distance</t>
  </si>
  <si>
    <t>Club</t>
  </si>
  <si>
    <t>Playing Partners</t>
  </si>
  <si>
    <t>Month</t>
  </si>
  <si>
    <t>3/17/1979</t>
  </si>
  <si>
    <t>George Stamas</t>
  </si>
  <si>
    <t>Y</t>
  </si>
  <si>
    <t>5 iron</t>
  </si>
  <si>
    <t>Dan Fairlie, Scott Fairlie, Ed Kerr</t>
  </si>
  <si>
    <t xml:space="preserve">On St. Patrick's Day.  1st DGA Hole in one.  </t>
  </si>
  <si>
    <t>4 iron</t>
  </si>
  <si>
    <t>8/27/1983</t>
  </si>
  <si>
    <t>Sand Wedge</t>
  </si>
  <si>
    <t>Dan Fairlie, Joe Glassen, George Keller</t>
  </si>
  <si>
    <t>8/4/1984</t>
  </si>
  <si>
    <t>Joe Glassen</t>
  </si>
  <si>
    <t>?</t>
  </si>
  <si>
    <t>05/26/1986</t>
  </si>
  <si>
    <t>Greg Cavallo</t>
  </si>
  <si>
    <t>N</t>
  </si>
  <si>
    <t>Galloping Hill</t>
  </si>
  <si>
    <t>5 iron (Wilson Tour Blade)</t>
  </si>
  <si>
    <t>Bob Keller</t>
  </si>
  <si>
    <t>Carry to elevated green (40 feet)</t>
  </si>
  <si>
    <t>6/1988</t>
  </si>
  <si>
    <t>Rob Perry</t>
  </si>
  <si>
    <t>Pinch Brook</t>
  </si>
  <si>
    <t>7 iron</t>
  </si>
  <si>
    <t>Jim Jackson, Bill Mauskopf, Bob Thompson Jr.</t>
  </si>
  <si>
    <t>10/5/1992</t>
  </si>
  <si>
    <t>Des Sinclair</t>
  </si>
  <si>
    <t>Sea Trail - Jones (Myrtle Beach)</t>
  </si>
  <si>
    <t>8 iron</t>
  </si>
  <si>
    <t>Jim Jackson, ??????</t>
  </si>
  <si>
    <t>Stiff cross wind</t>
  </si>
  <si>
    <t>4/17/1994</t>
  </si>
  <si>
    <t>Ed Rackowski</t>
  </si>
  <si>
    <t xml:space="preserve">5 iron  </t>
  </si>
  <si>
    <t>Ed Rackowski Jr, Hank Zaleski, Tom Zaleski</t>
  </si>
  <si>
    <t>6/11/1994</t>
  </si>
  <si>
    <t>Dave Perry</t>
  </si>
  <si>
    <t>PW</t>
  </si>
  <si>
    <t>Rich Banks, John Perry, Larry Thiry</t>
  </si>
  <si>
    <t>8/1996</t>
  </si>
  <si>
    <t>Tavistock</t>
  </si>
  <si>
    <t>Unknown</t>
  </si>
  <si>
    <t>8/17/1997</t>
  </si>
  <si>
    <t>Doug Conway</t>
  </si>
  <si>
    <t>Sunset Valley</t>
  </si>
  <si>
    <t>7 iron (Armour 845)</t>
  </si>
  <si>
    <t>Ron Ceglia, Ed Korleski</t>
  </si>
  <si>
    <t>2 bounces and in the hole</t>
  </si>
  <si>
    <t>10/25/1997</t>
  </si>
  <si>
    <t>Cape May National</t>
  </si>
  <si>
    <t>4 iron (Ping Eye 2)</t>
  </si>
  <si>
    <t>Bob Babetski, Bob Nowark, Jim Young</t>
  </si>
  <si>
    <t>Into a stiff wind</t>
  </si>
  <si>
    <t>12/26/1997</t>
  </si>
  <si>
    <t>George Keller</t>
  </si>
  <si>
    <t>Cream Ridge</t>
  </si>
  <si>
    <t>Ron Ceglia, Min Minutello</t>
  </si>
  <si>
    <t>lost 8 iron, had to hit the extra club</t>
  </si>
  <si>
    <t>4/14/1998</t>
  </si>
  <si>
    <t>Mike Kozlow</t>
  </si>
  <si>
    <t>9 iron</t>
  </si>
  <si>
    <t>Brian Byrne, Mickey McFall, Tokio</t>
  </si>
  <si>
    <t>Very Smooth, Pure shot, no bullshit bounces</t>
  </si>
  <si>
    <t>6/23/1999</t>
  </si>
  <si>
    <t>Rich Banks, Tom McColgan, Des Sinclair</t>
  </si>
  <si>
    <t>7/29/1999</t>
  </si>
  <si>
    <t>Frank Thiry-DGA</t>
  </si>
  <si>
    <t>Kapalua Country Club - Village Course</t>
  </si>
  <si>
    <t>5 Iron (Ping - Rental)</t>
  </si>
  <si>
    <t>Nancy Thiry and 2 guys from Tennessee</t>
  </si>
  <si>
    <t>12/31/1999</t>
  </si>
  <si>
    <t>9 iron &amp; Pinnacle Ball</t>
  </si>
  <si>
    <t>George Keller, Min Minutello</t>
  </si>
  <si>
    <t>last day before Year 2000</t>
  </si>
  <si>
    <t>6/2/2001</t>
  </si>
  <si>
    <t>Larry Thiry</t>
  </si>
  <si>
    <t>Little draw, 1 bounce into the hole</t>
  </si>
  <si>
    <t>10/13/2001</t>
  </si>
  <si>
    <t>The Gauntlet (Myrtle Beach)</t>
  </si>
  <si>
    <t>4 iron (TaylorMade LCG 4 iron) ball Titlest 1</t>
  </si>
  <si>
    <t>George Keller, Doug Conway, Rich Banks</t>
  </si>
  <si>
    <t>Hit front of elevated green and funneled into hole</t>
  </si>
  <si>
    <t>8/15/2002</t>
  </si>
  <si>
    <t>Rush Creek</t>
  </si>
  <si>
    <t>3/23/2004</t>
  </si>
  <si>
    <t>Dan Price</t>
  </si>
  <si>
    <t>Oak Ridge</t>
  </si>
  <si>
    <t>3/9/2005</t>
  </si>
  <si>
    <t>Arcadian Shores</t>
  </si>
  <si>
    <t>6 iron</t>
  </si>
  <si>
    <t>1 hop and into the hole</t>
  </si>
  <si>
    <t>5/27/2006</t>
  </si>
  <si>
    <t>Jim Rinaldi</t>
  </si>
  <si>
    <t>line drive skull shot</t>
  </si>
  <si>
    <t>7/14/2007</t>
  </si>
  <si>
    <t>Bob Failing</t>
  </si>
  <si>
    <t>Heritage Golf (Atlanta)</t>
  </si>
  <si>
    <t>5/27/2009</t>
  </si>
  <si>
    <t>Flanders (B/W)</t>
  </si>
  <si>
    <t>7/7/2009</t>
  </si>
  <si>
    <t>Ron Ceglia Jr</t>
  </si>
  <si>
    <t>Knoll West</t>
  </si>
  <si>
    <t>Irwin Brown</t>
  </si>
  <si>
    <t>line drive off the front bunker</t>
  </si>
  <si>
    <t>11/8/2009</t>
  </si>
  <si>
    <t>6/1/2010</t>
  </si>
  <si>
    <t>Barefoot Fazio</t>
  </si>
  <si>
    <t>On line, 2 hops, rolled into hole</t>
  </si>
  <si>
    <t>5/4/2011</t>
  </si>
  <si>
    <t>Farmstead (Lakeview)</t>
  </si>
  <si>
    <t>Ron Ceglia Jr, John Desimone, Jim Rinaldi</t>
  </si>
  <si>
    <t>6/7/2011</t>
  </si>
  <si>
    <t>Tobacco Road</t>
  </si>
  <si>
    <t>Didn't see it go in the hole</t>
  </si>
  <si>
    <t>4/28/2012</t>
  </si>
  <si>
    <t>Rich Fitzgerald, Des Sinclair</t>
  </si>
  <si>
    <t>5/19/2012</t>
  </si>
  <si>
    <t>Azalea Sands</t>
  </si>
  <si>
    <t>hit a bit off toe, slight draw, hit in front, hopped in hole</t>
  </si>
  <si>
    <t>4/19/2014</t>
  </si>
  <si>
    <t>5/10/2014</t>
  </si>
  <si>
    <t>Beachwood</t>
  </si>
  <si>
    <t>9/23/2015</t>
  </si>
  <si>
    <t>56 degree Wedge</t>
  </si>
  <si>
    <t>Joe Musella</t>
  </si>
  <si>
    <t>hit beyond and hole and trickled down the hill</t>
  </si>
  <si>
    <t>11/17/16</t>
  </si>
  <si>
    <t>Royce Brook</t>
  </si>
  <si>
    <t>4 Hybrid</t>
  </si>
  <si>
    <t>Mike Jeffries, Jim Petronchak, Jim Rinaldi</t>
  </si>
  <si>
    <t>1&gt;70, 3 60-70, 3 50-60</t>
  </si>
  <si>
    <t>150 more than J. Rinaldi</t>
  </si>
  <si>
    <t># DGA Events</t>
  </si>
  <si>
    <t># Courses</t>
  </si>
  <si>
    <t>#1 Course</t>
  </si>
  <si>
    <t>#2 Course</t>
  </si>
  <si>
    <t>#3 Course</t>
  </si>
  <si>
    <t>Fox Hollow (11)</t>
  </si>
  <si>
    <t>Quail Brook (18)</t>
  </si>
  <si>
    <t>Spooky Brook (16)</t>
  </si>
  <si>
    <t>Green Knoll (15)</t>
  </si>
  <si>
    <t>Quail Brook (15)</t>
  </si>
  <si>
    <t>Spooky Brook (15)</t>
  </si>
  <si>
    <t>Cliffs at Mountain Park</t>
  </si>
  <si>
    <t>2005, 2007, 2015</t>
  </si>
  <si>
    <t>DGA History - 12/2017</t>
  </si>
  <si>
    <t>Number (last 26 years)</t>
  </si>
  <si>
    <t>Keller, A.</t>
  </si>
  <si>
    <t>Resigned</t>
  </si>
  <si>
    <t>2016, 2017</t>
  </si>
  <si>
    <t>1998, 2000, 2010, 2011, 2012, 2014, 2016, 2017</t>
  </si>
  <si>
    <t>1997, 2017</t>
  </si>
  <si>
    <t>11 Tied</t>
  </si>
  <si>
    <t>6 Tied</t>
  </si>
  <si>
    <t>2017</t>
  </si>
  <si>
    <t>Sea Oaks</t>
  </si>
  <si>
    <t>New Members in 2017:</t>
  </si>
  <si>
    <t>Babetski, Schuler</t>
  </si>
  <si>
    <t>Wrobel, T., Grote</t>
  </si>
  <si>
    <t>5 &amp; 3</t>
  </si>
  <si>
    <t>Babetski/Nowark, Cavallo/Korleski</t>
  </si>
  <si>
    <t>Price/Rutigliano, Ceglia Jr/Fitzgerald</t>
  </si>
  <si>
    <t>Ceglia Jr, Ron</t>
  </si>
  <si>
    <t>CSC</t>
  </si>
  <si>
    <t>Connor, Mike</t>
  </si>
  <si>
    <t>Connor</t>
  </si>
  <si>
    <t>J. Rinaldi</t>
  </si>
  <si>
    <t>90 more than I. Minutello</t>
  </si>
  <si>
    <t>Spooky Brook (18)</t>
  </si>
  <si>
    <t>Neshanic Valley (13)</t>
  </si>
  <si>
    <t>Quail Brook, Fox Hollow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</si>
</sst>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$&quot;#,##0.00"/>
    <numFmt numFmtId="166" formatCode="0.000"/>
    <numFmt numFmtId="167" formatCode="0.0000"/>
    <numFmt numFmtId="168" formatCode="_(* #,##0_);_(* \(#,##0\);_(* &quot;-&quot;??_);_(@_)"/>
    <numFmt numFmtId="169" formatCode="0.00_)"/>
  </numFmts>
  <fonts count="13">
    <font>
      <sz val="10"/>
      <name val="Arial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name val="Arial MT"/>
    </font>
    <font>
      <b/>
      <sz val="12"/>
      <name val="Arial MT"/>
    </font>
    <font>
      <b/>
      <sz val="12"/>
      <name val="Helv"/>
    </font>
    <font>
      <b/>
      <sz val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3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 applyProtection="1">
      <alignment horizontal="left"/>
    </xf>
    <xf numFmtId="0" fontId="0" fillId="0" borderId="12" xfId="0" applyBorder="1"/>
    <xf numFmtId="5" fontId="0" fillId="0" borderId="13" xfId="0" applyNumberFormat="1" applyBorder="1" applyProtection="1"/>
    <xf numFmtId="0" fontId="0" fillId="0" borderId="14" xfId="0" applyBorder="1"/>
    <xf numFmtId="9" fontId="0" fillId="0" borderId="13" xfId="0" applyNumberFormat="1" applyBorder="1" applyProtection="1"/>
    <xf numFmtId="0" fontId="0" fillId="0" borderId="13" xfId="0" applyBorder="1"/>
    <xf numFmtId="0" fontId="0" fillId="0" borderId="15" xfId="0" applyBorder="1" applyAlignment="1" applyProtection="1">
      <alignment horizontal="left"/>
    </xf>
    <xf numFmtId="0" fontId="0" fillId="0" borderId="16" xfId="0" applyBorder="1" applyProtection="1"/>
    <xf numFmtId="0" fontId="0" fillId="0" borderId="17" xfId="0" applyBorder="1"/>
    <xf numFmtId="0" fontId="0" fillId="0" borderId="15" xfId="0" applyBorder="1"/>
    <xf numFmtId="0" fontId="0" fillId="0" borderId="0" xfId="0" applyAlignment="1" applyProtection="1">
      <alignment horizontal="left"/>
    </xf>
    <xf numFmtId="0" fontId="0" fillId="0" borderId="16" xfId="0" applyBorder="1"/>
    <xf numFmtId="0" fontId="0" fillId="0" borderId="0" xfId="0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166" fontId="0" fillId="0" borderId="0" xfId="0" applyNumberFormat="1"/>
    <xf numFmtId="0" fontId="1" fillId="0" borderId="0" xfId="0" applyFont="1"/>
    <xf numFmtId="0" fontId="7" fillId="0" borderId="0" xfId="0" applyFont="1"/>
    <xf numFmtId="167" fontId="0" fillId="0" borderId="0" xfId="0" applyNumberFormat="1"/>
    <xf numFmtId="0" fontId="0" fillId="0" borderId="0" xfId="0" quotePrefix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quotePrefix="1" applyBorder="1"/>
    <xf numFmtId="0" fontId="0" fillId="0" borderId="3" xfId="0" quotePrefix="1" applyBorder="1"/>
    <xf numFmtId="0" fontId="8" fillId="0" borderId="0" xfId="0" applyFont="1" applyBorder="1"/>
    <xf numFmtId="0" fontId="0" fillId="0" borderId="18" xfId="0" quotePrefix="1" applyBorder="1"/>
    <xf numFmtId="0" fontId="0" fillId="0" borderId="18" xfId="0" applyBorder="1"/>
    <xf numFmtId="0" fontId="0" fillId="0" borderId="18" xfId="0" applyBorder="1" applyAlignment="1">
      <alignment horizontal="left"/>
    </xf>
    <xf numFmtId="0" fontId="8" fillId="0" borderId="0" xfId="0" applyFont="1"/>
    <xf numFmtId="0" fontId="8" fillId="0" borderId="0" xfId="0" applyFont="1" applyFill="1" applyBorder="1"/>
    <xf numFmtId="0" fontId="1" fillId="0" borderId="18" xfId="0" applyFont="1" applyBorder="1"/>
    <xf numFmtId="0" fontId="9" fillId="0" borderId="18" xfId="0" applyFont="1" applyFill="1" applyBorder="1"/>
    <xf numFmtId="0" fontId="1" fillId="0" borderId="18" xfId="0" applyFont="1" applyFill="1" applyBorder="1"/>
    <xf numFmtId="0" fontId="10" fillId="0" borderId="0" xfId="0" applyFont="1" applyBorder="1"/>
    <xf numFmtId="0" fontId="8" fillId="0" borderId="18" xfId="0" quotePrefix="1" applyFont="1" applyBorder="1"/>
    <xf numFmtId="0" fontId="8" fillId="0" borderId="18" xfId="0" applyFont="1" applyBorder="1"/>
    <xf numFmtId="0" fontId="8" fillId="0" borderId="0" xfId="0" quotePrefix="1" applyFont="1"/>
    <xf numFmtId="0" fontId="0" fillId="0" borderId="15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8" fillId="0" borderId="7" xfId="0" applyFont="1" applyBorder="1"/>
    <xf numFmtId="0" fontId="10" fillId="0" borderId="18" xfId="0" applyFont="1" applyFill="1" applyBorder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167" fontId="8" fillId="0" borderId="0" xfId="0" applyNumberFormat="1" applyFont="1"/>
    <xf numFmtId="0" fontId="0" fillId="0" borderId="10" xfId="0" applyFill="1" applyBorder="1" applyAlignment="1" applyProtection="1">
      <alignment horizontal="left"/>
    </xf>
    <xf numFmtId="0" fontId="0" fillId="0" borderId="19" xfId="0" applyBorder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right"/>
    </xf>
    <xf numFmtId="0" fontId="0" fillId="0" borderId="0" xfId="0" pivotButton="1"/>
    <xf numFmtId="0" fontId="0" fillId="0" borderId="0" xfId="0" applyNumberFormat="1"/>
    <xf numFmtId="0" fontId="0" fillId="0" borderId="0" xfId="0" applyFill="1" applyBorder="1" applyProtection="1"/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7" xfId="0" applyFont="1" applyBorder="1" applyAlignment="1">
      <alignment horizontal="left"/>
    </xf>
    <xf numFmtId="0" fontId="10" fillId="0" borderId="18" xfId="0" applyFont="1" applyFill="1" applyBorder="1"/>
    <xf numFmtId="0" fontId="2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Fill="1" applyBorder="1"/>
    <xf numFmtId="0" fontId="0" fillId="0" borderId="8" xfId="0" applyBorder="1" applyAlignment="1">
      <alignment horizontal="center"/>
    </xf>
    <xf numFmtId="0" fontId="8" fillId="0" borderId="7" xfId="0" applyFont="1" applyFill="1" applyBorder="1"/>
    <xf numFmtId="0" fontId="0" fillId="0" borderId="7" xfId="0" applyFont="1" applyFill="1" applyBorder="1" applyAlignment="1">
      <alignment horizontal="left"/>
    </xf>
    <xf numFmtId="0" fontId="8" fillId="0" borderId="7" xfId="0" applyFont="1" applyFill="1" applyBorder="1" applyAlignment="1" applyProtection="1">
      <alignment horizontal="left" wrapText="1"/>
    </xf>
    <xf numFmtId="0" fontId="8" fillId="0" borderId="0" xfId="0" applyFont="1" applyBorder="1" applyAlignment="1">
      <alignment horizontal="left" vertical="center"/>
    </xf>
    <xf numFmtId="0" fontId="0" fillId="0" borderId="7" xfId="0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center" wrapText="1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8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5" fontId="8" fillId="0" borderId="0" xfId="2" applyNumberFormat="1" applyFont="1" applyAlignment="1">
      <alignment horizontal="right"/>
    </xf>
    <xf numFmtId="0" fontId="0" fillId="0" borderId="0" xfId="0" applyAlignment="1">
      <alignment horizontal="center" wrapText="1"/>
    </xf>
    <xf numFmtId="0" fontId="8" fillId="0" borderId="18" xfId="0" applyFont="1" applyBorder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0" xfId="0" applyBorder="1" applyAlignment="1">
      <alignment horizontal="left"/>
    </xf>
    <xf numFmtId="0" fontId="0" fillId="0" borderId="20" xfId="0" applyFill="1" applyBorder="1"/>
    <xf numFmtId="0" fontId="0" fillId="0" borderId="20" xfId="0" quotePrefix="1" applyBorder="1" applyAlignment="1">
      <alignment horizontal="center" wrapText="1"/>
    </xf>
    <xf numFmtId="0" fontId="8" fillId="0" borderId="20" xfId="0" applyFont="1" applyBorder="1"/>
    <xf numFmtId="0" fontId="8" fillId="0" borderId="20" xfId="0" applyFont="1" applyFill="1" applyBorder="1"/>
    <xf numFmtId="0" fontId="0" fillId="0" borderId="20" xfId="0" applyFont="1" applyFill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0" xfId="0" applyFont="1" applyFill="1" applyBorder="1" applyAlignment="1" applyProtection="1">
      <alignment horizontal="left" wrapText="1"/>
    </xf>
    <xf numFmtId="0" fontId="8" fillId="0" borderId="20" xfId="0" applyFont="1" applyBorder="1" applyAlignment="1">
      <alignment horizontal="left" vertical="center"/>
    </xf>
    <xf numFmtId="0" fontId="0" fillId="0" borderId="20" xfId="0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0" fontId="8" fillId="0" borderId="20" xfId="0" quotePrefix="1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8" fillId="0" borderId="21" xfId="0" quotePrefix="1" applyFont="1" applyBorder="1" applyAlignment="1">
      <alignment horizontal="center" wrapText="1"/>
    </xf>
    <xf numFmtId="0" fontId="6" fillId="0" borderId="20" xfId="0" applyFont="1" applyBorder="1"/>
    <xf numFmtId="0" fontId="6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0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8" fillId="0" borderId="22" xfId="0" quotePrefix="1" applyFont="1" applyBorder="1" applyAlignment="1">
      <alignment horizontal="center" wrapText="1"/>
    </xf>
    <xf numFmtId="0" fontId="8" fillId="0" borderId="0" xfId="0" quotePrefix="1" applyFont="1" applyAlignment="1">
      <alignment horizontal="center"/>
    </xf>
    <xf numFmtId="167" fontId="8" fillId="0" borderId="0" xfId="0" applyNumberFormat="1" applyFont="1" applyAlignment="1">
      <alignment horizontal="right"/>
    </xf>
    <xf numFmtId="167" fontId="8" fillId="0" borderId="0" xfId="0" quotePrefix="1" applyNumberFormat="1" applyFont="1" applyAlignment="1">
      <alignment horizontal="right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 applyAlignment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169" fontId="0" fillId="0" borderId="23" xfId="0" applyNumberFormat="1" applyBorder="1" applyProtection="1"/>
    <xf numFmtId="7" fontId="0" fillId="0" borderId="23" xfId="0" applyNumberFormat="1" applyBorder="1" applyProtection="1"/>
    <xf numFmtId="0" fontId="0" fillId="0" borderId="23" xfId="0" applyFont="1" applyFill="1" applyBorder="1" applyAlignment="1">
      <alignment horizontal="center"/>
    </xf>
    <xf numFmtId="0" fontId="8" fillId="0" borderId="23" xfId="0" applyFont="1" applyBorder="1" applyAlignment="1">
      <alignment horizontal="left"/>
    </xf>
    <xf numFmtId="0" fontId="0" fillId="0" borderId="23" xfId="0" quotePrefix="1" applyBorder="1" applyAlignment="1">
      <alignment horizontal="center"/>
    </xf>
    <xf numFmtId="0" fontId="10" fillId="0" borderId="26" xfId="0" applyFont="1" applyBorder="1"/>
    <xf numFmtId="0" fontId="8" fillId="0" borderId="23" xfId="0" applyFont="1" applyBorder="1" applyAlignment="1">
      <alignment horizontal="center"/>
    </xf>
    <xf numFmtId="10" fontId="0" fillId="0" borderId="23" xfId="0" applyNumberFormat="1" applyBorder="1" applyAlignment="1">
      <alignment horizontal="center"/>
    </xf>
    <xf numFmtId="169" fontId="0" fillId="0" borderId="23" xfId="0" applyNumberFormat="1" applyBorder="1" applyAlignment="1" applyProtection="1">
      <alignment horizontal="center"/>
    </xf>
    <xf numFmtId="7" fontId="0" fillId="0" borderId="23" xfId="0" applyNumberFormat="1" applyBorder="1" applyAlignment="1" applyProtection="1">
      <alignment horizontal="center"/>
    </xf>
    <xf numFmtId="0" fontId="8" fillId="0" borderId="23" xfId="0" quotePrefix="1" applyFont="1" applyBorder="1" applyAlignment="1">
      <alignment horizontal="center"/>
    </xf>
    <xf numFmtId="0" fontId="5" fillId="0" borderId="28" xfId="0" applyFont="1" applyBorder="1" applyAlignment="1" applyProtection="1">
      <alignment horizontal="left"/>
    </xf>
    <xf numFmtId="0" fontId="5" fillId="0" borderId="29" xfId="0" applyFont="1" applyBorder="1" applyAlignment="1" applyProtection="1">
      <alignment horizontal="center"/>
    </xf>
    <xf numFmtId="0" fontId="5" fillId="0" borderId="30" xfId="0" applyFont="1" applyBorder="1"/>
    <xf numFmtId="164" fontId="0" fillId="0" borderId="23" xfId="0" applyNumberFormat="1" applyBorder="1" applyAlignment="1" applyProtection="1">
      <alignment horizontal="left"/>
    </xf>
    <xf numFmtId="5" fontId="0" fillId="0" borderId="23" xfId="0" applyNumberFormat="1" applyBorder="1" applyAlignment="1" applyProtection="1">
      <alignment horizontal="left"/>
    </xf>
    <xf numFmtId="0" fontId="0" fillId="0" borderId="23" xfId="0" applyBorder="1" applyProtection="1"/>
    <xf numFmtId="9" fontId="0" fillId="0" borderId="23" xfId="0" applyNumberForma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2" borderId="23" xfId="0" applyFill="1" applyBorder="1" applyProtection="1"/>
    <xf numFmtId="0" fontId="0" fillId="0" borderId="23" xfId="0" applyBorder="1" applyAlignment="1" applyProtection="1">
      <alignment horizontal="right"/>
    </xf>
    <xf numFmtId="0" fontId="0" fillId="0" borderId="31" xfId="0" applyFill="1" applyBorder="1" applyAlignment="1" applyProtection="1"/>
    <xf numFmtId="0" fontId="0" fillId="0" borderId="31" xfId="0" applyFill="1" applyBorder="1" applyProtection="1"/>
    <xf numFmtId="0" fontId="0" fillId="0" borderId="0" xfId="0" applyAlignment="1"/>
    <xf numFmtId="0" fontId="0" fillId="2" borderId="23" xfId="0" applyFill="1" applyBorder="1"/>
    <xf numFmtId="0" fontId="0" fillId="0" borderId="15" xfId="0" applyFill="1" applyBorder="1" applyAlignment="1" applyProtection="1"/>
    <xf numFmtId="0" fontId="0" fillId="0" borderId="15" xfId="0" applyFill="1" applyBorder="1" applyProtection="1"/>
    <xf numFmtId="0" fontId="0" fillId="0" borderId="23" xfId="0" quotePrefix="1" applyBorder="1"/>
    <xf numFmtId="0" fontId="0" fillId="0" borderId="31" xfId="0" applyFill="1" applyBorder="1"/>
    <xf numFmtId="0" fontId="0" fillId="0" borderId="23" xfId="0" quotePrefix="1" applyBorder="1" applyAlignment="1">
      <alignment horizontal="left"/>
    </xf>
    <xf numFmtId="0" fontId="0" fillId="0" borderId="23" xfId="0" applyFont="1" applyBorder="1"/>
    <xf numFmtId="0" fontId="8" fillId="0" borderId="23" xfId="0" applyFont="1" applyBorder="1" applyAlignment="1" applyProtection="1">
      <alignment horizontal="left"/>
    </xf>
    <xf numFmtId="0" fontId="8" fillId="0" borderId="23" xfId="0" applyFont="1" applyBorder="1"/>
    <xf numFmtId="0" fontId="5" fillId="0" borderId="29" xfId="0" applyFont="1" applyBorder="1" applyAlignment="1" applyProtection="1">
      <alignment horizontal="left"/>
    </xf>
    <xf numFmtId="0" fontId="0" fillId="0" borderId="23" xfId="0" applyBorder="1" applyAlignment="1">
      <alignment horizontal="right"/>
    </xf>
    <xf numFmtId="0" fontId="0" fillId="0" borderId="28" xfId="0" quotePrefix="1" applyBorder="1" applyAlignment="1">
      <alignment horizontal="left"/>
    </xf>
    <xf numFmtId="0" fontId="0" fillId="0" borderId="28" xfId="0" applyBorder="1"/>
    <xf numFmtId="0" fontId="0" fillId="0" borderId="28" xfId="0" applyBorder="1" applyAlignment="1" applyProtection="1">
      <alignment horizontal="left"/>
    </xf>
    <xf numFmtId="0" fontId="0" fillId="0" borderId="28" xfId="0" applyBorder="1" applyProtection="1"/>
    <xf numFmtId="0" fontId="0" fillId="0" borderId="26" xfId="0" quotePrefix="1" applyBorder="1" applyAlignment="1">
      <alignment horizontal="left"/>
    </xf>
    <xf numFmtId="0" fontId="0" fillId="0" borderId="26" xfId="0" applyBorder="1"/>
    <xf numFmtId="0" fontId="0" fillId="0" borderId="26" xfId="0" applyBorder="1" applyAlignment="1" applyProtection="1">
      <alignment horizontal="left"/>
    </xf>
    <xf numFmtId="0" fontId="0" fillId="0" borderId="26" xfId="0" applyBorder="1" applyProtection="1"/>
    <xf numFmtId="0" fontId="0" fillId="0" borderId="26" xfId="0" applyFill="1" applyBorder="1"/>
    <xf numFmtId="0" fontId="0" fillId="0" borderId="26" xfId="0" applyBorder="1" applyAlignment="1">
      <alignment horizontal="right"/>
    </xf>
    <xf numFmtId="0" fontId="0" fillId="0" borderId="24" xfId="0" applyBorder="1" applyAlignment="1" applyProtection="1">
      <alignment horizontal="left"/>
    </xf>
    <xf numFmtId="0" fontId="0" fillId="0" borderId="27" xfId="0" applyBorder="1"/>
    <xf numFmtId="0" fontId="12" fillId="0" borderId="27" xfId="0" applyFont="1" applyBorder="1" applyAlignment="1" applyProtection="1">
      <alignment horizontal="left"/>
    </xf>
    <xf numFmtId="0" fontId="0" fillId="0" borderId="25" xfId="0" applyBorder="1" applyProtection="1"/>
    <xf numFmtId="0" fontId="0" fillId="0" borderId="23" xfId="0" applyBorder="1" applyAlignment="1">
      <alignment wrapText="1"/>
    </xf>
    <xf numFmtId="0" fontId="0" fillId="0" borderId="23" xfId="0" applyBorder="1" applyAlignment="1" applyProtection="1">
      <alignment horizontal="center" wrapText="1"/>
    </xf>
    <xf numFmtId="0" fontId="12" fillId="0" borderId="0" xfId="0" applyFont="1" applyAlignment="1" applyProtection="1">
      <alignment horizontal="left"/>
    </xf>
    <xf numFmtId="0" fontId="0" fillId="0" borderId="29" xfId="0" applyBorder="1" applyAlignment="1" applyProtection="1">
      <alignment horizontal="left"/>
    </xf>
    <xf numFmtId="0" fontId="0" fillId="0" borderId="32" xfId="0" applyBorder="1"/>
    <xf numFmtId="0" fontId="12" fillId="0" borderId="32" xfId="0" applyFont="1" applyBorder="1" applyAlignment="1" applyProtection="1">
      <alignment horizontal="left"/>
    </xf>
    <xf numFmtId="0" fontId="0" fillId="0" borderId="30" xfId="0" applyBorder="1" applyProtection="1"/>
    <xf numFmtId="0" fontId="12" fillId="0" borderId="0" xfId="0" applyFont="1" applyBorder="1" applyAlignment="1" applyProtection="1">
      <alignment horizontal="left"/>
    </xf>
    <xf numFmtId="0" fontId="0" fillId="0" borderId="30" xfId="0" applyBorder="1"/>
    <xf numFmtId="0" fontId="0" fillId="0" borderId="0" xfId="0" applyFill="1" applyBorder="1" applyAlignment="1" applyProtection="1">
      <alignment horizontal="left" wrapText="1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34" xfId="0" applyBorder="1"/>
    <xf numFmtId="0" fontId="0" fillId="0" borderId="0" xfId="0" applyFont="1" applyFill="1" applyBorder="1"/>
    <xf numFmtId="0" fontId="1" fillId="0" borderId="26" xfId="0" applyFont="1" applyBorder="1"/>
    <xf numFmtId="0" fontId="10" fillId="0" borderId="0" xfId="0" applyFont="1" applyFill="1" applyBorder="1"/>
    <xf numFmtId="0" fontId="1" fillId="0" borderId="26" xfId="0" applyFont="1" applyFill="1" applyBorder="1"/>
    <xf numFmtId="0" fontId="10" fillId="0" borderId="7" xfId="0" applyFont="1" applyBorder="1"/>
    <xf numFmtId="0" fontId="0" fillId="0" borderId="7" xfId="0" applyFont="1" applyBorder="1"/>
    <xf numFmtId="0" fontId="4" fillId="0" borderId="23" xfId="0" applyFont="1" applyBorder="1" applyAlignment="1">
      <alignment horizontal="center"/>
    </xf>
    <xf numFmtId="0" fontId="8" fillId="0" borderId="0" xfId="0" applyFont="1" applyAlignment="1">
      <alignment horizontal="right"/>
    </xf>
    <xf numFmtId="166" fontId="8" fillId="0" borderId="0" xfId="0" applyNumberFormat="1" applyFont="1" applyAlignment="1">
      <alignment horizontal="right"/>
    </xf>
    <xf numFmtId="168" fontId="0" fillId="0" borderId="0" xfId="1" applyNumberFormat="1" applyFont="1" applyAlignment="1">
      <alignment horizontal="right"/>
    </xf>
    <xf numFmtId="0" fontId="8" fillId="0" borderId="26" xfId="0" applyFont="1" applyBorder="1"/>
    <xf numFmtId="0" fontId="6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36" xfId="0" applyBorder="1"/>
    <xf numFmtId="0" fontId="8" fillId="0" borderId="36" xfId="0" applyFont="1" applyBorder="1"/>
    <xf numFmtId="0" fontId="8" fillId="0" borderId="36" xfId="0" applyFon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165" fontId="0" fillId="0" borderId="36" xfId="2" applyNumberFormat="1" applyFon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9" fontId="0" fillId="0" borderId="23" xfId="0" applyNumberFormat="1" applyBorder="1" applyAlignment="1" applyProtection="1">
      <alignment horizontal="right"/>
    </xf>
    <xf numFmtId="7" fontId="0" fillId="0" borderId="23" xfId="0" applyNumberFormat="1" applyBorder="1" applyAlignment="1" applyProtection="1">
      <alignment horizontal="right"/>
    </xf>
    <xf numFmtId="0" fontId="0" fillId="0" borderId="40" xfId="0" applyBorder="1" applyAlignment="1">
      <alignment horizontal="left"/>
    </xf>
    <xf numFmtId="0" fontId="0" fillId="0" borderId="40" xfId="0" applyBorder="1" applyAlignment="1">
      <alignment horizontal="center"/>
    </xf>
    <xf numFmtId="7" fontId="0" fillId="0" borderId="40" xfId="0" applyNumberFormat="1" applyBorder="1" applyAlignment="1" applyProtection="1">
      <alignment horizontal="center"/>
    </xf>
    <xf numFmtId="10" fontId="0" fillId="0" borderId="40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/>
    <xf numFmtId="167" fontId="8" fillId="0" borderId="0" xfId="0" applyNumberFormat="1" applyFont="1" applyAlignment="1"/>
    <xf numFmtId="0" fontId="8" fillId="0" borderId="23" xfId="0" quotePrefix="1" applyFont="1" applyBorder="1"/>
    <xf numFmtId="0" fontId="0" fillId="0" borderId="0" xfId="0" quotePrefix="1" applyBorder="1" applyAlignment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Border="1" applyProtection="1"/>
    <xf numFmtId="0" fontId="6" fillId="0" borderId="15" xfId="0" applyFont="1" applyBorder="1" applyAlignment="1" applyProtection="1">
      <alignment horizontal="left"/>
    </xf>
    <xf numFmtId="0" fontId="0" fillId="0" borderId="41" xfId="0" applyBorder="1" applyAlignment="1" applyProtection="1">
      <alignment horizontal="left"/>
    </xf>
    <xf numFmtId="0" fontId="0" fillId="0" borderId="41" xfId="0" applyBorder="1"/>
    <xf numFmtId="0" fontId="12" fillId="0" borderId="41" xfId="0" applyFont="1" applyBorder="1" applyAlignment="1" applyProtection="1">
      <alignment horizontal="left"/>
    </xf>
    <xf numFmtId="0" fontId="0" fillId="0" borderId="41" xfId="0" applyBorder="1" applyProtection="1"/>
    <xf numFmtId="0" fontId="0" fillId="0" borderId="41" xfId="0" applyBorder="1" applyAlignment="1" applyProtection="1">
      <alignment horizontal="center" wrapText="1"/>
    </xf>
    <xf numFmtId="0" fontId="0" fillId="0" borderId="41" xfId="0" applyFill="1" applyBorder="1" applyProtection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2" xfId="0" applyBorder="1" applyAlignment="1" applyProtection="1">
      <alignment horizontal="left"/>
    </xf>
    <xf numFmtId="0" fontId="8" fillId="0" borderId="43" xfId="0" applyFont="1" applyBorder="1"/>
    <xf numFmtId="0" fontId="0" fillId="0" borderId="33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5" xfId="0" applyBorder="1"/>
    <xf numFmtId="0" fontId="8" fillId="0" borderId="45" xfId="0" applyFont="1" applyBorder="1"/>
    <xf numFmtId="1" fontId="0" fillId="0" borderId="45" xfId="0" applyNumberFormat="1" applyBorder="1" applyAlignment="1">
      <alignment horizontal="center"/>
    </xf>
    <xf numFmtId="0" fontId="0" fillId="0" borderId="0" xfId="0" quotePrefix="1" applyNumberFormat="1"/>
    <xf numFmtId="0" fontId="0" fillId="0" borderId="0" xfId="0" quotePrefix="1" applyFont="1"/>
    <xf numFmtId="168" fontId="8" fillId="0" borderId="0" xfId="1" applyNumberFormat="1" applyFont="1"/>
    <xf numFmtId="0" fontId="0" fillId="0" borderId="0" xfId="0" applyFont="1" applyAlignment="1">
      <alignment horizontal="center" wrapText="1"/>
    </xf>
    <xf numFmtId="0" fontId="0" fillId="0" borderId="46" xfId="0" applyBorder="1" applyAlignment="1">
      <alignment horizontal="left"/>
    </xf>
    <xf numFmtId="0" fontId="0" fillId="0" borderId="46" xfId="0" applyBorder="1" applyAlignment="1">
      <alignment horizontal="center"/>
    </xf>
    <xf numFmtId="7" fontId="0" fillId="0" borderId="46" xfId="0" applyNumberFormat="1" applyBorder="1" applyAlignment="1" applyProtection="1">
      <alignment horizontal="center"/>
    </xf>
    <xf numFmtId="10" fontId="0" fillId="0" borderId="46" xfId="0" applyNumberFormat="1" applyBorder="1" applyAlignment="1">
      <alignment horizontal="center"/>
    </xf>
    <xf numFmtId="0" fontId="0" fillId="0" borderId="46" xfId="0" quotePrefix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47" xfId="0" applyBorder="1" applyAlignment="1">
      <alignment horizontal="center"/>
    </xf>
    <xf numFmtId="7" fontId="0" fillId="0" borderId="47" xfId="0" applyNumberFormat="1" applyBorder="1" applyAlignment="1" applyProtection="1">
      <alignment horizontal="center"/>
    </xf>
    <xf numFmtId="10" fontId="0" fillId="0" borderId="47" xfId="0" applyNumberFormat="1" applyBorder="1" applyAlignment="1">
      <alignment horizontal="center"/>
    </xf>
    <xf numFmtId="0" fontId="8" fillId="0" borderId="47" xfId="0" applyFont="1" applyBorder="1" applyAlignment="1">
      <alignment horizontal="left"/>
    </xf>
    <xf numFmtId="0" fontId="8" fillId="0" borderId="46" xfId="0" applyFont="1" applyBorder="1" applyAlignment="1">
      <alignment horizontal="center"/>
    </xf>
    <xf numFmtId="0" fontId="8" fillId="0" borderId="46" xfId="0" applyFont="1" applyBorder="1" applyAlignment="1">
      <alignment horizontal="left"/>
    </xf>
    <xf numFmtId="0" fontId="8" fillId="0" borderId="26" xfId="0" quotePrefix="1" applyFont="1" applyBorder="1" applyAlignment="1">
      <alignment horizontal="left"/>
    </xf>
    <xf numFmtId="0" fontId="8" fillId="0" borderId="26" xfId="0" applyFont="1" applyFill="1" applyBorder="1"/>
    <xf numFmtId="0" fontId="8" fillId="0" borderId="26" xfId="0" applyFont="1" applyBorder="1" applyAlignment="1" applyProtection="1">
      <alignment horizontal="left"/>
    </xf>
    <xf numFmtId="0" fontId="10" fillId="0" borderId="48" xfId="0" applyFont="1" applyFill="1" applyBorder="1"/>
    <xf numFmtId="0" fontId="10" fillId="0" borderId="48" xfId="0" applyFont="1" applyBorder="1"/>
    <xf numFmtId="0" fontId="8" fillId="0" borderId="48" xfId="0" applyFont="1" applyBorder="1"/>
    <xf numFmtId="0" fontId="0" fillId="0" borderId="48" xfId="0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0" fillId="0" borderId="48" xfId="0" applyBorder="1"/>
    <xf numFmtId="0" fontId="6" fillId="0" borderId="48" xfId="0" applyFont="1" applyBorder="1" applyAlignment="1">
      <alignment horizontal="center"/>
    </xf>
    <xf numFmtId="0" fontId="6" fillId="0" borderId="48" xfId="0" applyFont="1" applyBorder="1"/>
    <xf numFmtId="168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49" xfId="0" applyBorder="1"/>
    <xf numFmtId="0" fontId="8" fillId="0" borderId="49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glas Conway" refreshedDate="43110.468781249998" createdVersion="3" refreshedVersion="5" minRefreshableVersion="3" recordCount="51">
  <cacheSource type="worksheet">
    <worksheetSource ref="B3:B54" sheet="Money"/>
  </cacheSource>
  <cacheFields count="1">
    <cacheField name="Winner" numFmtId="0">
      <sharedItems count="29">
        <s v="J. Petronchak"/>
        <s v="B. Babetski"/>
        <s v="S. DeLeon"/>
        <s v="I. Minutello"/>
        <s v="M. Rolph"/>
        <s v="J. Musella"/>
        <s v="M. Schuler"/>
        <s v="D. Perry"/>
        <s v="D. Sinclair"/>
        <s v="L. Wolters"/>
        <s v="L. Thiry"/>
        <s v="G. Cavallo"/>
        <s v="M. Greene"/>
        <s v="D. Conway"/>
        <s v="R. Perry"/>
        <s v="D. Wrobel"/>
        <s v="P. DeMeola"/>
        <s v="E. Kerr"/>
        <s v="B. Thompson, Sr."/>
        <s v="T. McColgan"/>
        <s v="G. Nolan"/>
        <s v="E. Kopper"/>
        <s v="G. Prisco"/>
        <s v="G. Stamas"/>
        <s v="B. Thompson, Jr."/>
        <s v="A. Szem"/>
        <s v="J. Banias"/>
        <s v="D. Daggett"/>
        <s v="E. Rackowsk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ouglas Conway" refreshedDate="43110.469473032404" createdVersion="3" refreshedVersion="5" minRefreshableVersion="3" recordCount="51">
  <cacheSource type="worksheet">
    <worksheetSource ref="B3:B54" sheet="Vardon"/>
  </cacheSource>
  <cacheFields count="1">
    <cacheField name="Winner" numFmtId="0">
      <sharedItems count="26">
        <s v="M. Schuler"/>
        <s v="S. Smith"/>
        <s v="J. Petronchak"/>
        <s v="D. Price"/>
        <s v="R. Evans"/>
        <s v="B. Keller"/>
        <s v="T. Wrobel"/>
        <s v="F. Thiry"/>
        <s v="I. Minutello"/>
        <s v="B. Failing"/>
        <s v="J. Glassen"/>
        <s v="R. Fitzgerald"/>
        <s v="D. Wrobel"/>
        <s v="P. DeMeola"/>
        <s v="D. Hagen"/>
        <s v="E. Kerr"/>
        <s v="B. Haderer"/>
        <s v="J. Banias"/>
        <s v="E. Kopper"/>
        <s v="G. Stamas"/>
        <s v="G. Keller"/>
        <s v="B. Thompson, Jr."/>
        <s v="G. Caldwell"/>
        <s v="Bushey"/>
        <s v="D. Fairlie"/>
        <s v="E. Rackowsk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Douglas Conway" refreshedDate="43110.469975694446" createdVersion="3" refreshedVersion="5" minRefreshableVersion="3" recordCount="24">
  <cacheSource type="worksheet">
    <worksheetSource ref="B3:B27" sheet="Most Improved"/>
  </cacheSource>
  <cacheFields count="1">
    <cacheField name="Winner" numFmtId="0">
      <sharedItems count="20">
        <s v="B. Keller"/>
        <s v="M. Jeffries"/>
        <s v="D.Tucci"/>
        <s v="M. Rismanchi"/>
        <s v="R. Ceglia Sr."/>
        <s v="S. DeLeon"/>
        <s v="M. Rolph"/>
        <s v="E. Korleski"/>
        <s v="J. Petronchak"/>
        <s v="J. Perry"/>
        <s v="P. Getchis"/>
        <s v="L. Wolters"/>
        <s v="D. Sinclair"/>
        <s v="I. Minutello"/>
        <s v="T. Wrobel"/>
        <s v="E. Rackoswki"/>
        <s v="D. Wrobel"/>
        <s v="G. Nolan"/>
        <s v="E. Kerr"/>
        <s v="D. Conwa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</r>
  <r>
    <x v="1"/>
  </r>
  <r>
    <x v="0"/>
  </r>
  <r>
    <x v="1"/>
  </r>
  <r>
    <x v="2"/>
  </r>
  <r>
    <x v="3"/>
  </r>
  <r>
    <x v="4"/>
  </r>
  <r>
    <x v="5"/>
  </r>
  <r>
    <x v="6"/>
  </r>
  <r>
    <x v="1"/>
  </r>
  <r>
    <x v="1"/>
  </r>
  <r>
    <x v="7"/>
  </r>
  <r>
    <x v="8"/>
  </r>
  <r>
    <x v="9"/>
  </r>
  <r>
    <x v="10"/>
  </r>
  <r>
    <x v="3"/>
  </r>
  <r>
    <x v="11"/>
  </r>
  <r>
    <x v="3"/>
  </r>
  <r>
    <x v="3"/>
  </r>
  <r>
    <x v="12"/>
  </r>
  <r>
    <x v="13"/>
  </r>
  <r>
    <x v="14"/>
  </r>
  <r>
    <x v="3"/>
  </r>
  <r>
    <x v="7"/>
  </r>
  <r>
    <x v="3"/>
  </r>
  <r>
    <x v="8"/>
  </r>
  <r>
    <x v="15"/>
  </r>
  <r>
    <x v="16"/>
  </r>
  <r>
    <x v="3"/>
  </r>
  <r>
    <x v="11"/>
  </r>
  <r>
    <x v="17"/>
  </r>
  <r>
    <x v="18"/>
  </r>
  <r>
    <x v="19"/>
  </r>
  <r>
    <x v="17"/>
  </r>
  <r>
    <x v="3"/>
  </r>
  <r>
    <x v="20"/>
  </r>
  <r>
    <x v="21"/>
  </r>
  <r>
    <x v="22"/>
  </r>
  <r>
    <x v="23"/>
  </r>
  <r>
    <x v="17"/>
  </r>
  <r>
    <x v="24"/>
  </r>
  <r>
    <x v="3"/>
  </r>
  <r>
    <x v="24"/>
  </r>
  <r>
    <x v="25"/>
  </r>
  <r>
    <x v="26"/>
  </r>
  <r>
    <x v="17"/>
  </r>
  <r>
    <x v="27"/>
  </r>
  <r>
    <x v="28"/>
  </r>
  <r>
    <x v="28"/>
  </r>
  <r>
    <x v="28"/>
  </r>
  <r>
    <x v="2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1">
  <r>
    <x v="0"/>
  </r>
  <r>
    <x v="1"/>
  </r>
  <r>
    <x v="2"/>
  </r>
  <r>
    <x v="3"/>
  </r>
  <r>
    <x v="4"/>
  </r>
  <r>
    <x v="4"/>
  </r>
  <r>
    <x v="0"/>
  </r>
  <r>
    <x v="3"/>
  </r>
  <r>
    <x v="2"/>
  </r>
  <r>
    <x v="3"/>
  </r>
  <r>
    <x v="5"/>
  </r>
  <r>
    <x v="6"/>
  </r>
  <r>
    <x v="7"/>
  </r>
  <r>
    <x v="6"/>
  </r>
  <r>
    <x v="6"/>
  </r>
  <r>
    <x v="6"/>
  </r>
  <r>
    <x v="3"/>
  </r>
  <r>
    <x v="8"/>
  </r>
  <r>
    <x v="9"/>
  </r>
  <r>
    <x v="5"/>
  </r>
  <r>
    <x v="10"/>
  </r>
  <r>
    <x v="6"/>
  </r>
  <r>
    <x v="11"/>
  </r>
  <r>
    <x v="12"/>
  </r>
  <r>
    <x v="13"/>
  </r>
  <r>
    <x v="14"/>
  </r>
  <r>
    <x v="12"/>
  </r>
  <r>
    <x v="13"/>
  </r>
  <r>
    <x v="5"/>
  </r>
  <r>
    <x v="15"/>
  </r>
  <r>
    <x v="15"/>
  </r>
  <r>
    <x v="16"/>
  </r>
  <r>
    <x v="15"/>
  </r>
  <r>
    <x v="15"/>
  </r>
  <r>
    <x v="17"/>
  </r>
  <r>
    <x v="15"/>
  </r>
  <r>
    <x v="18"/>
  </r>
  <r>
    <x v="15"/>
  </r>
  <r>
    <x v="19"/>
  </r>
  <r>
    <x v="15"/>
  </r>
  <r>
    <x v="17"/>
  </r>
  <r>
    <x v="20"/>
  </r>
  <r>
    <x v="21"/>
  </r>
  <r>
    <x v="22"/>
  </r>
  <r>
    <x v="23"/>
  </r>
  <r>
    <x v="15"/>
  </r>
  <r>
    <x v="24"/>
  </r>
  <r>
    <x v="25"/>
  </r>
  <r>
    <x v="25"/>
  </r>
  <r>
    <x v="25"/>
  </r>
  <r>
    <x v="2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4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4"/>
  </r>
  <r>
    <x v="13"/>
  </r>
  <r>
    <x v="14"/>
  </r>
  <r>
    <x v="7"/>
  </r>
  <r>
    <x v="15"/>
  </r>
  <r>
    <x v="16"/>
  </r>
  <r>
    <x v="13"/>
  </r>
  <r>
    <x v="17"/>
  </r>
  <r>
    <x v="18"/>
  </r>
  <r>
    <x v="17"/>
  </r>
  <r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5" minRefreshableVersion="3" showCalcMbrs="0" useAutoFormatting="1" itemPrintTitles="1" createdVersion="3" indent="0" outline="1" outlineData="1" multipleFieldFilters="0">
  <location ref="F1:G31" firstHeaderRow="1" firstDataRow="1" firstDataCol="1"/>
  <pivotFields count="1">
    <pivotField axis="axisRow" dataField="1" showAll="0" sortType="descending">
      <items count="30">
        <item x="19"/>
        <item x="2"/>
        <item x="14"/>
        <item x="16"/>
        <item x="6"/>
        <item x="4"/>
        <item x="12"/>
        <item x="9"/>
        <item x="10"/>
        <item x="5"/>
        <item x="26"/>
        <item x="3"/>
        <item x="23"/>
        <item x="22"/>
        <item x="20"/>
        <item x="11"/>
        <item x="28"/>
        <item x="21"/>
        <item x="17"/>
        <item x="15"/>
        <item x="8"/>
        <item x="7"/>
        <item x="27"/>
        <item x="13"/>
        <item x="18"/>
        <item x="24"/>
        <item x="1"/>
        <item x="25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30">
    <i>
      <x v="11"/>
    </i>
    <i>
      <x v="26"/>
    </i>
    <i>
      <x v="18"/>
    </i>
    <i>
      <x v="16"/>
    </i>
    <i>
      <x v="25"/>
    </i>
    <i>
      <x v="21"/>
    </i>
    <i>
      <x v="15"/>
    </i>
    <i>
      <x v="20"/>
    </i>
    <i>
      <x v="28"/>
    </i>
    <i>
      <x v="24"/>
    </i>
    <i>
      <x v="5"/>
    </i>
    <i>
      <x v="4"/>
    </i>
    <i>
      <x v="10"/>
    </i>
    <i>
      <x v="22"/>
    </i>
    <i>
      <x v="1"/>
    </i>
    <i>
      <x v="8"/>
    </i>
    <i>
      <x v="12"/>
    </i>
    <i>
      <x v="19"/>
    </i>
    <i>
      <x v="27"/>
    </i>
    <i>
      <x v="6"/>
    </i>
    <i>
      <x/>
    </i>
    <i>
      <x v="23"/>
    </i>
    <i>
      <x v="2"/>
    </i>
    <i>
      <x v="7"/>
    </i>
    <i>
      <x v="3"/>
    </i>
    <i>
      <x v="9"/>
    </i>
    <i>
      <x v="17"/>
    </i>
    <i>
      <x v="13"/>
    </i>
    <i>
      <x v="14"/>
    </i>
    <i t="grand">
      <x/>
    </i>
  </rowItems>
  <colItems count="1">
    <i/>
  </colItems>
  <dataFields count="1">
    <dataField name="Count of Winner" fld="0" subtotal="count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Values" updatedVersion="5" minRefreshableVersion="3" showCalcMbrs="0" useAutoFormatting="1" itemPrintTitles="1" createdVersion="3" indent="0" outline="1" outlineData="1" multipleFieldFilters="0">
  <location ref="F1:G28" firstHeaderRow="1" firstDataRow="1" firstDataCol="1"/>
  <pivotFields count="1">
    <pivotField axis="axisRow" dataField="1" showAll="0" sortType="descending">
      <items count="27">
        <item x="9"/>
        <item x="16"/>
        <item x="5"/>
        <item x="21"/>
        <item x="23"/>
        <item x="24"/>
        <item x="14"/>
        <item x="3"/>
        <item x="12"/>
        <item x="15"/>
        <item x="18"/>
        <item x="25"/>
        <item x="7"/>
        <item x="22"/>
        <item x="20"/>
        <item x="19"/>
        <item x="8"/>
        <item x="17"/>
        <item x="10"/>
        <item x="2"/>
        <item x="0"/>
        <item x="13"/>
        <item x="4"/>
        <item x="11"/>
        <item x="6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27">
    <i>
      <x v="9"/>
    </i>
    <i>
      <x v="24"/>
    </i>
    <i>
      <x v="7"/>
    </i>
    <i>
      <x v="11"/>
    </i>
    <i>
      <x v="2"/>
    </i>
    <i>
      <x v="17"/>
    </i>
    <i>
      <x v="8"/>
    </i>
    <i>
      <x v="19"/>
    </i>
    <i>
      <x v="20"/>
    </i>
    <i>
      <x v="21"/>
    </i>
    <i>
      <x v="22"/>
    </i>
    <i>
      <x v="18"/>
    </i>
    <i>
      <x v="16"/>
    </i>
    <i>
      <x v="10"/>
    </i>
    <i>
      <x v="1"/>
    </i>
    <i>
      <x v="5"/>
    </i>
    <i>
      <x v="23"/>
    </i>
    <i>
      <x v="6"/>
    </i>
    <i>
      <x v="14"/>
    </i>
    <i>
      <x v="3"/>
    </i>
    <i>
      <x v="15"/>
    </i>
    <i>
      <x v="25"/>
    </i>
    <i>
      <x v="4"/>
    </i>
    <i>
      <x v="13"/>
    </i>
    <i>
      <x/>
    </i>
    <i>
      <x v="12"/>
    </i>
    <i t="grand">
      <x/>
    </i>
  </rowItems>
  <colItems count="1">
    <i/>
  </colItems>
  <dataFields count="1">
    <dataField name="Count of Winner" fld="0" subtotal="count" baseField="0" baseItem="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1" dataCaption="Values" updatedVersion="5" minRefreshableVersion="3" showCalcMbrs="0" useAutoFormatting="1" itemPrintTitles="1" createdVersion="3" indent="0" outline="1" outlineData="1" multipleFieldFilters="0">
  <location ref="F1:G22" firstHeaderRow="1" firstDataRow="1" firstDataCol="1"/>
  <pivotFields count="1">
    <pivotField axis="axisRow" dataField="1" showAll="0" sortType="descending">
      <items count="21">
        <item x="19"/>
        <item x="12"/>
        <item x="16"/>
        <item x="18"/>
        <item x="7"/>
        <item x="15"/>
        <item x="17"/>
        <item x="13"/>
        <item x="9"/>
        <item x="8"/>
        <item x="11"/>
        <item x="6"/>
        <item x="10"/>
        <item x="4"/>
        <item x="5"/>
        <item x="14"/>
        <item x="3"/>
        <item x="1"/>
        <item x="2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21">
    <i>
      <x v="13"/>
    </i>
    <i>
      <x v="6"/>
    </i>
    <i>
      <x v="4"/>
    </i>
    <i>
      <x v="7"/>
    </i>
    <i>
      <x v="11"/>
    </i>
    <i>
      <x v="15"/>
    </i>
    <i>
      <x v="3"/>
    </i>
    <i>
      <x v="5"/>
    </i>
    <i>
      <x v="10"/>
    </i>
    <i>
      <x v="2"/>
    </i>
    <i>
      <x v="12"/>
    </i>
    <i>
      <x v="16"/>
    </i>
    <i>
      <x v="14"/>
    </i>
    <i>
      <x v="17"/>
    </i>
    <i>
      <x v="1"/>
    </i>
    <i>
      <x v="19"/>
    </i>
    <i>
      <x v="18"/>
    </i>
    <i>
      <x v="8"/>
    </i>
    <i>
      <x/>
    </i>
    <i>
      <x v="9"/>
    </i>
    <i t="grand">
      <x/>
    </i>
  </rowItems>
  <colItems count="1">
    <i/>
  </colItems>
  <dataFields count="1">
    <dataField name="Count of Winner" fld="0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ivotTable" Target="../pivotTables/pivotTable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ivotTable" Target="../pivotTables/pivotTable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abSelected="1" workbookViewId="0">
      <selection activeCell="A5" sqref="A5:H50"/>
    </sheetView>
  </sheetViews>
  <sheetFormatPr defaultRowHeight="12.75"/>
  <cols>
    <col min="1" max="1" width="15.140625" customWidth="1"/>
    <col min="2" max="2" width="9.42578125" customWidth="1"/>
    <col min="3" max="3" width="11.28515625" customWidth="1"/>
    <col min="4" max="4" width="13.85546875" customWidth="1"/>
    <col min="5" max="5" width="17.7109375" customWidth="1"/>
    <col min="6" max="6" width="15.140625" customWidth="1"/>
    <col min="7" max="7" width="12.5703125" customWidth="1"/>
    <col min="8" max="8" width="10" customWidth="1"/>
    <col min="11" max="12" width="10" style="43" customWidth="1"/>
    <col min="13" max="13" width="10.140625" style="43" customWidth="1"/>
    <col min="14" max="14" width="10" style="43" customWidth="1"/>
    <col min="15" max="15" width="8.28515625" style="43" customWidth="1"/>
    <col min="16" max="16" width="9" style="43" customWidth="1"/>
  </cols>
  <sheetData>
    <row r="1" spans="1:17" ht="15.75">
      <c r="A1" s="140">
        <v>117</v>
      </c>
      <c r="B1" s="140"/>
      <c r="C1" s="140"/>
      <c r="D1" s="141" t="s">
        <v>978</v>
      </c>
    </row>
    <row r="2" spans="1:17" ht="15.75">
      <c r="A2" s="140"/>
      <c r="B2" s="140"/>
      <c r="C2" s="140"/>
      <c r="D2" s="140"/>
    </row>
    <row r="3" spans="1:17">
      <c r="A3" s="35" t="s">
        <v>682</v>
      </c>
    </row>
    <row r="4" spans="1:17">
      <c r="K4" s="290" t="s">
        <v>721</v>
      </c>
      <c r="L4" s="291"/>
      <c r="M4" s="290" t="s">
        <v>722</v>
      </c>
      <c r="N4" s="291"/>
      <c r="O4" s="292" t="s">
        <v>979</v>
      </c>
      <c r="P4" s="293"/>
      <c r="Q4" s="294"/>
    </row>
    <row r="5" spans="1:17">
      <c r="A5" s="142" t="s">
        <v>89</v>
      </c>
      <c r="B5" s="142" t="s">
        <v>683</v>
      </c>
      <c r="C5" s="142" t="s">
        <v>684</v>
      </c>
      <c r="D5" s="142" t="s">
        <v>685</v>
      </c>
      <c r="E5" s="142" t="s">
        <v>686</v>
      </c>
      <c r="F5" s="142" t="s">
        <v>687</v>
      </c>
      <c r="G5" s="142" t="s">
        <v>688</v>
      </c>
      <c r="H5" s="142" t="s">
        <v>689</v>
      </c>
      <c r="I5" s="142" t="s">
        <v>690</v>
      </c>
      <c r="J5" s="142" t="s">
        <v>691</v>
      </c>
      <c r="K5" s="142" t="s">
        <v>723</v>
      </c>
      <c r="L5" s="142" t="s">
        <v>724</v>
      </c>
      <c r="M5" s="142" t="s">
        <v>723</v>
      </c>
      <c r="N5" s="142" t="s">
        <v>724</v>
      </c>
      <c r="O5" s="142" t="s">
        <v>723</v>
      </c>
      <c r="P5" s="142" t="s">
        <v>724</v>
      </c>
      <c r="Q5" s="151" t="s">
        <v>727</v>
      </c>
    </row>
    <row r="6" spans="1:17">
      <c r="I6" s="143"/>
      <c r="J6" s="143"/>
      <c r="K6" s="142"/>
      <c r="L6" s="142"/>
      <c r="M6" s="142"/>
      <c r="N6" s="142"/>
      <c r="O6" s="142"/>
      <c r="P6" s="142"/>
      <c r="Q6" s="142"/>
    </row>
    <row r="7" spans="1:17">
      <c r="A7" s="144" t="s">
        <v>0</v>
      </c>
      <c r="B7" s="144" t="s">
        <v>692</v>
      </c>
      <c r="C7" s="142">
        <v>26</v>
      </c>
      <c r="D7" s="142">
        <f>16+14+16+16+14+16+16+18+17+26+25+28+33+32+53+43+52+43+35+41+44+51+40+41+41+30</f>
        <v>801</v>
      </c>
      <c r="E7" s="153">
        <f>D7/C7</f>
        <v>30.807692307692307</v>
      </c>
      <c r="F7" s="154">
        <f>-85.65-80.05-31.05-11+3.5-93.95-27.7-76.4+15.6-100-108.4+154.3-62.1-139.2+403.25+407.9+516+373.65+246.5+258.65-41.35+197+802.85-106.55+595.5+231.9</f>
        <v>3243.2</v>
      </c>
      <c r="G7" s="154">
        <f t="shared" ref="G7:G17" si="0">F7/D7</f>
        <v>4.0489388264669159</v>
      </c>
      <c r="H7" s="154">
        <f t="shared" ref="H7:H17" si="1">F7/C7</f>
        <v>124.73846153846154</v>
      </c>
      <c r="I7" s="142">
        <f t="shared" ref="I7:I19" si="2">1900+(A$1-C7)+1</f>
        <v>1992</v>
      </c>
      <c r="J7" s="142">
        <v>2016</v>
      </c>
      <c r="K7" s="142">
        <v>2</v>
      </c>
      <c r="L7" s="142"/>
      <c r="M7" s="142">
        <v>6</v>
      </c>
      <c r="N7" s="149">
        <v>4</v>
      </c>
      <c r="O7" s="142">
        <v>13</v>
      </c>
      <c r="P7" s="142">
        <v>13</v>
      </c>
      <c r="Q7" s="152">
        <f>O7/(O7+P7)</f>
        <v>0.5</v>
      </c>
    </row>
    <row r="8" spans="1:17">
      <c r="A8" s="144" t="s">
        <v>2</v>
      </c>
      <c r="B8" s="144" t="s">
        <v>692</v>
      </c>
      <c r="C8" s="142">
        <v>34</v>
      </c>
      <c r="D8" s="142">
        <f>184+26+20+22+16+23+23+23+27+21+28+29+33+24+23+33+23+24+23+27+28+26+30+21+26+22+25</f>
        <v>830</v>
      </c>
      <c r="E8" s="153">
        <f t="shared" ref="E8:E17" si="3">D8/C8</f>
        <v>24.411764705882351</v>
      </c>
      <c r="F8" s="154">
        <f>207.05-7.55-28.95-74.5-68.5-70.35+391.15-94.3-182.7-61.85+378.25+79-315.5-59.5-42.9+129.6-262.6-136.9+97.55-54.3-198.7+58.2-2.75-84.65+76.8-81.45-30.9</f>
        <v>-441.25</v>
      </c>
      <c r="G8" s="154">
        <f t="shared" si="0"/>
        <v>-0.53162650602409633</v>
      </c>
      <c r="H8" s="154">
        <f t="shared" si="1"/>
        <v>-12.977941176470589</v>
      </c>
      <c r="I8" s="142">
        <f t="shared" si="2"/>
        <v>1984</v>
      </c>
      <c r="J8" s="142">
        <v>2008</v>
      </c>
      <c r="K8" s="142"/>
      <c r="L8" s="142">
        <v>2</v>
      </c>
      <c r="M8" s="142">
        <v>2</v>
      </c>
      <c r="N8" s="142">
        <v>5</v>
      </c>
      <c r="O8" s="142">
        <v>8</v>
      </c>
      <c r="P8" s="142">
        <v>18</v>
      </c>
      <c r="Q8" s="152">
        <f t="shared" ref="Q8:Q50" si="4">O8/(O8+P8)</f>
        <v>0.30769230769230771</v>
      </c>
    </row>
    <row r="9" spans="1:17">
      <c r="A9" s="144" t="s">
        <v>693</v>
      </c>
      <c r="B9" s="144" t="s">
        <v>692</v>
      </c>
      <c r="C9" s="142">
        <v>10</v>
      </c>
      <c r="D9" s="142">
        <f>12+14+7+14+30+22+8+20+10+18</f>
        <v>155</v>
      </c>
      <c r="E9" s="153">
        <f t="shared" si="3"/>
        <v>15.5</v>
      </c>
      <c r="F9" s="154">
        <f>-49.4+351.7+40.35-18.1-115.65-230.25-95-28.3-134.1+156.45</f>
        <v>-122.30000000000001</v>
      </c>
      <c r="G9" s="154">
        <f t="shared" si="0"/>
        <v>-0.78903225806451616</v>
      </c>
      <c r="H9" s="154">
        <f t="shared" si="1"/>
        <v>-12.23</v>
      </c>
      <c r="I9" s="142">
        <f t="shared" si="2"/>
        <v>2008</v>
      </c>
      <c r="J9" s="142"/>
      <c r="K9" s="142">
        <v>1</v>
      </c>
      <c r="L9" s="142"/>
      <c r="M9" s="149" t="s">
        <v>725</v>
      </c>
      <c r="N9" s="142">
        <v>6</v>
      </c>
      <c r="O9" s="142">
        <v>3</v>
      </c>
      <c r="P9" s="142">
        <v>7</v>
      </c>
      <c r="Q9" s="152">
        <f t="shared" si="4"/>
        <v>0.3</v>
      </c>
    </row>
    <row r="10" spans="1:17">
      <c r="A10" s="144" t="s">
        <v>694</v>
      </c>
      <c r="B10" s="144" t="s">
        <v>692</v>
      </c>
      <c r="C10" s="142">
        <v>24</v>
      </c>
      <c r="D10" s="142">
        <f>5+18+33+57+54+55+63+59+74+61+60+65+56+53+62+49+61+67+77+77+64+65+47+8</f>
        <v>1290</v>
      </c>
      <c r="E10" s="153">
        <f t="shared" si="3"/>
        <v>53.75</v>
      </c>
      <c r="F10" s="154">
        <f>5-36.95+53.95+69.25+138.55-20.1+373.9+195+234.65+185.2+300.3-8.3-43.3+197.45-67.4-143.1+370.4+272.35-188.7+127.35+627.25-101.55+41-7.2</f>
        <v>2575</v>
      </c>
      <c r="G10" s="154">
        <f t="shared" si="0"/>
        <v>1.9961240310077519</v>
      </c>
      <c r="H10" s="154">
        <f t="shared" si="1"/>
        <v>107.29166666666667</v>
      </c>
      <c r="I10" s="142">
        <f t="shared" si="2"/>
        <v>1994</v>
      </c>
      <c r="J10" s="142"/>
      <c r="K10" s="142"/>
      <c r="L10" s="142">
        <v>1</v>
      </c>
      <c r="M10" s="142">
        <v>5</v>
      </c>
      <c r="N10" s="142">
        <v>2</v>
      </c>
      <c r="O10" s="142">
        <v>15</v>
      </c>
      <c r="P10" s="142">
        <v>9</v>
      </c>
      <c r="Q10" s="152">
        <f t="shared" si="4"/>
        <v>0.625</v>
      </c>
    </row>
    <row r="11" spans="1:17">
      <c r="A11" s="144" t="s">
        <v>4</v>
      </c>
      <c r="B11" s="144" t="s">
        <v>692</v>
      </c>
      <c r="C11" s="142">
        <v>34</v>
      </c>
      <c r="D11" s="142">
        <f>317+53+59+43+55+48+62+58+49+47+50+46+44+40+42+49+44+56+55+52+57+67+47+31+29+21+18</f>
        <v>1539</v>
      </c>
      <c r="E11" s="153">
        <f t="shared" si="3"/>
        <v>45.264705882352942</v>
      </c>
      <c r="F11" s="154">
        <f>-200.25-89.45+188.55+28.9+97.45+54.95+533.85+325.7+164.85-141.3+147.85-137.25+380.9-303.6+32.95+103.4+325.95+115.5+251.65+20.25+462.25+126.15+18.6+56.7+186.55+75.9-12.9</f>
        <v>2814.1000000000004</v>
      </c>
      <c r="G11" s="154">
        <f t="shared" si="0"/>
        <v>1.8285250162443147</v>
      </c>
      <c r="H11" s="154">
        <f t="shared" si="1"/>
        <v>82.767647058823542</v>
      </c>
      <c r="I11" s="142">
        <f t="shared" si="2"/>
        <v>1984</v>
      </c>
      <c r="J11" s="142">
        <v>2007</v>
      </c>
      <c r="K11" s="142"/>
      <c r="L11" s="142">
        <v>1</v>
      </c>
      <c r="M11" s="142">
        <v>12</v>
      </c>
      <c r="N11" s="142">
        <v>1</v>
      </c>
      <c r="O11" s="142">
        <v>21</v>
      </c>
      <c r="P11" s="142">
        <v>5</v>
      </c>
      <c r="Q11" s="152">
        <f t="shared" si="4"/>
        <v>0.80769230769230771</v>
      </c>
    </row>
    <row r="12" spans="1:17">
      <c r="A12" s="144" t="s">
        <v>695</v>
      </c>
      <c r="B12" s="144" t="s">
        <v>692</v>
      </c>
      <c r="C12" s="142">
        <v>21</v>
      </c>
      <c r="D12" s="142">
        <f>18+14+15+15+13+22+17+21+22+20+23+24+22+20+13+9+9+7+8+8+7</f>
        <v>327</v>
      </c>
      <c r="E12" s="153">
        <f t="shared" si="3"/>
        <v>15.571428571428571</v>
      </c>
      <c r="F12" s="154">
        <f>-174.05+164.2-65.8+193.7-42.45-159.65-242.1+69.95+86.8-172.9+218.95+159.05-85.05-23.45-172.85-14.9-147.45+25.1-94.25-154.25-52.45</f>
        <v>-683.85000000000014</v>
      </c>
      <c r="G12" s="154">
        <f t="shared" si="0"/>
        <v>-2.0912844036697251</v>
      </c>
      <c r="H12" s="154">
        <f t="shared" si="1"/>
        <v>-32.564285714285724</v>
      </c>
      <c r="I12" s="142">
        <f t="shared" si="2"/>
        <v>1997</v>
      </c>
      <c r="J12" s="142"/>
      <c r="K12" s="142"/>
      <c r="L12" s="142">
        <v>3</v>
      </c>
      <c r="M12" s="142">
        <v>2</v>
      </c>
      <c r="N12" s="142">
        <v>5</v>
      </c>
      <c r="O12" s="142">
        <v>7</v>
      </c>
      <c r="P12" s="142">
        <v>14</v>
      </c>
      <c r="Q12" s="152">
        <f t="shared" si="4"/>
        <v>0.33333333333333331</v>
      </c>
    </row>
    <row r="13" spans="1:17">
      <c r="A13" s="148" t="s">
        <v>728</v>
      </c>
      <c r="B13" s="148" t="s">
        <v>692</v>
      </c>
      <c r="C13" s="142">
        <v>4</v>
      </c>
      <c r="D13" s="142">
        <f>10+18+18+12</f>
        <v>58</v>
      </c>
      <c r="E13" s="153">
        <f t="shared" si="3"/>
        <v>14.5</v>
      </c>
      <c r="F13" s="154">
        <f>-57.35-242.55-215.45+35.05</f>
        <v>-480.3</v>
      </c>
      <c r="G13" s="154">
        <f t="shared" ref="G13" si="5">F13/D13</f>
        <v>-8.2810344827586206</v>
      </c>
      <c r="H13" s="154">
        <f t="shared" ref="H13" si="6">F13/C13</f>
        <v>-120.075</v>
      </c>
      <c r="I13" s="142">
        <f t="shared" si="2"/>
        <v>2014</v>
      </c>
      <c r="J13" s="142"/>
      <c r="K13" s="142">
        <v>1</v>
      </c>
      <c r="L13" s="142"/>
      <c r="M13" s="142">
        <v>1</v>
      </c>
      <c r="N13" s="142">
        <v>3</v>
      </c>
      <c r="O13" s="142">
        <v>1</v>
      </c>
      <c r="P13" s="142">
        <v>3</v>
      </c>
      <c r="Q13" s="152">
        <f t="shared" si="4"/>
        <v>0.25</v>
      </c>
    </row>
    <row r="14" spans="1:17">
      <c r="A14" s="144" t="s">
        <v>510</v>
      </c>
      <c r="B14" s="144" t="s">
        <v>692</v>
      </c>
      <c r="C14" s="142">
        <v>10</v>
      </c>
      <c r="D14" s="142">
        <f>19+12+21+11+44+44+39+32+49+56</f>
        <v>327</v>
      </c>
      <c r="E14" s="153">
        <f t="shared" si="3"/>
        <v>32.700000000000003</v>
      </c>
      <c r="F14" s="154">
        <f>-124.95-97.2+153-47.3+88.5+277.4-187.95+12.7+234.6-28.1</f>
        <v>280.7</v>
      </c>
      <c r="G14" s="154">
        <f t="shared" si="0"/>
        <v>0.85840978593272166</v>
      </c>
      <c r="H14" s="154">
        <f t="shared" si="1"/>
        <v>28.07</v>
      </c>
      <c r="I14" s="142">
        <f t="shared" si="2"/>
        <v>2008</v>
      </c>
      <c r="J14" s="142"/>
      <c r="K14" s="142"/>
      <c r="L14" s="142">
        <v>1</v>
      </c>
      <c r="M14" s="142">
        <v>2</v>
      </c>
      <c r="N14" s="142">
        <v>2</v>
      </c>
      <c r="O14" s="142">
        <v>5</v>
      </c>
      <c r="P14" s="142">
        <v>5</v>
      </c>
      <c r="Q14" s="152">
        <f t="shared" si="4"/>
        <v>0.5</v>
      </c>
    </row>
    <row r="15" spans="1:17">
      <c r="A15" s="144" t="s">
        <v>532</v>
      </c>
      <c r="B15" s="144" t="s">
        <v>692</v>
      </c>
      <c r="C15" s="142">
        <v>8</v>
      </c>
      <c r="D15" s="142">
        <f>16+10+39+39+38+34+28+15</f>
        <v>219</v>
      </c>
      <c r="E15" s="153">
        <f t="shared" si="3"/>
        <v>27.375</v>
      </c>
      <c r="F15" s="154">
        <f>-116.2+99.1+392.95+437.6+49.05+88.55-20.35-62.9</f>
        <v>867.8</v>
      </c>
      <c r="G15" s="154">
        <f t="shared" si="0"/>
        <v>3.9625570776255707</v>
      </c>
      <c r="H15" s="154">
        <f t="shared" si="1"/>
        <v>108.47499999999999</v>
      </c>
      <c r="I15" s="142">
        <f t="shared" si="2"/>
        <v>2010</v>
      </c>
      <c r="J15" s="142"/>
      <c r="K15" s="142"/>
      <c r="L15" s="142">
        <v>2</v>
      </c>
      <c r="M15" s="142">
        <v>5</v>
      </c>
      <c r="N15" s="142">
        <v>2</v>
      </c>
      <c r="O15" s="142">
        <v>5</v>
      </c>
      <c r="P15" s="142">
        <v>3</v>
      </c>
      <c r="Q15" s="152">
        <f t="shared" si="4"/>
        <v>0.625</v>
      </c>
    </row>
    <row r="16" spans="1:17">
      <c r="A16" s="144" t="s">
        <v>7</v>
      </c>
      <c r="B16" s="144" t="s">
        <v>692</v>
      </c>
      <c r="C16" s="142">
        <v>29</v>
      </c>
      <c r="D16" s="142">
        <f>76+17+12+14+15+12+16+13+12+19+22+16+18+17+15+21+17+11+19+33+42+41+44+50+45+49+24</f>
        <v>690</v>
      </c>
      <c r="E16" s="153">
        <f t="shared" si="3"/>
        <v>23.793103448275861</v>
      </c>
      <c r="F16" s="154">
        <f>-128.45-97.4-89.35-165.8+291.65+30.25-144.3+209.85-225.05+19.1+35.1-119.5-33.1-115.1-31.45-401+45.2-74.95-272.25-363.9-325-424.35-16.9-370.6-286.9-469.85+124.3</f>
        <v>-3399.75</v>
      </c>
      <c r="G16" s="154">
        <f t="shared" si="0"/>
        <v>-4.927173913043478</v>
      </c>
      <c r="H16" s="154">
        <f t="shared" si="1"/>
        <v>-117.23275862068965</v>
      </c>
      <c r="I16" s="142">
        <f t="shared" si="2"/>
        <v>1989</v>
      </c>
      <c r="J16" s="142"/>
      <c r="K16" s="142">
        <v>1</v>
      </c>
      <c r="L16" s="142"/>
      <c r="M16" s="142">
        <v>2</v>
      </c>
      <c r="N16" s="142">
        <v>9</v>
      </c>
      <c r="O16" s="142">
        <v>7</v>
      </c>
      <c r="P16" s="142">
        <v>19</v>
      </c>
      <c r="Q16" s="152">
        <f t="shared" si="4"/>
        <v>0.26923076923076922</v>
      </c>
    </row>
    <row r="17" spans="1:17">
      <c r="A17" s="231" t="s">
        <v>789</v>
      </c>
      <c r="B17" s="231" t="s">
        <v>692</v>
      </c>
      <c r="C17" s="232">
        <v>3</v>
      </c>
      <c r="D17" s="232">
        <f>22+47+28</f>
        <v>97</v>
      </c>
      <c r="E17" s="153">
        <f t="shared" si="3"/>
        <v>32.333333333333336</v>
      </c>
      <c r="F17" s="233">
        <f>-153.9+36-322.1</f>
        <v>-440</v>
      </c>
      <c r="G17" s="154">
        <f t="shared" si="0"/>
        <v>-4.536082474226804</v>
      </c>
      <c r="H17" s="154">
        <f t="shared" si="1"/>
        <v>-146.66666666666666</v>
      </c>
      <c r="I17" s="232">
        <f t="shared" si="2"/>
        <v>2015</v>
      </c>
      <c r="J17" s="232"/>
      <c r="K17" s="232"/>
      <c r="L17" s="232">
        <v>1</v>
      </c>
      <c r="M17" s="232">
        <v>1</v>
      </c>
      <c r="N17" s="232">
        <v>1</v>
      </c>
      <c r="O17" s="232">
        <v>1</v>
      </c>
      <c r="P17" s="232">
        <v>2</v>
      </c>
      <c r="Q17" s="234">
        <f t="shared" si="4"/>
        <v>0.33333333333333331</v>
      </c>
    </row>
    <row r="18" spans="1:17">
      <c r="A18" s="144" t="s">
        <v>257</v>
      </c>
      <c r="B18" s="144" t="s">
        <v>692</v>
      </c>
      <c r="C18" s="142">
        <v>21</v>
      </c>
      <c r="D18" s="142">
        <f>14+28+33+33+48+38+33+38+37+44+44+45+44+44+26+55+48+44+43+47+51</f>
        <v>837</v>
      </c>
      <c r="E18" s="153">
        <f>D18/C18</f>
        <v>39.857142857142854</v>
      </c>
      <c r="F18" s="154">
        <f>-190.7-124.85-163.15-48.2-103-236.15+159.2+248.55-292.85+175.6-406.5-93.95+406.2-21.25-323.3-36.6-208.3-49.45-103.75-202.9-198.75</f>
        <v>-1814.0999999999997</v>
      </c>
      <c r="G18" s="154">
        <f>F18/D18</f>
        <v>-2.1673835125448027</v>
      </c>
      <c r="H18" s="154">
        <f>F18/C18</f>
        <v>-86.385714285714272</v>
      </c>
      <c r="I18" s="142">
        <f t="shared" si="2"/>
        <v>1997</v>
      </c>
      <c r="J18" s="142"/>
      <c r="K18" s="142"/>
      <c r="L18" s="142">
        <v>8</v>
      </c>
      <c r="M18" s="142">
        <v>2</v>
      </c>
      <c r="N18" s="142">
        <v>8</v>
      </c>
      <c r="O18" s="142">
        <v>4</v>
      </c>
      <c r="P18" s="142">
        <v>17</v>
      </c>
      <c r="Q18" s="152">
        <f t="shared" si="4"/>
        <v>0.19047619047619047</v>
      </c>
    </row>
    <row r="19" spans="1:17">
      <c r="A19" s="144" t="s">
        <v>11</v>
      </c>
      <c r="B19" s="144" t="s">
        <v>692</v>
      </c>
      <c r="C19" s="142">
        <v>24</v>
      </c>
      <c r="D19" s="142">
        <f>20+18+15+25+11+17+17+14+23+9+16+11+11+13+10+8+14+7+13+15+11+12+7+8</f>
        <v>325</v>
      </c>
      <c r="E19" s="153">
        <f>D19/C19</f>
        <v>13.541666666666666</v>
      </c>
      <c r="F19" s="154">
        <f>-174.85-141.65+158.8-195.9+8.2+213.5-118.45+57-63.45-62.7-204.95+356.1-220.8-122.3-158.2-232-261.6-125-47.75-21.1-215.3-173-148-152.75</f>
        <v>-2046.1499999999999</v>
      </c>
      <c r="G19" s="154">
        <f>F19/D19</f>
        <v>-6.2958461538461536</v>
      </c>
      <c r="H19" s="154">
        <f>F19/C19</f>
        <v>-85.256249999999994</v>
      </c>
      <c r="I19" s="142">
        <f t="shared" si="2"/>
        <v>1994</v>
      </c>
      <c r="J19" s="142"/>
      <c r="K19" s="142"/>
      <c r="L19" s="142">
        <v>12</v>
      </c>
      <c r="M19" s="142">
        <v>2</v>
      </c>
      <c r="N19" s="142">
        <v>12</v>
      </c>
      <c r="O19" s="142">
        <v>5</v>
      </c>
      <c r="P19" s="142">
        <v>19</v>
      </c>
      <c r="Q19" s="152">
        <f t="shared" si="4"/>
        <v>0.20833333333333334</v>
      </c>
    </row>
    <row r="20" spans="1:17">
      <c r="A20" s="144" t="s">
        <v>12</v>
      </c>
      <c r="B20" s="144" t="s">
        <v>692</v>
      </c>
      <c r="C20" s="142">
        <v>20</v>
      </c>
      <c r="D20" s="142">
        <f>22+23+28+35+26+25+22+16+23+28+31+26+39+40+38+42+41+50+62+65</f>
        <v>682</v>
      </c>
      <c r="E20" s="153">
        <f>D20/C20</f>
        <v>34.1</v>
      </c>
      <c r="F20" s="154">
        <f>-268.65-35.55-14.05+212.05-29.05-187.75+164.2-231.95-21.55-103.65-91.25+238.65-294.55+150.75-187.65+65.55-331.35+26.3+433.5+272.55</f>
        <v>-233.45000000000022</v>
      </c>
      <c r="G20" s="154">
        <f>F20/D20</f>
        <v>-0.34230205278592407</v>
      </c>
      <c r="H20" s="154">
        <f>F20/C20</f>
        <v>-11.67250000000001</v>
      </c>
      <c r="I20" s="142">
        <f>1900+(A$1-C20)+1</f>
        <v>1998</v>
      </c>
      <c r="J20" s="142"/>
      <c r="K20" s="142">
        <v>3</v>
      </c>
      <c r="L20" s="142"/>
      <c r="M20" s="142">
        <v>3</v>
      </c>
      <c r="N20" s="142">
        <v>4</v>
      </c>
      <c r="O20" s="142">
        <v>9</v>
      </c>
      <c r="P20" s="142">
        <v>11</v>
      </c>
      <c r="Q20" s="152">
        <f t="shared" si="4"/>
        <v>0.45</v>
      </c>
    </row>
    <row r="21" spans="1:17">
      <c r="A21" s="274" t="s">
        <v>980</v>
      </c>
      <c r="B21" s="274" t="s">
        <v>692</v>
      </c>
      <c r="C21" s="271">
        <v>1</v>
      </c>
      <c r="D21" s="271">
        <v>15</v>
      </c>
      <c r="E21" s="153">
        <f>D21/C21</f>
        <v>15</v>
      </c>
      <c r="F21" s="272">
        <v>-240.55</v>
      </c>
      <c r="G21" s="154">
        <f>F21/D21</f>
        <v>-16.036666666666669</v>
      </c>
      <c r="H21" s="154">
        <f>F21/C21</f>
        <v>-240.55</v>
      </c>
      <c r="I21" s="271">
        <f>1900+(A$1-C21)+1</f>
        <v>2017</v>
      </c>
      <c r="J21" s="271"/>
      <c r="K21" s="271"/>
      <c r="L21" s="271">
        <v>1</v>
      </c>
      <c r="M21" s="271"/>
      <c r="N21" s="271">
        <v>1</v>
      </c>
      <c r="O21" s="271">
        <v>0</v>
      </c>
      <c r="P21" s="271">
        <v>1</v>
      </c>
      <c r="Q21" s="273">
        <f t="shared" si="4"/>
        <v>0</v>
      </c>
    </row>
    <row r="22" spans="1:17">
      <c r="A22" s="148" t="s">
        <v>720</v>
      </c>
      <c r="B22" s="144" t="s">
        <v>692</v>
      </c>
      <c r="C22" s="142">
        <v>33</v>
      </c>
      <c r="D22" s="142">
        <f>170+19+16+11+12+12+17+14+16+16+18+16+18+14+15+13+11+24+19+5+18+17+15+16+20+25</f>
        <v>567</v>
      </c>
      <c r="E22" s="153">
        <f t="shared" ref="E22:E50" si="7">D22/C22</f>
        <v>17.181818181818183</v>
      </c>
      <c r="F22" s="154">
        <f>322.65-57.9+15.6-48.25+48.05-31.2+66.5-138.25+2.2-136.95+4.65-87.35-121.9-43.55-229.1+54.5-80.15+128.85-90.55-52.65-44.2-260.95-126.2-111.5-180.45-136.45</f>
        <v>-1334.55</v>
      </c>
      <c r="G22" s="154">
        <f t="shared" ref="G22:G50" si="8">F22/D22</f>
        <v>-2.3537037037037036</v>
      </c>
      <c r="H22" s="154">
        <f t="shared" ref="H22:H50" si="9">F22/C22</f>
        <v>-40.440909090909088</v>
      </c>
      <c r="I22" s="142">
        <v>1984</v>
      </c>
      <c r="J22" s="142">
        <v>2010</v>
      </c>
      <c r="K22" s="142"/>
      <c r="L22" s="142">
        <v>8</v>
      </c>
      <c r="M22" s="142">
        <v>1</v>
      </c>
      <c r="N22" s="142">
        <v>8</v>
      </c>
      <c r="O22" s="142">
        <v>8</v>
      </c>
      <c r="P22" s="142">
        <v>18</v>
      </c>
      <c r="Q22" s="152">
        <f t="shared" si="4"/>
        <v>0.30769230769230771</v>
      </c>
    </row>
    <row r="23" spans="1:17">
      <c r="A23" s="144" t="s">
        <v>697</v>
      </c>
      <c r="B23" s="148" t="s">
        <v>696</v>
      </c>
      <c r="C23" s="142">
        <v>44</v>
      </c>
      <c r="D23" s="142">
        <f>342+22+25+25+26+29+43+46+45+58+62+68+54+56+56+57+48+71+45+57+60+68+69+55+21+2</f>
        <v>1510</v>
      </c>
      <c r="E23" s="153">
        <f t="shared" si="7"/>
        <v>34.31818181818182</v>
      </c>
      <c r="F23" s="154">
        <f>633.65+35.9-69.8-17.9-11.75+22.55+531.1+106.8-19.2+290.2-60.5+427.45+19.25-2.1+25.6-243.75+76.25-26.5-14.25-144-138.5-131.6-141.65-333.1-10.2-9</f>
        <v>794.94999999999993</v>
      </c>
      <c r="G23" s="154">
        <f t="shared" si="8"/>
        <v>0.5264569536423841</v>
      </c>
      <c r="H23" s="154">
        <f t="shared" si="9"/>
        <v>18.067045454545454</v>
      </c>
      <c r="I23" s="142">
        <f t="shared" ref="I23:I28" si="10">1900+(A$1-C23)+1</f>
        <v>1974</v>
      </c>
      <c r="J23" s="142">
        <v>2002</v>
      </c>
      <c r="K23" s="142"/>
      <c r="L23" s="142">
        <v>9</v>
      </c>
      <c r="M23" s="142">
        <v>3</v>
      </c>
      <c r="N23" s="142">
        <v>9</v>
      </c>
      <c r="O23" s="142">
        <v>9</v>
      </c>
      <c r="P23" s="142">
        <v>16</v>
      </c>
      <c r="Q23" s="152">
        <f t="shared" si="4"/>
        <v>0.36</v>
      </c>
    </row>
    <row r="24" spans="1:17">
      <c r="A24" s="144" t="s">
        <v>16</v>
      </c>
      <c r="B24" s="144" t="s">
        <v>696</v>
      </c>
      <c r="C24" s="142">
        <v>56</v>
      </c>
      <c r="D24" s="142">
        <f>1048+48+45+56+38+15+14+5+14+7+11+7+4+3+1</f>
        <v>1316</v>
      </c>
      <c r="E24" s="153">
        <f t="shared" si="7"/>
        <v>23.5</v>
      </c>
      <c r="F24" s="154">
        <f>2106.9+255.35-7.35+106.8+69.55+153.8+100.25+35.1+117.85+88.55+65.45+4.6+68.5+33.3-20</f>
        <v>3178.6500000000005</v>
      </c>
      <c r="G24" s="154">
        <f t="shared" si="8"/>
        <v>2.4153875379939214</v>
      </c>
      <c r="H24" s="154">
        <f t="shared" si="9"/>
        <v>56.761607142857152</v>
      </c>
      <c r="I24" s="142">
        <f t="shared" si="10"/>
        <v>1962</v>
      </c>
      <c r="J24" s="142">
        <v>2000</v>
      </c>
      <c r="K24" s="142"/>
      <c r="L24" s="142">
        <v>1</v>
      </c>
      <c r="M24" s="142">
        <v>11</v>
      </c>
      <c r="N24" s="142">
        <v>1</v>
      </c>
      <c r="O24" s="142">
        <v>12</v>
      </c>
      <c r="P24" s="142">
        <v>2</v>
      </c>
      <c r="Q24" s="152">
        <f t="shared" si="4"/>
        <v>0.8571428571428571</v>
      </c>
    </row>
    <row r="25" spans="1:17">
      <c r="A25" s="144" t="s">
        <v>17</v>
      </c>
      <c r="B25" s="144" t="s">
        <v>696</v>
      </c>
      <c r="C25" s="142">
        <v>46</v>
      </c>
      <c r="D25" s="142">
        <f>175+8+9+8+11+8+11+12+10+8+12+15+16+9+7+10+10</f>
        <v>339</v>
      </c>
      <c r="E25" s="153">
        <f t="shared" si="7"/>
        <v>7.3695652173913047</v>
      </c>
      <c r="F25" s="154">
        <f>-252.25-22.05-76.1-135.7-9.7-72.7-135.6-6.8-117.25+22.6-107.8+84.7+170.7-97.1-121.7-82.7+121.3</f>
        <v>-838.15</v>
      </c>
      <c r="G25" s="154">
        <f t="shared" si="8"/>
        <v>-2.4724188790560473</v>
      </c>
      <c r="H25" s="154">
        <f t="shared" si="9"/>
        <v>-18.220652173913042</v>
      </c>
      <c r="I25" s="142">
        <f t="shared" si="10"/>
        <v>1972</v>
      </c>
      <c r="J25" s="142"/>
      <c r="K25" s="142">
        <v>1</v>
      </c>
      <c r="L25" s="142"/>
      <c r="M25" s="142">
        <v>2</v>
      </c>
      <c r="N25" s="142">
        <v>8</v>
      </c>
      <c r="O25" s="142">
        <v>4</v>
      </c>
      <c r="P25" s="142">
        <v>12</v>
      </c>
      <c r="Q25" s="152">
        <f t="shared" si="4"/>
        <v>0.25</v>
      </c>
    </row>
    <row r="26" spans="1:17">
      <c r="A26" s="144" t="s">
        <v>18</v>
      </c>
      <c r="B26" s="144" t="s">
        <v>692</v>
      </c>
      <c r="C26" s="142">
        <v>23</v>
      </c>
      <c r="D26" s="142">
        <f>25+28+34+31+38+33+44+47+48+39+40+42+22+38+34+38+35+30+36+27+35+38+29</f>
        <v>811</v>
      </c>
      <c r="E26" s="153">
        <f t="shared" si="7"/>
        <v>35.260869565217391</v>
      </c>
      <c r="F26" s="154">
        <f>-92.35+58.95+154.9-166.75+144.75-132.7-16.3-182.55+157.1-330.75-197.1+7.95-55+72.35+76.55-226.95-237.65+120.35-496+68.25+181-294.2+120.35</f>
        <v>-1265.8</v>
      </c>
      <c r="G26" s="154">
        <f t="shared" si="8"/>
        <v>-1.5607891491985202</v>
      </c>
      <c r="H26" s="154">
        <f t="shared" si="9"/>
        <v>-55.03478260869565</v>
      </c>
      <c r="I26" s="142">
        <f t="shared" si="10"/>
        <v>1995</v>
      </c>
      <c r="J26" s="142"/>
      <c r="K26" s="142">
        <v>1</v>
      </c>
      <c r="L26" s="142"/>
      <c r="M26" s="142">
        <v>2</v>
      </c>
      <c r="N26" s="142">
        <v>3</v>
      </c>
      <c r="O26" s="142">
        <v>11</v>
      </c>
      <c r="P26" s="142">
        <v>12</v>
      </c>
      <c r="Q26" s="152">
        <f t="shared" si="4"/>
        <v>0.47826086956521741</v>
      </c>
    </row>
    <row r="27" spans="1:17">
      <c r="A27" s="265" t="s">
        <v>814</v>
      </c>
      <c r="B27" s="276" t="s">
        <v>981</v>
      </c>
      <c r="C27" s="266">
        <v>2</v>
      </c>
      <c r="D27" s="275">
        <f>6+9</f>
        <v>15</v>
      </c>
      <c r="E27" s="153">
        <f t="shared" si="7"/>
        <v>7.5</v>
      </c>
      <c r="F27" s="267">
        <f>-40-0.85</f>
        <v>-40.85</v>
      </c>
      <c r="G27" s="154">
        <f t="shared" si="8"/>
        <v>-2.7233333333333336</v>
      </c>
      <c r="H27" s="154">
        <f t="shared" si="9"/>
        <v>-20.425000000000001</v>
      </c>
      <c r="I27" s="266">
        <f t="shared" si="10"/>
        <v>2016</v>
      </c>
      <c r="J27" s="266"/>
      <c r="K27" s="266"/>
      <c r="L27" s="266">
        <v>2</v>
      </c>
      <c r="M27" s="266"/>
      <c r="N27" s="266">
        <v>2</v>
      </c>
      <c r="O27" s="266">
        <v>0</v>
      </c>
      <c r="P27" s="266">
        <v>2</v>
      </c>
      <c r="Q27" s="268">
        <f t="shared" si="4"/>
        <v>0</v>
      </c>
    </row>
    <row r="28" spans="1:17">
      <c r="A28" s="144" t="s">
        <v>23</v>
      </c>
      <c r="B28" s="144" t="s">
        <v>692</v>
      </c>
      <c r="C28" s="142">
        <v>54</v>
      </c>
      <c r="D28" s="142">
        <f>994+87+87+67+83+81+95+84+73+69+50+76+73+54+53+53+52+66+62+67+70+80+86+75+74+68+66</f>
        <v>2845</v>
      </c>
      <c r="E28" s="153">
        <f t="shared" si="7"/>
        <v>52.685185185185183</v>
      </c>
      <c r="F28" s="154">
        <f>353.15+55.6+312.9+284.5+476.6+261.8+179.85+358.55+693.15+548.25-194.05+452.6+191.05+323.25+90.5+51.5+169.05+4.35+26.95+71.5+395.95+558.7-353.45-243.6-14.1+258.7+194.05</f>
        <v>5507.2999999999993</v>
      </c>
      <c r="G28" s="154">
        <f t="shared" si="8"/>
        <v>1.9357820738137079</v>
      </c>
      <c r="H28" s="154">
        <f t="shared" si="9"/>
        <v>101.98703703703703</v>
      </c>
      <c r="I28" s="142">
        <f t="shared" si="10"/>
        <v>1964</v>
      </c>
      <c r="J28" s="142">
        <v>2000</v>
      </c>
      <c r="K28" s="142">
        <v>2</v>
      </c>
      <c r="L28" s="142"/>
      <c r="M28" s="142">
        <v>11</v>
      </c>
      <c r="N28" s="142">
        <v>3</v>
      </c>
      <c r="O28" s="142">
        <v>22</v>
      </c>
      <c r="P28" s="142">
        <v>4</v>
      </c>
      <c r="Q28" s="152">
        <f t="shared" si="4"/>
        <v>0.84615384615384615</v>
      </c>
    </row>
    <row r="29" spans="1:17">
      <c r="A29" s="144" t="s">
        <v>520</v>
      </c>
      <c r="B29" s="148" t="s">
        <v>981</v>
      </c>
      <c r="C29" s="142">
        <v>9</v>
      </c>
      <c r="D29" s="142">
        <f>31+30+49+45+44+27+17+4+4</f>
        <v>251</v>
      </c>
      <c r="E29" s="153">
        <f t="shared" si="7"/>
        <v>27.888888888888889</v>
      </c>
      <c r="F29" s="154">
        <f>-249.5+661.2+12.85+48.05-237.05+119.05-326.45-64-22.45</f>
        <v>-58.299999999999912</v>
      </c>
      <c r="G29" s="154">
        <f t="shared" si="8"/>
        <v>-0.23227091633466102</v>
      </c>
      <c r="H29" s="154">
        <f t="shared" si="9"/>
        <v>-6.4777777777777681</v>
      </c>
      <c r="I29" s="142">
        <v>2009</v>
      </c>
      <c r="J29" s="142"/>
      <c r="K29" s="142"/>
      <c r="L29" s="142">
        <v>3</v>
      </c>
      <c r="M29" s="142">
        <v>3</v>
      </c>
      <c r="N29" s="142">
        <v>3</v>
      </c>
      <c r="O29" s="142">
        <v>4</v>
      </c>
      <c r="P29" s="142">
        <v>5</v>
      </c>
      <c r="Q29" s="152">
        <f t="shared" si="4"/>
        <v>0.44444444444444442</v>
      </c>
    </row>
    <row r="30" spans="1:17">
      <c r="A30" s="144" t="s">
        <v>24</v>
      </c>
      <c r="B30" s="144" t="s">
        <v>696</v>
      </c>
      <c r="C30" s="142">
        <v>37</v>
      </c>
      <c r="D30" s="142">
        <f>302+59+77+55+62+57+71+47+41+21+25+32+31+46+52+58+43+52+43+21+15+12+10+11+8+11+5</f>
        <v>1267</v>
      </c>
      <c r="E30" s="153">
        <f t="shared" si="7"/>
        <v>34.243243243243242</v>
      </c>
      <c r="F30" s="154">
        <f>18.9+119.2+135.1+58.7-74.6+244+261.05-107.95+281.75-26.1-22.05+180.5+103+243.95+596.55+306.75-147.6+170.15-230.55+74.8-25.5+122.15+180.9+33.35+102.55+258.5-65.25</f>
        <v>2792.2500000000005</v>
      </c>
      <c r="G30" s="154">
        <f t="shared" si="8"/>
        <v>2.2038279400157856</v>
      </c>
      <c r="H30" s="154">
        <f t="shared" si="9"/>
        <v>75.466216216216225</v>
      </c>
      <c r="I30" s="142">
        <f t="shared" ref="I30:I50" si="11">1900+(A$1-C30)+1</f>
        <v>1981</v>
      </c>
      <c r="J30" s="142">
        <v>2005</v>
      </c>
      <c r="K30" s="142"/>
      <c r="L30" s="142">
        <v>1</v>
      </c>
      <c r="M30" s="142">
        <v>5</v>
      </c>
      <c r="N30" s="142">
        <v>2</v>
      </c>
      <c r="O30" s="142">
        <v>18</v>
      </c>
      <c r="P30" s="142">
        <v>8</v>
      </c>
      <c r="Q30" s="152">
        <f t="shared" si="4"/>
        <v>0.69230769230769229</v>
      </c>
    </row>
    <row r="31" spans="1:17">
      <c r="A31" s="144" t="s">
        <v>25</v>
      </c>
      <c r="B31" s="144" t="s">
        <v>692</v>
      </c>
      <c r="C31" s="142">
        <v>27</v>
      </c>
      <c r="D31" s="142">
        <f>25+23+20+16+20+21+24+29+26+26+23+21+12+16+20+15+19+17+15+26+20+24+24+15+22+20+26</f>
        <v>565</v>
      </c>
      <c r="E31" s="153">
        <f t="shared" si="7"/>
        <v>20.925925925925927</v>
      </c>
      <c r="F31" s="154">
        <f>84.15-71.95-99.05-51.15+62.5-79.45-76+203.8-129.9+345.4-90.2-41.1-93.2+19.5+156.55+11.25+1.15+263.7+169.4-30.75+99.65+424.3-251.15+196.7+359.75+188.25+275.9</f>
        <v>1848.0499999999997</v>
      </c>
      <c r="G31" s="154">
        <f t="shared" si="8"/>
        <v>3.2708849557522117</v>
      </c>
      <c r="H31" s="154">
        <f t="shared" si="9"/>
        <v>68.446296296296282</v>
      </c>
      <c r="I31" s="142">
        <f t="shared" si="11"/>
        <v>1991</v>
      </c>
      <c r="J31" s="142">
        <v>2015</v>
      </c>
      <c r="K31" s="142">
        <v>4</v>
      </c>
      <c r="L31" s="142"/>
      <c r="M31" s="142">
        <v>6</v>
      </c>
      <c r="N31" s="142">
        <v>3</v>
      </c>
      <c r="O31" s="142">
        <v>16</v>
      </c>
      <c r="P31" s="142">
        <v>10</v>
      </c>
      <c r="Q31" s="152">
        <f t="shared" si="4"/>
        <v>0.61538461538461542</v>
      </c>
    </row>
    <row r="32" spans="1:17">
      <c r="A32" s="144" t="s">
        <v>26</v>
      </c>
      <c r="B32" s="144" t="s">
        <v>692</v>
      </c>
      <c r="C32" s="142">
        <v>29</v>
      </c>
      <c r="D32" s="142">
        <f>102+35+35+37+30+24+33+41+39+33+36+42+35+46+41+50+33+58+59+58+65+60+69+61+56+55+57</f>
        <v>1290</v>
      </c>
      <c r="E32" s="153">
        <f t="shared" si="7"/>
        <v>44.482758620689658</v>
      </c>
      <c r="F32" s="154">
        <f>-24.95-3.3-104.45+630.5-208.6+2.55-147.75+48.1-200.3+88.45+253.45-17.3-138+269.4+162.55+467.4+252.65-69.3+207.7-188.8+325.25+89.05-1.85+62.35+360.85-52.4-54.55</f>
        <v>2008.7</v>
      </c>
      <c r="G32" s="154">
        <f t="shared" si="8"/>
        <v>1.5571317829457365</v>
      </c>
      <c r="H32" s="154">
        <f t="shared" si="9"/>
        <v>69.265517241379314</v>
      </c>
      <c r="I32" s="142">
        <f t="shared" si="11"/>
        <v>1989</v>
      </c>
      <c r="J32" s="142">
        <v>2013</v>
      </c>
      <c r="K32" s="142"/>
      <c r="L32" s="142">
        <v>2</v>
      </c>
      <c r="M32" s="142">
        <v>4</v>
      </c>
      <c r="N32" s="142">
        <v>2</v>
      </c>
      <c r="O32" s="142">
        <v>14</v>
      </c>
      <c r="P32" s="142">
        <v>12</v>
      </c>
      <c r="Q32" s="152">
        <f t="shared" si="4"/>
        <v>0.53846153846153844</v>
      </c>
    </row>
    <row r="33" spans="1:18">
      <c r="A33" s="144" t="s">
        <v>511</v>
      </c>
      <c r="B33" s="144" t="s">
        <v>692</v>
      </c>
      <c r="C33" s="142">
        <v>10</v>
      </c>
      <c r="D33" s="142">
        <f>29+36+38+52+60+55+60+84+63+67</f>
        <v>544</v>
      </c>
      <c r="E33" s="153">
        <f>D33/C33</f>
        <v>54.4</v>
      </c>
      <c r="F33" s="154">
        <f>160.5+445.05-43.85+53.9+421.4+258.45+114+775.4+336.95+579</f>
        <v>3100.7999999999997</v>
      </c>
      <c r="G33" s="154">
        <f>F33/D33</f>
        <v>5.6999999999999993</v>
      </c>
      <c r="H33" s="154">
        <f>F33/C33</f>
        <v>310.08</v>
      </c>
      <c r="I33" s="142">
        <f t="shared" si="11"/>
        <v>2008</v>
      </c>
      <c r="J33" s="142"/>
      <c r="K33" s="142">
        <v>7</v>
      </c>
      <c r="L33" s="142"/>
      <c r="M33" s="142">
        <v>7</v>
      </c>
      <c r="N33" s="142">
        <v>1</v>
      </c>
      <c r="O33" s="142">
        <v>9</v>
      </c>
      <c r="P33" s="142">
        <v>1</v>
      </c>
      <c r="Q33" s="152">
        <f t="shared" si="4"/>
        <v>0.9</v>
      </c>
    </row>
    <row r="34" spans="1:18">
      <c r="A34" s="144" t="s">
        <v>258</v>
      </c>
      <c r="B34" s="144" t="s">
        <v>692</v>
      </c>
      <c r="C34" s="142">
        <v>18</v>
      </c>
      <c r="D34" s="142">
        <f>35+35+42+31+23+29+27+32+47+33+50+48+38+48+48+54+49+44</f>
        <v>713</v>
      </c>
      <c r="E34" s="153">
        <f t="shared" si="7"/>
        <v>39.611111111111114</v>
      </c>
      <c r="F34" s="154">
        <f>200.5+145.85+449.45+595.75+18-81.55+14.05+144.95+185.2+0.2+197.45-5.2-24.45-215.25-203.15-134.3-8-186</f>
        <v>1093.5</v>
      </c>
      <c r="G34" s="154">
        <f t="shared" si="8"/>
        <v>1.5336605890603086</v>
      </c>
      <c r="H34" s="154">
        <f t="shared" si="9"/>
        <v>60.75</v>
      </c>
      <c r="I34" s="142">
        <f t="shared" si="11"/>
        <v>2000</v>
      </c>
      <c r="J34" s="142"/>
      <c r="K34" s="142"/>
      <c r="L34" s="142">
        <v>7</v>
      </c>
      <c r="M34" s="142">
        <v>5</v>
      </c>
      <c r="N34" s="142">
        <v>7</v>
      </c>
      <c r="O34" s="142">
        <v>10</v>
      </c>
      <c r="P34" s="142">
        <v>8</v>
      </c>
      <c r="Q34" s="152">
        <f t="shared" si="4"/>
        <v>0.55555555555555558</v>
      </c>
    </row>
    <row r="35" spans="1:18">
      <c r="A35" s="144" t="s">
        <v>214</v>
      </c>
      <c r="B35" s="144" t="s">
        <v>696</v>
      </c>
      <c r="C35" s="142">
        <v>53</v>
      </c>
      <c r="D35" s="142">
        <f>695+21+22+23+23+25+32+26+28+35+17+5+4+2+1</f>
        <v>959</v>
      </c>
      <c r="E35" s="153">
        <f t="shared" si="7"/>
        <v>18.09433962264151</v>
      </c>
      <c r="F35" s="154">
        <f>1070.25-109.15-109.05+150.25-187.65+44.65-0.4+114.15-83.95+243.45+70.25+48.8-11.85-27.7-12.05</f>
        <v>1200</v>
      </c>
      <c r="G35" s="154">
        <f t="shared" si="8"/>
        <v>1.251303441084463</v>
      </c>
      <c r="H35" s="154">
        <f t="shared" si="9"/>
        <v>22.641509433962263</v>
      </c>
      <c r="I35" s="142">
        <f t="shared" si="11"/>
        <v>1965</v>
      </c>
      <c r="J35" s="142">
        <v>2001</v>
      </c>
      <c r="K35" s="142"/>
      <c r="L35" s="142">
        <v>3</v>
      </c>
      <c r="M35" s="142">
        <v>3</v>
      </c>
      <c r="N35" s="142">
        <v>3</v>
      </c>
      <c r="O35" s="142">
        <v>6</v>
      </c>
      <c r="P35" s="142">
        <v>8</v>
      </c>
      <c r="Q35" s="152">
        <f t="shared" si="4"/>
        <v>0.42857142857142855</v>
      </c>
    </row>
    <row r="36" spans="1:18">
      <c r="A36" s="144" t="s">
        <v>31</v>
      </c>
      <c r="B36" s="144" t="s">
        <v>692</v>
      </c>
      <c r="C36" s="142">
        <v>27</v>
      </c>
      <c r="D36" s="142">
        <f>17+18+12+18+15+20+20+25+34+33+44+45+43+42+38+50+36+60+56+41+42+36+10+20+33+43+39</f>
        <v>890</v>
      </c>
      <c r="E36" s="153">
        <f t="shared" si="7"/>
        <v>32.962962962962962</v>
      </c>
      <c r="F36" s="154">
        <f>66.85+179.75+89.5-34.35-3.7-87.65-143.75-197.55-158.8-85+122.25-263.7+189.5-190.75-21.4-134.8-275.75-106.8-224.15-95.95-87.05-286.05+138.55-11.55-42.35-100.85+26.95</f>
        <v>-1738.6</v>
      </c>
      <c r="G36" s="154">
        <f t="shared" si="8"/>
        <v>-1.9534831460674156</v>
      </c>
      <c r="H36" s="154">
        <f t="shared" si="9"/>
        <v>-64.392592592592592</v>
      </c>
      <c r="I36" s="142">
        <f t="shared" si="11"/>
        <v>1991</v>
      </c>
      <c r="J36" s="142">
        <v>2016</v>
      </c>
      <c r="K36" s="142">
        <v>1</v>
      </c>
      <c r="L36" s="142"/>
      <c r="M36" s="142">
        <v>3</v>
      </c>
      <c r="N36" s="142">
        <v>9</v>
      </c>
      <c r="O36" s="142">
        <v>7</v>
      </c>
      <c r="P36" s="142">
        <v>19</v>
      </c>
      <c r="Q36" s="152">
        <f t="shared" si="4"/>
        <v>0.26923076923076922</v>
      </c>
    </row>
    <row r="37" spans="1:18">
      <c r="A37" s="144" t="s">
        <v>265</v>
      </c>
      <c r="B37" s="144" t="s">
        <v>692</v>
      </c>
      <c r="C37" s="142">
        <v>17</v>
      </c>
      <c r="D37" s="142">
        <f>33+29+23+28+32+22+17+9+43+43+55+73+75+62+70+74+73</f>
        <v>761</v>
      </c>
      <c r="E37" s="153">
        <f>D37/C37</f>
        <v>44.764705882352942</v>
      </c>
      <c r="F37" s="154">
        <f>-185.15-264.2+62.8-9.2-227.65-301.2+365.95-51.65+157.2+144.9-364.9-7.4+137.1-18.25+331.9+423.95-255.7</f>
        <v>-61.499999999999773</v>
      </c>
      <c r="G37" s="154">
        <f>F37/D37</f>
        <v>-8.0814717477003639E-2</v>
      </c>
      <c r="H37" s="154">
        <f>F37/C37</f>
        <v>-3.6176470588235161</v>
      </c>
      <c r="I37" s="142">
        <f t="shared" si="11"/>
        <v>2001</v>
      </c>
      <c r="J37" s="142"/>
      <c r="K37" s="142"/>
      <c r="L37" s="142">
        <v>1</v>
      </c>
      <c r="M37" s="142">
        <v>2</v>
      </c>
      <c r="N37" s="142">
        <v>3</v>
      </c>
      <c r="O37" s="142">
        <v>7</v>
      </c>
      <c r="P37" s="142">
        <v>10</v>
      </c>
      <c r="Q37" s="152">
        <f t="shared" si="4"/>
        <v>0.41176470588235292</v>
      </c>
      <c r="R37" s="50"/>
    </row>
    <row r="38" spans="1:18">
      <c r="A38" s="148" t="s">
        <v>672</v>
      </c>
      <c r="B38" s="148" t="s">
        <v>692</v>
      </c>
      <c r="C38" s="142">
        <v>5</v>
      </c>
      <c r="D38" s="142">
        <f>51+71+52+59+45</f>
        <v>278</v>
      </c>
      <c r="E38" s="153">
        <f>D38/C38</f>
        <v>55.6</v>
      </c>
      <c r="F38" s="154">
        <f>-150.7+64.5-365.4-201.2-140</f>
        <v>-792.8</v>
      </c>
      <c r="G38" s="154">
        <f>F38/D38</f>
        <v>-2.851798561151079</v>
      </c>
      <c r="H38" s="154">
        <f>F38/C38</f>
        <v>-158.56</v>
      </c>
      <c r="I38" s="142">
        <f t="shared" si="11"/>
        <v>2013</v>
      </c>
      <c r="J38" s="142"/>
      <c r="K38" s="142"/>
      <c r="L38" s="142">
        <v>3</v>
      </c>
      <c r="M38" s="142">
        <v>1</v>
      </c>
      <c r="N38" s="142">
        <v>3</v>
      </c>
      <c r="O38" s="142">
        <v>1</v>
      </c>
      <c r="P38" s="142">
        <v>4</v>
      </c>
      <c r="Q38" s="152">
        <f t="shared" si="4"/>
        <v>0.2</v>
      </c>
    </row>
    <row r="39" spans="1:18">
      <c r="A39" s="144" t="s">
        <v>519</v>
      </c>
      <c r="B39" s="144" t="s">
        <v>692</v>
      </c>
      <c r="C39" s="142">
        <v>9</v>
      </c>
      <c r="D39" s="142">
        <f>20+50+67+64+57+51+47+32+27</f>
        <v>415</v>
      </c>
      <c r="E39" s="153">
        <f>D39/C39</f>
        <v>46.111111111111114</v>
      </c>
      <c r="F39" s="154">
        <f>127+522.7+831.4-22.55-112.45+205.45+3.1+20.45+109.75</f>
        <v>1684.85</v>
      </c>
      <c r="G39" s="154">
        <f>F39/D39</f>
        <v>4.0598795180722886</v>
      </c>
      <c r="H39" s="154">
        <f>F39/C39</f>
        <v>187.20555555555555</v>
      </c>
      <c r="I39" s="142">
        <f t="shared" si="11"/>
        <v>2009</v>
      </c>
      <c r="J39" s="142"/>
      <c r="K39" s="142">
        <v>4</v>
      </c>
      <c r="L39" s="142"/>
      <c r="M39" s="142">
        <v>4</v>
      </c>
      <c r="N39" s="142">
        <v>2</v>
      </c>
      <c r="O39" s="142">
        <v>7</v>
      </c>
      <c r="P39" s="142">
        <v>2</v>
      </c>
      <c r="Q39" s="152">
        <f t="shared" si="4"/>
        <v>0.77777777777777779</v>
      </c>
    </row>
    <row r="40" spans="1:18">
      <c r="A40" s="144" t="s">
        <v>259</v>
      </c>
      <c r="B40" s="144" t="s">
        <v>692</v>
      </c>
      <c r="C40" s="142">
        <v>18</v>
      </c>
      <c r="D40" s="142">
        <f>10+11+12+14+11+12+13+13+16+15+24+21+28+28+27+21+27+22</f>
        <v>325</v>
      </c>
      <c r="E40" s="153">
        <f t="shared" si="7"/>
        <v>18.055555555555557</v>
      </c>
      <c r="F40" s="154">
        <f>-101.7-44.4+347.9+101-13.7-241.05+136.15+37.55-74.35-172.4-140.3+119.35-156-32.7+88.3+16+171.2-54.8</f>
        <v>-13.950000000000088</v>
      </c>
      <c r="G40" s="154">
        <f t="shared" si="8"/>
        <v>-4.2923076923077196E-2</v>
      </c>
      <c r="H40" s="154">
        <f t="shared" si="9"/>
        <v>-0.77500000000000491</v>
      </c>
      <c r="I40" s="142">
        <f t="shared" si="11"/>
        <v>2000</v>
      </c>
      <c r="J40" s="142"/>
      <c r="K40" s="142"/>
      <c r="L40" s="142">
        <v>1</v>
      </c>
      <c r="M40" s="142">
        <v>3</v>
      </c>
      <c r="N40" s="142">
        <v>3</v>
      </c>
      <c r="O40" s="142">
        <v>8</v>
      </c>
      <c r="P40" s="142">
        <v>10</v>
      </c>
      <c r="Q40" s="152">
        <f t="shared" si="4"/>
        <v>0.44444444444444442</v>
      </c>
    </row>
    <row r="41" spans="1:18">
      <c r="A41" s="144" t="s">
        <v>468</v>
      </c>
      <c r="B41" s="144" t="s">
        <v>692</v>
      </c>
      <c r="C41" s="142">
        <v>13</v>
      </c>
      <c r="D41" s="142">
        <f>36+56+58+58+50+57+35+44+65+50+51+50+39</f>
        <v>649</v>
      </c>
      <c r="E41" s="153">
        <f t="shared" si="7"/>
        <v>49.92307692307692</v>
      </c>
      <c r="F41" s="154">
        <f>-39.45+145.8-164.9-6.75+476.35+236.55-38.25+249.15+322.05-160.55+286.65-17.45+208.75</f>
        <v>1497.95</v>
      </c>
      <c r="G41" s="154">
        <f t="shared" si="8"/>
        <v>2.3080893682588597</v>
      </c>
      <c r="H41" s="154">
        <f t="shared" si="9"/>
        <v>115.22692307692309</v>
      </c>
      <c r="I41" s="142">
        <f t="shared" si="11"/>
        <v>2005</v>
      </c>
      <c r="J41" s="142"/>
      <c r="K41" s="142">
        <v>1</v>
      </c>
      <c r="L41" s="142"/>
      <c r="M41" s="142">
        <v>4</v>
      </c>
      <c r="N41" s="142">
        <v>3</v>
      </c>
      <c r="O41" s="142">
        <v>7</v>
      </c>
      <c r="P41" s="142">
        <v>6</v>
      </c>
      <c r="Q41" s="152">
        <f t="shared" si="4"/>
        <v>0.53846153846153844</v>
      </c>
    </row>
    <row r="42" spans="1:18">
      <c r="A42" s="144" t="s">
        <v>32</v>
      </c>
      <c r="B42" s="144" t="s">
        <v>696</v>
      </c>
      <c r="C42" s="142">
        <v>32</v>
      </c>
      <c r="D42" s="142">
        <f>152+39+37+38+40+37+32+43+56+41+47+49+35+28+49+43+41+45+42+56+58+61+52+48+3+4+4</f>
        <v>1180</v>
      </c>
      <c r="E42" s="153">
        <f t="shared" si="7"/>
        <v>36.875</v>
      </c>
      <c r="F42" s="154">
        <f>-143.1+408.9-45.05-189.6-144.4-113.55-65.9-179.5+447.1-302.15+29.1+186.7-457.9+187.35+702.2+284.35+237.75-376.95-72.4-19.7-275.6-141.2+46.05+91.55-35-56.35-9.7</f>
        <v>-6.9999999999998472</v>
      </c>
      <c r="G42" s="154">
        <f t="shared" si="8"/>
        <v>-5.9322033898303794E-3</v>
      </c>
      <c r="H42" s="154">
        <f t="shared" si="9"/>
        <v>-0.21874999999999523</v>
      </c>
      <c r="I42" s="142">
        <f t="shared" si="11"/>
        <v>1986</v>
      </c>
      <c r="J42" s="142">
        <v>2011</v>
      </c>
      <c r="K42" s="142"/>
      <c r="L42" s="142">
        <v>3</v>
      </c>
      <c r="M42" s="142">
        <v>4</v>
      </c>
      <c r="N42" s="142">
        <v>6</v>
      </c>
      <c r="O42" s="142">
        <v>10</v>
      </c>
      <c r="P42" s="142">
        <v>16</v>
      </c>
      <c r="Q42" s="152">
        <f t="shared" si="4"/>
        <v>0.38461538461538464</v>
      </c>
    </row>
    <row r="43" spans="1:18">
      <c r="A43" s="144" t="s">
        <v>530</v>
      </c>
      <c r="B43" s="144" t="s">
        <v>692</v>
      </c>
      <c r="C43" s="142">
        <v>15</v>
      </c>
      <c r="D43" s="149">
        <f>10+3+10+7+9+17+11+12+16+19+21+12+14+13+18</f>
        <v>192</v>
      </c>
      <c r="E43" s="153">
        <f>D43/C43</f>
        <v>12.8</v>
      </c>
      <c r="F43" s="154">
        <f>-67.35-87.2-79.2-18.2-91.85-171.3-154.25+170.3-205.7+24.65-103.25-106.95-166-57.5-6.1</f>
        <v>-1119.8999999999999</v>
      </c>
      <c r="G43" s="154">
        <f>F43/D43</f>
        <v>-5.8328124999999993</v>
      </c>
      <c r="H43" s="154">
        <f>F43/C43</f>
        <v>-74.66</v>
      </c>
      <c r="I43" s="142">
        <f t="shared" si="11"/>
        <v>2003</v>
      </c>
      <c r="J43" s="142"/>
      <c r="K43" s="142"/>
      <c r="L43" s="142">
        <v>4</v>
      </c>
      <c r="M43" s="142">
        <v>1</v>
      </c>
      <c r="N43" s="142">
        <v>7</v>
      </c>
      <c r="O43" s="142">
        <v>2</v>
      </c>
      <c r="P43" s="142">
        <v>13</v>
      </c>
      <c r="Q43" s="152">
        <f t="shared" si="4"/>
        <v>0.13333333333333333</v>
      </c>
    </row>
    <row r="44" spans="1:18">
      <c r="A44" s="265" t="s">
        <v>812</v>
      </c>
      <c r="B44" s="265" t="s">
        <v>692</v>
      </c>
      <c r="C44" s="266">
        <v>2</v>
      </c>
      <c r="D44" s="269">
        <f>25+20</f>
        <v>45</v>
      </c>
      <c r="E44" s="153">
        <f>D44/C44</f>
        <v>22.5</v>
      </c>
      <c r="F44" s="267">
        <f>-415.05-318.8</f>
        <v>-733.85</v>
      </c>
      <c r="G44" s="154">
        <f>F44/D44</f>
        <v>-16.30777777777778</v>
      </c>
      <c r="H44" s="154">
        <f>F44/C44</f>
        <v>-366.92500000000001</v>
      </c>
      <c r="I44" s="266">
        <f t="shared" si="11"/>
        <v>2016</v>
      </c>
      <c r="J44" s="266"/>
      <c r="K44" s="266"/>
      <c r="L44" s="266">
        <v>2</v>
      </c>
      <c r="M44" s="266"/>
      <c r="N44" s="266">
        <v>2</v>
      </c>
      <c r="O44" s="266">
        <v>0</v>
      </c>
      <c r="P44" s="266">
        <v>2</v>
      </c>
      <c r="Q44" s="152">
        <f t="shared" si="4"/>
        <v>0</v>
      </c>
    </row>
    <row r="45" spans="1:18">
      <c r="A45" s="144" t="s">
        <v>698</v>
      </c>
      <c r="B45" s="144" t="s">
        <v>692</v>
      </c>
      <c r="C45" s="142">
        <v>24</v>
      </c>
      <c r="D45" s="142">
        <f>27+31+32+29+27+20+24+27+31+16+28+16+27+21+14+12+21+23+38+43+38+37+34+31</f>
        <v>647</v>
      </c>
      <c r="E45" s="153">
        <f t="shared" si="7"/>
        <v>26.958333333333332</v>
      </c>
      <c r="F45" s="154">
        <f>-157.3-125.2+95.4+143.15-97.4+228.35-304.3-225.5-223.8+20.05-115.4+212.35-128.2+114.1-147.8+83.6-42.25+33.2-163+40.95+22.4-139.5+68.1+88.5</f>
        <v>-719.49999999999989</v>
      </c>
      <c r="G45" s="154">
        <f t="shared" si="8"/>
        <v>-1.1120556414219473</v>
      </c>
      <c r="H45" s="154">
        <f t="shared" si="9"/>
        <v>-29.979166666666661</v>
      </c>
      <c r="I45" s="142">
        <f t="shared" si="11"/>
        <v>1994</v>
      </c>
      <c r="J45" s="142"/>
      <c r="K45" s="142">
        <v>2</v>
      </c>
      <c r="L45" s="142"/>
      <c r="M45" s="142">
        <v>2</v>
      </c>
      <c r="N45" s="142">
        <v>3</v>
      </c>
      <c r="O45" s="142">
        <v>12</v>
      </c>
      <c r="P45" s="142">
        <v>12</v>
      </c>
      <c r="Q45" s="152">
        <f t="shared" si="4"/>
        <v>0.5</v>
      </c>
    </row>
    <row r="46" spans="1:18">
      <c r="A46" s="144" t="s">
        <v>35</v>
      </c>
      <c r="B46" s="144" t="s">
        <v>692</v>
      </c>
      <c r="C46" s="142">
        <v>39</v>
      </c>
      <c r="D46" s="142">
        <f>316+29+40+29+51+48+61+52+45+47+54+66+51+41+39+46+39+49+46+34+44+41+45+34+39+40+36</f>
        <v>1462</v>
      </c>
      <c r="E46" s="153">
        <f t="shared" si="7"/>
        <v>37.487179487179489</v>
      </c>
      <c r="F46" s="154">
        <f>239.7-96.85+167.1-79.5+222.8+12.5-56.4+107.15-107.9-87.85+458.65-26.1+761.1+2.95-41.15-39.15-186.7+104-274-268.35+84.85+46.4+138.6+270.15+15.55+138.45-173.15</f>
        <v>1332.85</v>
      </c>
      <c r="G46" s="154">
        <f t="shared" si="8"/>
        <v>0.91166210670314629</v>
      </c>
      <c r="H46" s="154">
        <f t="shared" si="9"/>
        <v>34.175641025641021</v>
      </c>
      <c r="I46" s="142">
        <f t="shared" si="11"/>
        <v>1979</v>
      </c>
      <c r="J46" s="142">
        <v>2003</v>
      </c>
      <c r="K46" s="142"/>
      <c r="L46" s="142">
        <v>1</v>
      </c>
      <c r="M46" s="142">
        <v>6</v>
      </c>
      <c r="N46" s="142">
        <v>3</v>
      </c>
      <c r="O46" s="142">
        <v>14</v>
      </c>
      <c r="P46" s="142">
        <v>12</v>
      </c>
      <c r="Q46" s="152">
        <f t="shared" si="4"/>
        <v>0.53846153846153844</v>
      </c>
    </row>
    <row r="47" spans="1:18">
      <c r="A47" s="144" t="s">
        <v>600</v>
      </c>
      <c r="B47" s="148" t="s">
        <v>981</v>
      </c>
      <c r="C47" s="142">
        <v>6</v>
      </c>
      <c r="D47" s="155">
        <f>10+15+12+11+6+1</f>
        <v>55</v>
      </c>
      <c r="E47" s="153">
        <f t="shared" si="7"/>
        <v>9.1666666666666661</v>
      </c>
      <c r="F47" s="154">
        <f>-58.7-62.1-160.35+12.6-115.75-22</f>
        <v>-406.29999999999995</v>
      </c>
      <c r="G47" s="154">
        <f t="shared" si="8"/>
        <v>-7.3872727272727268</v>
      </c>
      <c r="H47" s="154">
        <f t="shared" si="9"/>
        <v>-67.716666666666654</v>
      </c>
      <c r="I47" s="142">
        <f t="shared" si="11"/>
        <v>2012</v>
      </c>
      <c r="J47" s="142"/>
      <c r="K47" s="142"/>
      <c r="L47" s="142">
        <v>2</v>
      </c>
      <c r="M47" s="142">
        <v>1</v>
      </c>
      <c r="N47" s="142">
        <v>3</v>
      </c>
      <c r="O47" s="142">
        <v>1</v>
      </c>
      <c r="P47" s="142">
        <v>5</v>
      </c>
      <c r="Q47" s="152">
        <f t="shared" si="4"/>
        <v>0.16666666666666666</v>
      </c>
    </row>
    <row r="48" spans="1:18">
      <c r="A48" s="144" t="s">
        <v>305</v>
      </c>
      <c r="B48" s="144" t="s">
        <v>692</v>
      </c>
      <c r="C48" s="142">
        <v>16</v>
      </c>
      <c r="D48" s="142">
        <f>43+43+42+44+41+34+35+36+30+38+54+39+24+20+10+11</f>
        <v>544</v>
      </c>
      <c r="E48" s="153">
        <f>D48/C48</f>
        <v>34</v>
      </c>
      <c r="F48" s="154">
        <f>230.6-255.5+385.15+224.5+335.7-70+291.55-21.25+206.65+143.4-141.05+157.95-85.6-170.15-1.75+174.5</f>
        <v>1404.7000000000003</v>
      </c>
      <c r="G48" s="154">
        <f>F48/D48</f>
        <v>2.5821691176470591</v>
      </c>
      <c r="H48" s="154">
        <f>F48/C48</f>
        <v>87.793750000000017</v>
      </c>
      <c r="I48" s="142">
        <f t="shared" si="11"/>
        <v>2002</v>
      </c>
      <c r="J48" s="142"/>
      <c r="K48" s="142">
        <v>1</v>
      </c>
      <c r="L48" s="142"/>
      <c r="M48" s="142">
        <v>3</v>
      </c>
      <c r="N48" s="142">
        <v>3</v>
      </c>
      <c r="O48" s="142">
        <v>9</v>
      </c>
      <c r="P48" s="142">
        <v>7</v>
      </c>
      <c r="Q48" s="152">
        <f t="shared" si="4"/>
        <v>0.5625</v>
      </c>
    </row>
    <row r="49" spans="1:17">
      <c r="A49" s="144" t="s">
        <v>38</v>
      </c>
      <c r="B49" s="148" t="s">
        <v>981</v>
      </c>
      <c r="C49" s="142">
        <v>28</v>
      </c>
      <c r="D49" s="142">
        <f>39+22+25+16+19+17+18+20+22+23+31+21+23+21+30+25+25+24+22+29+25+26+25+21+4+9+5</f>
        <v>587</v>
      </c>
      <c r="E49" s="153">
        <f t="shared" si="7"/>
        <v>20.964285714285715</v>
      </c>
      <c r="F49" s="154">
        <f>-204.15+66.6-75.9-82.15+84.25+56.05-80.6+34.3-140.4-66.3-224.9+102.15+53.35+26.6-159.55+1.75-82.05-210.45-50.25-194.3-273.75-169.7-337.65-309+95.75-139.2+21.6</f>
        <v>-2257.9</v>
      </c>
      <c r="G49" s="154">
        <f t="shared" si="8"/>
        <v>-3.8465076660988076</v>
      </c>
      <c r="H49" s="154">
        <f t="shared" si="9"/>
        <v>-80.63928571428572</v>
      </c>
      <c r="I49" s="142">
        <f t="shared" si="11"/>
        <v>1990</v>
      </c>
      <c r="J49" s="142"/>
      <c r="K49" s="142">
        <v>1</v>
      </c>
      <c r="L49" s="142"/>
      <c r="M49" s="142">
        <v>3</v>
      </c>
      <c r="N49" s="142">
        <v>8</v>
      </c>
      <c r="O49" s="142">
        <v>10</v>
      </c>
      <c r="P49" s="142">
        <v>16</v>
      </c>
      <c r="Q49" s="152">
        <f t="shared" si="4"/>
        <v>0.38461538461538464</v>
      </c>
    </row>
    <row r="50" spans="1:17">
      <c r="A50" s="231" t="s">
        <v>790</v>
      </c>
      <c r="B50" s="231" t="s">
        <v>692</v>
      </c>
      <c r="C50" s="232">
        <v>3</v>
      </c>
      <c r="D50" s="232">
        <f>18+13+14</f>
        <v>45</v>
      </c>
      <c r="E50" s="153">
        <f t="shared" si="7"/>
        <v>15</v>
      </c>
      <c r="F50" s="233">
        <f>-218.4-172.65-122.05</f>
        <v>-513.1</v>
      </c>
      <c r="G50" s="154">
        <f t="shared" si="8"/>
        <v>-11.402222222222223</v>
      </c>
      <c r="H50" s="154">
        <f t="shared" si="9"/>
        <v>-171.03333333333333</v>
      </c>
      <c r="I50" s="232">
        <f t="shared" si="11"/>
        <v>2015</v>
      </c>
      <c r="J50" s="232"/>
      <c r="K50" s="232"/>
      <c r="L50" s="232">
        <v>3</v>
      </c>
      <c r="M50" s="232"/>
      <c r="N50" s="232">
        <v>3</v>
      </c>
      <c r="O50" s="232">
        <v>0</v>
      </c>
      <c r="P50" s="232">
        <v>3</v>
      </c>
      <c r="Q50" s="234">
        <f t="shared" si="4"/>
        <v>0</v>
      </c>
    </row>
    <row r="51" spans="1:17">
      <c r="A51" s="143"/>
      <c r="B51" s="143"/>
      <c r="C51" s="142"/>
      <c r="D51" s="142">
        <f>SUM(D7:D50)</f>
        <v>29259</v>
      </c>
      <c r="E51" s="153"/>
      <c r="F51" s="154"/>
      <c r="G51" s="154"/>
      <c r="H51" s="154"/>
      <c r="I51" s="142"/>
      <c r="J51" s="142"/>
      <c r="K51" s="142"/>
      <c r="L51" s="142"/>
      <c r="M51" s="142"/>
      <c r="N51" s="142"/>
      <c r="O51" s="142"/>
      <c r="P51" s="142"/>
      <c r="Q51" s="142"/>
    </row>
  </sheetData>
  <mergeCells count="3">
    <mergeCell ref="K4:L4"/>
    <mergeCell ref="M4:N4"/>
    <mergeCell ref="O4:Q4"/>
  </mergeCells>
  <pageMargins left="0.7" right="0.7" top="0.75" bottom="0.75" header="0.3" footer="0.3"/>
  <pageSetup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workbookViewId="0">
      <selection activeCell="P3" sqref="P3"/>
    </sheetView>
  </sheetViews>
  <sheetFormatPr defaultRowHeight="12.75"/>
  <cols>
    <col min="1" max="1" width="9.140625" style="43"/>
    <col min="2" max="2" width="10.28515625" customWidth="1"/>
    <col min="3" max="3" width="11.42578125" bestFit="1" customWidth="1"/>
    <col min="4" max="5" width="11.7109375" bestFit="1" customWidth="1"/>
    <col min="6" max="6" width="11.42578125" bestFit="1" customWidth="1"/>
    <col min="7" max="7" width="12.7109375" bestFit="1" customWidth="1"/>
    <col min="8" max="8" width="9.5703125" bestFit="1" customWidth="1"/>
    <col min="14" max="14" width="10.28515625" bestFit="1" customWidth="1"/>
  </cols>
  <sheetData>
    <row r="1" spans="1:25">
      <c r="A1" s="34" t="s">
        <v>575</v>
      </c>
      <c r="B1" s="34" t="s">
        <v>576</v>
      </c>
      <c r="C1" s="34" t="s">
        <v>577</v>
      </c>
      <c r="D1" s="34" t="s">
        <v>576</v>
      </c>
      <c r="E1" s="34" t="s">
        <v>578</v>
      </c>
      <c r="F1" s="34" t="s">
        <v>576</v>
      </c>
      <c r="G1" s="34" t="s">
        <v>579</v>
      </c>
      <c r="H1" s="34" t="s">
        <v>576</v>
      </c>
      <c r="I1" s="34" t="s">
        <v>580</v>
      </c>
      <c r="J1" s="34" t="s">
        <v>576</v>
      </c>
      <c r="K1" s="34" t="s">
        <v>581</v>
      </c>
      <c r="L1" s="34" t="s">
        <v>576</v>
      </c>
      <c r="M1" s="34" t="s">
        <v>582</v>
      </c>
      <c r="N1" s="34" t="s">
        <v>576</v>
      </c>
      <c r="O1" s="34" t="s">
        <v>583</v>
      </c>
      <c r="P1" s="34" t="s">
        <v>576</v>
      </c>
      <c r="Q1" s="34" t="s">
        <v>584</v>
      </c>
      <c r="R1" s="34" t="s">
        <v>576</v>
      </c>
      <c r="S1" s="34" t="s">
        <v>585</v>
      </c>
      <c r="T1" s="34" t="s">
        <v>576</v>
      </c>
      <c r="U1" s="34" t="s">
        <v>586</v>
      </c>
      <c r="V1" s="34" t="s">
        <v>576</v>
      </c>
      <c r="W1" s="34" t="s">
        <v>587</v>
      </c>
      <c r="X1" s="34" t="s">
        <v>576</v>
      </c>
      <c r="Y1" s="34" t="s">
        <v>588</v>
      </c>
    </row>
    <row r="2" spans="1:25">
      <c r="A2" s="102">
        <v>2017</v>
      </c>
      <c r="B2" s="68" t="s">
        <v>351</v>
      </c>
      <c r="C2" s="102">
        <v>139</v>
      </c>
      <c r="D2" s="68" t="s">
        <v>511</v>
      </c>
      <c r="E2" s="102">
        <v>62</v>
      </c>
      <c r="F2" s="68" t="s">
        <v>12</v>
      </c>
      <c r="G2" s="102">
        <v>36</v>
      </c>
      <c r="H2" s="68" t="s">
        <v>468</v>
      </c>
      <c r="I2" s="102">
        <v>36</v>
      </c>
      <c r="J2" s="68" t="s">
        <v>25</v>
      </c>
      <c r="K2" s="102">
        <v>19</v>
      </c>
      <c r="L2" s="68" t="s">
        <v>23</v>
      </c>
      <c r="M2" s="102">
        <v>17</v>
      </c>
      <c r="N2" s="68" t="s">
        <v>672</v>
      </c>
      <c r="O2" s="102">
        <v>15</v>
      </c>
      <c r="P2" s="68" t="s">
        <v>599</v>
      </c>
      <c r="Q2" s="102">
        <v>12</v>
      </c>
      <c r="R2" s="270"/>
      <c r="S2" s="270"/>
      <c r="T2" s="270"/>
      <c r="U2" s="270"/>
      <c r="V2" s="270"/>
      <c r="W2" s="270"/>
      <c r="X2" s="270"/>
      <c r="Y2" s="270"/>
    </row>
    <row r="3" spans="1:25">
      <c r="A3" s="102">
        <v>2016</v>
      </c>
      <c r="B3" s="68" t="s">
        <v>31</v>
      </c>
      <c r="C3" s="102">
        <v>145</v>
      </c>
      <c r="D3" s="68" t="s">
        <v>789</v>
      </c>
      <c r="E3" s="102">
        <v>65</v>
      </c>
      <c r="F3" s="68" t="s">
        <v>265</v>
      </c>
      <c r="G3" s="102">
        <v>37.5</v>
      </c>
      <c r="H3" s="68" t="s">
        <v>259</v>
      </c>
      <c r="I3" s="102">
        <v>37.5</v>
      </c>
      <c r="J3" s="68" t="s">
        <v>23</v>
      </c>
      <c r="K3" s="102">
        <v>19</v>
      </c>
      <c r="L3" s="68" t="s">
        <v>0</v>
      </c>
      <c r="M3" s="102">
        <v>17</v>
      </c>
      <c r="N3" s="68" t="s">
        <v>513</v>
      </c>
      <c r="O3" s="102">
        <v>15</v>
      </c>
      <c r="P3" s="68" t="s">
        <v>560</v>
      </c>
      <c r="Q3" s="102">
        <v>12</v>
      </c>
      <c r="R3" s="235"/>
      <c r="S3" s="235"/>
      <c r="T3" s="235"/>
      <c r="U3" s="235"/>
      <c r="V3" s="235"/>
      <c r="W3" s="235"/>
      <c r="X3" s="235"/>
      <c r="Y3" s="235"/>
    </row>
    <row r="4" spans="1:25">
      <c r="A4" s="102">
        <v>2015</v>
      </c>
      <c r="B4" s="68" t="s">
        <v>23</v>
      </c>
      <c r="C4" s="102">
        <v>145</v>
      </c>
      <c r="D4" s="68" t="s">
        <v>265</v>
      </c>
      <c r="E4" s="102">
        <v>65</v>
      </c>
      <c r="F4" s="68" t="s">
        <v>18</v>
      </c>
      <c r="G4" s="102">
        <v>37.5</v>
      </c>
      <c r="H4" s="68" t="s">
        <v>560</v>
      </c>
      <c r="I4" s="102">
        <v>37.5</v>
      </c>
      <c r="J4" s="68" t="s">
        <v>25</v>
      </c>
      <c r="K4" s="102">
        <v>19</v>
      </c>
      <c r="L4" s="68" t="s">
        <v>511</v>
      </c>
      <c r="M4" s="102">
        <v>17</v>
      </c>
      <c r="N4" s="68" t="s">
        <v>0</v>
      </c>
      <c r="O4" s="102">
        <v>13.5</v>
      </c>
      <c r="P4" s="68" t="s">
        <v>352</v>
      </c>
      <c r="Q4" s="102">
        <v>13.5</v>
      </c>
      <c r="R4" s="235"/>
      <c r="S4" s="235"/>
      <c r="T4" s="235"/>
      <c r="U4" s="235"/>
      <c r="V4" s="235"/>
      <c r="W4" s="235"/>
      <c r="X4" s="235"/>
      <c r="Y4" s="235"/>
    </row>
    <row r="5" spans="1:25">
      <c r="A5" s="102">
        <v>2014</v>
      </c>
      <c r="B5" s="102" t="s">
        <v>734</v>
      </c>
      <c r="C5" s="102">
        <v>145</v>
      </c>
      <c r="D5" s="102" t="s">
        <v>23</v>
      </c>
      <c r="E5" s="102">
        <v>65</v>
      </c>
      <c r="F5" s="102" t="s">
        <v>0</v>
      </c>
      <c r="G5" s="102">
        <v>46</v>
      </c>
      <c r="H5" s="102" t="s">
        <v>32</v>
      </c>
      <c r="I5" s="102">
        <v>29</v>
      </c>
      <c r="J5" s="102" t="s">
        <v>265</v>
      </c>
      <c r="K5" s="102">
        <v>19</v>
      </c>
      <c r="L5" s="102" t="s">
        <v>520</v>
      </c>
      <c r="M5" s="102">
        <v>17</v>
      </c>
      <c r="N5" s="102" t="s">
        <v>672</v>
      </c>
      <c r="O5" s="102">
        <v>15</v>
      </c>
      <c r="P5" s="102" t="s">
        <v>18</v>
      </c>
      <c r="Q5" s="102">
        <v>12</v>
      </c>
      <c r="R5" s="102"/>
      <c r="S5" s="102"/>
      <c r="T5" s="102"/>
      <c r="U5" s="34"/>
      <c r="V5" s="34"/>
      <c r="W5" s="34"/>
      <c r="X5" s="34"/>
      <c r="Y5" s="34"/>
    </row>
    <row r="6" spans="1:25">
      <c r="A6" s="102">
        <v>2013</v>
      </c>
      <c r="B6" s="102" t="s">
        <v>7</v>
      </c>
      <c r="C6" s="102">
        <v>162</v>
      </c>
      <c r="D6" s="43" t="s">
        <v>510</v>
      </c>
      <c r="E6" s="102">
        <v>72</v>
      </c>
      <c r="F6" s="102" t="s">
        <v>560</v>
      </c>
      <c r="G6" s="102">
        <v>52</v>
      </c>
      <c r="H6" s="102" t="s">
        <v>745</v>
      </c>
      <c r="I6" s="102">
        <v>32</v>
      </c>
      <c r="J6" s="102" t="s">
        <v>519</v>
      </c>
      <c r="K6" s="102">
        <v>23</v>
      </c>
      <c r="L6" s="102" t="s">
        <v>11</v>
      </c>
      <c r="M6" s="102">
        <v>19</v>
      </c>
      <c r="N6" s="102" t="s">
        <v>511</v>
      </c>
      <c r="O6" s="102">
        <v>12</v>
      </c>
      <c r="P6" s="102" t="s">
        <v>532</v>
      </c>
      <c r="Q6" s="102">
        <v>12</v>
      </c>
      <c r="R6" s="102"/>
      <c r="S6" s="102"/>
      <c r="T6" s="102"/>
      <c r="U6" s="102"/>
      <c r="V6" s="102"/>
      <c r="W6" s="102"/>
      <c r="X6" s="102"/>
      <c r="Y6" s="102"/>
    </row>
    <row r="7" spans="1:25">
      <c r="A7" s="102">
        <v>2012</v>
      </c>
      <c r="B7" s="43" t="s">
        <v>23</v>
      </c>
      <c r="C7" s="43">
        <v>165</v>
      </c>
      <c r="D7" s="43" t="s">
        <v>560</v>
      </c>
      <c r="E7" s="43">
        <v>73</v>
      </c>
      <c r="F7" s="43" t="s">
        <v>77</v>
      </c>
      <c r="G7" s="43">
        <v>54</v>
      </c>
      <c r="H7" s="43" t="s">
        <v>354</v>
      </c>
      <c r="I7" s="43">
        <v>33</v>
      </c>
      <c r="J7" s="43" t="s">
        <v>519</v>
      </c>
      <c r="K7" s="43">
        <v>24</v>
      </c>
      <c r="L7" s="43" t="s">
        <v>511</v>
      </c>
      <c r="M7" s="43">
        <v>20</v>
      </c>
      <c r="N7" s="43" t="s">
        <v>510</v>
      </c>
      <c r="O7" s="43">
        <v>15</v>
      </c>
      <c r="P7" s="43" t="s">
        <v>18</v>
      </c>
      <c r="Q7" s="43">
        <v>12</v>
      </c>
      <c r="R7" s="102"/>
      <c r="S7" s="102"/>
      <c r="T7" s="102"/>
      <c r="U7" s="102"/>
      <c r="V7" s="102"/>
      <c r="W7" s="102"/>
      <c r="X7" s="102"/>
      <c r="Y7" s="102"/>
    </row>
    <row r="8" spans="1:25">
      <c r="A8" s="43">
        <v>2011</v>
      </c>
      <c r="B8" s="43" t="s">
        <v>560</v>
      </c>
      <c r="C8" s="43">
        <v>180</v>
      </c>
      <c r="D8" s="43" t="s">
        <v>349</v>
      </c>
      <c r="E8" s="43">
        <v>83</v>
      </c>
      <c r="F8" s="43" t="s">
        <v>4</v>
      </c>
      <c r="G8" s="43">
        <v>60</v>
      </c>
      <c r="H8" s="43" t="s">
        <v>0</v>
      </c>
      <c r="I8" s="43">
        <v>31</v>
      </c>
      <c r="J8" s="43" t="s">
        <v>23</v>
      </c>
      <c r="K8" s="43">
        <v>31</v>
      </c>
      <c r="L8" s="43" t="s">
        <v>259</v>
      </c>
      <c r="M8" s="43">
        <v>20</v>
      </c>
      <c r="N8" s="43" t="s">
        <v>305</v>
      </c>
      <c r="O8" s="43">
        <v>15</v>
      </c>
      <c r="P8" s="43" t="s">
        <v>519</v>
      </c>
      <c r="Q8" s="43">
        <v>12</v>
      </c>
      <c r="R8" s="43"/>
      <c r="S8" s="43"/>
      <c r="T8" s="43"/>
      <c r="U8" s="43"/>
      <c r="V8" s="43"/>
      <c r="W8" s="43"/>
      <c r="X8" s="43"/>
      <c r="Y8" s="43"/>
    </row>
    <row r="9" spans="1:25">
      <c r="A9" s="43">
        <v>2010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3"/>
  <sheetViews>
    <sheetView topLeftCell="A94" workbookViewId="0">
      <selection activeCell="E123" sqref="E123"/>
    </sheetView>
  </sheetViews>
  <sheetFormatPr defaultRowHeight="12.75"/>
  <cols>
    <col min="1" max="1" width="12.5703125" customWidth="1"/>
    <col min="2" max="2" width="26.7109375" customWidth="1"/>
    <col min="3" max="4" width="20.28515625" customWidth="1"/>
    <col min="5" max="5" width="12.5703125" customWidth="1"/>
  </cols>
  <sheetData>
    <row r="1" spans="1:5" ht="18">
      <c r="B1" s="18" t="s">
        <v>91</v>
      </c>
    </row>
    <row r="3" spans="1:5" ht="15.75">
      <c r="A3" s="213" t="s">
        <v>92</v>
      </c>
      <c r="B3" s="213" t="s">
        <v>93</v>
      </c>
      <c r="C3" s="213" t="s">
        <v>94</v>
      </c>
      <c r="D3" s="213" t="s">
        <v>95</v>
      </c>
      <c r="E3" s="213" t="s">
        <v>96</v>
      </c>
    </row>
    <row r="5" spans="1:5">
      <c r="A5" s="142" t="s">
        <v>97</v>
      </c>
      <c r="B5" s="143"/>
      <c r="C5" s="144" t="s">
        <v>98</v>
      </c>
      <c r="D5" s="144" t="s">
        <v>98</v>
      </c>
      <c r="E5" s="143"/>
    </row>
    <row r="6" spans="1:5">
      <c r="A6" s="143"/>
      <c r="B6" s="143"/>
      <c r="C6" s="144" t="s">
        <v>43</v>
      </c>
      <c r="D6" s="143"/>
      <c r="E6" s="143"/>
    </row>
    <row r="7" spans="1:5">
      <c r="A7" s="143"/>
      <c r="B7" s="143"/>
      <c r="C7" s="143"/>
      <c r="D7" s="143"/>
      <c r="E7" s="143"/>
    </row>
    <row r="8" spans="1:5">
      <c r="A8" s="142" t="s">
        <v>99</v>
      </c>
      <c r="B8" s="143"/>
      <c r="C8" s="144" t="s">
        <v>98</v>
      </c>
      <c r="D8" s="144" t="s">
        <v>98</v>
      </c>
      <c r="E8" s="143"/>
    </row>
    <row r="9" spans="1:5">
      <c r="A9" s="143"/>
      <c r="B9" s="143"/>
      <c r="C9" s="144" t="s">
        <v>100</v>
      </c>
      <c r="D9" s="143"/>
      <c r="E9" s="143"/>
    </row>
    <row r="10" spans="1:5">
      <c r="A10" s="143"/>
      <c r="B10" s="143"/>
      <c r="C10" s="143"/>
      <c r="D10" s="143"/>
      <c r="E10" s="143"/>
    </row>
    <row r="11" spans="1:5">
      <c r="A11" s="142" t="s">
        <v>101</v>
      </c>
      <c r="B11" s="144" t="s">
        <v>102</v>
      </c>
      <c r="C11" s="144" t="s">
        <v>63</v>
      </c>
      <c r="D11" s="144" t="s">
        <v>23</v>
      </c>
      <c r="E11" s="143"/>
    </row>
    <row r="12" spans="1:5">
      <c r="A12" s="143"/>
      <c r="B12" s="144" t="s">
        <v>23</v>
      </c>
      <c r="C12" s="144" t="s">
        <v>23</v>
      </c>
      <c r="D12" s="143"/>
      <c r="E12" s="143"/>
    </row>
    <row r="13" spans="1:5">
      <c r="A13" s="143"/>
      <c r="B13" s="143"/>
      <c r="C13" s="143"/>
      <c r="D13" s="143"/>
      <c r="E13" s="143"/>
    </row>
    <row r="14" spans="1:5">
      <c r="A14" s="142" t="s">
        <v>103</v>
      </c>
      <c r="B14" s="143"/>
      <c r="C14" s="143"/>
      <c r="D14" s="143"/>
      <c r="E14" s="143"/>
    </row>
    <row r="15" spans="1:5">
      <c r="A15" s="143"/>
      <c r="B15" s="143"/>
      <c r="C15" s="143"/>
      <c r="D15" s="143"/>
      <c r="E15" s="143"/>
    </row>
    <row r="16" spans="1:5">
      <c r="A16" s="143"/>
      <c r="B16" s="143"/>
      <c r="C16" s="143"/>
      <c r="D16" s="143"/>
      <c r="E16" s="143"/>
    </row>
    <row r="17" spans="1:5">
      <c r="A17" s="142" t="s">
        <v>104</v>
      </c>
      <c r="B17" s="144" t="s">
        <v>105</v>
      </c>
      <c r="C17" s="144" t="s">
        <v>106</v>
      </c>
      <c r="D17" s="144" t="s">
        <v>106</v>
      </c>
      <c r="E17" s="143"/>
    </row>
    <row r="18" spans="1:5">
      <c r="A18" s="143"/>
      <c r="B18" s="144" t="s">
        <v>107</v>
      </c>
      <c r="C18" s="144" t="s">
        <v>43</v>
      </c>
      <c r="D18" s="143"/>
      <c r="E18" s="143"/>
    </row>
    <row r="19" spans="1:5">
      <c r="A19" s="143"/>
      <c r="B19" s="143"/>
      <c r="C19" s="143"/>
      <c r="D19" s="143"/>
      <c r="E19" s="143"/>
    </row>
    <row r="20" spans="1:5">
      <c r="A20" s="142" t="s">
        <v>108</v>
      </c>
      <c r="B20" s="144" t="s">
        <v>109</v>
      </c>
      <c r="C20" s="144" t="s">
        <v>33</v>
      </c>
      <c r="D20" s="144" t="s">
        <v>43</v>
      </c>
      <c r="E20" s="143"/>
    </row>
    <row r="21" spans="1:5">
      <c r="A21" s="143"/>
      <c r="B21" s="144" t="s">
        <v>110</v>
      </c>
      <c r="C21" s="144" t="s">
        <v>43</v>
      </c>
      <c r="D21" s="143"/>
      <c r="E21" s="143"/>
    </row>
    <row r="22" spans="1:5">
      <c r="A22" s="143"/>
      <c r="B22" s="143"/>
      <c r="C22" s="143"/>
      <c r="D22" s="143"/>
      <c r="E22" s="143"/>
    </row>
    <row r="23" spans="1:5">
      <c r="A23" s="142" t="s">
        <v>111</v>
      </c>
      <c r="B23" s="143"/>
      <c r="C23" s="144" t="s">
        <v>112</v>
      </c>
      <c r="D23" s="144" t="s">
        <v>112</v>
      </c>
      <c r="E23" s="143"/>
    </row>
    <row r="24" spans="1:5">
      <c r="A24" s="143"/>
      <c r="B24" s="143"/>
      <c r="C24" s="144" t="s">
        <v>16</v>
      </c>
      <c r="D24" s="143"/>
      <c r="E24" s="143"/>
    </row>
    <row r="25" spans="1:5">
      <c r="A25" s="143"/>
      <c r="B25" s="143"/>
      <c r="C25" s="143"/>
      <c r="D25" s="143"/>
      <c r="E25" s="143"/>
    </row>
    <row r="26" spans="1:5">
      <c r="A26" s="142" t="s">
        <v>113</v>
      </c>
      <c r="B26" s="143"/>
      <c r="C26" s="144" t="s">
        <v>4</v>
      </c>
      <c r="D26" s="144" t="s">
        <v>4</v>
      </c>
      <c r="E26" s="143" t="s">
        <v>151</v>
      </c>
    </row>
    <row r="27" spans="1:5">
      <c r="A27" s="143"/>
      <c r="B27" s="143"/>
      <c r="C27" s="144" t="s">
        <v>114</v>
      </c>
      <c r="D27" s="143"/>
      <c r="E27" s="143"/>
    </row>
    <row r="28" spans="1:5">
      <c r="A28" s="143"/>
      <c r="B28" s="143"/>
      <c r="C28" s="143"/>
      <c r="D28" s="143"/>
      <c r="E28" s="143"/>
    </row>
    <row r="29" spans="1:5">
      <c r="A29" s="142" t="s">
        <v>115</v>
      </c>
      <c r="B29" s="144" t="s">
        <v>116</v>
      </c>
      <c r="C29" s="144" t="s">
        <v>2</v>
      </c>
      <c r="D29" s="144" t="s">
        <v>23</v>
      </c>
      <c r="E29" s="143"/>
    </row>
    <row r="30" spans="1:5">
      <c r="A30" s="143"/>
      <c r="B30" s="144" t="s">
        <v>23</v>
      </c>
      <c r="C30" s="144" t="s">
        <v>23</v>
      </c>
      <c r="D30" s="143"/>
      <c r="E30" s="143"/>
    </row>
    <row r="31" spans="1:5">
      <c r="A31" s="143"/>
      <c r="B31" s="143"/>
      <c r="C31" s="143"/>
      <c r="D31" s="143"/>
      <c r="E31" s="143"/>
    </row>
    <row r="32" spans="1:5">
      <c r="A32" s="142" t="s">
        <v>117</v>
      </c>
      <c r="B32" s="144" t="s">
        <v>118</v>
      </c>
      <c r="C32" s="144" t="s">
        <v>24</v>
      </c>
      <c r="D32" s="144" t="s">
        <v>33</v>
      </c>
      <c r="E32" s="143"/>
    </row>
    <row r="33" spans="1:5">
      <c r="A33" s="143"/>
      <c r="B33" s="144" t="s">
        <v>119</v>
      </c>
      <c r="C33" s="144" t="s">
        <v>33</v>
      </c>
      <c r="D33" s="143"/>
      <c r="E33" s="143"/>
    </row>
    <row r="34" spans="1:5">
      <c r="A34" s="143"/>
      <c r="B34" s="143"/>
      <c r="C34" s="143"/>
      <c r="D34" s="143"/>
      <c r="E34" s="143"/>
    </row>
    <row r="35" spans="1:5">
      <c r="A35" s="142" t="s">
        <v>120</v>
      </c>
      <c r="B35" s="144" t="s">
        <v>121</v>
      </c>
      <c r="C35" s="144" t="s">
        <v>73</v>
      </c>
      <c r="D35" s="144" t="s">
        <v>73</v>
      </c>
      <c r="E35" s="143"/>
    </row>
    <row r="36" spans="1:5">
      <c r="A36" s="143"/>
      <c r="B36" s="144" t="s">
        <v>122</v>
      </c>
      <c r="C36" s="144" t="s">
        <v>63</v>
      </c>
      <c r="D36" s="143"/>
      <c r="E36" s="143"/>
    </row>
    <row r="37" spans="1:5">
      <c r="A37" s="143"/>
      <c r="B37" s="143"/>
      <c r="C37" s="143"/>
      <c r="D37" s="143"/>
      <c r="E37" s="143"/>
    </row>
    <row r="38" spans="1:5">
      <c r="A38" s="142" t="s">
        <v>123</v>
      </c>
      <c r="B38" s="144" t="s">
        <v>124</v>
      </c>
      <c r="C38" s="144" t="s">
        <v>88</v>
      </c>
      <c r="D38" s="144" t="s">
        <v>106</v>
      </c>
      <c r="E38" s="143"/>
    </row>
    <row r="39" spans="1:5">
      <c r="A39" s="143"/>
      <c r="B39" s="144" t="s">
        <v>125</v>
      </c>
      <c r="C39" s="144" t="s">
        <v>106</v>
      </c>
      <c r="D39" s="143"/>
      <c r="E39" s="143"/>
    </row>
    <row r="40" spans="1:5">
      <c r="A40" s="143"/>
      <c r="B40" s="143"/>
      <c r="C40" s="143"/>
      <c r="D40" s="143"/>
      <c r="E40" s="143"/>
    </row>
    <row r="41" spans="1:5">
      <c r="A41" s="142" t="s">
        <v>126</v>
      </c>
      <c r="B41" s="144" t="s">
        <v>127</v>
      </c>
      <c r="C41" s="144" t="s">
        <v>100</v>
      </c>
      <c r="D41" s="144" t="s">
        <v>100</v>
      </c>
      <c r="E41" s="143"/>
    </row>
    <row r="42" spans="1:5">
      <c r="A42" s="143"/>
      <c r="B42" s="144" t="s">
        <v>128</v>
      </c>
      <c r="C42" s="144" t="s">
        <v>51</v>
      </c>
      <c r="D42" s="143"/>
      <c r="E42" s="143"/>
    </row>
    <row r="43" spans="1:5">
      <c r="A43" s="143"/>
      <c r="B43" s="143"/>
      <c r="C43" s="143"/>
      <c r="D43" s="143"/>
      <c r="E43" s="143"/>
    </row>
    <row r="44" spans="1:5">
      <c r="A44" s="142" t="s">
        <v>129</v>
      </c>
      <c r="B44" s="144" t="s">
        <v>130</v>
      </c>
      <c r="C44" s="144" t="s">
        <v>77</v>
      </c>
      <c r="D44" s="144" t="s">
        <v>77</v>
      </c>
      <c r="E44" s="144" t="s">
        <v>131</v>
      </c>
    </row>
    <row r="45" spans="1:5">
      <c r="A45" s="143"/>
      <c r="B45" s="144" t="s">
        <v>132</v>
      </c>
      <c r="C45" s="144" t="s">
        <v>59</v>
      </c>
      <c r="D45" s="143"/>
      <c r="E45" s="143"/>
    </row>
    <row r="46" spans="1:5">
      <c r="A46" s="143"/>
      <c r="B46" s="144"/>
      <c r="C46" s="144"/>
      <c r="D46" s="143"/>
      <c r="E46" s="143"/>
    </row>
    <row r="47" spans="1:5">
      <c r="A47" s="142" t="s">
        <v>133</v>
      </c>
      <c r="B47" s="144" t="s">
        <v>134</v>
      </c>
      <c r="C47" s="144" t="s">
        <v>106</v>
      </c>
      <c r="D47" s="144" t="s">
        <v>32</v>
      </c>
      <c r="E47" s="144" t="s">
        <v>135</v>
      </c>
    </row>
    <row r="48" spans="1:5">
      <c r="A48" s="143"/>
      <c r="B48" s="144" t="s">
        <v>136</v>
      </c>
      <c r="C48" s="144" t="s">
        <v>32</v>
      </c>
      <c r="D48" s="143"/>
      <c r="E48" s="143"/>
    </row>
    <row r="49" spans="1:5">
      <c r="A49" s="143"/>
      <c r="B49" s="143"/>
      <c r="C49" s="143"/>
      <c r="D49" s="143"/>
      <c r="E49" s="143"/>
    </row>
    <row r="50" spans="1:5">
      <c r="A50" s="142" t="s">
        <v>137</v>
      </c>
      <c r="B50" s="144" t="s">
        <v>250</v>
      </c>
      <c r="C50" s="144" t="s">
        <v>4</v>
      </c>
      <c r="D50" s="144" t="s">
        <v>138</v>
      </c>
      <c r="E50" s="144" t="s">
        <v>139</v>
      </c>
    </row>
    <row r="51" spans="1:5">
      <c r="A51" s="143"/>
      <c r="B51" s="144" t="s">
        <v>140</v>
      </c>
      <c r="C51" s="144" t="s">
        <v>141</v>
      </c>
      <c r="D51" s="143"/>
      <c r="E51" s="143"/>
    </row>
    <row r="52" spans="1:5">
      <c r="A52" s="143"/>
      <c r="B52" s="143"/>
      <c r="C52" s="143"/>
      <c r="D52" s="143"/>
      <c r="E52" s="143"/>
    </row>
    <row r="53" spans="1:5">
      <c r="A53" s="142" t="s">
        <v>142</v>
      </c>
      <c r="B53" s="144" t="s">
        <v>143</v>
      </c>
      <c r="C53" s="144" t="s">
        <v>88</v>
      </c>
      <c r="D53" s="144" t="s">
        <v>144</v>
      </c>
      <c r="E53" s="144" t="s">
        <v>145</v>
      </c>
    </row>
    <row r="54" spans="1:5">
      <c r="A54" s="143"/>
      <c r="B54" s="144" t="s">
        <v>146</v>
      </c>
      <c r="C54" s="144" t="s">
        <v>144</v>
      </c>
      <c r="D54" s="143"/>
      <c r="E54" s="143"/>
    </row>
    <row r="55" spans="1:5">
      <c r="A55" s="143"/>
      <c r="B55" s="144"/>
      <c r="C55" s="144"/>
      <c r="D55" s="143"/>
      <c r="E55" s="143"/>
    </row>
    <row r="56" spans="1:5">
      <c r="A56" s="142">
        <v>1995</v>
      </c>
      <c r="B56" s="144" t="s">
        <v>147</v>
      </c>
      <c r="C56" s="144" t="s">
        <v>4</v>
      </c>
      <c r="D56" s="143" t="s">
        <v>8</v>
      </c>
      <c r="E56" s="172" t="s">
        <v>148</v>
      </c>
    </row>
    <row r="57" spans="1:5">
      <c r="A57" s="142"/>
      <c r="B57" s="143" t="s">
        <v>149</v>
      </c>
      <c r="C57" s="143" t="s">
        <v>8</v>
      </c>
      <c r="D57" s="143"/>
      <c r="E57" s="172"/>
    </row>
    <row r="58" spans="1:5">
      <c r="A58" s="142"/>
      <c r="B58" s="143"/>
      <c r="C58" s="143"/>
      <c r="D58" s="143"/>
      <c r="E58" s="172"/>
    </row>
    <row r="59" spans="1:5">
      <c r="A59" s="142">
        <v>1996</v>
      </c>
      <c r="B59" s="144" t="s">
        <v>150</v>
      </c>
      <c r="C59" s="144" t="s">
        <v>22</v>
      </c>
      <c r="D59" s="143" t="s">
        <v>22</v>
      </c>
      <c r="E59" s="143" t="s">
        <v>151</v>
      </c>
    </row>
    <row r="60" spans="1:5">
      <c r="A60" s="142"/>
      <c r="B60" s="144" t="s">
        <v>152</v>
      </c>
      <c r="C60" s="144" t="s">
        <v>153</v>
      </c>
      <c r="D60" s="143"/>
      <c r="E60" s="172"/>
    </row>
    <row r="61" spans="1:5">
      <c r="A61" s="143"/>
      <c r="B61" s="143"/>
      <c r="C61" s="143"/>
      <c r="D61" s="143"/>
      <c r="E61" s="143"/>
    </row>
    <row r="62" spans="1:5">
      <c r="A62" s="142">
        <v>1997</v>
      </c>
      <c r="B62" s="143" t="s">
        <v>154</v>
      </c>
      <c r="C62" s="143" t="s">
        <v>155</v>
      </c>
      <c r="D62" s="143" t="s">
        <v>155</v>
      </c>
      <c r="E62" s="172" t="s">
        <v>131</v>
      </c>
    </row>
    <row r="63" spans="1:5">
      <c r="A63" s="143"/>
      <c r="B63" s="143" t="s">
        <v>156</v>
      </c>
      <c r="C63" s="143" t="s">
        <v>21</v>
      </c>
      <c r="D63" s="143"/>
      <c r="E63" s="143"/>
    </row>
    <row r="64" spans="1:5">
      <c r="A64" s="143"/>
      <c r="B64" s="143"/>
      <c r="C64" s="143"/>
      <c r="D64" s="143"/>
      <c r="E64" s="143"/>
    </row>
    <row r="65" spans="1:5">
      <c r="A65" s="142">
        <v>1998</v>
      </c>
      <c r="B65" s="143" t="s">
        <v>147</v>
      </c>
      <c r="C65" s="143" t="s">
        <v>4</v>
      </c>
      <c r="D65" s="143" t="s">
        <v>4</v>
      </c>
      <c r="E65" s="172" t="s">
        <v>145</v>
      </c>
    </row>
    <row r="66" spans="1:5">
      <c r="A66" s="143"/>
      <c r="B66" s="143" t="s">
        <v>249</v>
      </c>
      <c r="C66" s="143" t="s">
        <v>230</v>
      </c>
      <c r="D66" s="143"/>
      <c r="E66" s="143"/>
    </row>
    <row r="67" spans="1:5">
      <c r="A67" s="143"/>
      <c r="B67" s="143"/>
      <c r="C67" s="143"/>
      <c r="D67" s="143"/>
      <c r="E67" s="143"/>
    </row>
    <row r="68" spans="1:5">
      <c r="A68" s="142">
        <v>1999</v>
      </c>
      <c r="B68" s="143" t="s">
        <v>251</v>
      </c>
      <c r="C68" s="143" t="s">
        <v>233</v>
      </c>
      <c r="D68" s="143" t="s">
        <v>233</v>
      </c>
      <c r="E68" s="143" t="s">
        <v>131</v>
      </c>
    </row>
    <row r="69" spans="1:5">
      <c r="A69" s="143"/>
      <c r="B69" s="143" t="s">
        <v>252</v>
      </c>
      <c r="C69" s="143" t="s">
        <v>138</v>
      </c>
      <c r="D69" s="143"/>
      <c r="E69" s="143"/>
    </row>
    <row r="70" spans="1:5">
      <c r="A70" s="143"/>
      <c r="B70" s="143"/>
      <c r="C70" s="143"/>
      <c r="D70" s="143"/>
      <c r="E70" s="143"/>
    </row>
    <row r="71" spans="1:5">
      <c r="A71" s="142">
        <v>2000</v>
      </c>
      <c r="B71" s="143" t="s">
        <v>261</v>
      </c>
      <c r="C71" s="143" t="s">
        <v>25</v>
      </c>
      <c r="D71" s="143" t="s">
        <v>25</v>
      </c>
      <c r="E71" s="172" t="s">
        <v>139</v>
      </c>
    </row>
    <row r="72" spans="1:5">
      <c r="A72" s="143"/>
      <c r="B72" s="143" t="s">
        <v>262</v>
      </c>
      <c r="C72" s="143" t="s">
        <v>257</v>
      </c>
      <c r="D72" s="143"/>
      <c r="E72" s="143"/>
    </row>
    <row r="73" spans="1:5">
      <c r="A73" s="143"/>
      <c r="B73" s="143"/>
      <c r="C73" s="143"/>
      <c r="D73" s="143"/>
      <c r="E73" s="143"/>
    </row>
    <row r="74" spans="1:5">
      <c r="A74" s="142">
        <v>2001</v>
      </c>
      <c r="B74" s="143" t="s">
        <v>267</v>
      </c>
      <c r="C74" s="143" t="s">
        <v>29</v>
      </c>
      <c r="D74" s="143" t="s">
        <v>12</v>
      </c>
      <c r="E74" s="172" t="s">
        <v>148</v>
      </c>
    </row>
    <row r="75" spans="1:5">
      <c r="A75" s="143"/>
      <c r="B75" s="143" t="s">
        <v>268</v>
      </c>
      <c r="C75" s="143" t="s">
        <v>12</v>
      </c>
      <c r="D75" s="143"/>
      <c r="E75" s="143"/>
    </row>
    <row r="76" spans="1:5">
      <c r="A76" s="143"/>
      <c r="B76" s="143"/>
      <c r="C76" s="143"/>
      <c r="D76" s="143"/>
      <c r="E76" s="143"/>
    </row>
    <row r="77" spans="1:5">
      <c r="A77" s="142">
        <v>2002</v>
      </c>
      <c r="B77" s="143" t="s">
        <v>269</v>
      </c>
      <c r="C77" s="143" t="s">
        <v>32</v>
      </c>
      <c r="D77" s="143" t="s">
        <v>32</v>
      </c>
      <c r="E77" s="143" t="s">
        <v>139</v>
      </c>
    </row>
    <row r="78" spans="1:5">
      <c r="A78" s="143"/>
      <c r="B78" s="143" t="s">
        <v>270</v>
      </c>
      <c r="C78" s="143" t="s">
        <v>153</v>
      </c>
      <c r="D78" s="143"/>
      <c r="E78" s="143"/>
    </row>
    <row r="79" spans="1:5">
      <c r="A79" s="143"/>
      <c r="B79" s="143"/>
      <c r="C79" s="143"/>
      <c r="D79" s="143"/>
      <c r="E79" s="143"/>
    </row>
    <row r="80" spans="1:5">
      <c r="A80" s="142">
        <v>2003</v>
      </c>
      <c r="B80" s="143" t="s">
        <v>116</v>
      </c>
      <c r="C80" s="143" t="s">
        <v>4</v>
      </c>
      <c r="D80" s="143" t="s">
        <v>4</v>
      </c>
      <c r="E80" s="143" t="s">
        <v>139</v>
      </c>
    </row>
    <row r="81" spans="1:5">
      <c r="A81" s="143"/>
      <c r="B81" s="143" t="s">
        <v>290</v>
      </c>
      <c r="C81" s="143" t="s">
        <v>258</v>
      </c>
      <c r="D81" s="143"/>
      <c r="E81" s="143"/>
    </row>
    <row r="82" spans="1:5">
      <c r="A82" s="143"/>
      <c r="B82" s="143"/>
      <c r="C82" s="143"/>
      <c r="D82" s="143"/>
      <c r="E82" s="143"/>
    </row>
    <row r="83" spans="1:5">
      <c r="A83" s="149" t="s">
        <v>458</v>
      </c>
      <c r="B83" s="143" t="s">
        <v>459</v>
      </c>
      <c r="C83" s="143" t="s">
        <v>144</v>
      </c>
      <c r="D83" s="143" t="s">
        <v>144</v>
      </c>
      <c r="E83" s="172" t="s">
        <v>131</v>
      </c>
    </row>
    <row r="84" spans="1:5">
      <c r="A84" s="143"/>
      <c r="B84" s="143" t="s">
        <v>460</v>
      </c>
      <c r="C84" s="143" t="s">
        <v>23</v>
      </c>
      <c r="D84" s="143"/>
      <c r="E84" s="143"/>
    </row>
    <row r="85" spans="1:5">
      <c r="A85" s="143"/>
      <c r="B85" s="143"/>
      <c r="C85" s="143"/>
      <c r="D85" s="143"/>
      <c r="E85" s="143"/>
    </row>
    <row r="86" spans="1:5">
      <c r="A86" s="149" t="s">
        <v>467</v>
      </c>
      <c r="B86" s="143" t="s">
        <v>469</v>
      </c>
      <c r="C86" s="143" t="s">
        <v>5</v>
      </c>
      <c r="D86" s="143" t="s">
        <v>24</v>
      </c>
      <c r="E86" s="143" t="s">
        <v>151</v>
      </c>
    </row>
    <row r="87" spans="1:5">
      <c r="A87" s="143"/>
      <c r="B87" s="143" t="s">
        <v>470</v>
      </c>
      <c r="C87" s="143" t="s">
        <v>24</v>
      </c>
      <c r="D87" s="143"/>
      <c r="E87" s="143"/>
    </row>
    <row r="88" spans="1:5">
      <c r="A88" s="143"/>
      <c r="B88" s="143"/>
      <c r="C88" s="143"/>
      <c r="D88" s="143"/>
      <c r="E88" s="143"/>
    </row>
    <row r="89" spans="1:5">
      <c r="A89" s="149">
        <v>2006</v>
      </c>
      <c r="B89" s="143" t="s">
        <v>493</v>
      </c>
      <c r="C89" s="143" t="s">
        <v>106</v>
      </c>
      <c r="D89" s="143" t="s">
        <v>24</v>
      </c>
      <c r="E89" s="172" t="s">
        <v>495</v>
      </c>
    </row>
    <row r="90" spans="1:5">
      <c r="A90" s="143"/>
      <c r="B90" s="143" t="s">
        <v>494</v>
      </c>
      <c r="C90" s="143" t="s">
        <v>24</v>
      </c>
      <c r="D90" s="143"/>
      <c r="E90" s="143"/>
    </row>
    <row r="91" spans="1:5">
      <c r="A91" s="143"/>
      <c r="B91" s="143"/>
      <c r="C91" s="143"/>
      <c r="D91" s="143"/>
      <c r="E91" s="143"/>
    </row>
    <row r="92" spans="1:5">
      <c r="A92" s="149">
        <v>2007</v>
      </c>
      <c r="B92" s="143" t="s">
        <v>485</v>
      </c>
      <c r="C92" s="143" t="s">
        <v>32</v>
      </c>
      <c r="D92" s="143" t="s">
        <v>32</v>
      </c>
      <c r="E92" s="143" t="s">
        <v>139</v>
      </c>
    </row>
    <row r="93" spans="1:5">
      <c r="A93" s="143"/>
      <c r="B93" s="143" t="s">
        <v>486</v>
      </c>
      <c r="C93" s="143" t="s">
        <v>106</v>
      </c>
      <c r="D93" s="143"/>
      <c r="E93" s="143"/>
    </row>
    <row r="94" spans="1:5">
      <c r="A94" s="143"/>
      <c r="B94" s="143"/>
      <c r="C94" s="143"/>
      <c r="D94" s="143"/>
      <c r="E94" s="143"/>
    </row>
    <row r="95" spans="1:5">
      <c r="A95" s="149">
        <v>2008</v>
      </c>
      <c r="B95" s="177" t="s">
        <v>504</v>
      </c>
      <c r="C95" s="177" t="s">
        <v>24</v>
      </c>
      <c r="D95" s="177" t="s">
        <v>24</v>
      </c>
      <c r="E95" s="177" t="s">
        <v>139</v>
      </c>
    </row>
    <row r="96" spans="1:5">
      <c r="A96" s="143"/>
      <c r="B96" s="177" t="s">
        <v>505</v>
      </c>
      <c r="C96" s="177" t="s">
        <v>23</v>
      </c>
      <c r="D96" s="143"/>
      <c r="E96" s="143"/>
    </row>
    <row r="97" spans="1:5">
      <c r="A97" s="143"/>
      <c r="B97" s="143"/>
      <c r="C97" s="143"/>
      <c r="D97" s="143"/>
      <c r="E97" s="143"/>
    </row>
    <row r="98" spans="1:5">
      <c r="A98" s="149" t="s">
        <v>514</v>
      </c>
      <c r="B98" s="177" t="s">
        <v>515</v>
      </c>
      <c r="C98" s="177" t="s">
        <v>265</v>
      </c>
      <c r="D98" s="177" t="s">
        <v>25</v>
      </c>
      <c r="E98" s="177" t="s">
        <v>148</v>
      </c>
    </row>
    <row r="99" spans="1:5">
      <c r="A99" s="143"/>
      <c r="B99" s="177" t="s">
        <v>516</v>
      </c>
      <c r="C99" s="177" t="s">
        <v>25</v>
      </c>
      <c r="D99" s="143"/>
      <c r="E99" s="143"/>
    </row>
    <row r="100" spans="1:5">
      <c r="A100" s="143"/>
      <c r="B100" s="143"/>
      <c r="C100" s="143"/>
      <c r="D100" s="143"/>
      <c r="E100" s="143"/>
    </row>
    <row r="101" spans="1:5">
      <c r="A101" s="149">
        <v>2010</v>
      </c>
      <c r="B101" s="177" t="s">
        <v>528</v>
      </c>
      <c r="C101" s="177" t="s">
        <v>23</v>
      </c>
      <c r="D101" s="177" t="s">
        <v>23</v>
      </c>
      <c r="E101" s="177" t="s">
        <v>148</v>
      </c>
    </row>
    <row r="102" spans="1:5">
      <c r="A102" s="143"/>
      <c r="B102" s="177" t="s">
        <v>529</v>
      </c>
      <c r="C102" s="177" t="s">
        <v>77</v>
      </c>
      <c r="D102" s="143"/>
      <c r="E102" s="143"/>
    </row>
    <row r="103" spans="1:5">
      <c r="A103" s="143"/>
      <c r="B103" s="143"/>
      <c r="C103" s="143"/>
      <c r="D103" s="143"/>
      <c r="E103" s="143"/>
    </row>
    <row r="104" spans="1:5">
      <c r="A104" s="149">
        <v>2011</v>
      </c>
      <c r="B104" s="177" t="s">
        <v>589</v>
      </c>
      <c r="C104" s="177" t="s">
        <v>233</v>
      </c>
      <c r="D104" s="177" t="s">
        <v>233</v>
      </c>
      <c r="E104" s="177" t="s">
        <v>131</v>
      </c>
    </row>
    <row r="105" spans="1:5">
      <c r="A105" s="143"/>
      <c r="B105" s="177" t="s">
        <v>590</v>
      </c>
      <c r="C105" s="177" t="s">
        <v>305</v>
      </c>
      <c r="D105" s="143"/>
      <c r="E105" s="143"/>
    </row>
    <row r="106" spans="1:5">
      <c r="A106" s="143"/>
      <c r="B106" s="143"/>
      <c r="C106" s="143"/>
      <c r="D106" s="143"/>
      <c r="E106" s="143"/>
    </row>
    <row r="107" spans="1:5">
      <c r="A107" s="149">
        <v>2012</v>
      </c>
      <c r="B107" s="177" t="s">
        <v>601</v>
      </c>
      <c r="C107" s="177" t="s">
        <v>4</v>
      </c>
      <c r="D107" s="177" t="s">
        <v>4</v>
      </c>
      <c r="E107" s="177" t="s">
        <v>606</v>
      </c>
    </row>
    <row r="108" spans="1:5">
      <c r="A108" s="143"/>
      <c r="B108" s="177" t="s">
        <v>602</v>
      </c>
      <c r="C108" s="177" t="s">
        <v>259</v>
      </c>
      <c r="D108" s="143"/>
      <c r="E108" s="143"/>
    </row>
    <row r="109" spans="1:5">
      <c r="A109" s="143"/>
      <c r="B109" s="143"/>
      <c r="C109" s="143"/>
      <c r="D109" s="143"/>
      <c r="E109" s="143"/>
    </row>
    <row r="110" spans="1:5">
      <c r="A110" s="155" t="s">
        <v>621</v>
      </c>
      <c r="B110" s="177" t="s">
        <v>678</v>
      </c>
      <c r="C110" s="177" t="s">
        <v>532</v>
      </c>
      <c r="D110" s="177" t="s">
        <v>532</v>
      </c>
      <c r="E110" s="177" t="s">
        <v>145</v>
      </c>
    </row>
    <row r="111" spans="1:5">
      <c r="A111" s="143"/>
      <c r="B111" s="177" t="s">
        <v>679</v>
      </c>
      <c r="C111" s="177" t="s">
        <v>510</v>
      </c>
      <c r="D111" s="143"/>
      <c r="E111" s="143"/>
    </row>
    <row r="112" spans="1:5">
      <c r="A112" s="143"/>
      <c r="B112" s="143"/>
      <c r="C112" s="143"/>
      <c r="D112" s="143"/>
      <c r="E112" s="143"/>
    </row>
    <row r="113" spans="1:5">
      <c r="A113" s="155" t="s">
        <v>729</v>
      </c>
      <c r="B113" s="177" t="s">
        <v>746</v>
      </c>
      <c r="C113" s="177" t="s">
        <v>2</v>
      </c>
      <c r="D113" s="177" t="s">
        <v>2</v>
      </c>
      <c r="E113" s="177" t="s">
        <v>748</v>
      </c>
    </row>
    <row r="114" spans="1:5">
      <c r="A114" s="143"/>
      <c r="B114" s="177" t="s">
        <v>747</v>
      </c>
      <c r="C114" s="177" t="s">
        <v>0</v>
      </c>
      <c r="D114" s="143"/>
      <c r="E114" s="143"/>
    </row>
    <row r="115" spans="1:5">
      <c r="A115" s="143"/>
      <c r="B115" s="143"/>
      <c r="C115" s="143"/>
      <c r="D115" s="143"/>
      <c r="E115" s="143"/>
    </row>
    <row r="116" spans="1:5">
      <c r="A116" s="155">
        <v>2015</v>
      </c>
      <c r="B116" s="177" t="s">
        <v>780</v>
      </c>
      <c r="C116" s="177" t="s">
        <v>532</v>
      </c>
      <c r="D116" s="177" t="s">
        <v>18</v>
      </c>
      <c r="E116" s="238" t="s">
        <v>495</v>
      </c>
    </row>
    <row r="117" spans="1:5">
      <c r="A117" s="143"/>
      <c r="B117" s="177" t="s">
        <v>781</v>
      </c>
      <c r="C117" s="177" t="s">
        <v>18</v>
      </c>
      <c r="D117" s="143"/>
      <c r="E117" s="143"/>
    </row>
    <row r="118" spans="1:5">
      <c r="A118" s="143"/>
      <c r="B118" s="143"/>
      <c r="C118" s="143"/>
      <c r="D118" s="143"/>
      <c r="E118" s="143"/>
    </row>
    <row r="119" spans="1:5">
      <c r="A119" s="155">
        <v>2016</v>
      </c>
      <c r="B119" s="177" t="s">
        <v>804</v>
      </c>
      <c r="C119" s="177" t="s">
        <v>0</v>
      </c>
      <c r="D119" s="177" t="s">
        <v>0</v>
      </c>
      <c r="E119" s="177" t="s">
        <v>806</v>
      </c>
    </row>
    <row r="120" spans="1:5">
      <c r="A120" s="143"/>
      <c r="B120" s="177" t="s">
        <v>805</v>
      </c>
      <c r="C120" s="177" t="s">
        <v>25</v>
      </c>
      <c r="D120" s="143"/>
      <c r="E120" s="143"/>
    </row>
    <row r="121" spans="1:5">
      <c r="A121" s="143"/>
      <c r="B121" s="143"/>
      <c r="C121" s="143"/>
      <c r="D121" s="143"/>
      <c r="E121" s="143"/>
    </row>
    <row r="122" spans="1:5">
      <c r="A122" s="155">
        <v>2017</v>
      </c>
      <c r="B122" s="177" t="s">
        <v>990</v>
      </c>
      <c r="C122" s="177" t="s">
        <v>0</v>
      </c>
      <c r="D122" s="177" t="s">
        <v>0</v>
      </c>
      <c r="E122" s="177" t="s">
        <v>992</v>
      </c>
    </row>
    <row r="123" spans="1:5">
      <c r="A123" s="143"/>
      <c r="B123" s="177" t="s">
        <v>991</v>
      </c>
      <c r="C123" s="177" t="s">
        <v>354</v>
      </c>
      <c r="D123" s="143"/>
      <c r="E123" s="143"/>
    </row>
  </sheetData>
  <phoneticPr fontId="0" type="noConversion"/>
  <pageMargins left="0.75" right="0.75" top="1" bottom="1" header="0.5" footer="0.5"/>
  <pageSetup scale="83" fitToHeight="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topLeftCell="A28" workbookViewId="0">
      <selection activeCell="C5" sqref="C5"/>
    </sheetView>
  </sheetViews>
  <sheetFormatPr defaultRowHeight="12.75"/>
  <cols>
    <col min="1" max="1" width="17" customWidth="1"/>
    <col min="2" max="2" width="12.42578125" customWidth="1"/>
    <col min="3" max="3" width="11.85546875" customWidth="1"/>
    <col min="4" max="4" width="6" customWidth="1"/>
    <col min="5" max="5" width="5.5703125" customWidth="1"/>
    <col min="6" max="6" width="4.85546875" customWidth="1"/>
    <col min="7" max="7" width="5.5703125" customWidth="1"/>
    <col min="8" max="8" width="6.28515625" customWidth="1"/>
    <col min="9" max="9" width="5.85546875" customWidth="1"/>
    <col min="10" max="10" width="6" customWidth="1"/>
    <col min="11" max="11" width="6.140625" customWidth="1"/>
    <col min="12" max="12" width="5.5703125" customWidth="1"/>
  </cols>
  <sheetData>
    <row r="1" spans="1:12" ht="15.75">
      <c r="A1" s="1" t="s">
        <v>89</v>
      </c>
      <c r="B1" s="2" t="s">
        <v>39</v>
      </c>
      <c r="C1" s="2" t="s">
        <v>40</v>
      </c>
      <c r="G1" s="1" t="s">
        <v>461</v>
      </c>
    </row>
    <row r="3" spans="1:12">
      <c r="A3" s="3" t="s">
        <v>42</v>
      </c>
      <c r="B3" s="7">
        <f>COUNTA(D3:N3)</f>
        <v>0</v>
      </c>
      <c r="C3" s="9">
        <v>0</v>
      </c>
      <c r="D3" s="7"/>
      <c r="E3" s="8"/>
      <c r="F3" s="8"/>
      <c r="G3" s="8"/>
      <c r="H3" s="8"/>
      <c r="I3" s="8"/>
      <c r="J3" s="8"/>
      <c r="K3" s="8"/>
      <c r="L3" s="9"/>
    </row>
    <row r="4" spans="1:12">
      <c r="A4" s="4" t="s">
        <v>0</v>
      </c>
      <c r="B4" s="10">
        <f>COUNTA(D4:N4)</f>
        <v>3</v>
      </c>
      <c r="C4" s="12">
        <v>2</v>
      </c>
      <c r="D4" s="10">
        <v>2014</v>
      </c>
      <c r="E4" s="281">
        <v>2016</v>
      </c>
      <c r="F4" s="280">
        <v>2017</v>
      </c>
      <c r="G4" s="11"/>
      <c r="H4" s="11"/>
      <c r="I4" s="11"/>
      <c r="J4" s="11"/>
      <c r="K4" s="11"/>
      <c r="L4" s="12"/>
    </row>
    <row r="5" spans="1:12">
      <c r="A5" s="5" t="s">
        <v>43</v>
      </c>
      <c r="B5" s="10">
        <f t="shared" ref="B5:B76" si="0">COUNTA(D5:N5)</f>
        <v>3</v>
      </c>
      <c r="C5" s="12">
        <v>1</v>
      </c>
      <c r="D5" s="10">
        <v>1978</v>
      </c>
      <c r="E5" s="11">
        <v>1982</v>
      </c>
      <c r="F5" s="52">
        <v>1983</v>
      </c>
      <c r="G5" s="11"/>
      <c r="H5" s="11"/>
      <c r="I5" s="11"/>
      <c r="J5" s="11"/>
      <c r="K5" s="11"/>
      <c r="L5" s="12"/>
    </row>
    <row r="6" spans="1:12">
      <c r="A6" s="4" t="s">
        <v>1</v>
      </c>
      <c r="B6" s="10">
        <f t="shared" si="0"/>
        <v>0</v>
      </c>
      <c r="C6" s="12">
        <v>0</v>
      </c>
      <c r="D6" s="10"/>
      <c r="E6" s="11"/>
      <c r="F6" s="11"/>
      <c r="G6" s="11"/>
      <c r="H6" s="11"/>
      <c r="I6" s="11"/>
      <c r="J6" s="11"/>
      <c r="K6" s="11"/>
      <c r="L6" s="12"/>
    </row>
    <row r="7" spans="1:12">
      <c r="A7" s="5" t="s">
        <v>44</v>
      </c>
      <c r="B7" s="10">
        <f t="shared" si="0"/>
        <v>0</v>
      </c>
      <c r="C7" s="12">
        <v>0</v>
      </c>
      <c r="D7" s="10"/>
      <c r="E7" s="11"/>
      <c r="F7" s="11"/>
      <c r="G7" s="11"/>
      <c r="H7" s="11"/>
      <c r="I7" s="11"/>
      <c r="J7" s="11"/>
      <c r="K7" s="11"/>
      <c r="L7" s="12"/>
    </row>
    <row r="8" spans="1:12">
      <c r="A8" s="5" t="s">
        <v>45</v>
      </c>
      <c r="B8" s="10">
        <f t="shared" si="0"/>
        <v>0</v>
      </c>
      <c r="C8" s="12">
        <v>0</v>
      </c>
      <c r="D8" s="10"/>
      <c r="E8" s="11"/>
      <c r="F8" s="11"/>
      <c r="G8" s="11"/>
      <c r="H8" s="11"/>
      <c r="I8" s="11"/>
      <c r="J8" s="11"/>
      <c r="K8" s="11"/>
      <c r="L8" s="12"/>
    </row>
    <row r="9" spans="1:12">
      <c r="A9" s="5" t="s">
        <v>46</v>
      </c>
      <c r="B9" s="10">
        <f t="shared" si="0"/>
        <v>0</v>
      </c>
      <c r="C9" s="12">
        <v>0</v>
      </c>
      <c r="D9" s="10"/>
      <c r="E9" s="11"/>
      <c r="F9" s="11"/>
      <c r="G9" s="11"/>
      <c r="H9" s="11"/>
      <c r="I9" s="11"/>
      <c r="J9" s="11"/>
      <c r="K9" s="11"/>
      <c r="L9" s="12"/>
    </row>
    <row r="10" spans="1:12">
      <c r="A10" s="5" t="s">
        <v>256</v>
      </c>
      <c r="B10" s="10">
        <f t="shared" si="0"/>
        <v>0</v>
      </c>
      <c r="C10" s="12">
        <v>0</v>
      </c>
      <c r="D10" s="10"/>
      <c r="E10" s="11"/>
      <c r="F10" s="11"/>
      <c r="G10" s="11"/>
      <c r="H10" s="11"/>
      <c r="I10" s="11"/>
      <c r="J10" s="11"/>
      <c r="K10" s="11"/>
      <c r="L10" s="12"/>
    </row>
    <row r="11" spans="1:12">
      <c r="A11" s="5" t="s">
        <v>47</v>
      </c>
      <c r="B11" s="10">
        <f t="shared" si="0"/>
        <v>0</v>
      </c>
      <c r="C11" s="12">
        <v>0</v>
      </c>
      <c r="D11" s="10"/>
      <c r="E11" s="11"/>
      <c r="F11" s="11"/>
      <c r="G11" s="11"/>
      <c r="H11" s="11"/>
      <c r="I11" s="11"/>
      <c r="J11" s="11"/>
      <c r="K11" s="11"/>
      <c r="L11" s="12"/>
    </row>
    <row r="12" spans="1:12">
      <c r="A12" s="5" t="s">
        <v>48</v>
      </c>
      <c r="B12" s="10">
        <f t="shared" si="0"/>
        <v>0</v>
      </c>
      <c r="C12" s="12">
        <v>0</v>
      </c>
      <c r="D12" s="10"/>
      <c r="E12" s="11"/>
      <c r="F12" s="11"/>
      <c r="G12" s="11"/>
      <c r="H12" s="11"/>
      <c r="I12" s="11"/>
      <c r="J12" s="11"/>
      <c r="K12" s="11"/>
      <c r="L12" s="12"/>
    </row>
    <row r="13" spans="1:12">
      <c r="A13" s="4" t="s">
        <v>2</v>
      </c>
      <c r="B13" s="10">
        <f t="shared" si="0"/>
        <v>2</v>
      </c>
      <c r="C13" s="12">
        <v>1</v>
      </c>
      <c r="D13" s="10">
        <v>1986</v>
      </c>
      <c r="E13" s="55">
        <v>2014</v>
      </c>
      <c r="F13" s="11"/>
      <c r="G13" s="11"/>
      <c r="H13" s="11"/>
      <c r="I13" s="11"/>
      <c r="J13" s="11"/>
      <c r="K13" s="11"/>
      <c r="L13" s="12"/>
    </row>
    <row r="14" spans="1:12">
      <c r="A14" s="4" t="s">
        <v>3</v>
      </c>
      <c r="B14" s="10">
        <f t="shared" si="0"/>
        <v>0</v>
      </c>
      <c r="C14" s="12">
        <v>0</v>
      </c>
      <c r="D14" s="10"/>
      <c r="E14" s="11"/>
      <c r="F14" s="11"/>
      <c r="G14" s="11"/>
      <c r="H14" s="11"/>
      <c r="I14" s="11"/>
      <c r="J14" s="11"/>
      <c r="K14" s="11"/>
      <c r="L14" s="12"/>
    </row>
    <row r="15" spans="1:12">
      <c r="A15" s="5" t="s">
        <v>49</v>
      </c>
      <c r="B15" s="10">
        <f t="shared" si="0"/>
        <v>0</v>
      </c>
      <c r="C15" s="12">
        <v>0</v>
      </c>
      <c r="D15" s="10"/>
      <c r="E15" s="11"/>
      <c r="F15" s="11"/>
      <c r="G15" s="11"/>
      <c r="H15" s="11"/>
      <c r="I15" s="11"/>
      <c r="J15" s="11"/>
      <c r="K15" s="11"/>
      <c r="L15" s="12"/>
    </row>
    <row r="16" spans="1:12">
      <c r="A16" s="4" t="s">
        <v>4</v>
      </c>
      <c r="B16" s="10">
        <f t="shared" si="0"/>
        <v>6</v>
      </c>
      <c r="C16" s="12">
        <v>4</v>
      </c>
      <c r="D16" s="52">
        <v>1985</v>
      </c>
      <c r="E16" s="11">
        <v>1993</v>
      </c>
      <c r="F16" s="11">
        <v>1995</v>
      </c>
      <c r="G16" s="52">
        <v>1998</v>
      </c>
      <c r="H16" s="54">
        <v>2003</v>
      </c>
      <c r="I16" s="78">
        <v>2012</v>
      </c>
      <c r="J16" s="11"/>
      <c r="K16" s="11"/>
      <c r="L16" s="12"/>
    </row>
    <row r="17" spans="1:12">
      <c r="A17" s="5" t="s">
        <v>50</v>
      </c>
      <c r="B17" s="10">
        <f t="shared" si="0"/>
        <v>0</v>
      </c>
      <c r="C17" s="12">
        <v>0</v>
      </c>
      <c r="D17" s="10"/>
      <c r="E17" s="11"/>
      <c r="F17" s="11"/>
      <c r="G17" s="11"/>
      <c r="H17" s="11"/>
      <c r="I17" s="11"/>
      <c r="J17" s="11"/>
      <c r="K17" s="11"/>
      <c r="L17" s="12"/>
    </row>
    <row r="18" spans="1:12">
      <c r="A18" s="5" t="s">
        <v>51</v>
      </c>
      <c r="B18" s="10">
        <f t="shared" si="0"/>
        <v>1</v>
      </c>
      <c r="C18" s="12">
        <v>1</v>
      </c>
      <c r="D18" s="52">
        <v>1990</v>
      </c>
      <c r="E18" s="11"/>
      <c r="F18" s="11"/>
      <c r="G18" s="11"/>
      <c r="H18" s="11"/>
      <c r="I18" s="11"/>
      <c r="J18" s="11"/>
      <c r="K18" s="11"/>
      <c r="L18" s="12"/>
    </row>
    <row r="19" spans="1:12">
      <c r="A19" s="4" t="s">
        <v>5</v>
      </c>
      <c r="B19" s="10">
        <f t="shared" si="0"/>
        <v>1</v>
      </c>
      <c r="C19" s="12">
        <v>0</v>
      </c>
      <c r="D19" s="10">
        <v>2005</v>
      </c>
      <c r="E19" s="11"/>
      <c r="F19" s="11"/>
      <c r="G19" s="11"/>
      <c r="H19" s="11"/>
      <c r="I19" s="11"/>
      <c r="J19" s="11"/>
      <c r="K19" s="11"/>
      <c r="L19" s="12"/>
    </row>
    <row r="20" spans="1:12">
      <c r="A20" s="5" t="s">
        <v>52</v>
      </c>
      <c r="B20" s="10">
        <f t="shared" si="0"/>
        <v>0</v>
      </c>
      <c r="C20" s="12">
        <v>0</v>
      </c>
      <c r="D20" s="10"/>
      <c r="E20" s="11"/>
      <c r="F20" s="11"/>
      <c r="G20" s="11"/>
      <c r="H20" s="11"/>
      <c r="I20" s="11"/>
      <c r="J20" s="11"/>
      <c r="K20" s="11"/>
      <c r="L20" s="12"/>
    </row>
    <row r="21" spans="1:12">
      <c r="A21" s="5" t="s">
        <v>510</v>
      </c>
      <c r="B21" s="10">
        <f t="shared" ref="B21:B22" si="1">COUNTA(D21:N21)</f>
        <v>1</v>
      </c>
      <c r="C21" s="12">
        <v>0</v>
      </c>
      <c r="D21" s="10">
        <v>2013</v>
      </c>
      <c r="E21" s="11"/>
      <c r="F21" s="11"/>
      <c r="G21" s="11"/>
      <c r="H21" s="11"/>
      <c r="I21" s="11"/>
      <c r="J21" s="11"/>
      <c r="K21" s="11"/>
      <c r="L21" s="12"/>
    </row>
    <row r="22" spans="1:12">
      <c r="A22" s="5" t="s">
        <v>532</v>
      </c>
      <c r="B22" s="10">
        <f t="shared" si="1"/>
        <v>2</v>
      </c>
      <c r="C22" s="12">
        <v>1</v>
      </c>
      <c r="D22" s="150">
        <v>2013</v>
      </c>
      <c r="E22" s="11">
        <v>2015</v>
      </c>
      <c r="F22" s="11"/>
      <c r="G22" s="11"/>
      <c r="H22" s="11"/>
      <c r="I22" s="11"/>
      <c r="J22" s="11"/>
      <c r="K22" s="11"/>
      <c r="L22" s="12"/>
    </row>
    <row r="23" spans="1:12">
      <c r="A23" s="4" t="s">
        <v>6</v>
      </c>
      <c r="B23" s="10">
        <v>0</v>
      </c>
      <c r="C23" s="12">
        <v>0</v>
      </c>
      <c r="D23" s="10" t="s">
        <v>235</v>
      </c>
      <c r="E23" s="11"/>
      <c r="F23" s="11"/>
      <c r="G23" s="11"/>
      <c r="H23" s="11"/>
      <c r="I23" s="11"/>
      <c r="J23" s="11"/>
      <c r="K23" s="11"/>
      <c r="L23" s="12"/>
    </row>
    <row r="24" spans="1:12">
      <c r="A24" s="5" t="s">
        <v>53</v>
      </c>
      <c r="B24" s="10">
        <f t="shared" si="0"/>
        <v>0</v>
      </c>
      <c r="C24" s="12">
        <v>0</v>
      </c>
      <c r="D24" s="10"/>
      <c r="E24" s="11"/>
      <c r="F24" s="11"/>
      <c r="G24" s="11"/>
      <c r="H24" s="11"/>
      <c r="I24" s="11"/>
      <c r="J24" s="11"/>
      <c r="K24" s="11"/>
      <c r="L24" s="12"/>
    </row>
    <row r="25" spans="1:12">
      <c r="A25" s="5" t="s">
        <v>54</v>
      </c>
      <c r="B25" s="10">
        <f t="shared" si="0"/>
        <v>1</v>
      </c>
      <c r="C25" s="12">
        <v>0</v>
      </c>
      <c r="D25" s="10">
        <v>1985</v>
      </c>
      <c r="E25" s="11"/>
      <c r="F25" s="11"/>
      <c r="G25" s="11"/>
      <c r="H25" s="11"/>
      <c r="I25" s="11"/>
      <c r="J25" s="11"/>
      <c r="K25" s="11"/>
      <c r="L25" s="12"/>
    </row>
    <row r="26" spans="1:12">
      <c r="A26" s="4" t="s">
        <v>7</v>
      </c>
      <c r="B26" s="10">
        <f t="shared" si="0"/>
        <v>0</v>
      </c>
      <c r="C26" s="12">
        <v>0</v>
      </c>
      <c r="D26" s="10"/>
      <c r="E26" s="11"/>
      <c r="F26" s="11"/>
      <c r="G26" s="11"/>
      <c r="H26" s="11"/>
      <c r="I26" s="11"/>
      <c r="J26" s="11"/>
      <c r="K26" s="11"/>
      <c r="L26" s="12"/>
    </row>
    <row r="27" spans="1:12">
      <c r="A27" s="5" t="s">
        <v>55</v>
      </c>
      <c r="B27" s="10">
        <f t="shared" si="0"/>
        <v>0</v>
      </c>
      <c r="C27" s="12">
        <v>0</v>
      </c>
      <c r="D27" s="10"/>
      <c r="E27" s="11"/>
      <c r="F27" s="11"/>
      <c r="G27" s="11"/>
      <c r="H27" s="11"/>
      <c r="I27" s="11"/>
      <c r="J27" s="11"/>
      <c r="K27" s="11"/>
      <c r="L27" s="12"/>
    </row>
    <row r="28" spans="1:12">
      <c r="A28" s="5" t="s">
        <v>56</v>
      </c>
      <c r="B28" s="10">
        <f t="shared" si="0"/>
        <v>0</v>
      </c>
      <c r="C28" s="12">
        <v>0</v>
      </c>
      <c r="D28" s="10"/>
      <c r="E28" s="11"/>
      <c r="F28" s="11"/>
      <c r="G28" s="11"/>
      <c r="H28" s="11"/>
      <c r="I28" s="11"/>
      <c r="J28" s="11"/>
      <c r="K28" s="11"/>
      <c r="L28" s="12"/>
    </row>
    <row r="29" spans="1:12">
      <c r="A29" s="5" t="s">
        <v>57</v>
      </c>
      <c r="B29" s="10">
        <f t="shared" si="0"/>
        <v>0</v>
      </c>
      <c r="C29" s="12">
        <v>0</v>
      </c>
      <c r="D29" s="10"/>
      <c r="E29" s="11"/>
      <c r="F29" s="11"/>
      <c r="G29" s="11"/>
      <c r="H29" s="11"/>
      <c r="I29" s="11"/>
      <c r="J29" s="11"/>
      <c r="K29" s="11"/>
      <c r="L29" s="12"/>
    </row>
    <row r="30" spans="1:12">
      <c r="A30" s="5" t="s">
        <v>58</v>
      </c>
      <c r="B30" s="10">
        <f t="shared" si="0"/>
        <v>0</v>
      </c>
      <c r="C30" s="12">
        <v>0</v>
      </c>
      <c r="D30" s="10"/>
      <c r="E30" s="11"/>
      <c r="F30" s="11"/>
      <c r="G30" s="11"/>
      <c r="H30" s="11"/>
      <c r="I30" s="11"/>
      <c r="J30" s="11"/>
      <c r="K30" s="11"/>
      <c r="L30" s="12"/>
    </row>
    <row r="31" spans="1:12">
      <c r="A31" s="4" t="s">
        <v>8</v>
      </c>
      <c r="B31" s="10">
        <f t="shared" si="0"/>
        <v>1</v>
      </c>
      <c r="C31" s="12">
        <v>1</v>
      </c>
      <c r="D31" s="52">
        <v>1995</v>
      </c>
      <c r="E31" s="11"/>
      <c r="F31" s="11"/>
      <c r="G31" s="11"/>
      <c r="H31" s="11"/>
      <c r="I31" s="11"/>
      <c r="J31" s="11"/>
      <c r="K31" s="11"/>
      <c r="L31" s="12"/>
    </row>
    <row r="32" spans="1:12">
      <c r="A32" s="4" t="s">
        <v>9</v>
      </c>
      <c r="B32" s="10">
        <f t="shared" si="0"/>
        <v>0</v>
      </c>
      <c r="C32" s="12">
        <v>0</v>
      </c>
      <c r="D32" s="10"/>
      <c r="E32" s="11"/>
      <c r="F32" s="11"/>
      <c r="G32" s="11"/>
      <c r="H32" s="11"/>
      <c r="I32" s="11"/>
      <c r="J32" s="11"/>
      <c r="K32" s="11"/>
      <c r="L32" s="12"/>
    </row>
    <row r="33" spans="1:12">
      <c r="A33" s="4" t="s">
        <v>10</v>
      </c>
      <c r="B33" s="10">
        <f t="shared" si="0"/>
        <v>0</v>
      </c>
      <c r="C33" s="12">
        <v>0</v>
      </c>
      <c r="D33" s="10"/>
      <c r="E33" s="11"/>
      <c r="F33" s="11"/>
      <c r="G33" s="11"/>
      <c r="H33" s="11"/>
      <c r="I33" s="11"/>
      <c r="J33" s="11"/>
      <c r="K33" s="11"/>
      <c r="L33" s="12"/>
    </row>
    <row r="34" spans="1:12">
      <c r="A34" s="4" t="s">
        <v>88</v>
      </c>
      <c r="B34" s="10">
        <f t="shared" si="0"/>
        <v>2</v>
      </c>
      <c r="C34" s="12">
        <v>0</v>
      </c>
      <c r="D34" s="10">
        <v>1989</v>
      </c>
      <c r="E34" s="11">
        <v>1994</v>
      </c>
      <c r="F34" s="11"/>
      <c r="G34" s="11"/>
      <c r="H34" s="11"/>
      <c r="I34" s="11"/>
      <c r="J34" s="11"/>
      <c r="K34" s="11"/>
      <c r="L34" s="12"/>
    </row>
    <row r="35" spans="1:12">
      <c r="A35" s="5" t="s">
        <v>59</v>
      </c>
      <c r="B35" s="10">
        <f t="shared" si="0"/>
        <v>1</v>
      </c>
      <c r="C35" s="12">
        <v>0</v>
      </c>
      <c r="D35" s="10">
        <v>1991</v>
      </c>
      <c r="E35" s="11"/>
      <c r="F35" s="11"/>
      <c r="G35" s="11"/>
      <c r="H35" s="11"/>
      <c r="I35" s="11"/>
      <c r="J35" s="11"/>
      <c r="K35" s="11"/>
      <c r="L35" s="12"/>
    </row>
    <row r="36" spans="1:12">
      <c r="A36" s="4" t="s">
        <v>11</v>
      </c>
      <c r="B36" s="10">
        <f t="shared" si="0"/>
        <v>0</v>
      </c>
      <c r="C36" s="12">
        <v>0</v>
      </c>
      <c r="D36" s="10"/>
      <c r="E36" s="11"/>
      <c r="F36" s="11"/>
      <c r="G36" s="11"/>
      <c r="H36" s="11"/>
      <c r="I36" s="11"/>
      <c r="J36" s="11"/>
      <c r="K36" s="11"/>
      <c r="L36" s="12"/>
    </row>
    <row r="37" spans="1:12">
      <c r="A37" s="5" t="s">
        <v>60</v>
      </c>
      <c r="B37" s="10">
        <f t="shared" si="0"/>
        <v>0</v>
      </c>
      <c r="C37" s="12">
        <v>0</v>
      </c>
      <c r="D37" s="10"/>
      <c r="E37" s="11"/>
      <c r="F37" s="11"/>
      <c r="G37" s="11"/>
      <c r="H37" s="11"/>
      <c r="I37" s="11"/>
      <c r="J37" s="11"/>
      <c r="K37" s="11"/>
      <c r="L37" s="12"/>
    </row>
    <row r="38" spans="1:12">
      <c r="A38" s="5" t="s">
        <v>61</v>
      </c>
      <c r="B38" s="10">
        <f t="shared" si="0"/>
        <v>0</v>
      </c>
      <c r="C38" s="12">
        <v>0</v>
      </c>
      <c r="D38" s="10"/>
      <c r="E38" s="11"/>
      <c r="F38" s="11"/>
      <c r="G38" s="11"/>
      <c r="H38" s="11"/>
      <c r="I38" s="11"/>
      <c r="J38" s="11"/>
      <c r="K38" s="11"/>
      <c r="L38" s="12"/>
    </row>
    <row r="39" spans="1:12">
      <c r="A39" s="5" t="s">
        <v>62</v>
      </c>
      <c r="B39" s="10">
        <f t="shared" si="0"/>
        <v>0</v>
      </c>
      <c r="C39" s="12">
        <v>0</v>
      </c>
      <c r="D39" s="10"/>
      <c r="E39" s="11"/>
      <c r="F39" s="11"/>
      <c r="G39" s="11"/>
      <c r="H39" s="11"/>
      <c r="I39" s="11"/>
      <c r="J39" s="11"/>
      <c r="K39" s="11"/>
      <c r="L39" s="12"/>
    </row>
    <row r="40" spans="1:12">
      <c r="A40" s="5" t="s">
        <v>63</v>
      </c>
      <c r="B40" s="10">
        <f t="shared" si="0"/>
        <v>2</v>
      </c>
      <c r="C40" s="12">
        <v>0</v>
      </c>
      <c r="D40" s="10">
        <v>1980</v>
      </c>
      <c r="E40" s="11">
        <v>1988</v>
      </c>
      <c r="F40" s="11"/>
      <c r="G40" s="11"/>
      <c r="H40" s="11"/>
      <c r="I40" s="11"/>
      <c r="J40" s="11"/>
      <c r="K40" s="11"/>
      <c r="L40" s="12"/>
    </row>
    <row r="41" spans="1:12">
      <c r="A41" s="4" t="s">
        <v>12</v>
      </c>
      <c r="B41" s="10">
        <f t="shared" si="0"/>
        <v>1</v>
      </c>
      <c r="C41" s="12">
        <v>1</v>
      </c>
      <c r="D41" s="52">
        <v>2001</v>
      </c>
      <c r="E41" s="11"/>
      <c r="F41" s="11"/>
      <c r="G41" s="11"/>
      <c r="H41" s="11"/>
      <c r="I41" s="11"/>
      <c r="J41" s="11"/>
      <c r="K41" s="11"/>
      <c r="L41" s="12"/>
    </row>
    <row r="42" spans="1:12">
      <c r="A42" s="4" t="s">
        <v>13</v>
      </c>
      <c r="B42" s="10">
        <f t="shared" si="0"/>
        <v>0</v>
      </c>
      <c r="C42" s="12">
        <v>0</v>
      </c>
      <c r="D42" s="10"/>
      <c r="E42" s="11"/>
      <c r="F42" s="11"/>
      <c r="G42" s="11"/>
      <c r="H42" s="11"/>
      <c r="I42" s="11"/>
      <c r="J42" s="11"/>
      <c r="K42" s="11"/>
      <c r="L42" s="12"/>
    </row>
    <row r="43" spans="1:12">
      <c r="A43" s="4" t="s">
        <v>14</v>
      </c>
      <c r="B43" s="10">
        <f t="shared" si="0"/>
        <v>2</v>
      </c>
      <c r="C43" s="12">
        <v>0</v>
      </c>
      <c r="D43" s="10">
        <v>1996</v>
      </c>
      <c r="E43" s="11">
        <v>2002</v>
      </c>
      <c r="F43" s="11"/>
      <c r="G43" s="11"/>
      <c r="H43" s="11"/>
      <c r="I43" s="11"/>
      <c r="J43" s="11"/>
      <c r="K43" s="11"/>
      <c r="L43" s="12"/>
    </row>
    <row r="44" spans="1:12">
      <c r="A44" s="4" t="s">
        <v>15</v>
      </c>
      <c r="B44" s="10">
        <f t="shared" si="0"/>
        <v>5</v>
      </c>
      <c r="C44" s="12">
        <v>2</v>
      </c>
      <c r="D44" s="52">
        <v>1982</v>
      </c>
      <c r="E44" s="52">
        <v>1989</v>
      </c>
      <c r="F44" s="11">
        <v>1992</v>
      </c>
      <c r="G44" s="32">
        <v>2006</v>
      </c>
      <c r="H44" s="32">
        <v>2007</v>
      </c>
      <c r="I44" s="11"/>
      <c r="J44" s="11"/>
      <c r="K44" s="11"/>
      <c r="L44" s="12"/>
    </row>
    <row r="45" spans="1:12">
      <c r="A45" s="5" t="s">
        <v>64</v>
      </c>
      <c r="B45" s="10">
        <f t="shared" si="0"/>
        <v>0</v>
      </c>
      <c r="C45" s="12">
        <v>0</v>
      </c>
      <c r="D45" s="10"/>
      <c r="E45" s="11"/>
      <c r="F45" s="11"/>
      <c r="G45" s="11"/>
      <c r="H45" s="11"/>
      <c r="I45" s="11"/>
      <c r="J45" s="11"/>
      <c r="K45" s="11"/>
      <c r="L45" s="12"/>
    </row>
    <row r="46" spans="1:12">
      <c r="A46" s="4" t="s">
        <v>16</v>
      </c>
      <c r="B46" s="10">
        <f t="shared" si="0"/>
        <v>1</v>
      </c>
      <c r="C46" s="12">
        <v>0</v>
      </c>
      <c r="D46" s="10">
        <v>1984</v>
      </c>
      <c r="E46" s="11"/>
      <c r="F46" s="11"/>
      <c r="G46" s="11"/>
      <c r="H46" s="11"/>
      <c r="I46" s="11"/>
      <c r="J46" s="11"/>
      <c r="K46" s="11"/>
      <c r="L46" s="12"/>
    </row>
    <row r="47" spans="1:12">
      <c r="A47" s="4" t="s">
        <v>17</v>
      </c>
      <c r="B47" s="10">
        <f t="shared" si="0"/>
        <v>0</v>
      </c>
      <c r="C47" s="12">
        <v>0</v>
      </c>
      <c r="D47" s="10"/>
      <c r="E47" s="11"/>
      <c r="F47" s="11"/>
      <c r="G47" s="11"/>
      <c r="H47" s="11"/>
      <c r="I47" s="11"/>
      <c r="J47" s="11"/>
      <c r="K47" s="11"/>
      <c r="L47" s="12"/>
    </row>
    <row r="48" spans="1:12">
      <c r="A48" s="5" t="s">
        <v>87</v>
      </c>
      <c r="B48" s="10">
        <f t="shared" si="0"/>
        <v>0</v>
      </c>
      <c r="C48" s="12">
        <v>0</v>
      </c>
      <c r="D48" s="10"/>
      <c r="E48" s="11"/>
      <c r="F48" s="11"/>
      <c r="G48" s="11"/>
      <c r="H48" s="11"/>
      <c r="I48" s="11"/>
      <c r="J48" s="11"/>
      <c r="K48" s="11"/>
      <c r="L48" s="12"/>
    </row>
    <row r="49" spans="1:12">
      <c r="A49" s="5" t="s">
        <v>65</v>
      </c>
      <c r="B49" s="10">
        <f t="shared" si="0"/>
        <v>0</v>
      </c>
      <c r="C49" s="12">
        <v>0</v>
      </c>
      <c r="D49" s="10"/>
      <c r="E49" s="11"/>
      <c r="F49" s="11"/>
      <c r="G49" s="11"/>
      <c r="H49" s="11"/>
      <c r="I49" s="11"/>
      <c r="J49" s="11"/>
      <c r="K49" s="11"/>
      <c r="L49" s="12"/>
    </row>
    <row r="50" spans="1:12">
      <c r="A50" s="4" t="s">
        <v>18</v>
      </c>
      <c r="B50" s="10">
        <f t="shared" si="0"/>
        <v>1</v>
      </c>
      <c r="C50" s="12">
        <v>1</v>
      </c>
      <c r="D50" s="211">
        <v>2015</v>
      </c>
      <c r="E50" s="11"/>
      <c r="F50" s="11"/>
      <c r="G50" s="11"/>
      <c r="H50" s="11"/>
      <c r="I50" s="11"/>
      <c r="J50" s="11"/>
      <c r="K50" s="11"/>
      <c r="L50" s="12"/>
    </row>
    <row r="51" spans="1:12">
      <c r="A51" s="4" t="s">
        <v>19</v>
      </c>
      <c r="B51" s="10">
        <f t="shared" si="0"/>
        <v>0</v>
      </c>
      <c r="C51" s="12">
        <v>0</v>
      </c>
      <c r="D51" s="10"/>
      <c r="E51" s="11"/>
      <c r="F51" s="11"/>
      <c r="G51" s="11"/>
      <c r="H51" s="11"/>
      <c r="I51" s="11"/>
      <c r="J51" s="11"/>
      <c r="K51" s="11"/>
      <c r="L51" s="12"/>
    </row>
    <row r="52" spans="1:12">
      <c r="A52" s="4" t="s">
        <v>20</v>
      </c>
      <c r="B52" s="10">
        <f t="shared" si="0"/>
        <v>0</v>
      </c>
      <c r="C52" s="12">
        <v>0</v>
      </c>
      <c r="D52" s="10"/>
      <c r="E52" s="11"/>
      <c r="F52" s="11"/>
      <c r="G52" s="11"/>
      <c r="H52" s="11"/>
      <c r="I52" s="11"/>
      <c r="J52" s="11"/>
      <c r="K52" s="11"/>
      <c r="L52" s="12"/>
    </row>
    <row r="53" spans="1:12">
      <c r="A53" s="5" t="s">
        <v>66</v>
      </c>
      <c r="B53" s="10">
        <f t="shared" si="0"/>
        <v>0</v>
      </c>
      <c r="C53" s="12">
        <v>0</v>
      </c>
      <c r="D53" s="10"/>
      <c r="E53" s="11"/>
      <c r="F53" s="11"/>
      <c r="G53" s="11"/>
      <c r="H53" s="11"/>
      <c r="I53" s="11"/>
      <c r="J53" s="11"/>
      <c r="K53" s="11"/>
      <c r="L53" s="12"/>
    </row>
    <row r="54" spans="1:12">
      <c r="A54" s="5" t="s">
        <v>253</v>
      </c>
      <c r="B54" s="10">
        <f t="shared" si="0"/>
        <v>0</v>
      </c>
      <c r="C54" s="12">
        <v>0</v>
      </c>
      <c r="D54" s="10"/>
      <c r="E54" s="11"/>
      <c r="F54" s="11"/>
      <c r="G54" s="11"/>
      <c r="H54" s="11"/>
      <c r="I54" s="11"/>
      <c r="J54" s="11"/>
      <c r="K54" s="11"/>
      <c r="L54" s="12"/>
    </row>
    <row r="55" spans="1:12">
      <c r="A55" s="5" t="s">
        <v>67</v>
      </c>
      <c r="B55" s="10">
        <f t="shared" si="0"/>
        <v>0</v>
      </c>
      <c r="C55" s="12">
        <v>0</v>
      </c>
      <c r="D55" s="10"/>
      <c r="E55" s="11"/>
      <c r="F55" s="11"/>
      <c r="G55" s="11"/>
      <c r="H55" s="11"/>
      <c r="I55" s="11"/>
      <c r="J55" s="11"/>
      <c r="K55" s="11"/>
      <c r="L55" s="12"/>
    </row>
    <row r="56" spans="1:12">
      <c r="A56" s="4" t="s">
        <v>21</v>
      </c>
      <c r="B56" s="10">
        <f t="shared" si="0"/>
        <v>1</v>
      </c>
      <c r="C56" s="12">
        <v>0</v>
      </c>
      <c r="D56" s="10">
        <v>1997</v>
      </c>
      <c r="E56" s="11"/>
      <c r="F56" s="11"/>
      <c r="G56" s="11"/>
      <c r="H56" s="11"/>
      <c r="I56" s="11"/>
      <c r="J56" s="11"/>
      <c r="K56" s="11"/>
      <c r="L56" s="12"/>
    </row>
    <row r="57" spans="1:12">
      <c r="A57" s="4" t="s">
        <v>22</v>
      </c>
      <c r="B57" s="10">
        <f t="shared" si="0"/>
        <v>1</v>
      </c>
      <c r="C57" s="12">
        <v>1</v>
      </c>
      <c r="D57" s="52">
        <v>1996</v>
      </c>
      <c r="E57" s="11"/>
      <c r="F57" s="11"/>
      <c r="G57" s="11"/>
      <c r="H57" s="11"/>
      <c r="I57" s="11"/>
      <c r="J57" s="11"/>
      <c r="K57" s="11"/>
      <c r="L57" s="12"/>
    </row>
    <row r="58" spans="1:12">
      <c r="A58" s="4" t="s">
        <v>23</v>
      </c>
      <c r="B58" s="10">
        <f t="shared" si="0"/>
        <v>5</v>
      </c>
      <c r="C58" s="12">
        <v>3</v>
      </c>
      <c r="D58" s="52">
        <v>1980</v>
      </c>
      <c r="E58" s="52">
        <v>1986</v>
      </c>
      <c r="F58" s="32">
        <v>2004</v>
      </c>
      <c r="G58" s="32">
        <v>2008</v>
      </c>
      <c r="H58" s="62">
        <v>2010</v>
      </c>
      <c r="I58" s="11"/>
      <c r="J58" s="11"/>
      <c r="K58" s="11"/>
      <c r="L58" s="12"/>
    </row>
    <row r="59" spans="1:12">
      <c r="A59" s="4" t="s">
        <v>24</v>
      </c>
      <c r="B59" s="10">
        <f t="shared" si="0"/>
        <v>4</v>
      </c>
      <c r="C59" s="12">
        <v>3</v>
      </c>
      <c r="D59" s="10">
        <v>1987</v>
      </c>
      <c r="E59" s="52">
        <v>2005</v>
      </c>
      <c r="F59" s="54">
        <v>2006</v>
      </c>
      <c r="G59" s="78">
        <v>2008</v>
      </c>
      <c r="H59" s="11"/>
      <c r="I59" s="11"/>
      <c r="J59" s="11"/>
      <c r="K59" s="11"/>
      <c r="L59" s="12"/>
    </row>
    <row r="60" spans="1:12">
      <c r="A60" s="5" t="s">
        <v>68</v>
      </c>
      <c r="B60" s="10">
        <f t="shared" si="0"/>
        <v>0</v>
      </c>
      <c r="C60" s="12">
        <v>0</v>
      </c>
      <c r="D60" s="10"/>
      <c r="E60" s="11"/>
      <c r="F60" s="11"/>
      <c r="G60" s="11"/>
      <c r="H60" s="11"/>
      <c r="I60" s="11"/>
      <c r="J60" s="11"/>
      <c r="K60" s="11"/>
      <c r="L60" s="12"/>
    </row>
    <row r="61" spans="1:12">
      <c r="A61" s="4" t="s">
        <v>25</v>
      </c>
      <c r="B61" s="10">
        <f t="shared" si="0"/>
        <v>3</v>
      </c>
      <c r="C61" s="12">
        <v>2</v>
      </c>
      <c r="D61" s="52">
        <v>2000</v>
      </c>
      <c r="E61" s="55">
        <v>2009</v>
      </c>
      <c r="F61" s="32">
        <v>2016</v>
      </c>
      <c r="G61" s="11"/>
      <c r="H61" s="11"/>
      <c r="I61" s="11"/>
      <c r="J61" s="11"/>
      <c r="K61" s="11"/>
      <c r="L61" s="12"/>
    </row>
    <row r="62" spans="1:12">
      <c r="A62" s="5" t="s">
        <v>69</v>
      </c>
      <c r="B62" s="10">
        <f t="shared" si="0"/>
        <v>0</v>
      </c>
      <c r="C62" s="12">
        <v>0</v>
      </c>
      <c r="D62" s="10"/>
      <c r="E62" s="11"/>
      <c r="F62" s="11"/>
      <c r="G62" s="11"/>
      <c r="H62" s="11"/>
      <c r="I62" s="11"/>
      <c r="J62" s="11"/>
      <c r="K62" s="11"/>
      <c r="L62" s="12"/>
    </row>
    <row r="63" spans="1:12">
      <c r="A63" s="4" t="s">
        <v>26</v>
      </c>
      <c r="B63" s="10">
        <f t="shared" si="0"/>
        <v>2</v>
      </c>
      <c r="C63" s="12">
        <v>2</v>
      </c>
      <c r="D63" s="52">
        <v>1994</v>
      </c>
      <c r="E63" s="55">
        <v>2004</v>
      </c>
      <c r="F63" s="11"/>
      <c r="G63" s="11"/>
      <c r="H63" s="11"/>
      <c r="I63" s="11"/>
      <c r="J63" s="11"/>
      <c r="K63" s="11"/>
      <c r="L63" s="12"/>
    </row>
    <row r="64" spans="1:12">
      <c r="A64" s="4" t="s">
        <v>27</v>
      </c>
      <c r="B64" s="10">
        <f t="shared" si="0"/>
        <v>0</v>
      </c>
      <c r="C64" s="12">
        <v>0</v>
      </c>
      <c r="D64" s="10"/>
      <c r="E64" s="11"/>
      <c r="F64" s="11"/>
      <c r="G64" s="11"/>
      <c r="H64" s="11"/>
      <c r="I64" s="11"/>
      <c r="J64" s="11"/>
      <c r="K64" s="11"/>
      <c r="L64" s="12"/>
    </row>
    <row r="65" spans="1:12">
      <c r="A65" s="4" t="s">
        <v>28</v>
      </c>
      <c r="B65" s="10">
        <f t="shared" si="0"/>
        <v>1</v>
      </c>
      <c r="C65" s="12">
        <v>1</v>
      </c>
      <c r="D65" s="52">
        <v>1997</v>
      </c>
      <c r="E65" s="11"/>
      <c r="F65" s="11"/>
      <c r="G65" s="11"/>
      <c r="H65" s="11"/>
      <c r="I65" s="11"/>
      <c r="J65" s="11"/>
      <c r="K65" s="11"/>
      <c r="L65" s="12"/>
    </row>
    <row r="66" spans="1:12">
      <c r="A66" s="4" t="s">
        <v>41</v>
      </c>
      <c r="B66" s="10">
        <f t="shared" si="0"/>
        <v>0</v>
      </c>
      <c r="C66" s="12">
        <v>0</v>
      </c>
      <c r="D66" s="10"/>
      <c r="E66" s="11"/>
      <c r="F66" s="11"/>
      <c r="G66" s="11"/>
      <c r="H66" s="11"/>
      <c r="I66" s="11"/>
      <c r="J66" s="11"/>
      <c r="K66" s="11"/>
      <c r="L66" s="12"/>
    </row>
    <row r="67" spans="1:12">
      <c r="A67" s="4" t="s">
        <v>258</v>
      </c>
      <c r="B67" s="10">
        <f t="shared" si="0"/>
        <v>1</v>
      </c>
      <c r="C67" s="12">
        <v>0</v>
      </c>
      <c r="D67" s="10">
        <v>2003</v>
      </c>
      <c r="E67" s="11"/>
      <c r="F67" s="11"/>
      <c r="G67" s="11"/>
      <c r="H67" s="11"/>
      <c r="I67" s="11"/>
      <c r="J67" s="11"/>
      <c r="K67" s="11"/>
      <c r="L67" s="12"/>
    </row>
    <row r="68" spans="1:12">
      <c r="A68" s="4" t="s">
        <v>29</v>
      </c>
      <c r="B68" s="10">
        <f t="shared" si="0"/>
        <v>1</v>
      </c>
      <c r="C68" s="12">
        <v>0</v>
      </c>
      <c r="D68" s="10">
        <v>2001</v>
      </c>
      <c r="E68" s="11"/>
      <c r="F68" s="11"/>
      <c r="G68" s="11"/>
      <c r="H68" s="11"/>
      <c r="I68" s="11"/>
      <c r="J68" s="11"/>
      <c r="K68" s="11"/>
      <c r="L68" s="12"/>
    </row>
    <row r="69" spans="1:12">
      <c r="A69" s="4" t="s">
        <v>30</v>
      </c>
      <c r="B69" s="10">
        <f t="shared" si="0"/>
        <v>2</v>
      </c>
      <c r="C69" s="12">
        <v>1</v>
      </c>
      <c r="D69" s="10">
        <v>1979</v>
      </c>
      <c r="E69" s="52">
        <v>1990</v>
      </c>
      <c r="F69" s="11"/>
      <c r="G69" s="11"/>
      <c r="H69" s="11"/>
      <c r="I69" s="11"/>
      <c r="J69" s="11"/>
      <c r="K69" s="11"/>
      <c r="L69" s="12"/>
    </row>
    <row r="70" spans="1:12">
      <c r="A70" s="5" t="s">
        <v>70</v>
      </c>
      <c r="B70" s="10">
        <f t="shared" si="0"/>
        <v>0</v>
      </c>
      <c r="C70" s="12">
        <v>0</v>
      </c>
      <c r="D70" s="10"/>
      <c r="E70" s="11"/>
      <c r="F70" s="11"/>
      <c r="G70" s="11"/>
      <c r="H70" s="11"/>
      <c r="I70" s="11"/>
      <c r="J70" s="11"/>
      <c r="K70" s="11"/>
      <c r="L70" s="12"/>
    </row>
    <row r="71" spans="1:12">
      <c r="A71" s="4" t="s">
        <v>31</v>
      </c>
      <c r="B71" s="10">
        <f t="shared" si="0"/>
        <v>0</v>
      </c>
      <c r="C71" s="12">
        <v>0</v>
      </c>
      <c r="D71" s="10"/>
      <c r="E71" s="11"/>
      <c r="F71" s="11"/>
      <c r="G71" s="11"/>
      <c r="H71" s="11"/>
      <c r="I71" s="11"/>
      <c r="J71" s="11"/>
      <c r="K71" s="11"/>
      <c r="L71" s="12"/>
    </row>
    <row r="72" spans="1:12">
      <c r="A72" s="4" t="s">
        <v>265</v>
      </c>
      <c r="B72" s="10">
        <f t="shared" si="0"/>
        <v>1</v>
      </c>
      <c r="C72" s="12">
        <v>0</v>
      </c>
      <c r="D72" s="10">
        <v>2009</v>
      </c>
      <c r="E72" s="11"/>
      <c r="F72" s="11"/>
      <c r="G72" s="11"/>
      <c r="H72" s="11"/>
      <c r="I72" s="11"/>
      <c r="J72" s="11"/>
      <c r="K72" s="11"/>
      <c r="L72" s="12"/>
    </row>
    <row r="73" spans="1:12">
      <c r="A73" s="5" t="s">
        <v>71</v>
      </c>
      <c r="B73" s="10">
        <f t="shared" si="0"/>
        <v>0</v>
      </c>
      <c r="C73" s="12">
        <v>0</v>
      </c>
      <c r="D73" s="10"/>
      <c r="E73" s="11"/>
      <c r="F73" s="11"/>
      <c r="G73" s="11"/>
      <c r="H73" s="11"/>
      <c r="I73" s="11"/>
      <c r="J73" s="11"/>
      <c r="K73" s="11"/>
      <c r="L73" s="12"/>
    </row>
    <row r="74" spans="1:12">
      <c r="A74" s="5" t="s">
        <v>259</v>
      </c>
      <c r="B74" s="10">
        <f t="shared" si="0"/>
        <v>1</v>
      </c>
      <c r="C74" s="12">
        <v>0</v>
      </c>
      <c r="D74" s="10">
        <v>2012</v>
      </c>
      <c r="E74" s="11"/>
      <c r="F74" s="11"/>
      <c r="G74" s="11"/>
      <c r="H74" s="11"/>
      <c r="I74" s="11"/>
      <c r="J74" s="11"/>
      <c r="K74" s="11"/>
      <c r="L74" s="12"/>
    </row>
    <row r="75" spans="1:12">
      <c r="A75" s="5" t="s">
        <v>72</v>
      </c>
      <c r="B75" s="10">
        <f t="shared" si="0"/>
        <v>0</v>
      </c>
      <c r="C75" s="12">
        <v>0</v>
      </c>
      <c r="D75" s="10"/>
      <c r="E75" s="11"/>
      <c r="F75" s="11"/>
      <c r="G75" s="11"/>
      <c r="H75" s="11"/>
      <c r="I75" s="11"/>
      <c r="J75" s="11"/>
      <c r="K75" s="11"/>
      <c r="L75" s="12"/>
    </row>
    <row r="76" spans="1:12">
      <c r="A76" s="5" t="s">
        <v>73</v>
      </c>
      <c r="B76" s="10">
        <f t="shared" si="0"/>
        <v>1</v>
      </c>
      <c r="C76" s="12">
        <v>1</v>
      </c>
      <c r="D76" s="52">
        <v>1988</v>
      </c>
      <c r="E76" s="11"/>
      <c r="F76" s="11"/>
      <c r="G76" s="11"/>
      <c r="H76" s="11"/>
      <c r="I76" s="11"/>
      <c r="J76" s="11"/>
      <c r="K76" s="11"/>
      <c r="L76" s="12"/>
    </row>
    <row r="77" spans="1:12">
      <c r="A77" s="5" t="s">
        <v>74</v>
      </c>
      <c r="B77" s="10">
        <f t="shared" ref="B77:B100" si="2">COUNTA(D77:N77)</f>
        <v>2</v>
      </c>
      <c r="C77" s="12">
        <v>2</v>
      </c>
      <c r="D77" s="52">
        <v>1978</v>
      </c>
      <c r="E77" s="52">
        <v>1979</v>
      </c>
      <c r="F77" s="11"/>
      <c r="G77" s="11"/>
      <c r="H77" s="11"/>
      <c r="I77" s="11"/>
      <c r="J77" s="11"/>
      <c r="K77" s="11"/>
      <c r="L77" s="12"/>
    </row>
    <row r="78" spans="1:12">
      <c r="A78" s="5" t="s">
        <v>260</v>
      </c>
      <c r="B78" s="10">
        <f t="shared" si="2"/>
        <v>0</v>
      </c>
      <c r="C78" s="12">
        <v>0</v>
      </c>
      <c r="D78" s="13"/>
      <c r="E78" s="14"/>
      <c r="F78" s="11"/>
      <c r="G78" s="11"/>
      <c r="H78" s="11"/>
      <c r="I78" s="11"/>
      <c r="J78" s="11"/>
      <c r="K78" s="11"/>
      <c r="L78" s="12"/>
    </row>
    <row r="79" spans="1:12">
      <c r="A79" s="5" t="s">
        <v>75</v>
      </c>
      <c r="B79" s="10">
        <f t="shared" si="2"/>
        <v>0</v>
      </c>
      <c r="C79" s="12">
        <v>0</v>
      </c>
      <c r="D79" s="10"/>
      <c r="E79" s="11"/>
      <c r="F79" s="11"/>
      <c r="G79" s="11"/>
      <c r="H79" s="11"/>
      <c r="I79" s="11"/>
      <c r="J79" s="11"/>
      <c r="K79" s="11"/>
      <c r="L79" s="12"/>
    </row>
    <row r="80" spans="1:12">
      <c r="A80" s="5" t="s">
        <v>76</v>
      </c>
      <c r="B80" s="10">
        <f t="shared" si="2"/>
        <v>0</v>
      </c>
      <c r="C80" s="12">
        <v>0</v>
      </c>
      <c r="D80" s="10"/>
      <c r="E80" s="11"/>
      <c r="F80" s="11"/>
      <c r="G80" s="11"/>
      <c r="H80" s="11"/>
      <c r="I80" s="11"/>
      <c r="J80" s="11"/>
      <c r="K80" s="11"/>
      <c r="L80" s="12"/>
    </row>
    <row r="81" spans="1:12">
      <c r="A81" s="4" t="s">
        <v>32</v>
      </c>
      <c r="B81" s="10">
        <f t="shared" si="2"/>
        <v>3</v>
      </c>
      <c r="C81" s="12">
        <v>3</v>
      </c>
      <c r="D81" s="52">
        <v>1992</v>
      </c>
      <c r="E81" s="52">
        <v>2002</v>
      </c>
      <c r="F81" s="53">
        <v>2007</v>
      </c>
      <c r="G81" s="11"/>
      <c r="H81" s="11"/>
      <c r="I81" s="11"/>
      <c r="J81" s="11"/>
      <c r="K81" s="11"/>
      <c r="L81" s="12"/>
    </row>
    <row r="82" spans="1:12">
      <c r="A82" s="5" t="s">
        <v>77</v>
      </c>
      <c r="B82" s="10">
        <f t="shared" si="2"/>
        <v>1</v>
      </c>
      <c r="C82" s="12">
        <v>1</v>
      </c>
      <c r="D82" s="52">
        <v>1991</v>
      </c>
      <c r="E82" s="11"/>
      <c r="F82" s="11"/>
      <c r="G82" s="11"/>
      <c r="H82" s="11"/>
      <c r="I82" s="11"/>
      <c r="J82" s="11"/>
      <c r="K82" s="11"/>
      <c r="L82" s="12"/>
    </row>
    <row r="83" spans="1:12">
      <c r="A83" s="5" t="s">
        <v>530</v>
      </c>
      <c r="B83" s="10">
        <f t="shared" si="2"/>
        <v>1</v>
      </c>
      <c r="C83" s="12">
        <v>0</v>
      </c>
      <c r="D83" s="61">
        <v>2010</v>
      </c>
      <c r="E83" s="11"/>
      <c r="F83" s="11"/>
      <c r="G83" s="11"/>
      <c r="H83" s="11"/>
      <c r="I83" s="11"/>
      <c r="J83" s="11"/>
      <c r="K83" s="11"/>
      <c r="L83" s="12"/>
    </row>
    <row r="84" spans="1:12">
      <c r="A84" s="4" t="s">
        <v>33</v>
      </c>
      <c r="B84" s="10">
        <f t="shared" si="2"/>
        <v>2</v>
      </c>
      <c r="C84" s="12">
        <v>1</v>
      </c>
      <c r="D84" s="10">
        <v>1983</v>
      </c>
      <c r="E84" s="52">
        <v>1987</v>
      </c>
      <c r="F84" s="11"/>
      <c r="G84" s="11"/>
      <c r="H84" s="11"/>
      <c r="I84" s="11"/>
      <c r="J84" s="11"/>
      <c r="K84" s="11"/>
      <c r="L84" s="12"/>
    </row>
    <row r="85" spans="1:12">
      <c r="A85" s="5" t="s">
        <v>78</v>
      </c>
      <c r="B85" s="10">
        <f t="shared" si="2"/>
        <v>0</v>
      </c>
      <c r="C85" s="12">
        <v>0</v>
      </c>
      <c r="D85" s="10"/>
      <c r="E85" s="11"/>
      <c r="F85" s="11"/>
      <c r="G85" s="11"/>
      <c r="H85" s="11"/>
      <c r="I85" s="11"/>
      <c r="J85" s="11"/>
      <c r="K85" s="11"/>
      <c r="L85" s="12"/>
    </row>
    <row r="86" spans="1:12">
      <c r="A86" s="5" t="s">
        <v>79</v>
      </c>
      <c r="B86" s="10">
        <f t="shared" si="2"/>
        <v>0</v>
      </c>
      <c r="C86" s="12">
        <v>0</v>
      </c>
      <c r="D86" s="10"/>
      <c r="E86" s="11"/>
      <c r="F86" s="11"/>
      <c r="G86" s="11"/>
      <c r="H86" s="11"/>
      <c r="I86" s="11"/>
      <c r="J86" s="11"/>
      <c r="K86" s="11"/>
      <c r="L86" s="12"/>
    </row>
    <row r="87" spans="1:12">
      <c r="A87" s="5" t="s">
        <v>80</v>
      </c>
      <c r="B87" s="10">
        <f t="shared" si="2"/>
        <v>0</v>
      </c>
      <c r="C87" s="12">
        <v>0</v>
      </c>
      <c r="D87" s="10"/>
      <c r="E87" s="11"/>
      <c r="F87" s="11"/>
      <c r="G87" s="11"/>
      <c r="H87" s="11"/>
      <c r="I87" s="11"/>
      <c r="J87" s="11"/>
      <c r="K87" s="11"/>
      <c r="L87" s="12"/>
    </row>
    <row r="88" spans="1:12">
      <c r="A88" s="4" t="s">
        <v>34</v>
      </c>
      <c r="B88" s="10">
        <v>2</v>
      </c>
      <c r="C88" s="12">
        <v>2</v>
      </c>
      <c r="D88" s="52">
        <v>1999</v>
      </c>
      <c r="E88" s="78">
        <v>2011</v>
      </c>
      <c r="F88" s="11"/>
      <c r="G88" s="11"/>
      <c r="H88" s="11"/>
      <c r="I88" s="11"/>
      <c r="J88" s="11"/>
      <c r="K88" s="11"/>
      <c r="L88" s="12"/>
    </row>
    <row r="89" spans="1:12">
      <c r="A89" s="4" t="s">
        <v>35</v>
      </c>
      <c r="B89" s="10">
        <f t="shared" si="2"/>
        <v>1</v>
      </c>
      <c r="C89" s="12">
        <v>1</v>
      </c>
      <c r="D89" s="52">
        <v>1984</v>
      </c>
      <c r="E89" s="11"/>
      <c r="F89" s="11"/>
      <c r="G89" s="11"/>
      <c r="H89" s="11"/>
      <c r="I89" s="11"/>
      <c r="J89" s="11"/>
      <c r="K89" s="11"/>
      <c r="L89" s="12"/>
    </row>
    <row r="90" spans="1:12">
      <c r="A90" s="5" t="s">
        <v>81</v>
      </c>
      <c r="B90" s="10">
        <f t="shared" si="2"/>
        <v>0</v>
      </c>
      <c r="C90" s="12">
        <v>0</v>
      </c>
      <c r="D90" s="10"/>
      <c r="E90" s="11"/>
      <c r="F90" s="11"/>
      <c r="G90" s="11"/>
      <c r="H90" s="11"/>
      <c r="I90" s="11"/>
      <c r="J90" s="11"/>
      <c r="K90" s="11"/>
      <c r="L90" s="12"/>
    </row>
    <row r="91" spans="1:12">
      <c r="A91" s="5" t="s">
        <v>82</v>
      </c>
      <c r="B91" s="10">
        <f t="shared" si="2"/>
        <v>0</v>
      </c>
      <c r="C91" s="12">
        <v>0</v>
      </c>
      <c r="D91" s="10"/>
      <c r="E91" s="11"/>
      <c r="F91" s="11"/>
      <c r="G91" s="11"/>
      <c r="H91" s="11"/>
      <c r="I91" s="11"/>
      <c r="J91" s="11"/>
      <c r="K91" s="11"/>
      <c r="L91" s="12"/>
    </row>
    <row r="92" spans="1:12">
      <c r="A92" s="5" t="s">
        <v>83</v>
      </c>
      <c r="B92" s="10">
        <f t="shared" si="2"/>
        <v>0</v>
      </c>
      <c r="C92" s="12">
        <v>0</v>
      </c>
      <c r="D92" s="10"/>
      <c r="E92" s="11"/>
      <c r="F92" s="11"/>
      <c r="G92" s="11"/>
      <c r="H92" s="11"/>
      <c r="I92" s="11"/>
      <c r="J92" s="11"/>
      <c r="K92" s="11"/>
      <c r="L92" s="12"/>
    </row>
    <row r="93" spans="1:12">
      <c r="A93" s="5" t="s">
        <v>266</v>
      </c>
      <c r="B93" s="10">
        <f t="shared" si="2"/>
        <v>0</v>
      </c>
      <c r="C93" s="12">
        <v>0</v>
      </c>
      <c r="D93" s="10"/>
      <c r="E93" s="11"/>
      <c r="F93" s="11"/>
      <c r="G93" s="11"/>
      <c r="H93" s="11"/>
      <c r="I93" s="11"/>
      <c r="J93" s="11"/>
      <c r="K93" s="11"/>
      <c r="L93" s="12"/>
    </row>
    <row r="94" spans="1:12">
      <c r="A94" s="5" t="s">
        <v>84</v>
      </c>
      <c r="B94" s="10">
        <f t="shared" si="2"/>
        <v>0</v>
      </c>
      <c r="C94" s="12">
        <v>0</v>
      </c>
      <c r="D94" s="10"/>
      <c r="E94" s="11"/>
      <c r="F94" s="11"/>
      <c r="G94" s="11"/>
      <c r="H94" s="11"/>
      <c r="I94" s="11"/>
      <c r="J94" s="11"/>
      <c r="K94" s="11"/>
      <c r="L94" s="12"/>
    </row>
    <row r="95" spans="1:12">
      <c r="A95" s="5" t="s">
        <v>85</v>
      </c>
      <c r="B95" s="10">
        <f t="shared" si="2"/>
        <v>0</v>
      </c>
      <c r="C95" s="12">
        <v>0</v>
      </c>
      <c r="D95" s="10"/>
      <c r="E95" s="11"/>
      <c r="F95" s="11"/>
      <c r="G95" s="11"/>
      <c r="H95" s="11"/>
      <c r="I95" s="11"/>
      <c r="J95" s="11"/>
      <c r="K95" s="11"/>
      <c r="L95" s="12"/>
    </row>
    <row r="96" spans="1:12">
      <c r="A96" s="4" t="s">
        <v>36</v>
      </c>
      <c r="B96" s="10">
        <f t="shared" si="2"/>
        <v>0</v>
      </c>
      <c r="C96" s="12">
        <v>0</v>
      </c>
      <c r="D96" s="10"/>
      <c r="E96" s="11"/>
      <c r="F96" s="11"/>
      <c r="G96" s="11"/>
      <c r="H96" s="11"/>
      <c r="I96" s="11"/>
      <c r="J96" s="11"/>
      <c r="K96" s="11"/>
      <c r="L96" s="12"/>
    </row>
    <row r="97" spans="1:12">
      <c r="A97" s="4" t="s">
        <v>305</v>
      </c>
      <c r="B97" s="10">
        <v>1</v>
      </c>
      <c r="C97" s="12">
        <v>0</v>
      </c>
      <c r="D97" s="10">
        <v>2011</v>
      </c>
      <c r="E97" s="11"/>
      <c r="F97" s="11"/>
      <c r="G97" s="11"/>
      <c r="H97" s="11"/>
      <c r="I97" s="11"/>
      <c r="J97" s="11"/>
      <c r="K97" s="11"/>
      <c r="L97" s="12"/>
    </row>
    <row r="98" spans="1:12">
      <c r="A98" s="4" t="s">
        <v>37</v>
      </c>
      <c r="B98" s="10">
        <v>2</v>
      </c>
      <c r="C98" s="12">
        <v>1</v>
      </c>
      <c r="D98" s="52">
        <v>1993</v>
      </c>
      <c r="E98" s="11">
        <v>1999</v>
      </c>
      <c r="F98" s="11"/>
      <c r="G98" s="11"/>
      <c r="H98" s="11"/>
      <c r="I98" s="11"/>
      <c r="J98" s="11"/>
      <c r="K98" s="11"/>
      <c r="L98" s="12"/>
    </row>
    <row r="99" spans="1:12">
      <c r="A99" s="4" t="s">
        <v>38</v>
      </c>
      <c r="B99" s="10">
        <f t="shared" si="2"/>
        <v>2</v>
      </c>
      <c r="C99" s="12">
        <v>0</v>
      </c>
      <c r="D99" s="10">
        <v>1998</v>
      </c>
      <c r="E99" s="11">
        <v>2017</v>
      </c>
      <c r="F99" s="11"/>
      <c r="G99" s="11"/>
      <c r="H99" s="11"/>
      <c r="I99" s="11"/>
      <c r="J99" s="11"/>
      <c r="K99" s="11"/>
      <c r="L99" s="12"/>
    </row>
    <row r="100" spans="1:12">
      <c r="A100" s="6" t="s">
        <v>86</v>
      </c>
      <c r="B100" s="15">
        <f t="shared" si="2"/>
        <v>0</v>
      </c>
      <c r="C100" s="17">
        <v>0</v>
      </c>
      <c r="D100" s="15"/>
      <c r="E100" s="16"/>
      <c r="F100" s="16"/>
      <c r="G100" s="16"/>
      <c r="H100" s="16"/>
      <c r="I100" s="16"/>
      <c r="J100" s="16"/>
      <c r="K100" s="16"/>
      <c r="L100" s="17"/>
    </row>
  </sheetData>
  <phoneticPr fontId="0" type="noConversion"/>
  <pageMargins left="0.75" right="0.75" top="1" bottom="1" header="0.5" footer="0.5"/>
  <pageSetup scale="97" fitToHeight="2" orientation="portrait" horizontalDpi="300" verticalDpi="300" r:id="rId1"/>
  <headerFooter alignWithMargins="0">
    <oddHeader>&amp;C&amp;"Arial,Bold"&amp;14Match Play History</oddHeader>
    <oddFooter>&amp;L&amp;F&amp;C&amp;P&amp;R&amp;D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topLeftCell="A40" workbookViewId="0">
      <selection activeCell="A64" sqref="A64:XFD64"/>
    </sheetView>
  </sheetViews>
  <sheetFormatPr defaultRowHeight="12.75"/>
  <cols>
    <col min="2" max="2" width="42" customWidth="1"/>
    <col min="3" max="3" width="26.85546875" customWidth="1"/>
    <col min="4" max="4" width="22" customWidth="1"/>
    <col min="5" max="5" width="14.28515625" customWidth="1"/>
  </cols>
  <sheetData>
    <row r="1" spans="1:5" ht="18">
      <c r="B1" s="18" t="s">
        <v>370</v>
      </c>
    </row>
    <row r="3" spans="1:5" ht="15.75">
      <c r="A3" s="213" t="s">
        <v>92</v>
      </c>
      <c r="B3" s="213" t="s">
        <v>93</v>
      </c>
      <c r="C3" s="213" t="s">
        <v>94</v>
      </c>
      <c r="D3" s="213" t="s">
        <v>95</v>
      </c>
      <c r="E3" s="213" t="s">
        <v>96</v>
      </c>
    </row>
    <row r="5" spans="1:5">
      <c r="A5" s="142">
        <v>1997</v>
      </c>
      <c r="B5" s="143" t="s">
        <v>371</v>
      </c>
      <c r="C5" s="143" t="s">
        <v>372</v>
      </c>
      <c r="D5" s="143" t="s">
        <v>323</v>
      </c>
      <c r="E5" s="149" t="s">
        <v>373</v>
      </c>
    </row>
    <row r="6" spans="1:5">
      <c r="A6" s="143"/>
      <c r="B6" s="143" t="s">
        <v>374</v>
      </c>
      <c r="C6" s="143" t="s">
        <v>323</v>
      </c>
      <c r="D6" s="143"/>
      <c r="E6" s="142"/>
    </row>
    <row r="7" spans="1:5">
      <c r="A7" s="143"/>
      <c r="B7" s="143"/>
      <c r="C7" s="143"/>
      <c r="D7" s="143"/>
      <c r="E7" s="142"/>
    </row>
    <row r="8" spans="1:5">
      <c r="A8" s="142">
        <v>1998</v>
      </c>
      <c r="B8" s="143" t="s">
        <v>375</v>
      </c>
      <c r="C8" s="143" t="s">
        <v>376</v>
      </c>
      <c r="D8" s="143" t="s">
        <v>376</v>
      </c>
      <c r="E8" s="149" t="s">
        <v>373</v>
      </c>
    </row>
    <row r="9" spans="1:5">
      <c r="A9" s="143"/>
      <c r="B9" s="143" t="s">
        <v>377</v>
      </c>
      <c r="C9" s="143" t="s">
        <v>323</v>
      </c>
      <c r="D9" s="143"/>
      <c r="E9" s="142"/>
    </row>
    <row r="10" spans="1:5">
      <c r="A10" s="143"/>
      <c r="B10" s="143"/>
      <c r="C10" s="143"/>
      <c r="D10" s="143"/>
      <c r="E10" s="142"/>
    </row>
    <row r="11" spans="1:5">
      <c r="A11" s="149" t="s">
        <v>378</v>
      </c>
      <c r="B11" s="143" t="s">
        <v>379</v>
      </c>
      <c r="C11" s="143" t="s">
        <v>380</v>
      </c>
      <c r="D11" s="143" t="s">
        <v>380</v>
      </c>
      <c r="E11" s="142" t="s">
        <v>381</v>
      </c>
    </row>
    <row r="12" spans="1:5">
      <c r="A12" s="143"/>
      <c r="B12" s="143" t="s">
        <v>382</v>
      </c>
      <c r="C12" s="143" t="s">
        <v>383</v>
      </c>
      <c r="D12" s="143"/>
      <c r="E12" s="143"/>
    </row>
    <row r="13" spans="1:5">
      <c r="A13" s="143"/>
      <c r="B13" s="143"/>
      <c r="C13" s="143"/>
      <c r="D13" s="143"/>
      <c r="E13" s="142"/>
    </row>
    <row r="14" spans="1:5">
      <c r="A14" s="149">
        <v>2000</v>
      </c>
      <c r="B14" s="143" t="s">
        <v>384</v>
      </c>
      <c r="C14" s="143" t="s">
        <v>376</v>
      </c>
      <c r="D14" s="143" t="s">
        <v>376</v>
      </c>
      <c r="E14" s="149" t="s">
        <v>385</v>
      </c>
    </row>
    <row r="15" spans="1:5">
      <c r="A15" s="143"/>
      <c r="B15" s="143" t="s">
        <v>386</v>
      </c>
      <c r="C15" s="143" t="s">
        <v>329</v>
      </c>
      <c r="D15" s="143"/>
      <c r="E15" s="143"/>
    </row>
    <row r="16" spans="1:5">
      <c r="A16" s="143"/>
      <c r="B16" s="143"/>
      <c r="C16" s="143"/>
      <c r="D16" s="143"/>
      <c r="E16" s="142"/>
    </row>
    <row r="17" spans="1:5">
      <c r="A17" s="149">
        <v>2001</v>
      </c>
      <c r="B17" s="143" t="s">
        <v>387</v>
      </c>
      <c r="C17" s="143" t="s">
        <v>388</v>
      </c>
      <c r="D17" s="143" t="s">
        <v>388</v>
      </c>
      <c r="E17" s="149" t="s">
        <v>389</v>
      </c>
    </row>
    <row r="18" spans="1:5">
      <c r="A18" s="143"/>
      <c r="B18" s="143" t="s">
        <v>390</v>
      </c>
      <c r="C18" s="143" t="s">
        <v>391</v>
      </c>
      <c r="D18" s="143"/>
      <c r="E18" s="143"/>
    </row>
    <row r="19" spans="1:5">
      <c r="A19" s="143"/>
      <c r="B19" s="143"/>
      <c r="C19" s="143"/>
      <c r="D19" s="143"/>
      <c r="E19" s="142"/>
    </row>
    <row r="20" spans="1:5">
      <c r="A20" s="149">
        <v>2002</v>
      </c>
      <c r="B20" s="143" t="s">
        <v>392</v>
      </c>
      <c r="C20" s="143" t="s">
        <v>393</v>
      </c>
      <c r="D20" s="143" t="s">
        <v>393</v>
      </c>
      <c r="E20" s="149" t="s">
        <v>389</v>
      </c>
    </row>
    <row r="21" spans="1:5">
      <c r="A21" s="143"/>
      <c r="B21" s="143" t="s">
        <v>394</v>
      </c>
      <c r="C21" s="143" t="s">
        <v>388</v>
      </c>
      <c r="D21" s="143"/>
      <c r="E21" s="143"/>
    </row>
    <row r="22" spans="1:5">
      <c r="A22" s="143"/>
      <c r="B22" s="143"/>
      <c r="C22" s="143"/>
      <c r="D22" s="143"/>
      <c r="E22" s="142"/>
    </row>
    <row r="23" spans="1:5">
      <c r="A23" s="149">
        <v>2003</v>
      </c>
      <c r="B23" s="143" t="s">
        <v>395</v>
      </c>
      <c r="C23" s="143" t="s">
        <v>396</v>
      </c>
      <c r="D23" s="177" t="s">
        <v>399</v>
      </c>
      <c r="E23" s="149" t="s">
        <v>397</v>
      </c>
    </row>
    <row r="24" spans="1:5">
      <c r="A24" s="143"/>
      <c r="B24" s="143" t="s">
        <v>398</v>
      </c>
      <c r="C24" s="143" t="s">
        <v>399</v>
      </c>
      <c r="D24" s="143"/>
      <c r="E24" s="143"/>
    </row>
    <row r="25" spans="1:5">
      <c r="A25" s="143"/>
      <c r="B25" s="143"/>
      <c r="C25" s="143"/>
      <c r="D25" s="143"/>
      <c r="E25" s="142"/>
    </row>
    <row r="26" spans="1:5">
      <c r="A26" s="149" t="s">
        <v>458</v>
      </c>
      <c r="B26" s="143" t="s">
        <v>462</v>
      </c>
      <c r="C26" s="143" t="s">
        <v>463</v>
      </c>
      <c r="D26" s="143" t="s">
        <v>463</v>
      </c>
      <c r="E26" s="149" t="s">
        <v>373</v>
      </c>
    </row>
    <row r="27" spans="1:5">
      <c r="A27" s="143"/>
      <c r="B27" s="143" t="s">
        <v>464</v>
      </c>
      <c r="C27" s="143" t="s">
        <v>465</v>
      </c>
      <c r="D27" s="143"/>
      <c r="E27" s="143"/>
    </row>
    <row r="28" spans="1:5">
      <c r="A28" s="143"/>
      <c r="B28" s="143"/>
      <c r="C28" s="143"/>
      <c r="D28" s="143"/>
      <c r="E28" s="142"/>
    </row>
    <row r="29" spans="1:5">
      <c r="A29" s="149" t="s">
        <v>467</v>
      </c>
      <c r="B29" s="143" t="s">
        <v>471</v>
      </c>
      <c r="C29" s="143" t="s">
        <v>472</v>
      </c>
      <c r="D29" s="143" t="s">
        <v>472</v>
      </c>
      <c r="E29" s="149" t="s">
        <v>373</v>
      </c>
    </row>
    <row r="30" spans="1:5">
      <c r="A30" s="143"/>
      <c r="B30" s="143" t="s">
        <v>473</v>
      </c>
      <c r="C30" s="143" t="s">
        <v>376</v>
      </c>
      <c r="D30" s="143"/>
      <c r="E30" s="143"/>
    </row>
    <row r="31" spans="1:5">
      <c r="A31" s="143"/>
      <c r="B31" s="143"/>
      <c r="C31" s="143"/>
      <c r="D31" s="143"/>
      <c r="E31" s="142"/>
    </row>
    <row r="32" spans="1:5">
      <c r="A32" s="149">
        <v>2006</v>
      </c>
      <c r="B32" s="143" t="s">
        <v>490</v>
      </c>
      <c r="C32" s="143" t="s">
        <v>463</v>
      </c>
      <c r="D32" s="143" t="s">
        <v>393</v>
      </c>
      <c r="E32" s="149" t="s">
        <v>492</v>
      </c>
    </row>
    <row r="33" spans="1:5">
      <c r="A33" s="143"/>
      <c r="B33" s="143" t="s">
        <v>491</v>
      </c>
      <c r="C33" s="143" t="s">
        <v>393</v>
      </c>
      <c r="D33" s="143"/>
      <c r="E33" s="143"/>
    </row>
    <row r="34" spans="1:5">
      <c r="A34" s="143"/>
      <c r="B34" s="143"/>
      <c r="C34" s="143"/>
      <c r="D34" s="143"/>
      <c r="E34" s="142"/>
    </row>
    <row r="35" spans="1:5">
      <c r="A35" s="149">
        <v>2007</v>
      </c>
      <c r="B35" s="143" t="s">
        <v>487</v>
      </c>
      <c r="C35" s="177" t="s">
        <v>536</v>
      </c>
      <c r="D35" s="177" t="s">
        <v>536</v>
      </c>
      <c r="E35" s="149" t="s">
        <v>385</v>
      </c>
    </row>
    <row r="36" spans="1:5">
      <c r="A36" s="143"/>
      <c r="B36" s="143" t="s">
        <v>488</v>
      </c>
      <c r="C36" s="143" t="s">
        <v>489</v>
      </c>
      <c r="D36" s="143"/>
      <c r="E36" s="143"/>
    </row>
    <row r="37" spans="1:5">
      <c r="A37" s="143"/>
      <c r="B37" s="143"/>
      <c r="C37" s="143"/>
      <c r="D37" s="143"/>
      <c r="E37" s="142"/>
    </row>
    <row r="38" spans="1:5">
      <c r="A38" s="149">
        <v>2008</v>
      </c>
      <c r="B38" s="177" t="s">
        <v>508</v>
      </c>
      <c r="C38" s="177" t="s">
        <v>506</v>
      </c>
      <c r="D38" s="177" t="s">
        <v>506</v>
      </c>
      <c r="E38" s="155" t="s">
        <v>397</v>
      </c>
    </row>
    <row r="39" spans="1:5">
      <c r="A39" s="143"/>
      <c r="B39" s="177" t="s">
        <v>537</v>
      </c>
      <c r="C39" s="177" t="s">
        <v>507</v>
      </c>
      <c r="D39" s="143"/>
      <c r="E39" s="143"/>
    </row>
    <row r="40" spans="1:5">
      <c r="A40" s="143"/>
      <c r="B40" s="143"/>
      <c r="C40" s="143"/>
      <c r="D40" s="143"/>
      <c r="E40" s="142"/>
    </row>
    <row r="41" spans="1:5">
      <c r="A41" s="149">
        <v>2009</v>
      </c>
      <c r="B41" s="177" t="s">
        <v>521</v>
      </c>
      <c r="C41" s="177" t="s">
        <v>376</v>
      </c>
      <c r="D41" s="177" t="s">
        <v>523</v>
      </c>
      <c r="E41" s="155" t="s">
        <v>385</v>
      </c>
    </row>
    <row r="42" spans="1:5">
      <c r="A42" s="143"/>
      <c r="B42" s="177" t="s">
        <v>522</v>
      </c>
      <c r="C42" s="177" t="s">
        <v>523</v>
      </c>
      <c r="D42" s="143"/>
      <c r="E42" s="143"/>
    </row>
    <row r="43" spans="1:5">
      <c r="A43" s="143"/>
      <c r="B43" s="143"/>
      <c r="C43" s="143"/>
      <c r="D43" s="143"/>
      <c r="E43" s="142"/>
    </row>
    <row r="44" spans="1:5">
      <c r="A44" s="149">
        <v>2010</v>
      </c>
      <c r="B44" s="177" t="s">
        <v>525</v>
      </c>
      <c r="C44" s="177" t="s">
        <v>376</v>
      </c>
      <c r="D44" s="177" t="s">
        <v>376</v>
      </c>
      <c r="E44" s="155" t="s">
        <v>538</v>
      </c>
    </row>
    <row r="45" spans="1:5">
      <c r="A45" s="143"/>
      <c r="B45" s="177" t="s">
        <v>526</v>
      </c>
      <c r="C45" s="177" t="s">
        <v>527</v>
      </c>
      <c r="D45" s="143"/>
      <c r="E45" s="143"/>
    </row>
    <row r="46" spans="1:5">
      <c r="A46" s="143"/>
      <c r="B46" s="143"/>
      <c r="C46" s="143"/>
      <c r="D46" s="143"/>
      <c r="E46" s="142"/>
    </row>
    <row r="47" spans="1:5">
      <c r="A47" s="149">
        <v>2011</v>
      </c>
      <c r="B47" s="177" t="s">
        <v>591</v>
      </c>
      <c r="C47" s="177" t="s">
        <v>376</v>
      </c>
      <c r="D47" s="177" t="s">
        <v>376</v>
      </c>
      <c r="E47" s="155" t="s">
        <v>397</v>
      </c>
    </row>
    <row r="48" spans="1:5">
      <c r="A48" s="143"/>
      <c r="B48" s="177" t="s">
        <v>592</v>
      </c>
      <c r="C48" s="177" t="s">
        <v>393</v>
      </c>
      <c r="D48" s="143"/>
      <c r="E48" s="143"/>
    </row>
    <row r="49" spans="1:5">
      <c r="A49" s="143"/>
      <c r="B49" s="143"/>
      <c r="C49" s="143"/>
      <c r="D49" s="143"/>
      <c r="E49" s="142"/>
    </row>
    <row r="50" spans="1:5">
      <c r="A50" s="149">
        <v>2012</v>
      </c>
      <c r="B50" s="177" t="s">
        <v>603</v>
      </c>
      <c r="C50" s="177" t="s">
        <v>376</v>
      </c>
      <c r="D50" s="177" t="s">
        <v>376</v>
      </c>
      <c r="E50" s="155" t="s">
        <v>385</v>
      </c>
    </row>
    <row r="51" spans="1:5">
      <c r="A51" s="143"/>
      <c r="B51" s="177" t="s">
        <v>604</v>
      </c>
      <c r="C51" s="177" t="s">
        <v>605</v>
      </c>
      <c r="D51" s="143"/>
      <c r="E51" s="143"/>
    </row>
    <row r="52" spans="1:5">
      <c r="A52" s="143"/>
      <c r="B52" s="143"/>
      <c r="C52" s="143"/>
      <c r="D52" s="143"/>
      <c r="E52" s="142"/>
    </row>
    <row r="53" spans="1:5">
      <c r="A53" s="155" t="s">
        <v>621</v>
      </c>
      <c r="B53" s="177" t="s">
        <v>657</v>
      </c>
      <c r="C53" s="177" t="s">
        <v>472</v>
      </c>
      <c r="D53" s="177" t="s">
        <v>472</v>
      </c>
      <c r="E53" s="151" t="s">
        <v>660</v>
      </c>
    </row>
    <row r="54" spans="1:5">
      <c r="A54" s="143"/>
      <c r="B54" s="177" t="s">
        <v>658</v>
      </c>
      <c r="C54" s="177" t="s">
        <v>659</v>
      </c>
      <c r="D54" s="143"/>
      <c r="E54" s="143"/>
    </row>
    <row r="55" spans="1:5">
      <c r="A55" s="143"/>
      <c r="B55" s="143"/>
      <c r="C55" s="143"/>
      <c r="D55" s="143"/>
      <c r="E55" s="142"/>
    </row>
    <row r="56" spans="1:5">
      <c r="A56" s="155" t="s">
        <v>729</v>
      </c>
      <c r="B56" s="177" t="s">
        <v>749</v>
      </c>
      <c r="C56" s="177" t="s">
        <v>376</v>
      </c>
      <c r="D56" s="177" t="s">
        <v>376</v>
      </c>
      <c r="E56" s="155" t="s">
        <v>752</v>
      </c>
    </row>
    <row r="57" spans="1:5">
      <c r="A57" s="143"/>
      <c r="B57" s="177" t="s">
        <v>750</v>
      </c>
      <c r="C57" s="177" t="s">
        <v>751</v>
      </c>
      <c r="D57" s="143"/>
      <c r="E57" s="143"/>
    </row>
    <row r="58" spans="1:5">
      <c r="A58" s="143"/>
      <c r="B58" s="143"/>
      <c r="C58" s="143"/>
      <c r="D58" s="143"/>
      <c r="E58" s="142"/>
    </row>
    <row r="59" spans="1:5">
      <c r="A59" s="155">
        <v>2015</v>
      </c>
      <c r="B59" s="177" t="s">
        <v>782</v>
      </c>
      <c r="C59" s="177" t="s">
        <v>783</v>
      </c>
      <c r="D59" s="177" t="s">
        <v>393</v>
      </c>
      <c r="E59" s="155" t="s">
        <v>803</v>
      </c>
    </row>
    <row r="60" spans="1:5">
      <c r="A60" s="143"/>
      <c r="B60" s="177" t="s">
        <v>784</v>
      </c>
      <c r="C60" s="177" t="s">
        <v>393</v>
      </c>
      <c r="D60" s="143"/>
      <c r="E60" s="143"/>
    </row>
    <row r="61" spans="1:5">
      <c r="A61" s="143"/>
      <c r="B61" s="143"/>
      <c r="C61" s="143"/>
      <c r="D61" s="143"/>
      <c r="E61" s="142"/>
    </row>
    <row r="62" spans="1:5">
      <c r="A62" s="155">
        <v>2016</v>
      </c>
      <c r="B62" s="177" t="s">
        <v>525</v>
      </c>
      <c r="C62" s="177" t="s">
        <v>376</v>
      </c>
      <c r="D62" s="177" t="s">
        <v>376</v>
      </c>
      <c r="E62" s="155" t="s">
        <v>538</v>
      </c>
    </row>
    <row r="63" spans="1:5">
      <c r="A63" s="143"/>
      <c r="B63" s="177" t="s">
        <v>801</v>
      </c>
      <c r="C63" s="177" t="s">
        <v>802</v>
      </c>
      <c r="D63" s="143"/>
      <c r="E63" s="143"/>
    </row>
    <row r="64" spans="1:5">
      <c r="A64" s="300"/>
      <c r="B64" s="301"/>
      <c r="C64" s="301"/>
      <c r="D64" s="300"/>
      <c r="E64" s="300"/>
    </row>
    <row r="65" spans="1:5">
      <c r="A65" s="143"/>
      <c r="B65" s="143"/>
      <c r="C65" s="143"/>
      <c r="D65" s="143"/>
      <c r="E65" s="142"/>
    </row>
    <row r="66" spans="1:5">
      <c r="A66" s="155">
        <v>2017</v>
      </c>
      <c r="B66" s="177" t="s">
        <v>993</v>
      </c>
      <c r="C66" s="177" t="s">
        <v>376</v>
      </c>
      <c r="D66" s="177" t="s">
        <v>376</v>
      </c>
      <c r="E66" s="155" t="s">
        <v>389</v>
      </c>
    </row>
    <row r="67" spans="1:5">
      <c r="A67" s="143"/>
      <c r="B67" s="177" t="s">
        <v>994</v>
      </c>
      <c r="C67" s="177" t="s">
        <v>393</v>
      </c>
      <c r="D67" s="143"/>
      <c r="E67" s="143"/>
    </row>
  </sheetData>
  <phoneticPr fontId="0" type="noConversion"/>
  <pageMargins left="0.75" right="0.75" top="1" bottom="1" header="0.5" footer="0.5"/>
  <pageSetup scale="79" fitToHeight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workbookViewId="0">
      <selection activeCell="M4" sqref="M4"/>
    </sheetView>
  </sheetViews>
  <sheetFormatPr defaultRowHeight="12.75"/>
  <cols>
    <col min="2" max="2" width="7.28515625" customWidth="1"/>
    <col min="3" max="3" width="18" customWidth="1"/>
    <col min="5" max="5" width="15.5703125" customWidth="1"/>
    <col min="7" max="7" width="17.42578125" customWidth="1"/>
    <col min="9" max="9" width="17.85546875" customWidth="1"/>
    <col min="11" max="11" width="17.42578125" customWidth="1"/>
    <col min="13" max="13" width="18.7109375" customWidth="1"/>
    <col min="14" max="14" width="18.28515625" customWidth="1"/>
  </cols>
  <sheetData>
    <row r="1" spans="1:14">
      <c r="B1" s="68" t="s">
        <v>623</v>
      </c>
      <c r="C1" s="42" t="s">
        <v>308</v>
      </c>
      <c r="D1" s="42"/>
      <c r="E1" s="42" t="s">
        <v>302</v>
      </c>
      <c r="F1" s="43"/>
      <c r="G1" s="43" t="s">
        <v>400</v>
      </c>
      <c r="H1" s="43"/>
      <c r="I1" s="43" t="s">
        <v>322</v>
      </c>
      <c r="J1" s="43"/>
      <c r="K1" s="43" t="s">
        <v>296</v>
      </c>
      <c r="M1" t="s">
        <v>401</v>
      </c>
    </row>
    <row r="2" spans="1:14">
      <c r="B2" s="68"/>
      <c r="C2" s="42"/>
      <c r="D2" s="42"/>
      <c r="E2" s="42"/>
      <c r="F2" s="43"/>
      <c r="G2" s="43"/>
      <c r="H2" s="43"/>
      <c r="I2" s="43"/>
      <c r="J2" s="43"/>
      <c r="K2" s="43"/>
    </row>
    <row r="3" spans="1:14">
      <c r="A3" s="56" t="s">
        <v>987</v>
      </c>
      <c r="B3" s="108" t="s">
        <v>571</v>
      </c>
      <c r="C3" s="57" t="s">
        <v>412</v>
      </c>
      <c r="D3" s="48">
        <v>290</v>
      </c>
      <c r="E3" s="57" t="s">
        <v>18</v>
      </c>
      <c r="F3" s="48">
        <v>293</v>
      </c>
      <c r="G3" s="57" t="s">
        <v>476</v>
      </c>
      <c r="H3" s="48">
        <v>299</v>
      </c>
      <c r="I3" s="57" t="s">
        <v>475</v>
      </c>
      <c r="J3" s="48">
        <v>305</v>
      </c>
      <c r="K3" s="57" t="s">
        <v>995</v>
      </c>
      <c r="L3" s="48">
        <v>306</v>
      </c>
      <c r="M3" s="57"/>
      <c r="N3" s="48"/>
    </row>
    <row r="4" spans="1:14">
      <c r="A4" s="56" t="s">
        <v>792</v>
      </c>
      <c r="B4" s="108" t="s">
        <v>571</v>
      </c>
      <c r="C4" s="57" t="s">
        <v>502</v>
      </c>
      <c r="D4" s="48">
        <v>307</v>
      </c>
      <c r="E4" s="57" t="s">
        <v>475</v>
      </c>
      <c r="F4" s="48">
        <v>300</v>
      </c>
      <c r="G4" s="57" t="s">
        <v>413</v>
      </c>
      <c r="H4" s="48">
        <v>300</v>
      </c>
      <c r="I4" s="57" t="s">
        <v>476</v>
      </c>
      <c r="J4" s="48">
        <v>301</v>
      </c>
      <c r="K4" s="57" t="s">
        <v>754</v>
      </c>
      <c r="L4" s="48">
        <v>307</v>
      </c>
      <c r="M4" s="57" t="s">
        <v>800</v>
      </c>
      <c r="N4" s="48"/>
    </row>
    <row r="5" spans="1:14">
      <c r="A5" s="56" t="s">
        <v>785</v>
      </c>
      <c r="B5" s="108" t="s">
        <v>571</v>
      </c>
      <c r="C5" s="57" t="s">
        <v>413</v>
      </c>
      <c r="D5" s="48">
        <v>300</v>
      </c>
      <c r="E5" s="57" t="s">
        <v>754</v>
      </c>
      <c r="F5" s="48">
        <v>309</v>
      </c>
      <c r="G5" s="57" t="s">
        <v>673</v>
      </c>
      <c r="H5" s="48">
        <v>314</v>
      </c>
      <c r="I5" s="57" t="s">
        <v>417</v>
      </c>
      <c r="J5" s="48">
        <v>315</v>
      </c>
      <c r="K5" s="57" t="s">
        <v>753</v>
      </c>
      <c r="L5" s="48">
        <v>316</v>
      </c>
      <c r="M5" s="57"/>
      <c r="N5" s="48"/>
    </row>
    <row r="6" spans="1:14">
      <c r="A6" s="56" t="s">
        <v>729</v>
      </c>
      <c r="B6" s="108" t="s">
        <v>571</v>
      </c>
      <c r="C6" s="57" t="s">
        <v>673</v>
      </c>
      <c r="D6" s="48">
        <v>307</v>
      </c>
      <c r="E6" s="57" t="s">
        <v>753</v>
      </c>
      <c r="F6" s="48">
        <v>309</v>
      </c>
      <c r="G6" s="57" t="s">
        <v>754</v>
      </c>
      <c r="H6" s="48">
        <v>310</v>
      </c>
      <c r="I6" s="57" t="s">
        <v>476</v>
      </c>
      <c r="J6" s="48">
        <v>311</v>
      </c>
      <c r="K6" s="57" t="s">
        <v>403</v>
      </c>
      <c r="L6" s="48">
        <v>314</v>
      </c>
      <c r="M6" s="57"/>
      <c r="N6" s="48"/>
    </row>
    <row r="7" spans="1:14">
      <c r="A7" s="56" t="s">
        <v>621</v>
      </c>
      <c r="B7" s="108" t="s">
        <v>571</v>
      </c>
      <c r="C7" s="57" t="s">
        <v>418</v>
      </c>
      <c r="D7" s="48">
        <v>303</v>
      </c>
      <c r="E7" s="57" t="s">
        <v>476</v>
      </c>
      <c r="F7" s="48">
        <v>307</v>
      </c>
      <c r="G7" s="57" t="s">
        <v>622</v>
      </c>
      <c r="H7" s="48">
        <v>307</v>
      </c>
      <c r="I7" s="57" t="s">
        <v>412</v>
      </c>
      <c r="J7" s="48">
        <v>309</v>
      </c>
      <c r="K7" s="57" t="s">
        <v>405</v>
      </c>
      <c r="L7" s="48">
        <v>310</v>
      </c>
      <c r="M7" s="57"/>
      <c r="N7" s="48"/>
    </row>
    <row r="8" spans="1:14">
      <c r="A8" s="56" t="s">
        <v>607</v>
      </c>
      <c r="B8" s="108" t="s">
        <v>571</v>
      </c>
      <c r="C8" s="57" t="s">
        <v>425</v>
      </c>
      <c r="D8" s="48">
        <v>281</v>
      </c>
      <c r="E8" s="57" t="s">
        <v>415</v>
      </c>
      <c r="F8" s="48">
        <v>292</v>
      </c>
      <c r="G8" s="57" t="s">
        <v>608</v>
      </c>
      <c r="H8" s="48">
        <v>304</v>
      </c>
      <c r="I8" s="57" t="s">
        <v>497</v>
      </c>
      <c r="J8" s="48">
        <v>304</v>
      </c>
      <c r="K8" s="57" t="s">
        <v>418</v>
      </c>
      <c r="L8" s="48">
        <v>305</v>
      </c>
      <c r="M8" s="57"/>
      <c r="N8" s="48"/>
    </row>
    <row r="9" spans="1:14">
      <c r="A9" s="56" t="s">
        <v>593</v>
      </c>
      <c r="B9" s="108" t="s">
        <v>571</v>
      </c>
      <c r="C9" s="57" t="s">
        <v>414</v>
      </c>
      <c r="D9" s="48">
        <v>305</v>
      </c>
      <c r="E9" s="57" t="s">
        <v>502</v>
      </c>
      <c r="F9" s="48">
        <v>305</v>
      </c>
      <c r="G9" s="57" t="s">
        <v>417</v>
      </c>
      <c r="H9" s="48">
        <v>306</v>
      </c>
      <c r="I9" s="57" t="s">
        <v>412</v>
      </c>
      <c r="J9" s="48">
        <v>306</v>
      </c>
      <c r="K9" s="57" t="s">
        <v>594</v>
      </c>
      <c r="L9" s="48">
        <v>307</v>
      </c>
      <c r="M9" s="57" t="s">
        <v>595</v>
      </c>
      <c r="N9" s="48" t="s">
        <v>423</v>
      </c>
    </row>
    <row r="10" spans="1:14">
      <c r="A10" s="56" t="s">
        <v>533</v>
      </c>
      <c r="B10" s="108" t="s">
        <v>571</v>
      </c>
      <c r="C10" s="57" t="s">
        <v>425</v>
      </c>
      <c r="D10" s="48">
        <v>294</v>
      </c>
      <c r="E10" s="57" t="s">
        <v>416</v>
      </c>
      <c r="F10" s="48">
        <v>305</v>
      </c>
      <c r="G10" s="57" t="s">
        <v>476</v>
      </c>
      <c r="H10" s="48">
        <v>306</v>
      </c>
      <c r="I10" s="57" t="s">
        <v>405</v>
      </c>
      <c r="J10" s="48">
        <v>307</v>
      </c>
      <c r="K10" s="57" t="s">
        <v>414</v>
      </c>
      <c r="L10" s="48">
        <v>308</v>
      </c>
      <c r="M10" s="57" t="s">
        <v>539</v>
      </c>
      <c r="N10" s="48">
        <v>308</v>
      </c>
    </row>
    <row r="11" spans="1:14">
      <c r="A11" s="56" t="s">
        <v>514</v>
      </c>
      <c r="B11" s="108" t="s">
        <v>571</v>
      </c>
      <c r="C11" s="57" t="s">
        <v>524</v>
      </c>
      <c r="D11" s="48">
        <v>295</v>
      </c>
      <c r="E11" s="57" t="s">
        <v>413</v>
      </c>
      <c r="F11" s="48">
        <v>301</v>
      </c>
      <c r="G11" s="57" t="s">
        <v>497</v>
      </c>
      <c r="H11" s="48">
        <v>305</v>
      </c>
      <c r="I11" s="57" t="s">
        <v>410</v>
      </c>
      <c r="J11" s="48">
        <v>308</v>
      </c>
      <c r="K11" s="57" t="s">
        <v>417</v>
      </c>
      <c r="L11" s="48">
        <v>310</v>
      </c>
      <c r="M11" s="57" t="s">
        <v>476</v>
      </c>
      <c r="N11" s="48">
        <v>310</v>
      </c>
    </row>
    <row r="12" spans="1:14">
      <c r="A12" s="56" t="s">
        <v>503</v>
      </c>
      <c r="B12" s="108" t="s">
        <v>625</v>
      </c>
      <c r="C12" s="57" t="s">
        <v>501</v>
      </c>
      <c r="D12" s="48">
        <v>285</v>
      </c>
      <c r="E12" s="57" t="s">
        <v>414</v>
      </c>
      <c r="F12" s="48">
        <v>294</v>
      </c>
      <c r="G12" s="57" t="s">
        <v>512</v>
      </c>
      <c r="H12" s="48">
        <v>294</v>
      </c>
      <c r="I12" s="57" t="s">
        <v>415</v>
      </c>
      <c r="J12" s="48">
        <v>296</v>
      </c>
      <c r="K12" s="57" t="s">
        <v>407</v>
      </c>
      <c r="L12" s="48">
        <v>297</v>
      </c>
      <c r="M12" s="48"/>
      <c r="N12" s="48"/>
    </row>
    <row r="13" spans="1:14">
      <c r="A13" s="47" t="s">
        <v>484</v>
      </c>
      <c r="B13" s="108" t="s">
        <v>625</v>
      </c>
      <c r="C13" s="48" t="s">
        <v>413</v>
      </c>
      <c r="D13" s="48">
        <v>269</v>
      </c>
      <c r="E13" s="48" t="s">
        <v>500</v>
      </c>
      <c r="F13" s="48">
        <v>290</v>
      </c>
      <c r="G13" s="48" t="s">
        <v>501</v>
      </c>
      <c r="H13" s="48">
        <v>295</v>
      </c>
      <c r="I13" s="48" t="s">
        <v>406</v>
      </c>
      <c r="J13" s="48">
        <v>298</v>
      </c>
      <c r="K13" s="48" t="s">
        <v>502</v>
      </c>
      <c r="L13" s="48">
        <v>301</v>
      </c>
      <c r="M13" s="48" t="s">
        <v>416</v>
      </c>
      <c r="N13" s="48">
        <v>301</v>
      </c>
    </row>
    <row r="14" spans="1:14">
      <c r="A14" s="47" t="s">
        <v>482</v>
      </c>
      <c r="B14" s="108" t="s">
        <v>625</v>
      </c>
      <c r="C14" s="48" t="s">
        <v>406</v>
      </c>
      <c r="D14" s="48">
        <v>282</v>
      </c>
      <c r="E14" s="48" t="s">
        <v>413</v>
      </c>
      <c r="F14" s="48">
        <v>284</v>
      </c>
      <c r="G14" s="48" t="s">
        <v>410</v>
      </c>
      <c r="H14" s="48">
        <v>290</v>
      </c>
      <c r="I14" s="48" t="s">
        <v>496</v>
      </c>
      <c r="J14" s="48">
        <v>290</v>
      </c>
      <c r="K14" s="48" t="s">
        <v>497</v>
      </c>
      <c r="L14" s="48">
        <v>298</v>
      </c>
      <c r="M14" s="48"/>
      <c r="N14" s="48"/>
    </row>
    <row r="15" spans="1:14">
      <c r="A15" s="47" t="s">
        <v>467</v>
      </c>
      <c r="B15" s="108" t="s">
        <v>624</v>
      </c>
      <c r="C15" s="48" t="s">
        <v>413</v>
      </c>
      <c r="D15" s="48">
        <v>298</v>
      </c>
      <c r="E15" s="48" t="s">
        <v>408</v>
      </c>
      <c r="F15" s="48">
        <v>299</v>
      </c>
      <c r="G15" s="48" t="s">
        <v>475</v>
      </c>
      <c r="H15" s="48">
        <v>301</v>
      </c>
      <c r="I15" s="48" t="s">
        <v>405</v>
      </c>
      <c r="J15" s="48">
        <v>304</v>
      </c>
      <c r="K15" s="48" t="s">
        <v>476</v>
      </c>
      <c r="L15" s="48">
        <v>304</v>
      </c>
      <c r="M15" s="48"/>
      <c r="N15" s="48"/>
    </row>
    <row r="16" spans="1:14">
      <c r="A16" s="47" t="s">
        <v>458</v>
      </c>
      <c r="B16" s="108" t="s">
        <v>626</v>
      </c>
      <c r="C16" s="48" t="s">
        <v>466</v>
      </c>
      <c r="D16" s="48">
        <v>288</v>
      </c>
      <c r="E16" s="48" t="s">
        <v>414</v>
      </c>
      <c r="F16" s="48">
        <v>294</v>
      </c>
      <c r="G16" s="48" t="s">
        <v>466</v>
      </c>
      <c r="H16" s="48">
        <v>294</v>
      </c>
      <c r="I16" s="48" t="s">
        <v>405</v>
      </c>
      <c r="J16" s="48">
        <v>299</v>
      </c>
      <c r="K16" s="48" t="s">
        <v>415</v>
      </c>
      <c r="L16" s="48">
        <v>299</v>
      </c>
      <c r="M16" s="48" t="s">
        <v>474</v>
      </c>
      <c r="N16" s="48"/>
    </row>
    <row r="17" spans="1:14">
      <c r="A17" s="47" t="s">
        <v>369</v>
      </c>
      <c r="B17" s="108" t="s">
        <v>626</v>
      </c>
      <c r="C17" s="48" t="s">
        <v>414</v>
      </c>
      <c r="D17" s="48">
        <v>294</v>
      </c>
      <c r="E17" s="48" t="s">
        <v>466</v>
      </c>
      <c r="F17" s="48">
        <v>294</v>
      </c>
      <c r="G17" s="48" t="s">
        <v>405</v>
      </c>
      <c r="H17" s="48">
        <v>299</v>
      </c>
      <c r="I17" s="48" t="s">
        <v>415</v>
      </c>
      <c r="J17" s="48">
        <v>299</v>
      </c>
      <c r="K17" s="48" t="s">
        <v>415</v>
      </c>
      <c r="L17" s="48">
        <v>299</v>
      </c>
      <c r="M17" s="48" t="s">
        <v>474</v>
      </c>
      <c r="N17" s="48"/>
    </row>
    <row r="18" spans="1:14">
      <c r="A18" s="47" t="s">
        <v>402</v>
      </c>
      <c r="B18" s="108" t="s">
        <v>626</v>
      </c>
      <c r="C18" s="48" t="s">
        <v>403</v>
      </c>
      <c r="D18" s="48">
        <v>295</v>
      </c>
      <c r="E18" s="48" t="s">
        <v>404</v>
      </c>
      <c r="F18" s="48">
        <v>297</v>
      </c>
      <c r="G18" s="48" t="s">
        <v>405</v>
      </c>
      <c r="H18" s="48">
        <v>300</v>
      </c>
      <c r="I18" s="48" t="s">
        <v>406</v>
      </c>
      <c r="J18" s="48">
        <v>304</v>
      </c>
      <c r="K18" s="48" t="s">
        <v>407</v>
      </c>
      <c r="L18" s="48">
        <v>304</v>
      </c>
      <c r="M18" s="48"/>
      <c r="N18" s="48"/>
    </row>
    <row r="19" spans="1:14">
      <c r="A19" s="49">
        <v>2001</v>
      </c>
      <c r="B19" s="108" t="s">
        <v>626</v>
      </c>
      <c r="C19" s="48" t="s">
        <v>405</v>
      </c>
      <c r="D19" s="48">
        <v>284</v>
      </c>
      <c r="E19" s="48" t="s">
        <v>408</v>
      </c>
      <c r="F19" s="48">
        <v>291</v>
      </c>
      <c r="G19" s="48" t="s">
        <v>406</v>
      </c>
      <c r="H19" s="48">
        <v>299</v>
      </c>
      <c r="I19" s="48" t="s">
        <v>409</v>
      </c>
      <c r="J19" s="48">
        <v>300</v>
      </c>
      <c r="K19" s="48" t="s">
        <v>410</v>
      </c>
      <c r="L19" s="48">
        <v>300</v>
      </c>
      <c r="M19" s="48"/>
      <c r="N19" s="48"/>
    </row>
    <row r="20" spans="1:14">
      <c r="A20" s="49">
        <v>2000</v>
      </c>
      <c r="B20" s="108" t="s">
        <v>626</v>
      </c>
      <c r="C20" s="48" t="s">
        <v>405</v>
      </c>
      <c r="D20" s="48">
        <v>305</v>
      </c>
      <c r="E20" s="48" t="s">
        <v>407</v>
      </c>
      <c r="F20" s="48">
        <v>309</v>
      </c>
      <c r="G20" s="48" t="s">
        <v>411</v>
      </c>
      <c r="H20" s="48">
        <v>310</v>
      </c>
      <c r="I20" s="48" t="s">
        <v>412</v>
      </c>
      <c r="J20" s="48">
        <v>314</v>
      </c>
      <c r="K20" s="48" t="s">
        <v>413</v>
      </c>
      <c r="L20" s="48">
        <v>316</v>
      </c>
      <c r="M20" s="48"/>
      <c r="N20" s="48"/>
    </row>
    <row r="21" spans="1:14">
      <c r="A21" s="49">
        <v>1999</v>
      </c>
      <c r="B21" s="108" t="s">
        <v>626</v>
      </c>
      <c r="C21" s="48" t="s">
        <v>414</v>
      </c>
      <c r="D21" s="48">
        <v>287</v>
      </c>
      <c r="E21" s="48" t="s">
        <v>415</v>
      </c>
      <c r="F21" s="48">
        <v>291</v>
      </c>
      <c r="G21" s="48" t="s">
        <v>416</v>
      </c>
      <c r="H21" s="48">
        <v>304</v>
      </c>
      <c r="I21" s="48" t="s">
        <v>409</v>
      </c>
      <c r="J21" s="48">
        <v>309</v>
      </c>
      <c r="K21" s="48" t="s">
        <v>410</v>
      </c>
      <c r="L21" s="48">
        <v>309</v>
      </c>
      <c r="M21" s="48" t="s">
        <v>417</v>
      </c>
      <c r="N21" s="48">
        <v>309</v>
      </c>
    </row>
    <row r="22" spans="1:14">
      <c r="A22" s="49">
        <v>1998</v>
      </c>
      <c r="B22" s="108" t="s">
        <v>627</v>
      </c>
      <c r="C22" s="48" t="s">
        <v>405</v>
      </c>
      <c r="D22" s="48">
        <v>292</v>
      </c>
      <c r="E22" s="48" t="s">
        <v>418</v>
      </c>
      <c r="F22" s="48">
        <v>295</v>
      </c>
      <c r="G22" s="48" t="s">
        <v>403</v>
      </c>
      <c r="H22" s="48">
        <v>299</v>
      </c>
      <c r="I22" s="48" t="s">
        <v>417</v>
      </c>
      <c r="J22" s="48">
        <v>299</v>
      </c>
      <c r="K22" s="48" t="s">
        <v>416</v>
      </c>
      <c r="L22" s="48">
        <v>299</v>
      </c>
      <c r="M22" s="48"/>
      <c r="N22" s="48"/>
    </row>
    <row r="23" spans="1:14">
      <c r="A23" s="49">
        <v>1997</v>
      </c>
      <c r="B23" s="108" t="s">
        <v>626</v>
      </c>
      <c r="C23" s="48" t="s">
        <v>412</v>
      </c>
      <c r="D23" s="48">
        <v>268</v>
      </c>
      <c r="E23" s="48" t="s">
        <v>409</v>
      </c>
      <c r="F23" s="48">
        <v>277</v>
      </c>
      <c r="G23" s="48" t="s">
        <v>416</v>
      </c>
      <c r="H23" s="48">
        <v>281</v>
      </c>
      <c r="I23" s="48" t="s">
        <v>405</v>
      </c>
      <c r="J23" s="48">
        <v>286</v>
      </c>
      <c r="K23" s="48" t="s">
        <v>415</v>
      </c>
      <c r="L23" s="48">
        <v>289</v>
      </c>
      <c r="M23" s="48" t="s">
        <v>419</v>
      </c>
      <c r="N23" s="48">
        <v>289</v>
      </c>
    </row>
    <row r="24" spans="1:14">
      <c r="A24" s="49">
        <v>1996</v>
      </c>
      <c r="B24" s="108" t="s">
        <v>626</v>
      </c>
      <c r="C24" s="48" t="s">
        <v>420</v>
      </c>
      <c r="D24" s="48">
        <v>292</v>
      </c>
      <c r="E24" s="48" t="s">
        <v>414</v>
      </c>
      <c r="F24" s="48">
        <v>292</v>
      </c>
      <c r="G24" s="48" t="s">
        <v>409</v>
      </c>
      <c r="H24" s="48">
        <v>294</v>
      </c>
      <c r="I24" s="48" t="s">
        <v>418</v>
      </c>
      <c r="J24" s="48">
        <v>295</v>
      </c>
      <c r="K24" s="48" t="s">
        <v>421</v>
      </c>
      <c r="L24" s="48">
        <v>297</v>
      </c>
      <c r="M24" s="48" t="s">
        <v>422</v>
      </c>
      <c r="N24" s="48" t="s">
        <v>423</v>
      </c>
    </row>
    <row r="25" spans="1:14">
      <c r="A25" s="49">
        <v>1995</v>
      </c>
      <c r="B25" s="108" t="s">
        <v>626</v>
      </c>
      <c r="C25" s="48" t="s">
        <v>409</v>
      </c>
      <c r="D25" s="48">
        <v>279</v>
      </c>
      <c r="E25" s="48" t="s">
        <v>424</v>
      </c>
      <c r="F25" s="48">
        <v>282</v>
      </c>
      <c r="G25" s="48" t="s">
        <v>417</v>
      </c>
      <c r="H25" s="48">
        <v>283</v>
      </c>
      <c r="I25" s="48" t="s">
        <v>421</v>
      </c>
      <c r="J25" s="48">
        <v>284</v>
      </c>
      <c r="K25" s="48" t="s">
        <v>415</v>
      </c>
      <c r="L25" s="48">
        <v>285</v>
      </c>
      <c r="M25" s="48"/>
      <c r="N25" s="48"/>
    </row>
    <row r="26" spans="1:14">
      <c r="A26" s="49">
        <v>1994</v>
      </c>
      <c r="B26" s="108" t="s">
        <v>626</v>
      </c>
      <c r="C26" s="48" t="s">
        <v>421</v>
      </c>
      <c r="D26" s="48">
        <v>286</v>
      </c>
      <c r="E26" s="48" t="s">
        <v>425</v>
      </c>
      <c r="F26" s="48">
        <v>290</v>
      </c>
      <c r="G26" s="48" t="s">
        <v>426</v>
      </c>
      <c r="H26" s="48">
        <v>292</v>
      </c>
      <c r="I26" s="48" t="s">
        <v>414</v>
      </c>
      <c r="J26" s="48">
        <v>295</v>
      </c>
      <c r="K26" s="48" t="s">
        <v>427</v>
      </c>
      <c r="L26" s="48">
        <v>296</v>
      </c>
      <c r="M26" s="48"/>
      <c r="N26" s="48"/>
    </row>
    <row r="27" spans="1:14">
      <c r="A27" s="49">
        <v>1993</v>
      </c>
      <c r="B27" s="108" t="s">
        <v>626</v>
      </c>
      <c r="C27" s="48" t="s">
        <v>428</v>
      </c>
      <c r="D27" s="48">
        <v>274</v>
      </c>
      <c r="E27" s="48" t="s">
        <v>425</v>
      </c>
      <c r="F27" s="48">
        <v>275</v>
      </c>
      <c r="G27" s="48" t="s">
        <v>429</v>
      </c>
      <c r="H27" s="48">
        <v>282</v>
      </c>
      <c r="I27" s="48" t="s">
        <v>420</v>
      </c>
      <c r="J27" s="48">
        <v>283</v>
      </c>
      <c r="K27" s="48" t="s">
        <v>430</v>
      </c>
      <c r="L27" s="48">
        <v>283</v>
      </c>
      <c r="M27" s="48"/>
      <c r="N27" s="48"/>
    </row>
    <row r="28" spans="1:14">
      <c r="A28" s="49">
        <v>1992</v>
      </c>
      <c r="B28" s="108" t="s">
        <v>626</v>
      </c>
      <c r="C28" s="48" t="s">
        <v>431</v>
      </c>
      <c r="D28" s="48">
        <v>285</v>
      </c>
      <c r="E28" s="48" t="s">
        <v>432</v>
      </c>
      <c r="F28" s="48">
        <v>293</v>
      </c>
      <c r="G28" s="48" t="s">
        <v>420</v>
      </c>
      <c r="H28" s="48">
        <v>294</v>
      </c>
      <c r="I28" s="48" t="s">
        <v>409</v>
      </c>
      <c r="J28" s="48">
        <v>296</v>
      </c>
      <c r="K28" s="48" t="s">
        <v>407</v>
      </c>
      <c r="L28" s="48">
        <v>297</v>
      </c>
      <c r="M28" s="48"/>
      <c r="N28" s="48"/>
    </row>
    <row r="29" spans="1:14">
      <c r="A29" s="49">
        <v>1991</v>
      </c>
      <c r="B29" s="108" t="s">
        <v>626</v>
      </c>
      <c r="C29" s="48" t="s">
        <v>433</v>
      </c>
      <c r="D29" s="48">
        <v>295</v>
      </c>
      <c r="E29" s="48" t="s">
        <v>420</v>
      </c>
      <c r="F29" s="48">
        <v>298</v>
      </c>
      <c r="G29" s="48" t="s">
        <v>414</v>
      </c>
      <c r="H29" s="48">
        <v>298</v>
      </c>
      <c r="I29" s="48" t="s">
        <v>417</v>
      </c>
      <c r="J29" s="48">
        <v>300</v>
      </c>
      <c r="K29" s="48" t="s">
        <v>434</v>
      </c>
      <c r="L29" s="48">
        <v>302</v>
      </c>
      <c r="M29" s="48" t="s">
        <v>435</v>
      </c>
      <c r="N29" s="48">
        <v>302</v>
      </c>
    </row>
    <row r="30" spans="1:14">
      <c r="A30" s="49">
        <v>1990</v>
      </c>
      <c r="B30" s="108" t="s">
        <v>626</v>
      </c>
      <c r="C30" s="48" t="s">
        <v>434</v>
      </c>
      <c r="D30" s="48">
        <v>278</v>
      </c>
      <c r="E30" s="48" t="s">
        <v>427</v>
      </c>
      <c r="F30" s="48">
        <v>282</v>
      </c>
      <c r="G30" s="48" t="s">
        <v>409</v>
      </c>
      <c r="H30" s="48">
        <v>283</v>
      </c>
      <c r="I30" s="48" t="s">
        <v>436</v>
      </c>
      <c r="J30" s="48">
        <v>285</v>
      </c>
      <c r="K30" s="48" t="s">
        <v>429</v>
      </c>
      <c r="L30" s="48">
        <v>289</v>
      </c>
      <c r="M30" s="48" t="s">
        <v>431</v>
      </c>
      <c r="N30" s="48">
        <v>289</v>
      </c>
    </row>
    <row r="31" spans="1:14">
      <c r="A31" s="49">
        <v>1989</v>
      </c>
      <c r="B31" s="108" t="s">
        <v>626</v>
      </c>
      <c r="C31" s="48" t="s">
        <v>425</v>
      </c>
      <c r="D31" s="48">
        <v>287</v>
      </c>
      <c r="E31" s="48" t="s">
        <v>407</v>
      </c>
      <c r="F31" s="48">
        <v>292</v>
      </c>
      <c r="G31" s="48" t="s">
        <v>409</v>
      </c>
      <c r="H31" s="48">
        <v>294</v>
      </c>
      <c r="I31" s="48" t="s">
        <v>406</v>
      </c>
      <c r="J31" s="48">
        <v>297</v>
      </c>
      <c r="K31" s="48" t="s">
        <v>437</v>
      </c>
      <c r="L31" s="48">
        <v>297</v>
      </c>
      <c r="M31" s="48"/>
      <c r="N31" s="48"/>
    </row>
    <row r="32" spans="1:14">
      <c r="A32" s="49">
        <v>1988</v>
      </c>
      <c r="B32" s="108" t="s">
        <v>626</v>
      </c>
      <c r="C32" s="48" t="s">
        <v>425</v>
      </c>
      <c r="D32" s="48">
        <v>282</v>
      </c>
      <c r="E32" s="48" t="s">
        <v>433</v>
      </c>
      <c r="F32" s="48">
        <v>287</v>
      </c>
      <c r="G32" s="48" t="s">
        <v>416</v>
      </c>
      <c r="H32" s="48">
        <v>294</v>
      </c>
      <c r="I32" s="57" t="s">
        <v>447</v>
      </c>
      <c r="J32" s="48">
        <v>298</v>
      </c>
      <c r="K32" s="48" t="s">
        <v>438</v>
      </c>
      <c r="L32" s="48">
        <v>298</v>
      </c>
      <c r="M32" s="48"/>
      <c r="N32" s="48"/>
    </row>
    <row r="33" spans="1:14">
      <c r="A33" s="49">
        <v>1987</v>
      </c>
      <c r="B33" s="108" t="s">
        <v>626</v>
      </c>
      <c r="C33" s="48" t="s">
        <v>406</v>
      </c>
      <c r="D33" s="48">
        <v>298</v>
      </c>
      <c r="E33" s="48" t="s">
        <v>433</v>
      </c>
      <c r="F33" s="48">
        <v>301</v>
      </c>
      <c r="G33" s="48" t="s">
        <v>415</v>
      </c>
      <c r="H33" s="48">
        <v>303</v>
      </c>
      <c r="I33" s="48" t="s">
        <v>439</v>
      </c>
      <c r="J33" s="48">
        <v>306</v>
      </c>
      <c r="K33" s="48" t="s">
        <v>440</v>
      </c>
      <c r="L33" s="48">
        <v>307</v>
      </c>
      <c r="M33" s="48"/>
      <c r="N33" s="48"/>
    </row>
    <row r="34" spans="1:14">
      <c r="A34" s="49">
        <v>1986</v>
      </c>
      <c r="B34" s="108" t="s">
        <v>626</v>
      </c>
      <c r="C34" s="48" t="s">
        <v>426</v>
      </c>
      <c r="D34" s="48">
        <v>286</v>
      </c>
      <c r="E34" s="48" t="s">
        <v>441</v>
      </c>
      <c r="F34" s="48">
        <v>288</v>
      </c>
      <c r="G34" s="48" t="s">
        <v>428</v>
      </c>
      <c r="H34" s="48">
        <v>296</v>
      </c>
      <c r="I34" s="48" t="s">
        <v>433</v>
      </c>
      <c r="J34" s="48">
        <v>298</v>
      </c>
      <c r="K34" s="48" t="s">
        <v>407</v>
      </c>
      <c r="L34" s="48">
        <v>301</v>
      </c>
      <c r="M34" s="48"/>
      <c r="N34" s="48"/>
    </row>
    <row r="35" spans="1:14">
      <c r="A35" s="49">
        <v>1985</v>
      </c>
      <c r="B35" s="108" t="s">
        <v>626</v>
      </c>
      <c r="C35" s="48" t="s">
        <v>442</v>
      </c>
      <c r="D35" s="48">
        <v>286</v>
      </c>
      <c r="E35" s="48" t="s">
        <v>443</v>
      </c>
      <c r="F35" s="48">
        <v>299</v>
      </c>
      <c r="G35" s="48" t="s">
        <v>444</v>
      </c>
      <c r="H35" s="48">
        <v>299</v>
      </c>
      <c r="I35" s="48" t="s">
        <v>407</v>
      </c>
      <c r="J35" s="48">
        <v>304</v>
      </c>
      <c r="K35" s="48" t="s">
        <v>433</v>
      </c>
      <c r="L35" s="48">
        <v>306</v>
      </c>
      <c r="M35" s="48"/>
      <c r="N35" s="48"/>
    </row>
    <row r="36" spans="1:14">
      <c r="A36" s="49">
        <v>1984</v>
      </c>
      <c r="B36" s="108" t="s">
        <v>626</v>
      </c>
      <c r="C36" s="48" t="s">
        <v>445</v>
      </c>
      <c r="D36" s="48">
        <v>280</v>
      </c>
      <c r="E36" s="48" t="s">
        <v>415</v>
      </c>
      <c r="F36" s="48">
        <v>296</v>
      </c>
      <c r="G36" s="48" t="s">
        <v>433</v>
      </c>
      <c r="H36" s="48">
        <v>299</v>
      </c>
      <c r="I36" s="48" t="s">
        <v>446</v>
      </c>
      <c r="J36" s="48">
        <v>302</v>
      </c>
      <c r="K36" s="48" t="s">
        <v>439</v>
      </c>
      <c r="L36" s="48">
        <v>302</v>
      </c>
      <c r="M36" s="48"/>
      <c r="N36" s="48"/>
    </row>
    <row r="37" spans="1:14">
      <c r="A37" s="49">
        <v>1983</v>
      </c>
      <c r="B37" s="108" t="s">
        <v>626</v>
      </c>
      <c r="C37" s="48" t="s">
        <v>447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1:14">
      <c r="A38" s="49">
        <v>1982</v>
      </c>
      <c r="B38" s="108" t="s">
        <v>626</v>
      </c>
      <c r="C38" s="48" t="s">
        <v>415</v>
      </c>
      <c r="D38" s="48">
        <v>301</v>
      </c>
      <c r="E38" s="48" t="s">
        <v>448</v>
      </c>
      <c r="F38" s="48">
        <v>305</v>
      </c>
      <c r="G38" s="48" t="s">
        <v>449</v>
      </c>
      <c r="H38" s="48">
        <v>306</v>
      </c>
      <c r="I38" s="48" t="s">
        <v>445</v>
      </c>
      <c r="J38" s="48">
        <v>307</v>
      </c>
      <c r="K38" s="48" t="s">
        <v>441</v>
      </c>
      <c r="L38" s="48">
        <v>309</v>
      </c>
      <c r="M38" s="48"/>
      <c r="N38" s="48"/>
    </row>
    <row r="39" spans="1:14">
      <c r="A39" s="49">
        <v>1981</v>
      </c>
      <c r="B39" s="108" t="s">
        <v>626</v>
      </c>
      <c r="C39" s="48" t="s">
        <v>447</v>
      </c>
      <c r="D39" s="48">
        <v>299</v>
      </c>
      <c r="E39" s="48" t="s">
        <v>407</v>
      </c>
      <c r="F39" s="48">
        <v>300</v>
      </c>
      <c r="G39" s="48" t="s">
        <v>450</v>
      </c>
      <c r="H39" s="48">
        <v>302</v>
      </c>
      <c r="I39" s="48" t="s">
        <v>415</v>
      </c>
      <c r="J39" s="48">
        <v>302</v>
      </c>
      <c r="K39" s="48" t="s">
        <v>451</v>
      </c>
      <c r="L39" s="48">
        <v>302</v>
      </c>
      <c r="M39" s="48"/>
      <c r="N39" s="48"/>
    </row>
    <row r="40" spans="1:14">
      <c r="A40" s="49">
        <v>1980</v>
      </c>
      <c r="B40" s="108" t="s">
        <v>626</v>
      </c>
      <c r="C40" s="48" t="s">
        <v>446</v>
      </c>
      <c r="D40" s="48">
        <v>291</v>
      </c>
      <c r="E40" s="48"/>
      <c r="F40" s="48"/>
      <c r="G40" s="48"/>
      <c r="H40" s="48"/>
      <c r="I40" s="48"/>
      <c r="J40" s="48"/>
      <c r="K40" s="48"/>
      <c r="L40" s="48"/>
      <c r="M40" s="48"/>
      <c r="N40" s="48"/>
    </row>
    <row r="41" spans="1:14">
      <c r="A41" s="49">
        <v>1979</v>
      </c>
      <c r="B41" s="108" t="s">
        <v>626</v>
      </c>
      <c r="C41" s="48" t="s">
        <v>429</v>
      </c>
      <c r="D41" s="48">
        <v>296</v>
      </c>
      <c r="E41" s="48"/>
      <c r="F41" s="48"/>
      <c r="G41" s="48"/>
      <c r="H41" s="48"/>
      <c r="I41" s="48"/>
      <c r="J41" s="48"/>
      <c r="K41" s="48"/>
      <c r="L41" s="48"/>
      <c r="M41" s="48"/>
      <c r="N41" s="48"/>
    </row>
    <row r="42" spans="1:14">
      <c r="A42" s="49">
        <v>1978</v>
      </c>
      <c r="B42" s="108" t="s">
        <v>626</v>
      </c>
      <c r="C42" s="48" t="s">
        <v>452</v>
      </c>
      <c r="D42" s="48">
        <v>296</v>
      </c>
      <c r="E42" s="48"/>
      <c r="F42" s="48"/>
      <c r="G42" s="48"/>
      <c r="H42" s="48"/>
      <c r="I42" s="48"/>
      <c r="J42" s="48"/>
      <c r="K42" s="48"/>
      <c r="L42" s="48"/>
      <c r="M42" s="48"/>
      <c r="N42" s="48"/>
    </row>
    <row r="43" spans="1:14">
      <c r="A43" s="49">
        <v>1977</v>
      </c>
      <c r="B43" s="108" t="s">
        <v>626</v>
      </c>
      <c r="C43" s="48" t="s">
        <v>453</v>
      </c>
      <c r="D43" s="48">
        <v>281</v>
      </c>
      <c r="E43" s="48"/>
      <c r="F43" s="48"/>
      <c r="G43" s="48"/>
      <c r="H43" s="48"/>
      <c r="I43" s="48"/>
      <c r="J43" s="48"/>
      <c r="K43" s="48"/>
      <c r="L43" s="48"/>
      <c r="M43" s="48"/>
      <c r="N43" s="48"/>
    </row>
    <row r="44" spans="1:14">
      <c r="A44" s="49">
        <v>1976</v>
      </c>
      <c r="B44" s="108" t="s">
        <v>626</v>
      </c>
      <c r="C44" s="48" t="s">
        <v>453</v>
      </c>
      <c r="D44" s="48">
        <v>287</v>
      </c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14">
      <c r="A45" s="49">
        <v>1975</v>
      </c>
      <c r="B45" s="108" t="s">
        <v>626</v>
      </c>
      <c r="C45" s="48" t="s">
        <v>407</v>
      </c>
      <c r="D45" s="48">
        <v>286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14">
      <c r="A46" s="49">
        <v>1974</v>
      </c>
      <c r="B46" s="108" t="s">
        <v>626</v>
      </c>
      <c r="C46" s="48" t="s">
        <v>452</v>
      </c>
      <c r="D46" s="48">
        <v>289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14">
      <c r="A47" s="49">
        <v>1973</v>
      </c>
      <c r="B47" s="108" t="s">
        <v>626</v>
      </c>
      <c r="C47" s="48" t="s">
        <v>450</v>
      </c>
      <c r="D47" s="48">
        <v>290</v>
      </c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14">
      <c r="A48" s="49">
        <v>1972</v>
      </c>
      <c r="B48" s="108" t="s">
        <v>626</v>
      </c>
      <c r="C48" s="48" t="s">
        <v>409</v>
      </c>
      <c r="D48" s="48">
        <v>294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>
      <c r="A49" s="49">
        <v>1971</v>
      </c>
      <c r="B49" s="108" t="s">
        <v>626</v>
      </c>
      <c r="C49" s="48" t="s">
        <v>453</v>
      </c>
      <c r="D49" s="48">
        <v>291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>
      <c r="A50" s="49">
        <v>1970</v>
      </c>
      <c r="B50" s="108" t="s">
        <v>626</v>
      </c>
      <c r="C50" s="48" t="s">
        <v>454</v>
      </c>
      <c r="D50" s="48">
        <v>280</v>
      </c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>
      <c r="A51" s="49">
        <v>1969</v>
      </c>
      <c r="B51" s="108" t="s">
        <v>626</v>
      </c>
      <c r="C51" s="48" t="s">
        <v>455</v>
      </c>
      <c r="D51" s="48">
        <v>282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>
      <c r="A52" s="49">
        <v>1968</v>
      </c>
      <c r="B52" s="108" t="s">
        <v>626</v>
      </c>
      <c r="C52" s="48" t="s">
        <v>453</v>
      </c>
      <c r="D52" s="48">
        <v>292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>
      <c r="A53" s="49">
        <v>1967</v>
      </c>
      <c r="B53" s="108" t="s">
        <v>626</v>
      </c>
      <c r="C53" s="48" t="s">
        <v>409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>
      <c r="A54" s="44" t="s">
        <v>456</v>
      </c>
      <c r="B54" s="108" t="s">
        <v>628</v>
      </c>
      <c r="C54" s="48" t="s">
        <v>429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12"/>
    </row>
    <row r="55" spans="1:14">
      <c r="A55" s="45" t="s">
        <v>457</v>
      </c>
      <c r="B55" s="108" t="s">
        <v>628</v>
      </c>
      <c r="C55" s="48" t="s">
        <v>409</v>
      </c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17"/>
    </row>
  </sheetData>
  <phoneticPr fontId="0" type="noConversion"/>
  <pageMargins left="0.75" right="0.75" top="1" bottom="1" header="0.5" footer="0.5"/>
  <pageSetup scale="66" orientation="landscape" r:id="rId1"/>
  <headerFooter alignWithMargins="0">
    <oddHeader>&amp;C&amp;"Arial,Bold"&amp;14Fall Classic History</oddHeader>
    <oddFooter>&amp;L&amp;F&amp;R&amp;D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workbookViewId="0">
      <selection activeCell="C16" sqref="C16"/>
    </sheetView>
  </sheetViews>
  <sheetFormatPr defaultRowHeight="12.75"/>
  <cols>
    <col min="1" max="1" width="18.28515625" style="11" customWidth="1"/>
    <col min="2" max="2" width="2.28515625" style="11" customWidth="1"/>
    <col min="3" max="3" width="7.42578125" style="80" customWidth="1"/>
    <col min="4" max="4" width="2.28515625" style="80" customWidth="1"/>
    <col min="5" max="9" width="9.140625" style="43"/>
  </cols>
  <sheetData>
    <row r="1" spans="1:9">
      <c r="D1" s="298" t="s">
        <v>767</v>
      </c>
      <c r="E1" s="298"/>
      <c r="F1" s="298"/>
      <c r="G1" s="298"/>
    </row>
    <row r="3" spans="1:9">
      <c r="A3" s="185"/>
      <c r="B3" s="185"/>
      <c r="C3" s="218" t="s">
        <v>763</v>
      </c>
      <c r="D3" s="218"/>
      <c r="E3" s="218" t="s">
        <v>758</v>
      </c>
      <c r="F3" s="218" t="s">
        <v>759</v>
      </c>
      <c r="G3" s="218" t="s">
        <v>760</v>
      </c>
      <c r="H3" s="218" t="s">
        <v>761</v>
      </c>
      <c r="I3" s="218" t="s">
        <v>762</v>
      </c>
    </row>
    <row r="4" spans="1:9">
      <c r="A4" s="185"/>
      <c r="B4" s="185"/>
      <c r="C4" s="219"/>
      <c r="D4" s="219"/>
      <c r="E4" s="219"/>
      <c r="F4" s="219"/>
      <c r="G4" s="219"/>
      <c r="H4" s="219"/>
      <c r="I4" s="219"/>
    </row>
    <row r="5" spans="1:9">
      <c r="A5" s="185" t="s">
        <v>446</v>
      </c>
      <c r="B5" s="185"/>
      <c r="C5" s="219">
        <f>SUM(E5:I5)</f>
        <v>2</v>
      </c>
      <c r="D5" s="219"/>
      <c r="E5" s="219">
        <v>1</v>
      </c>
      <c r="F5" s="219"/>
      <c r="G5" s="219"/>
      <c r="H5" s="219">
        <v>1</v>
      </c>
      <c r="I5" s="219"/>
    </row>
    <row r="6" spans="1:9">
      <c r="A6" s="185" t="s">
        <v>450</v>
      </c>
      <c r="B6" s="185"/>
      <c r="C6" s="219">
        <f t="shared" ref="C6:C69" si="0">SUM(E6:I6)</f>
        <v>2</v>
      </c>
      <c r="D6" s="219"/>
      <c r="E6" s="219">
        <v>1</v>
      </c>
      <c r="F6" s="219"/>
      <c r="G6" s="219">
        <v>1</v>
      </c>
      <c r="H6" s="219"/>
      <c r="I6" s="219"/>
    </row>
    <row r="7" spans="1:9">
      <c r="A7" s="185" t="s">
        <v>406</v>
      </c>
      <c r="B7" s="185"/>
      <c r="C7" s="219">
        <f t="shared" si="0"/>
        <v>7</v>
      </c>
      <c r="D7" s="219"/>
      <c r="E7" s="219">
        <v>2</v>
      </c>
      <c r="F7" s="219"/>
      <c r="G7" s="219">
        <v>2</v>
      </c>
      <c r="H7" s="219">
        <v>3</v>
      </c>
      <c r="I7" s="219"/>
    </row>
    <row r="8" spans="1:9">
      <c r="A8" s="185" t="s">
        <v>441</v>
      </c>
      <c r="B8" s="185"/>
      <c r="C8" s="219">
        <f t="shared" si="0"/>
        <v>2</v>
      </c>
      <c r="D8" s="219"/>
      <c r="E8" s="219"/>
      <c r="F8" s="219">
        <v>1</v>
      </c>
      <c r="G8" s="219"/>
      <c r="H8" s="219"/>
      <c r="I8" s="219">
        <v>1</v>
      </c>
    </row>
    <row r="9" spans="1:9">
      <c r="A9" s="185" t="s">
        <v>453</v>
      </c>
      <c r="B9" s="185"/>
      <c r="C9" s="219">
        <f t="shared" si="0"/>
        <v>4</v>
      </c>
      <c r="D9" s="219"/>
      <c r="E9" s="219">
        <v>4</v>
      </c>
      <c r="F9" s="219"/>
      <c r="G9" s="219"/>
      <c r="H9" s="219"/>
      <c r="I9" s="219"/>
    </row>
    <row r="10" spans="1:9">
      <c r="A10" s="185" t="s">
        <v>421</v>
      </c>
      <c r="B10" s="185"/>
      <c r="C10" s="219">
        <f t="shared" si="0"/>
        <v>3</v>
      </c>
      <c r="D10" s="219"/>
      <c r="E10" s="219">
        <v>1</v>
      </c>
      <c r="F10" s="219"/>
      <c r="G10" s="219"/>
      <c r="H10" s="219">
        <v>1</v>
      </c>
      <c r="I10" s="219">
        <v>1</v>
      </c>
    </row>
    <row r="11" spans="1:9">
      <c r="A11" s="185" t="s">
        <v>404</v>
      </c>
      <c r="B11" s="185"/>
      <c r="C11" s="219">
        <f t="shared" si="0"/>
        <v>2</v>
      </c>
      <c r="D11" s="219"/>
      <c r="E11" s="219"/>
      <c r="F11" s="219">
        <v>2</v>
      </c>
      <c r="G11" s="219"/>
      <c r="H11" s="219"/>
      <c r="I11" s="219"/>
    </row>
    <row r="12" spans="1:9">
      <c r="A12" s="185" t="s">
        <v>420</v>
      </c>
      <c r="B12" s="185"/>
      <c r="C12" s="219">
        <f t="shared" si="0"/>
        <v>4</v>
      </c>
      <c r="D12" s="219"/>
      <c r="E12" s="219">
        <v>1</v>
      </c>
      <c r="F12" s="219">
        <v>1</v>
      </c>
      <c r="G12" s="219">
        <v>1</v>
      </c>
      <c r="H12" s="219">
        <v>1</v>
      </c>
      <c r="I12" s="219"/>
    </row>
    <row r="13" spans="1:9">
      <c r="A13" s="217" t="s">
        <v>524</v>
      </c>
      <c r="B13" s="217"/>
      <c r="C13" s="219">
        <f t="shared" si="0"/>
        <v>1</v>
      </c>
      <c r="D13" s="220"/>
      <c r="E13" s="219">
        <v>1</v>
      </c>
      <c r="F13" s="219"/>
      <c r="G13" s="219"/>
      <c r="H13" s="219"/>
      <c r="I13" s="219"/>
    </row>
    <row r="14" spans="1:9">
      <c r="A14" s="282" t="s">
        <v>995</v>
      </c>
      <c r="B14" s="282"/>
      <c r="C14" s="219">
        <f t="shared" si="0"/>
        <v>1</v>
      </c>
      <c r="D14" s="284"/>
      <c r="E14" s="283"/>
      <c r="F14" s="283"/>
      <c r="G14" s="283"/>
      <c r="H14" s="283"/>
      <c r="I14" s="283">
        <v>1</v>
      </c>
    </row>
    <row r="15" spans="1:9">
      <c r="A15" s="217" t="s">
        <v>754</v>
      </c>
      <c r="B15" s="217"/>
      <c r="C15" s="219">
        <f t="shared" si="0"/>
        <v>13</v>
      </c>
      <c r="D15" s="220"/>
      <c r="E15" s="219">
        <v>3</v>
      </c>
      <c r="F15" s="219">
        <v>1</v>
      </c>
      <c r="G15" s="219">
        <v>3</v>
      </c>
      <c r="H15" s="219">
        <v>4</v>
      </c>
      <c r="I15" s="219">
        <v>2</v>
      </c>
    </row>
    <row r="16" spans="1:9">
      <c r="A16" s="217" t="s">
        <v>418</v>
      </c>
      <c r="B16" s="217"/>
      <c r="C16" s="219">
        <f t="shared" si="0"/>
        <v>4</v>
      </c>
      <c r="D16" s="220"/>
      <c r="E16" s="219">
        <v>1</v>
      </c>
      <c r="F16" s="219">
        <v>1</v>
      </c>
      <c r="G16" s="219"/>
      <c r="H16" s="219">
        <v>1</v>
      </c>
      <c r="I16" s="219">
        <v>1</v>
      </c>
    </row>
    <row r="17" spans="1:9">
      <c r="A17" s="185" t="s">
        <v>454</v>
      </c>
      <c r="B17" s="185"/>
      <c r="C17" s="219">
        <f t="shared" si="0"/>
        <v>1</v>
      </c>
      <c r="D17" s="219"/>
      <c r="E17" s="219">
        <v>1</v>
      </c>
      <c r="F17" s="219"/>
      <c r="G17" s="219"/>
      <c r="H17" s="219"/>
      <c r="I17" s="219"/>
    </row>
    <row r="18" spans="1:9">
      <c r="A18" s="217" t="s">
        <v>622</v>
      </c>
      <c r="B18" s="217"/>
      <c r="C18" s="219">
        <f t="shared" si="0"/>
        <v>1</v>
      </c>
      <c r="D18" s="220"/>
      <c r="E18" s="219"/>
      <c r="F18" s="219"/>
      <c r="G18" s="219">
        <v>1</v>
      </c>
      <c r="H18" s="219"/>
      <c r="I18" s="219"/>
    </row>
    <row r="19" spans="1:9">
      <c r="A19" s="185" t="s">
        <v>427</v>
      </c>
      <c r="B19" s="185"/>
      <c r="C19" s="219">
        <f t="shared" si="0"/>
        <v>2</v>
      </c>
      <c r="D19" s="219"/>
      <c r="E19" s="219"/>
      <c r="F19" s="219">
        <v>1</v>
      </c>
      <c r="G19" s="219"/>
      <c r="H19" s="219"/>
      <c r="I19" s="219">
        <v>1</v>
      </c>
    </row>
    <row r="20" spans="1:9">
      <c r="A20" s="217" t="s">
        <v>594</v>
      </c>
      <c r="B20" s="217"/>
      <c r="C20" s="219">
        <f t="shared" si="0"/>
        <v>1</v>
      </c>
      <c r="D20" s="220"/>
      <c r="E20" s="219"/>
      <c r="F20" s="219"/>
      <c r="G20" s="219"/>
      <c r="H20" s="219"/>
      <c r="I20" s="219">
        <v>1</v>
      </c>
    </row>
    <row r="21" spans="1:9">
      <c r="A21" s="185" t="s">
        <v>448</v>
      </c>
      <c r="B21" s="185"/>
      <c r="C21" s="219">
        <f t="shared" si="0"/>
        <v>1</v>
      </c>
      <c r="D21" s="219"/>
      <c r="E21" s="219"/>
      <c r="F21" s="219">
        <v>1</v>
      </c>
      <c r="G21" s="219"/>
      <c r="H21" s="219"/>
      <c r="I21" s="219"/>
    </row>
    <row r="22" spans="1:9">
      <c r="A22" s="185" t="s">
        <v>500</v>
      </c>
      <c r="B22" s="185"/>
      <c r="C22" s="219">
        <f t="shared" si="0"/>
        <v>1</v>
      </c>
      <c r="D22" s="219"/>
      <c r="E22" s="219"/>
      <c r="F22" s="219">
        <v>1</v>
      </c>
      <c r="G22" s="219"/>
      <c r="H22" s="219"/>
      <c r="I22" s="219"/>
    </row>
    <row r="23" spans="1:9">
      <c r="A23" s="185" t="s">
        <v>426</v>
      </c>
      <c r="B23" s="185"/>
      <c r="C23" s="219">
        <f t="shared" si="0"/>
        <v>2</v>
      </c>
      <c r="D23" s="219"/>
      <c r="E23" s="219">
        <v>1</v>
      </c>
      <c r="F23" s="219"/>
      <c r="G23" s="219">
        <v>1</v>
      </c>
      <c r="H23" s="219"/>
      <c r="I23" s="219"/>
    </row>
    <row r="24" spans="1:9">
      <c r="A24" s="185" t="s">
        <v>451</v>
      </c>
      <c r="B24" s="185"/>
      <c r="C24" s="219">
        <f t="shared" si="0"/>
        <v>1</v>
      </c>
      <c r="D24" s="219"/>
      <c r="E24" s="219"/>
      <c r="F24" s="219"/>
      <c r="G24" s="219"/>
      <c r="H24" s="219"/>
      <c r="I24" s="219">
        <v>1</v>
      </c>
    </row>
    <row r="25" spans="1:9">
      <c r="A25" s="217" t="s">
        <v>497</v>
      </c>
      <c r="B25" s="217"/>
      <c r="C25" s="219">
        <f t="shared" si="0"/>
        <v>3</v>
      </c>
      <c r="D25" s="220"/>
      <c r="E25" s="219"/>
      <c r="F25" s="219"/>
      <c r="G25" s="219">
        <v>1</v>
      </c>
      <c r="H25" s="219">
        <v>1</v>
      </c>
      <c r="I25" s="219">
        <v>1</v>
      </c>
    </row>
    <row r="26" spans="1:9">
      <c r="A26" s="185" t="s">
        <v>437</v>
      </c>
      <c r="B26" s="185"/>
      <c r="C26" s="219">
        <f t="shared" si="0"/>
        <v>1</v>
      </c>
      <c r="D26" s="219"/>
      <c r="E26" s="219"/>
      <c r="F26" s="219"/>
      <c r="G26" s="219"/>
      <c r="H26" s="219"/>
      <c r="I26" s="219">
        <v>1</v>
      </c>
    </row>
    <row r="27" spans="1:9">
      <c r="A27" s="185" t="s">
        <v>435</v>
      </c>
      <c r="B27" s="185"/>
      <c r="C27" s="219">
        <f t="shared" si="0"/>
        <v>1</v>
      </c>
      <c r="D27" s="219"/>
      <c r="E27" s="219"/>
      <c r="F27" s="219"/>
      <c r="G27" s="219"/>
      <c r="H27" s="219"/>
      <c r="I27" s="219">
        <v>1</v>
      </c>
    </row>
    <row r="28" spans="1:9">
      <c r="A28" s="185" t="s">
        <v>432</v>
      </c>
      <c r="B28" s="185"/>
      <c r="C28" s="219">
        <f t="shared" si="0"/>
        <v>1</v>
      </c>
      <c r="D28" s="219"/>
      <c r="E28" s="219"/>
      <c r="F28" s="219">
        <v>1</v>
      </c>
      <c r="G28" s="219"/>
      <c r="H28" s="219"/>
      <c r="I28" s="219"/>
    </row>
    <row r="29" spans="1:9">
      <c r="A29" s="185" t="s">
        <v>429</v>
      </c>
      <c r="B29" s="185"/>
      <c r="C29" s="219">
        <f t="shared" si="0"/>
        <v>2</v>
      </c>
      <c r="D29" s="219"/>
      <c r="E29" s="219">
        <v>2</v>
      </c>
      <c r="F29" s="219"/>
      <c r="G29" s="219"/>
      <c r="H29" s="219"/>
      <c r="I29" s="219"/>
    </row>
    <row r="30" spans="1:9">
      <c r="A30" s="185" t="s">
        <v>412</v>
      </c>
      <c r="B30" s="185"/>
      <c r="C30" s="219">
        <f t="shared" si="0"/>
        <v>5</v>
      </c>
      <c r="D30" s="219"/>
      <c r="E30" s="219">
        <v>2</v>
      </c>
      <c r="F30" s="219"/>
      <c r="G30" s="219"/>
      <c r="H30" s="219">
        <v>3</v>
      </c>
      <c r="I30" s="219"/>
    </row>
    <row r="31" spans="1:9">
      <c r="A31" s="185" t="s">
        <v>443</v>
      </c>
      <c r="B31" s="185"/>
      <c r="C31" s="219">
        <f t="shared" si="0"/>
        <v>1</v>
      </c>
      <c r="D31" s="219"/>
      <c r="E31" s="219"/>
      <c r="F31" s="219">
        <v>1</v>
      </c>
      <c r="G31" s="219"/>
      <c r="H31" s="219"/>
      <c r="I31" s="219"/>
    </row>
    <row r="32" spans="1:9">
      <c r="A32" s="185" t="s">
        <v>445</v>
      </c>
      <c r="B32" s="185"/>
      <c r="C32" s="219">
        <f t="shared" si="0"/>
        <v>2</v>
      </c>
      <c r="D32" s="219"/>
      <c r="E32" s="219">
        <v>1</v>
      </c>
      <c r="F32" s="219"/>
      <c r="G32" s="219"/>
      <c r="H32" s="219">
        <v>1</v>
      </c>
      <c r="I32" s="219"/>
    </row>
    <row r="33" spans="1:9">
      <c r="A33" s="185" t="s">
        <v>403</v>
      </c>
      <c r="B33" s="185"/>
      <c r="C33" s="219">
        <f t="shared" si="0"/>
        <v>4</v>
      </c>
      <c r="D33" s="219"/>
      <c r="E33" s="219">
        <v>1</v>
      </c>
      <c r="F33" s="219"/>
      <c r="G33" s="219">
        <v>1</v>
      </c>
      <c r="H33" s="219"/>
      <c r="I33" s="219">
        <v>2</v>
      </c>
    </row>
    <row r="34" spans="1:9">
      <c r="A34" s="185" t="s">
        <v>409</v>
      </c>
      <c r="B34" s="185"/>
      <c r="C34" s="219">
        <f t="shared" si="0"/>
        <v>11</v>
      </c>
      <c r="D34" s="219"/>
      <c r="E34" s="219">
        <v>4</v>
      </c>
      <c r="F34" s="219">
        <v>1</v>
      </c>
      <c r="G34" s="219">
        <v>3</v>
      </c>
      <c r="H34" s="219">
        <v>3</v>
      </c>
      <c r="I34" s="219"/>
    </row>
    <row r="35" spans="1:9">
      <c r="A35" s="217" t="s">
        <v>425</v>
      </c>
      <c r="B35" s="217"/>
      <c r="C35" s="219">
        <f t="shared" si="0"/>
        <v>14</v>
      </c>
      <c r="D35" s="220"/>
      <c r="E35" s="219">
        <v>4</v>
      </c>
      <c r="F35" s="219">
        <v>2</v>
      </c>
      <c r="G35" s="219">
        <v>2</v>
      </c>
      <c r="H35" s="219">
        <v>3</v>
      </c>
      <c r="I35" s="219">
        <v>3</v>
      </c>
    </row>
    <row r="36" spans="1:9">
      <c r="A36" s="185" t="s">
        <v>410</v>
      </c>
      <c r="B36" s="185"/>
      <c r="C36" s="219">
        <f t="shared" si="0"/>
        <v>5</v>
      </c>
      <c r="D36" s="219"/>
      <c r="E36" s="219"/>
      <c r="F36" s="219">
        <v>1</v>
      </c>
      <c r="G36" s="219">
        <v>1</v>
      </c>
      <c r="H36" s="219">
        <v>1</v>
      </c>
      <c r="I36" s="219">
        <v>2</v>
      </c>
    </row>
    <row r="37" spans="1:9">
      <c r="A37" s="185" t="s">
        <v>431</v>
      </c>
      <c r="B37" s="185"/>
      <c r="C37" s="219">
        <f t="shared" si="0"/>
        <v>2</v>
      </c>
      <c r="D37" s="219"/>
      <c r="E37" s="219">
        <v>1</v>
      </c>
      <c r="F37" s="219"/>
      <c r="G37" s="219"/>
      <c r="H37" s="219"/>
      <c r="I37" s="219">
        <v>1</v>
      </c>
    </row>
    <row r="38" spans="1:9">
      <c r="A38" s="217" t="s">
        <v>512</v>
      </c>
      <c r="B38" s="217"/>
      <c r="C38" s="219">
        <f t="shared" si="0"/>
        <v>1</v>
      </c>
      <c r="D38" s="220"/>
      <c r="E38" s="219"/>
      <c r="F38" s="219"/>
      <c r="G38" s="219">
        <v>1</v>
      </c>
      <c r="H38" s="219"/>
      <c r="I38" s="219"/>
    </row>
    <row r="39" spans="1:9">
      <c r="A39" s="185" t="s">
        <v>442</v>
      </c>
      <c r="B39" s="185"/>
      <c r="C39" s="219">
        <f t="shared" si="0"/>
        <v>1</v>
      </c>
      <c r="D39" s="219"/>
      <c r="E39" s="219">
        <v>1</v>
      </c>
      <c r="F39" s="219"/>
      <c r="G39" s="219"/>
      <c r="H39" s="219"/>
      <c r="I39" s="219"/>
    </row>
    <row r="40" spans="1:9">
      <c r="A40" s="185" t="s">
        <v>433</v>
      </c>
      <c r="B40" s="185"/>
      <c r="C40" s="219">
        <f t="shared" si="0"/>
        <v>6</v>
      </c>
      <c r="D40" s="219"/>
      <c r="E40" s="219">
        <v>1</v>
      </c>
      <c r="F40" s="219">
        <v>2</v>
      </c>
      <c r="G40" s="219">
        <v>1</v>
      </c>
      <c r="H40" s="219">
        <v>1</v>
      </c>
      <c r="I40" s="219">
        <v>1</v>
      </c>
    </row>
    <row r="41" spans="1:9">
      <c r="A41" s="185" t="s">
        <v>447</v>
      </c>
      <c r="B41" s="185"/>
      <c r="C41" s="219">
        <f t="shared" si="0"/>
        <v>3</v>
      </c>
      <c r="D41" s="219"/>
      <c r="E41" s="219">
        <v>2</v>
      </c>
      <c r="F41" s="219"/>
      <c r="G41" s="219"/>
      <c r="H41" s="219">
        <v>1</v>
      </c>
      <c r="I41" s="219"/>
    </row>
    <row r="42" spans="1:9">
      <c r="A42" s="185" t="s">
        <v>444</v>
      </c>
      <c r="B42" s="185"/>
      <c r="C42" s="219">
        <f t="shared" si="0"/>
        <v>1</v>
      </c>
      <c r="D42" s="219"/>
      <c r="E42" s="219"/>
      <c r="F42" s="219"/>
      <c r="G42" s="219">
        <v>1</v>
      </c>
      <c r="H42" s="219"/>
      <c r="I42" s="219"/>
    </row>
    <row r="43" spans="1:9">
      <c r="A43" s="185" t="s">
        <v>455</v>
      </c>
      <c r="B43" s="185"/>
      <c r="C43" s="219">
        <f t="shared" si="0"/>
        <v>1</v>
      </c>
      <c r="D43" s="219"/>
      <c r="E43" s="219">
        <v>1</v>
      </c>
      <c r="F43" s="219"/>
      <c r="G43" s="219"/>
      <c r="H43" s="219"/>
      <c r="I43" s="219"/>
    </row>
    <row r="44" spans="1:9">
      <c r="A44" s="185" t="s">
        <v>407</v>
      </c>
      <c r="B44" s="185"/>
      <c r="C44" s="219">
        <f t="shared" si="0"/>
        <v>9</v>
      </c>
      <c r="D44" s="219"/>
      <c r="E44" s="219">
        <v>1</v>
      </c>
      <c r="F44" s="219">
        <v>3</v>
      </c>
      <c r="G44" s="219"/>
      <c r="H44" s="219">
        <v>1</v>
      </c>
      <c r="I44" s="219">
        <v>4</v>
      </c>
    </row>
    <row r="45" spans="1:9">
      <c r="A45" s="217" t="s">
        <v>608</v>
      </c>
      <c r="B45" s="217"/>
      <c r="C45" s="219">
        <f t="shared" si="0"/>
        <v>2</v>
      </c>
      <c r="D45" s="220"/>
      <c r="E45" s="219"/>
      <c r="F45" s="219"/>
      <c r="G45" s="219">
        <v>1</v>
      </c>
      <c r="H45" s="219"/>
      <c r="I45" s="219">
        <v>1</v>
      </c>
    </row>
    <row r="46" spans="1:9">
      <c r="A46" s="185" t="s">
        <v>415</v>
      </c>
      <c r="B46" s="185"/>
      <c r="C46" s="219">
        <f t="shared" si="0"/>
        <v>12</v>
      </c>
      <c r="D46" s="219"/>
      <c r="E46" s="219">
        <v>1</v>
      </c>
      <c r="F46" s="219">
        <v>3</v>
      </c>
      <c r="G46" s="219">
        <v>1</v>
      </c>
      <c r="H46" s="219">
        <v>3</v>
      </c>
      <c r="I46" s="219">
        <v>4</v>
      </c>
    </row>
    <row r="47" spans="1:9">
      <c r="A47" s="217" t="s">
        <v>502</v>
      </c>
      <c r="B47" s="217"/>
      <c r="C47" s="219">
        <f t="shared" si="0"/>
        <v>4</v>
      </c>
      <c r="D47" s="220"/>
      <c r="E47" s="219">
        <v>1</v>
      </c>
      <c r="F47" s="219">
        <v>1</v>
      </c>
      <c r="G47" s="219"/>
      <c r="H47" s="219"/>
      <c r="I47" s="219">
        <v>2</v>
      </c>
    </row>
    <row r="48" spans="1:9">
      <c r="A48" s="185" t="s">
        <v>413</v>
      </c>
      <c r="B48" s="185"/>
      <c r="C48" s="219">
        <f t="shared" si="0"/>
        <v>7</v>
      </c>
      <c r="D48" s="219"/>
      <c r="E48" s="219">
        <v>3</v>
      </c>
      <c r="F48" s="219">
        <v>3</v>
      </c>
      <c r="G48" s="219"/>
      <c r="H48" s="219"/>
      <c r="I48" s="219">
        <v>1</v>
      </c>
    </row>
    <row r="49" spans="1:9">
      <c r="A49" s="185" t="s">
        <v>466</v>
      </c>
      <c r="B49" s="185"/>
      <c r="C49" s="219">
        <f t="shared" si="0"/>
        <v>3</v>
      </c>
      <c r="D49" s="219"/>
      <c r="E49" s="219">
        <v>1</v>
      </c>
      <c r="F49" s="219">
        <v>1</v>
      </c>
      <c r="G49" s="219">
        <v>1</v>
      </c>
      <c r="H49" s="219"/>
      <c r="I49" s="219"/>
    </row>
    <row r="50" spans="1:9">
      <c r="A50" s="217" t="s">
        <v>414</v>
      </c>
      <c r="B50" s="217"/>
      <c r="C50" s="219">
        <f t="shared" si="0"/>
        <v>9</v>
      </c>
      <c r="D50" s="220"/>
      <c r="E50" s="219">
        <v>3</v>
      </c>
      <c r="F50" s="219">
        <v>3</v>
      </c>
      <c r="G50" s="219">
        <v>1</v>
      </c>
      <c r="H50" s="219">
        <v>1</v>
      </c>
      <c r="I50" s="219">
        <v>1</v>
      </c>
    </row>
    <row r="51" spans="1:9">
      <c r="A51" s="217" t="s">
        <v>501</v>
      </c>
      <c r="B51" s="217"/>
      <c r="C51" s="219">
        <f t="shared" si="0"/>
        <v>2</v>
      </c>
      <c r="D51" s="220"/>
      <c r="E51" s="219">
        <v>1</v>
      </c>
      <c r="F51" s="219"/>
      <c r="G51" s="219">
        <v>1</v>
      </c>
      <c r="H51" s="219"/>
      <c r="I51" s="219"/>
    </row>
    <row r="52" spans="1:9">
      <c r="A52" s="217" t="s">
        <v>753</v>
      </c>
      <c r="B52" s="217"/>
      <c r="C52" s="219">
        <f t="shared" si="0"/>
        <v>2</v>
      </c>
      <c r="D52" s="220"/>
      <c r="E52" s="219"/>
      <c r="F52" s="219">
        <v>1</v>
      </c>
      <c r="G52" s="219"/>
      <c r="H52" s="219"/>
      <c r="I52" s="219">
        <v>1</v>
      </c>
    </row>
    <row r="53" spans="1:9">
      <c r="A53" s="185" t="s">
        <v>411</v>
      </c>
      <c r="B53" s="185"/>
      <c r="C53" s="219">
        <f t="shared" si="0"/>
        <v>1</v>
      </c>
      <c r="D53" s="219"/>
      <c r="E53" s="219"/>
      <c r="F53" s="219"/>
      <c r="G53" s="219">
        <v>1</v>
      </c>
      <c r="H53" s="219"/>
      <c r="I53" s="219"/>
    </row>
    <row r="54" spans="1:9">
      <c r="A54" s="217" t="s">
        <v>673</v>
      </c>
      <c r="B54" s="217"/>
      <c r="C54" s="219">
        <f t="shared" si="0"/>
        <v>2</v>
      </c>
      <c r="D54" s="220"/>
      <c r="E54" s="219">
        <v>1</v>
      </c>
      <c r="F54" s="219"/>
      <c r="G54" s="219">
        <v>1</v>
      </c>
      <c r="H54" s="219"/>
      <c r="I54" s="219"/>
    </row>
    <row r="55" spans="1:9">
      <c r="A55" s="185" t="s">
        <v>440</v>
      </c>
      <c r="B55" s="185"/>
      <c r="C55" s="219">
        <f t="shared" si="0"/>
        <v>1</v>
      </c>
      <c r="D55" s="219"/>
      <c r="E55" s="219"/>
      <c r="F55" s="219"/>
      <c r="G55" s="219"/>
      <c r="H55" s="219"/>
      <c r="I55" s="219">
        <v>1</v>
      </c>
    </row>
    <row r="56" spans="1:9">
      <c r="A56" s="185" t="s">
        <v>475</v>
      </c>
      <c r="B56" s="185"/>
      <c r="C56" s="219">
        <f t="shared" si="0"/>
        <v>3</v>
      </c>
      <c r="D56" s="219"/>
      <c r="E56" s="219"/>
      <c r="F56" s="219">
        <v>1</v>
      </c>
      <c r="G56" s="219">
        <v>1</v>
      </c>
      <c r="H56" s="219">
        <v>1</v>
      </c>
      <c r="I56" s="219"/>
    </row>
    <row r="57" spans="1:9">
      <c r="A57" s="185" t="s">
        <v>496</v>
      </c>
      <c r="B57" s="185"/>
      <c r="C57" s="219">
        <f t="shared" si="0"/>
        <v>1</v>
      </c>
      <c r="D57" s="219"/>
      <c r="E57" s="219"/>
      <c r="F57" s="219"/>
      <c r="G57" s="219"/>
      <c r="H57" s="219">
        <v>1</v>
      </c>
      <c r="I57" s="219"/>
    </row>
    <row r="58" spans="1:9">
      <c r="A58" s="185" t="s">
        <v>438</v>
      </c>
      <c r="B58" s="185"/>
      <c r="C58" s="219">
        <f t="shared" si="0"/>
        <v>1</v>
      </c>
      <c r="D58" s="219"/>
      <c r="E58" s="219"/>
      <c r="F58" s="219"/>
      <c r="G58" s="219"/>
      <c r="H58" s="219"/>
      <c r="I58" s="219">
        <v>1</v>
      </c>
    </row>
    <row r="59" spans="1:9">
      <c r="A59" s="217" t="s">
        <v>416</v>
      </c>
      <c r="B59" s="217"/>
      <c r="C59" s="219">
        <f t="shared" si="0"/>
        <v>6</v>
      </c>
      <c r="D59" s="220"/>
      <c r="E59" s="219"/>
      <c r="F59" s="219">
        <v>1</v>
      </c>
      <c r="G59" s="219">
        <v>3</v>
      </c>
      <c r="H59" s="219"/>
      <c r="I59" s="219">
        <v>2</v>
      </c>
    </row>
    <row r="60" spans="1:9">
      <c r="A60" s="185" t="s">
        <v>436</v>
      </c>
      <c r="B60" s="185"/>
      <c r="C60" s="219">
        <f t="shared" si="0"/>
        <v>1</v>
      </c>
      <c r="D60" s="219"/>
      <c r="E60" s="219"/>
      <c r="F60" s="219"/>
      <c r="G60" s="219"/>
      <c r="H60" s="219">
        <v>1</v>
      </c>
      <c r="I60" s="219"/>
    </row>
    <row r="61" spans="1:9">
      <c r="A61" s="185" t="s">
        <v>424</v>
      </c>
      <c r="B61" s="185"/>
      <c r="C61" s="219">
        <f t="shared" si="0"/>
        <v>1</v>
      </c>
      <c r="D61" s="219"/>
      <c r="E61" s="219"/>
      <c r="F61" s="219">
        <v>1</v>
      </c>
      <c r="G61" s="219"/>
      <c r="H61" s="219"/>
      <c r="I61" s="219"/>
    </row>
    <row r="62" spans="1:9">
      <c r="A62" s="185" t="s">
        <v>428</v>
      </c>
      <c r="B62" s="185"/>
      <c r="C62" s="219">
        <f t="shared" si="0"/>
        <v>2</v>
      </c>
      <c r="D62" s="219"/>
      <c r="E62" s="219">
        <v>1</v>
      </c>
      <c r="F62" s="219"/>
      <c r="G62" s="219">
        <v>1</v>
      </c>
      <c r="H62" s="219"/>
      <c r="I62" s="219"/>
    </row>
    <row r="63" spans="1:9">
      <c r="A63" s="185" t="s">
        <v>452</v>
      </c>
      <c r="B63" s="185"/>
      <c r="C63" s="219">
        <f t="shared" si="0"/>
        <v>2</v>
      </c>
      <c r="D63" s="219"/>
      <c r="E63" s="219">
        <v>2</v>
      </c>
      <c r="F63" s="219"/>
      <c r="G63" s="219"/>
      <c r="H63" s="219"/>
      <c r="I63" s="219"/>
    </row>
    <row r="64" spans="1:9">
      <c r="A64" s="185" t="s">
        <v>430</v>
      </c>
      <c r="B64" s="185"/>
      <c r="C64" s="219">
        <f t="shared" si="0"/>
        <v>1</v>
      </c>
      <c r="D64" s="219"/>
      <c r="E64" s="219"/>
      <c r="F64" s="219"/>
      <c r="G64" s="219"/>
      <c r="H64" s="219"/>
      <c r="I64" s="219">
        <v>1</v>
      </c>
    </row>
    <row r="65" spans="1:9">
      <c r="A65" s="185" t="s">
        <v>439</v>
      </c>
      <c r="B65" s="185"/>
      <c r="C65" s="219">
        <f t="shared" si="0"/>
        <v>2</v>
      </c>
      <c r="D65" s="219"/>
      <c r="E65" s="219"/>
      <c r="F65" s="219"/>
      <c r="G65" s="219"/>
      <c r="H65" s="219">
        <v>1</v>
      </c>
      <c r="I65" s="219">
        <v>1</v>
      </c>
    </row>
    <row r="66" spans="1:9">
      <c r="A66" s="185" t="s">
        <v>449</v>
      </c>
      <c r="B66" s="185"/>
      <c r="C66" s="219">
        <f t="shared" si="0"/>
        <v>1</v>
      </c>
      <c r="D66" s="219"/>
      <c r="E66" s="219"/>
      <c r="F66" s="219"/>
      <c r="G66" s="219">
        <v>1</v>
      </c>
      <c r="H66" s="219"/>
      <c r="I66" s="219"/>
    </row>
    <row r="67" spans="1:9">
      <c r="A67" s="217" t="s">
        <v>476</v>
      </c>
      <c r="B67" s="217"/>
      <c r="C67" s="219">
        <f t="shared" si="0"/>
        <v>7</v>
      </c>
      <c r="D67" s="220"/>
      <c r="E67" s="219"/>
      <c r="F67" s="219">
        <v>1</v>
      </c>
      <c r="G67" s="219">
        <v>2</v>
      </c>
      <c r="H67" s="219">
        <v>2</v>
      </c>
      <c r="I67" s="219">
        <v>2</v>
      </c>
    </row>
    <row r="68" spans="1:9">
      <c r="A68" s="185" t="s">
        <v>408</v>
      </c>
      <c r="B68" s="185"/>
      <c r="C68" s="219">
        <f t="shared" si="0"/>
        <v>2</v>
      </c>
      <c r="D68" s="219"/>
      <c r="E68" s="219"/>
      <c r="F68" s="219">
        <v>2</v>
      </c>
      <c r="G68" s="219"/>
      <c r="H68" s="219"/>
      <c r="I68" s="219"/>
    </row>
    <row r="69" spans="1:9">
      <c r="A69" s="185" t="s">
        <v>434</v>
      </c>
      <c r="B69" s="185"/>
      <c r="C69" s="219">
        <f t="shared" si="0"/>
        <v>6</v>
      </c>
      <c r="D69" s="219"/>
      <c r="E69" s="219">
        <v>1</v>
      </c>
      <c r="F69" s="219"/>
      <c r="G69" s="219"/>
      <c r="H69" s="219"/>
      <c r="I69" s="219">
        <v>5</v>
      </c>
    </row>
  </sheetData>
  <sortState ref="A1:B197">
    <sortCondition ref="A1:A197"/>
  </sortState>
  <mergeCells count="1">
    <mergeCell ref="D1:G1"/>
  </mergeCells>
  <pageMargins left="0.7" right="0.7" top="0.75" bottom="0.75" header="0.3" footer="0.3"/>
  <pageSetup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workbookViewId="0">
      <selection activeCell="M7" sqref="M7"/>
    </sheetView>
  </sheetViews>
  <sheetFormatPr defaultRowHeight="12.75"/>
  <cols>
    <col min="2" max="2" width="7.28515625" customWidth="1"/>
    <col min="3" max="3" width="18" customWidth="1"/>
    <col min="5" max="5" width="15.5703125" customWidth="1"/>
    <col min="7" max="7" width="17.42578125" customWidth="1"/>
    <col min="9" max="9" width="17.85546875" customWidth="1"/>
    <col min="11" max="11" width="17.42578125" customWidth="1"/>
    <col min="13" max="13" width="18.7109375" customWidth="1"/>
    <col min="14" max="14" width="18.28515625" customWidth="1"/>
  </cols>
  <sheetData>
    <row r="1" spans="1:14">
      <c r="B1" s="68" t="s">
        <v>623</v>
      </c>
      <c r="C1" s="42" t="s">
        <v>308</v>
      </c>
      <c r="D1" s="42"/>
      <c r="E1" s="42" t="s">
        <v>302</v>
      </c>
      <c r="F1" s="43"/>
      <c r="G1" s="43" t="s">
        <v>400</v>
      </c>
      <c r="H1" s="43"/>
      <c r="I1" s="43" t="s">
        <v>322</v>
      </c>
      <c r="J1" s="43"/>
      <c r="K1" s="43" t="s">
        <v>296</v>
      </c>
      <c r="M1" t="s">
        <v>401</v>
      </c>
    </row>
    <row r="2" spans="1:14">
      <c r="B2" s="68"/>
      <c r="C2" s="42"/>
      <c r="D2" s="42"/>
      <c r="E2" s="42"/>
      <c r="F2" s="43"/>
      <c r="G2" s="43"/>
      <c r="H2" s="43"/>
      <c r="I2" s="43"/>
      <c r="J2" s="43"/>
      <c r="K2" s="43"/>
    </row>
    <row r="3" spans="1:14">
      <c r="A3" s="56" t="s">
        <v>987</v>
      </c>
      <c r="B3" s="108" t="s">
        <v>996</v>
      </c>
      <c r="C3" s="57" t="s">
        <v>786</v>
      </c>
      <c r="D3" s="48">
        <v>138</v>
      </c>
      <c r="E3" s="57" t="s">
        <v>997</v>
      </c>
      <c r="F3" s="48">
        <v>143</v>
      </c>
      <c r="G3" s="57" t="s">
        <v>673</v>
      </c>
      <c r="H3" s="48">
        <v>143</v>
      </c>
      <c r="I3" s="57" t="s">
        <v>407</v>
      </c>
      <c r="J3" s="48">
        <v>146</v>
      </c>
      <c r="K3" s="57" t="s">
        <v>726</v>
      </c>
      <c r="L3" s="48">
        <v>148</v>
      </c>
      <c r="M3" s="57"/>
    </row>
    <row r="4" spans="1:14">
      <c r="A4" s="56" t="s">
        <v>792</v>
      </c>
      <c r="B4" s="108" t="s">
        <v>815</v>
      </c>
      <c r="C4" s="57" t="s">
        <v>816</v>
      </c>
      <c r="D4" s="48">
        <v>142</v>
      </c>
      <c r="E4" s="57" t="s">
        <v>726</v>
      </c>
      <c r="F4" s="48">
        <v>146</v>
      </c>
      <c r="G4" s="57" t="s">
        <v>755</v>
      </c>
      <c r="H4" s="48">
        <v>150</v>
      </c>
      <c r="I4" s="57" t="s">
        <v>675</v>
      </c>
      <c r="J4" s="48">
        <v>157</v>
      </c>
      <c r="K4" s="57" t="s">
        <v>817</v>
      </c>
      <c r="L4" s="48">
        <v>157</v>
      </c>
      <c r="M4" s="57"/>
    </row>
    <row r="5" spans="1:14">
      <c r="A5" s="56" t="s">
        <v>792</v>
      </c>
      <c r="B5" s="108" t="s">
        <v>626</v>
      </c>
      <c r="C5" s="57" t="s">
        <v>788</v>
      </c>
      <c r="D5" s="48">
        <v>228</v>
      </c>
      <c r="E5" s="57" t="s">
        <v>673</v>
      </c>
      <c r="F5" s="48">
        <v>229</v>
      </c>
      <c r="G5" s="57" t="s">
        <v>430</v>
      </c>
      <c r="H5" s="48">
        <v>246</v>
      </c>
      <c r="I5" s="57" t="s">
        <v>818</v>
      </c>
      <c r="J5" s="48">
        <v>249</v>
      </c>
      <c r="K5" s="57" t="s">
        <v>786</v>
      </c>
      <c r="L5" s="48">
        <v>254</v>
      </c>
      <c r="M5" s="57"/>
    </row>
    <row r="6" spans="1:14">
      <c r="A6" s="56" t="s">
        <v>785</v>
      </c>
      <c r="B6" s="108" t="s">
        <v>626</v>
      </c>
      <c r="C6" s="57" t="s">
        <v>675</v>
      </c>
      <c r="D6" s="48">
        <v>147</v>
      </c>
      <c r="E6" s="57" t="s">
        <v>673</v>
      </c>
      <c r="F6" s="48">
        <v>155</v>
      </c>
      <c r="G6" s="57" t="s">
        <v>786</v>
      </c>
      <c r="H6" s="48">
        <v>157</v>
      </c>
      <c r="I6" s="57" t="s">
        <v>753</v>
      </c>
      <c r="J6" s="48">
        <v>158</v>
      </c>
      <c r="K6" s="57" t="s">
        <v>726</v>
      </c>
      <c r="L6" s="48">
        <v>158</v>
      </c>
      <c r="M6" s="57" t="s">
        <v>787</v>
      </c>
    </row>
    <row r="7" spans="1:14">
      <c r="A7" s="56" t="s">
        <v>729</v>
      </c>
      <c r="B7" s="108" t="s">
        <v>626</v>
      </c>
      <c r="C7" s="57" t="s">
        <v>673</v>
      </c>
      <c r="D7" s="48">
        <v>150</v>
      </c>
      <c r="E7" s="57" t="s">
        <v>753</v>
      </c>
      <c r="F7" s="48">
        <v>151</v>
      </c>
      <c r="G7" s="57" t="s">
        <v>413</v>
      </c>
      <c r="H7" s="48">
        <v>156</v>
      </c>
      <c r="I7" s="57" t="s">
        <v>755</v>
      </c>
      <c r="J7" s="48">
        <v>156</v>
      </c>
      <c r="K7" s="57" t="s">
        <v>756</v>
      </c>
      <c r="L7" s="48">
        <v>157</v>
      </c>
      <c r="M7" s="57" t="s">
        <v>757</v>
      </c>
      <c r="N7" s="48"/>
    </row>
    <row r="8" spans="1:14">
      <c r="A8" s="56" t="s">
        <v>621</v>
      </c>
      <c r="B8" s="108" t="s">
        <v>626</v>
      </c>
      <c r="C8" s="57" t="s">
        <v>415</v>
      </c>
      <c r="D8" s="48">
        <v>142</v>
      </c>
      <c r="E8" s="57" t="s">
        <v>412</v>
      </c>
      <c r="F8" s="48">
        <v>143</v>
      </c>
      <c r="G8" s="57" t="s">
        <v>403</v>
      </c>
      <c r="H8" s="48">
        <v>146</v>
      </c>
      <c r="I8" s="57" t="s">
        <v>726</v>
      </c>
      <c r="J8" s="48">
        <v>149</v>
      </c>
      <c r="K8" s="57" t="s">
        <v>675</v>
      </c>
      <c r="L8" s="48">
        <v>151</v>
      </c>
      <c r="M8" s="57"/>
      <c r="N8" s="48"/>
    </row>
    <row r="9" spans="1:14">
      <c r="A9" s="56" t="s">
        <v>607</v>
      </c>
      <c r="B9" s="108" t="s">
        <v>626</v>
      </c>
      <c r="C9" s="57" t="s">
        <v>608</v>
      </c>
      <c r="D9" s="48">
        <v>142</v>
      </c>
      <c r="E9" s="57" t="s">
        <v>673</v>
      </c>
      <c r="F9" s="48">
        <v>144</v>
      </c>
      <c r="G9" s="57" t="s">
        <v>502</v>
      </c>
      <c r="H9" s="48">
        <v>146</v>
      </c>
      <c r="I9" s="57" t="s">
        <v>412</v>
      </c>
      <c r="J9" s="48">
        <v>148</v>
      </c>
      <c r="K9" s="57" t="s">
        <v>674</v>
      </c>
      <c r="L9" s="48">
        <v>149</v>
      </c>
      <c r="M9" s="57"/>
      <c r="N9" s="48"/>
    </row>
  </sheetData>
  <pageMargins left="0.7" right="0.7" top="0.75" bottom="0.75" header="0.3" footer="0.3"/>
  <pageSetup scale="67" orientation="landscape" r:id="rId1"/>
  <headerFooter>
    <oddHeader>&amp;C&amp;"Arial,Bold"&amp;14Mini Spring Trip History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A25" sqref="A25"/>
    </sheetView>
  </sheetViews>
  <sheetFormatPr defaultRowHeight="12.75"/>
  <cols>
    <col min="1" max="1" width="17" customWidth="1"/>
    <col min="2" max="2" width="2.140625" customWidth="1"/>
    <col min="3" max="3" width="8.28515625" customWidth="1"/>
    <col min="4" max="4" width="2.140625" customWidth="1"/>
    <col min="5" max="9" width="9.140625" style="43"/>
  </cols>
  <sheetData>
    <row r="1" spans="1:9">
      <c r="E1" s="299" t="s">
        <v>821</v>
      </c>
      <c r="F1" s="299"/>
      <c r="G1" s="299"/>
    </row>
    <row r="3" spans="1:9">
      <c r="A3" s="109"/>
      <c r="B3" s="109"/>
      <c r="C3" s="127" t="s">
        <v>763</v>
      </c>
      <c r="D3" s="126"/>
      <c r="E3" s="127" t="s">
        <v>758</v>
      </c>
      <c r="F3" s="127" t="s">
        <v>759</v>
      </c>
      <c r="G3" s="127" t="s">
        <v>760</v>
      </c>
      <c r="H3" s="127" t="s">
        <v>761</v>
      </c>
      <c r="I3" s="127" t="s">
        <v>762</v>
      </c>
    </row>
    <row r="4" spans="1:9">
      <c r="A4" s="109"/>
      <c r="B4" s="109"/>
      <c r="C4" s="127"/>
      <c r="D4" s="126"/>
      <c r="E4" s="127"/>
      <c r="F4" s="127"/>
      <c r="G4" s="127"/>
      <c r="H4" s="127"/>
      <c r="I4" s="127"/>
    </row>
    <row r="5" spans="1:9">
      <c r="A5" s="282" t="s">
        <v>998</v>
      </c>
      <c r="B5" s="285"/>
      <c r="C5" s="110">
        <f t="shared" ref="C5:C23" si="0">SUM(E5:I5)</f>
        <v>1</v>
      </c>
      <c r="D5" s="287"/>
      <c r="E5" s="286"/>
      <c r="F5" s="284">
        <v>1</v>
      </c>
      <c r="G5" s="286"/>
      <c r="H5" s="286"/>
      <c r="I5" s="286"/>
    </row>
    <row r="6" spans="1:9">
      <c r="A6" s="115" t="s">
        <v>510</v>
      </c>
      <c r="B6" s="109"/>
      <c r="C6" s="110">
        <f t="shared" si="0"/>
        <v>3</v>
      </c>
      <c r="D6" s="109"/>
      <c r="E6" s="110">
        <v>1</v>
      </c>
      <c r="F6" s="110"/>
      <c r="G6" s="110"/>
      <c r="H6" s="110">
        <v>1</v>
      </c>
      <c r="I6" s="110">
        <v>1</v>
      </c>
    </row>
    <row r="7" spans="1:9">
      <c r="A7" s="115" t="s">
        <v>819</v>
      </c>
      <c r="B7" s="109"/>
      <c r="C7" s="110">
        <f t="shared" si="0"/>
        <v>2</v>
      </c>
      <c r="D7" s="109"/>
      <c r="E7" s="110">
        <v>1</v>
      </c>
      <c r="F7" s="110"/>
      <c r="G7" s="110"/>
      <c r="H7" s="110"/>
      <c r="I7" s="110">
        <v>1</v>
      </c>
    </row>
    <row r="8" spans="1:9">
      <c r="A8" s="115" t="s">
        <v>820</v>
      </c>
      <c r="B8" s="109"/>
      <c r="C8" s="110">
        <f t="shared" ref="C8" si="1">SUM(E8:I8)</f>
        <v>1</v>
      </c>
      <c r="D8" s="109"/>
      <c r="E8" s="110"/>
      <c r="F8" s="110"/>
      <c r="G8" s="110"/>
      <c r="H8" s="110"/>
      <c r="I8" s="110">
        <v>1</v>
      </c>
    </row>
    <row r="9" spans="1:9">
      <c r="A9" s="115" t="s">
        <v>12</v>
      </c>
      <c r="B9" s="109"/>
      <c r="C9" s="110">
        <f t="shared" si="0"/>
        <v>2</v>
      </c>
      <c r="D9" s="109"/>
      <c r="E9" s="110"/>
      <c r="F9" s="110">
        <v>1</v>
      </c>
      <c r="G9" s="110"/>
      <c r="H9" s="110">
        <v>1</v>
      </c>
      <c r="I9" s="110"/>
    </row>
    <row r="10" spans="1:9">
      <c r="A10" s="115" t="s">
        <v>348</v>
      </c>
      <c r="B10" s="109"/>
      <c r="C10" s="110">
        <f t="shared" si="0"/>
        <v>1</v>
      </c>
      <c r="D10" s="109"/>
      <c r="E10" s="110"/>
      <c r="F10" s="110"/>
      <c r="G10" s="110">
        <v>1</v>
      </c>
      <c r="H10" s="110"/>
      <c r="I10" s="110"/>
    </row>
    <row r="11" spans="1:9">
      <c r="A11" s="282" t="s">
        <v>23</v>
      </c>
      <c r="B11" s="285"/>
      <c r="C11" s="110">
        <f t="shared" si="0"/>
        <v>1</v>
      </c>
      <c r="D11" s="285"/>
      <c r="E11" s="283"/>
      <c r="F11" s="283"/>
      <c r="G11" s="283"/>
      <c r="H11" s="283">
        <v>1</v>
      </c>
      <c r="I11" s="283"/>
    </row>
    <row r="12" spans="1:9">
      <c r="A12" s="115" t="s">
        <v>520</v>
      </c>
      <c r="B12" s="109"/>
      <c r="C12" s="110">
        <f t="shared" si="0"/>
        <v>1</v>
      </c>
      <c r="D12" s="109"/>
      <c r="E12" s="110">
        <v>1</v>
      </c>
      <c r="F12" s="110"/>
      <c r="G12" s="110"/>
      <c r="H12" s="110"/>
      <c r="I12" s="110"/>
    </row>
    <row r="13" spans="1:9">
      <c r="A13" s="115" t="s">
        <v>24</v>
      </c>
      <c r="B13" s="109"/>
      <c r="C13" s="110">
        <f t="shared" si="0"/>
        <v>1</v>
      </c>
      <c r="D13" s="109"/>
      <c r="E13" s="110">
        <v>1</v>
      </c>
      <c r="F13" s="110"/>
      <c r="G13" s="110"/>
      <c r="H13" s="110"/>
      <c r="I13" s="110"/>
    </row>
    <row r="14" spans="1:9">
      <c r="A14" s="115" t="s">
        <v>25</v>
      </c>
      <c r="B14" s="109"/>
      <c r="C14" s="110">
        <f t="shared" si="0"/>
        <v>1</v>
      </c>
      <c r="D14" s="109"/>
      <c r="E14" s="110"/>
      <c r="F14" s="110"/>
      <c r="G14" s="110">
        <v>1</v>
      </c>
      <c r="H14" s="110"/>
      <c r="I14" s="110"/>
    </row>
    <row r="15" spans="1:9">
      <c r="A15" s="115" t="s">
        <v>560</v>
      </c>
      <c r="B15" s="109"/>
      <c r="C15" s="110">
        <f t="shared" si="0"/>
        <v>1</v>
      </c>
      <c r="D15" s="109"/>
      <c r="E15" s="110"/>
      <c r="F15" s="110"/>
      <c r="G15" s="110">
        <v>1</v>
      </c>
      <c r="H15" s="110"/>
      <c r="I15" s="110"/>
    </row>
    <row r="16" spans="1:9">
      <c r="A16" s="115" t="s">
        <v>511</v>
      </c>
      <c r="B16" s="109"/>
      <c r="C16" s="110">
        <f t="shared" si="0"/>
        <v>2</v>
      </c>
      <c r="D16" s="109"/>
      <c r="E16" s="110"/>
      <c r="F16" s="110">
        <v>1</v>
      </c>
      <c r="G16" s="110"/>
      <c r="H16" s="110">
        <v>1</v>
      </c>
      <c r="I16" s="110"/>
    </row>
    <row r="17" spans="1:9">
      <c r="A17" s="217" t="s">
        <v>788</v>
      </c>
      <c r="B17" s="185"/>
      <c r="C17" s="110">
        <f t="shared" si="0"/>
        <v>2</v>
      </c>
      <c r="D17" s="185"/>
      <c r="E17" s="219">
        <v>1</v>
      </c>
      <c r="F17" s="219"/>
      <c r="G17" s="219"/>
      <c r="H17" s="219">
        <v>1</v>
      </c>
      <c r="I17" s="219"/>
    </row>
    <row r="18" spans="1:9">
      <c r="A18" s="217" t="s">
        <v>786</v>
      </c>
      <c r="B18" s="185"/>
      <c r="C18" s="110">
        <f t="shared" si="0"/>
        <v>3</v>
      </c>
      <c r="D18" s="185"/>
      <c r="E18" s="219">
        <v>1</v>
      </c>
      <c r="F18" s="219"/>
      <c r="G18" s="219">
        <v>1</v>
      </c>
      <c r="H18" s="219"/>
      <c r="I18" s="219">
        <v>1</v>
      </c>
    </row>
    <row r="19" spans="1:9">
      <c r="A19" s="115" t="s">
        <v>265</v>
      </c>
      <c r="B19" s="109"/>
      <c r="C19" s="110">
        <f t="shared" si="0"/>
        <v>4</v>
      </c>
      <c r="D19" s="109"/>
      <c r="E19" s="110"/>
      <c r="F19" s="110">
        <v>1</v>
      </c>
      <c r="G19" s="110"/>
      <c r="H19" s="110">
        <v>2</v>
      </c>
      <c r="I19" s="110">
        <v>1</v>
      </c>
    </row>
    <row r="20" spans="1:9">
      <c r="A20" s="115" t="s">
        <v>672</v>
      </c>
      <c r="B20" s="109"/>
      <c r="C20" s="110">
        <f t="shared" si="0"/>
        <v>1</v>
      </c>
      <c r="D20" s="109"/>
      <c r="E20" s="110"/>
      <c r="F20" s="110"/>
      <c r="G20" s="110"/>
      <c r="H20" s="110"/>
      <c r="I20" s="110">
        <v>1</v>
      </c>
    </row>
    <row r="21" spans="1:9">
      <c r="A21" s="115" t="s">
        <v>519</v>
      </c>
      <c r="B21" s="109"/>
      <c r="C21" s="110">
        <f t="shared" si="0"/>
        <v>5</v>
      </c>
      <c r="D21" s="109"/>
      <c r="E21" s="110">
        <v>1</v>
      </c>
      <c r="F21" s="110">
        <v>4</v>
      </c>
      <c r="G21" s="110"/>
      <c r="H21" s="110"/>
      <c r="I21" s="110"/>
    </row>
    <row r="22" spans="1:9">
      <c r="A22" s="115" t="s">
        <v>259</v>
      </c>
      <c r="B22" s="109"/>
      <c r="C22" s="110">
        <f t="shared" si="0"/>
        <v>2</v>
      </c>
      <c r="D22" s="109"/>
      <c r="E22" s="110"/>
      <c r="F22" s="110"/>
      <c r="G22" s="110">
        <v>1</v>
      </c>
      <c r="H22" s="110">
        <v>1</v>
      </c>
      <c r="I22" s="110"/>
    </row>
    <row r="23" spans="1:9">
      <c r="A23" s="115" t="s">
        <v>351</v>
      </c>
      <c r="B23" s="109"/>
      <c r="C23" s="110">
        <f t="shared" si="0"/>
        <v>2</v>
      </c>
      <c r="D23" s="109"/>
      <c r="E23" s="110"/>
      <c r="F23" s="110"/>
      <c r="G23" s="110"/>
      <c r="H23" s="110">
        <v>1</v>
      </c>
      <c r="I23" s="110">
        <v>1</v>
      </c>
    </row>
    <row r="24" spans="1:9">
      <c r="A24" s="115" t="s">
        <v>352</v>
      </c>
      <c r="B24" s="109"/>
      <c r="C24" s="110">
        <f t="shared" ref="C24" si="2">SUM(E24:I24)</f>
        <v>1</v>
      </c>
      <c r="D24" s="109"/>
      <c r="E24" s="110"/>
      <c r="F24" s="110"/>
      <c r="G24" s="110">
        <v>1</v>
      </c>
      <c r="H24" s="110"/>
      <c r="I24" s="110"/>
    </row>
  </sheetData>
  <mergeCells count="1">
    <mergeCell ref="E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I9" sqref="I9"/>
    </sheetView>
  </sheetViews>
  <sheetFormatPr defaultRowHeight="12.75"/>
  <cols>
    <col min="2" max="2" width="21.7109375" customWidth="1"/>
    <col min="6" max="6" width="15.7109375" bestFit="1" customWidth="1"/>
    <col min="7" max="7" width="15.85546875" bestFit="1" customWidth="1"/>
  </cols>
  <sheetData>
    <row r="1" spans="1:7">
      <c r="A1" s="33" t="s">
        <v>280</v>
      </c>
      <c r="F1" s="70" t="s">
        <v>553</v>
      </c>
      <c r="G1" t="s">
        <v>478</v>
      </c>
    </row>
    <row r="2" spans="1:7">
      <c r="F2" s="35" t="s">
        <v>281</v>
      </c>
      <c r="G2" s="71">
        <v>9</v>
      </c>
    </row>
    <row r="3" spans="1:7">
      <c r="A3" s="34" t="s">
        <v>92</v>
      </c>
      <c r="B3" s="34" t="s">
        <v>95</v>
      </c>
      <c r="C3" s="34" t="s">
        <v>279</v>
      </c>
      <c r="F3" s="35" t="s">
        <v>498</v>
      </c>
      <c r="G3" s="71">
        <v>4</v>
      </c>
    </row>
    <row r="4" spans="1:7">
      <c r="A4" s="63" t="s">
        <v>987</v>
      </c>
      <c r="B4" s="64" t="s">
        <v>534</v>
      </c>
      <c r="C4" s="69">
        <v>579</v>
      </c>
      <c r="F4" s="35" t="s">
        <v>272</v>
      </c>
      <c r="G4" s="71">
        <v>4</v>
      </c>
    </row>
    <row r="5" spans="1:7">
      <c r="A5" s="63">
        <v>2016</v>
      </c>
      <c r="B5" s="64" t="s">
        <v>498</v>
      </c>
      <c r="C5" s="69">
        <v>595.5</v>
      </c>
      <c r="F5" s="35" t="s">
        <v>100</v>
      </c>
      <c r="G5" s="71">
        <v>4</v>
      </c>
    </row>
    <row r="6" spans="1:7">
      <c r="A6" s="63">
        <v>2015</v>
      </c>
      <c r="B6" s="64" t="s">
        <v>534</v>
      </c>
      <c r="C6" s="69">
        <v>775.4</v>
      </c>
      <c r="F6" s="35" t="s">
        <v>274</v>
      </c>
      <c r="G6" s="71">
        <v>2</v>
      </c>
    </row>
    <row r="7" spans="1:7">
      <c r="A7" s="63" t="s">
        <v>729</v>
      </c>
      <c r="B7" s="64" t="s">
        <v>498</v>
      </c>
      <c r="C7" s="69">
        <v>802.85</v>
      </c>
      <c r="F7" s="35" t="s">
        <v>144</v>
      </c>
      <c r="G7" s="71">
        <v>2</v>
      </c>
    </row>
    <row r="8" spans="1:7">
      <c r="A8" s="63" t="s">
        <v>621</v>
      </c>
      <c r="B8" s="64" t="s">
        <v>612</v>
      </c>
      <c r="C8" s="106">
        <v>776.45</v>
      </c>
      <c r="F8" s="35" t="s">
        <v>358</v>
      </c>
      <c r="G8" s="71">
        <v>2</v>
      </c>
    </row>
    <row r="9" spans="1:7">
      <c r="A9" s="63" t="s">
        <v>607</v>
      </c>
      <c r="B9" s="64" t="s">
        <v>281</v>
      </c>
      <c r="C9" s="106">
        <v>557.4</v>
      </c>
      <c r="F9" s="35" t="s">
        <v>359</v>
      </c>
      <c r="G9" s="71">
        <v>2</v>
      </c>
    </row>
    <row r="10" spans="1:7">
      <c r="A10" s="63" t="s">
        <v>593</v>
      </c>
      <c r="B10" s="64" t="s">
        <v>596</v>
      </c>
      <c r="C10" s="69">
        <v>824.4</v>
      </c>
      <c r="F10" s="35" t="s">
        <v>534</v>
      </c>
      <c r="G10" s="71">
        <v>2</v>
      </c>
    </row>
    <row r="11" spans="1:7">
      <c r="A11" s="63" t="s">
        <v>533</v>
      </c>
      <c r="B11" s="64" t="s">
        <v>554</v>
      </c>
      <c r="C11" s="69">
        <v>661.2</v>
      </c>
      <c r="F11" s="35" t="s">
        <v>357</v>
      </c>
      <c r="G11" s="71">
        <v>1</v>
      </c>
    </row>
    <row r="12" spans="1:7">
      <c r="A12" s="63" t="s">
        <v>514</v>
      </c>
      <c r="B12" s="64" t="s">
        <v>540</v>
      </c>
      <c r="C12" s="36">
        <v>476.35</v>
      </c>
      <c r="F12" s="35" t="s">
        <v>596</v>
      </c>
      <c r="G12" s="71">
        <v>1</v>
      </c>
    </row>
    <row r="13" spans="1:7">
      <c r="A13" s="58" t="s">
        <v>503</v>
      </c>
      <c r="B13" t="s">
        <v>498</v>
      </c>
      <c r="C13" s="36">
        <v>516</v>
      </c>
      <c r="F13" s="35" t="s">
        <v>540</v>
      </c>
      <c r="G13" s="71">
        <v>1</v>
      </c>
    </row>
    <row r="14" spans="1:7">
      <c r="A14" s="41" t="s">
        <v>484</v>
      </c>
      <c r="B14" t="s">
        <v>498</v>
      </c>
      <c r="C14" s="36">
        <v>407.9</v>
      </c>
      <c r="F14" s="35" t="s">
        <v>275</v>
      </c>
      <c r="G14" s="71">
        <v>1</v>
      </c>
    </row>
    <row r="15" spans="1:7">
      <c r="A15" s="41" t="s">
        <v>482</v>
      </c>
      <c r="B15" t="s">
        <v>144</v>
      </c>
      <c r="C15" s="36">
        <v>467.4</v>
      </c>
      <c r="F15" s="35" t="s">
        <v>285</v>
      </c>
      <c r="G15" s="71">
        <v>1</v>
      </c>
    </row>
    <row r="16" spans="1:7">
      <c r="A16" s="41" t="s">
        <v>467</v>
      </c>
      <c r="B16" t="s">
        <v>359</v>
      </c>
      <c r="C16" s="36">
        <v>702.2</v>
      </c>
      <c r="F16" s="35" t="s">
        <v>612</v>
      </c>
      <c r="G16" s="71">
        <v>1</v>
      </c>
    </row>
    <row r="17" spans="1:7">
      <c r="A17" s="41" t="s">
        <v>458</v>
      </c>
      <c r="B17" t="s">
        <v>477</v>
      </c>
      <c r="C17" s="36">
        <v>385.15</v>
      </c>
      <c r="F17" s="35" t="s">
        <v>112</v>
      </c>
      <c r="G17" s="71">
        <v>1</v>
      </c>
    </row>
    <row r="18" spans="1:7">
      <c r="A18" s="41" t="s">
        <v>369</v>
      </c>
      <c r="B18" t="s">
        <v>112</v>
      </c>
      <c r="C18" s="36">
        <v>761.1</v>
      </c>
      <c r="F18" s="35" t="s">
        <v>276</v>
      </c>
      <c r="G18" s="71">
        <v>1</v>
      </c>
    </row>
    <row r="19" spans="1:7">
      <c r="A19" s="35">
        <v>2002</v>
      </c>
      <c r="B19" t="s">
        <v>281</v>
      </c>
      <c r="C19" s="36">
        <v>452.6</v>
      </c>
      <c r="F19" s="35" t="s">
        <v>138</v>
      </c>
      <c r="G19" s="71">
        <v>1</v>
      </c>
    </row>
    <row r="20" spans="1:7">
      <c r="A20" s="35">
        <v>2001</v>
      </c>
      <c r="B20" t="s">
        <v>358</v>
      </c>
      <c r="C20" s="36">
        <v>378.25</v>
      </c>
      <c r="F20" s="35" t="s">
        <v>284</v>
      </c>
      <c r="G20" s="71">
        <v>1</v>
      </c>
    </row>
    <row r="21" spans="1:7">
      <c r="A21" s="35">
        <v>2000</v>
      </c>
      <c r="B21" t="s">
        <v>281</v>
      </c>
      <c r="C21" s="36">
        <v>558.25</v>
      </c>
      <c r="F21" s="35" t="s">
        <v>365</v>
      </c>
      <c r="G21" s="71">
        <v>1</v>
      </c>
    </row>
    <row r="22" spans="1:7">
      <c r="A22" s="35">
        <v>1999</v>
      </c>
      <c r="B22" t="s">
        <v>281</v>
      </c>
      <c r="C22" s="36">
        <v>693.15</v>
      </c>
      <c r="F22" s="35" t="s">
        <v>355</v>
      </c>
      <c r="G22" s="71">
        <v>1</v>
      </c>
    </row>
    <row r="23" spans="1:7">
      <c r="A23" s="35">
        <v>1998</v>
      </c>
      <c r="B23" t="s">
        <v>365</v>
      </c>
      <c r="C23" s="36">
        <v>422.55</v>
      </c>
      <c r="F23" s="35" t="s">
        <v>364</v>
      </c>
      <c r="G23" s="71">
        <v>1</v>
      </c>
    </row>
    <row r="24" spans="1:7">
      <c r="A24" s="35">
        <v>1997</v>
      </c>
      <c r="B24" t="s">
        <v>364</v>
      </c>
      <c r="C24" s="36">
        <v>533.85</v>
      </c>
      <c r="F24" s="35" t="s">
        <v>155</v>
      </c>
      <c r="G24" s="71">
        <v>1</v>
      </c>
    </row>
    <row r="25" spans="1:7">
      <c r="A25" s="35">
        <v>1996</v>
      </c>
      <c r="B25" t="s">
        <v>155</v>
      </c>
      <c r="C25" s="36">
        <v>284.89999999999998</v>
      </c>
      <c r="F25" s="35" t="s">
        <v>477</v>
      </c>
      <c r="G25" s="71">
        <v>1</v>
      </c>
    </row>
    <row r="26" spans="1:7">
      <c r="A26" s="35">
        <v>1995</v>
      </c>
      <c r="B26" t="s">
        <v>281</v>
      </c>
      <c r="C26" s="36">
        <v>476.6</v>
      </c>
      <c r="F26" s="35" t="s">
        <v>361</v>
      </c>
      <c r="G26" s="71">
        <v>1</v>
      </c>
    </row>
    <row r="27" spans="1:7">
      <c r="A27" s="35">
        <v>1994</v>
      </c>
      <c r="B27" t="s">
        <v>144</v>
      </c>
      <c r="C27" s="36">
        <v>630.5</v>
      </c>
      <c r="F27" s="35" t="s">
        <v>554</v>
      </c>
      <c r="G27" s="71">
        <v>1</v>
      </c>
    </row>
    <row r="28" spans="1:7">
      <c r="A28" s="35">
        <v>1993</v>
      </c>
      <c r="B28" t="s">
        <v>281</v>
      </c>
      <c r="C28" s="36">
        <v>312.89999999999998</v>
      </c>
      <c r="F28" s="35" t="s">
        <v>277</v>
      </c>
      <c r="G28" s="71">
        <v>1</v>
      </c>
    </row>
    <row r="29" spans="1:7">
      <c r="A29" s="35">
        <v>1992</v>
      </c>
      <c r="B29" t="s">
        <v>359</v>
      </c>
      <c r="C29" s="36">
        <v>408.9</v>
      </c>
      <c r="F29" s="35" t="s">
        <v>283</v>
      </c>
      <c r="G29" s="71">
        <v>1</v>
      </c>
    </row>
    <row r="30" spans="1:7">
      <c r="A30" s="35">
        <v>1991</v>
      </c>
      <c r="B30" t="s">
        <v>138</v>
      </c>
      <c r="C30" s="36">
        <v>247.7</v>
      </c>
      <c r="F30" s="35" t="s">
        <v>282</v>
      </c>
      <c r="G30" s="71">
        <v>1</v>
      </c>
    </row>
    <row r="31" spans="1:7">
      <c r="A31" s="35">
        <v>1990</v>
      </c>
      <c r="B31" t="s">
        <v>361</v>
      </c>
      <c r="C31" s="36">
        <v>226.15</v>
      </c>
      <c r="F31" s="35" t="s">
        <v>368</v>
      </c>
      <c r="G31" s="71">
        <v>51</v>
      </c>
    </row>
    <row r="32" spans="1:7">
      <c r="A32" s="35">
        <v>1989</v>
      </c>
      <c r="B32" t="s">
        <v>281</v>
      </c>
      <c r="C32" s="36">
        <v>154.35</v>
      </c>
    </row>
    <row r="33" spans="1:3">
      <c r="A33" s="35">
        <v>1988</v>
      </c>
      <c r="B33" t="s">
        <v>358</v>
      </c>
      <c r="C33" s="36">
        <v>218.8</v>
      </c>
    </row>
    <row r="34" spans="1:3">
      <c r="A34" s="35">
        <v>1987</v>
      </c>
      <c r="B34" t="s">
        <v>272</v>
      </c>
      <c r="C34" s="36">
        <v>280.14999999999998</v>
      </c>
    </row>
    <row r="35" spans="1:3">
      <c r="A35" s="35">
        <v>1986</v>
      </c>
      <c r="B35" t="s">
        <v>357</v>
      </c>
      <c r="C35" s="36">
        <v>155.44999999999999</v>
      </c>
    </row>
    <row r="36" spans="1:3">
      <c r="A36" s="35">
        <v>1985</v>
      </c>
      <c r="B36" t="s">
        <v>355</v>
      </c>
      <c r="C36" s="36">
        <v>247.4</v>
      </c>
    </row>
    <row r="37" spans="1:3">
      <c r="A37" s="35">
        <v>1984</v>
      </c>
      <c r="B37" t="s">
        <v>272</v>
      </c>
      <c r="C37" s="36">
        <v>180.5</v>
      </c>
    </row>
    <row r="38" spans="1:3">
      <c r="A38" s="35">
        <v>1983</v>
      </c>
      <c r="B38" t="s">
        <v>281</v>
      </c>
      <c r="C38" s="36">
        <v>342.2</v>
      </c>
    </row>
    <row r="39" spans="1:3">
      <c r="A39" s="35">
        <v>1982</v>
      </c>
      <c r="B39" t="s">
        <v>282</v>
      </c>
      <c r="C39" s="36">
        <v>184.2</v>
      </c>
    </row>
    <row r="40" spans="1:3">
      <c r="A40" s="35">
        <v>1981</v>
      </c>
      <c r="B40" t="s">
        <v>277</v>
      </c>
      <c r="C40" s="36">
        <v>171.75</v>
      </c>
    </row>
    <row r="41" spans="1:3">
      <c r="A41" s="35">
        <v>1980</v>
      </c>
      <c r="B41" t="s">
        <v>283</v>
      </c>
      <c r="C41" s="36">
        <v>208.8</v>
      </c>
    </row>
    <row r="42" spans="1:3">
      <c r="A42" s="35">
        <v>1979</v>
      </c>
      <c r="B42" t="s">
        <v>276</v>
      </c>
      <c r="C42" s="36">
        <v>234</v>
      </c>
    </row>
    <row r="43" spans="1:3">
      <c r="A43" s="35">
        <v>1978</v>
      </c>
      <c r="B43" t="s">
        <v>272</v>
      </c>
      <c r="C43" s="36">
        <v>129.6</v>
      </c>
    </row>
    <row r="44" spans="1:3">
      <c r="A44" s="35">
        <v>1977</v>
      </c>
      <c r="B44" t="s">
        <v>274</v>
      </c>
      <c r="C44" s="36">
        <v>147.80000000000001</v>
      </c>
    </row>
    <row r="45" spans="1:3">
      <c r="A45" s="35">
        <v>1976</v>
      </c>
      <c r="B45" t="s">
        <v>281</v>
      </c>
      <c r="C45" s="36">
        <v>170.95</v>
      </c>
    </row>
    <row r="46" spans="1:3">
      <c r="A46" s="35">
        <v>1975</v>
      </c>
      <c r="B46" t="s">
        <v>274</v>
      </c>
      <c r="C46" s="36">
        <v>114.3</v>
      </c>
    </row>
    <row r="47" spans="1:3">
      <c r="A47" s="35">
        <v>1974</v>
      </c>
      <c r="B47" t="s">
        <v>284</v>
      </c>
      <c r="C47" s="36">
        <v>101.4</v>
      </c>
    </row>
    <row r="48" spans="1:3">
      <c r="A48" s="35">
        <v>1973</v>
      </c>
      <c r="B48" t="s">
        <v>275</v>
      </c>
      <c r="C48" s="36">
        <v>143.30000000000001</v>
      </c>
    </row>
    <row r="49" spans="1:3">
      <c r="A49" s="35">
        <v>1972</v>
      </c>
      <c r="B49" t="s">
        <v>272</v>
      </c>
      <c r="C49" s="36">
        <v>166.15</v>
      </c>
    </row>
    <row r="50" spans="1:3">
      <c r="A50" s="35">
        <v>1971</v>
      </c>
      <c r="B50" t="s">
        <v>285</v>
      </c>
      <c r="C50" s="36">
        <v>166.55</v>
      </c>
    </row>
    <row r="51" spans="1:3">
      <c r="A51" s="35">
        <v>1970</v>
      </c>
      <c r="B51" t="s">
        <v>100</v>
      </c>
      <c r="C51" s="36">
        <v>133.15</v>
      </c>
    </row>
    <row r="52" spans="1:3">
      <c r="A52" s="35">
        <v>1969</v>
      </c>
      <c r="B52" t="s">
        <v>100</v>
      </c>
      <c r="C52" s="36">
        <v>118</v>
      </c>
    </row>
    <row r="53" spans="1:3">
      <c r="A53" s="35">
        <v>1968</v>
      </c>
      <c r="B53" t="s">
        <v>100</v>
      </c>
      <c r="C53" s="36">
        <v>169.2</v>
      </c>
    </row>
    <row r="54" spans="1:3">
      <c r="A54" s="35">
        <v>1967</v>
      </c>
      <c r="B54" t="s">
        <v>100</v>
      </c>
      <c r="C54" s="36">
        <v>155.80000000000001</v>
      </c>
    </row>
  </sheetData>
  <autoFilter ref="A4:C54"/>
  <phoneticPr fontId="0" type="noConversion"/>
  <pageMargins left="0.75" right="0.75" top="1" bottom="1" header="0.5" footer="0.5"/>
  <pageSetup scale="98" orientation="portrait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F9" sqref="F9"/>
    </sheetView>
  </sheetViews>
  <sheetFormatPr defaultRowHeight="12.75"/>
  <cols>
    <col min="2" max="2" width="17.28515625" customWidth="1"/>
    <col min="6" max="6" width="15.28515625" bestFit="1" customWidth="1"/>
    <col min="7" max="7" width="15.85546875" bestFit="1" customWidth="1"/>
  </cols>
  <sheetData>
    <row r="1" spans="1:7">
      <c r="A1" s="33" t="s">
        <v>278</v>
      </c>
      <c r="F1" s="70" t="s">
        <v>553</v>
      </c>
      <c r="G1" t="s">
        <v>478</v>
      </c>
    </row>
    <row r="2" spans="1:7">
      <c r="A2" s="33"/>
      <c r="F2" s="35" t="s">
        <v>272</v>
      </c>
      <c r="G2" s="71">
        <v>8</v>
      </c>
    </row>
    <row r="3" spans="1:7">
      <c r="A3" s="34" t="s">
        <v>92</v>
      </c>
      <c r="B3" s="34" t="s">
        <v>95</v>
      </c>
      <c r="C3" s="34" t="s">
        <v>279</v>
      </c>
      <c r="F3" s="35" t="s">
        <v>230</v>
      </c>
      <c r="G3" s="71">
        <v>5</v>
      </c>
    </row>
    <row r="4" spans="1:7">
      <c r="A4" s="63" t="s">
        <v>987</v>
      </c>
      <c r="B4" s="64" t="s">
        <v>540</v>
      </c>
      <c r="C4" s="215">
        <v>72.847999999999999</v>
      </c>
      <c r="F4" s="35" t="s">
        <v>288</v>
      </c>
      <c r="G4" s="71">
        <v>4</v>
      </c>
    </row>
    <row r="5" spans="1:7">
      <c r="A5" s="63">
        <v>2016</v>
      </c>
      <c r="B5" s="64" t="s">
        <v>798</v>
      </c>
      <c r="C5" s="215">
        <v>73.462000000000003</v>
      </c>
      <c r="F5" s="35" t="s">
        <v>100</v>
      </c>
      <c r="G5" s="71">
        <v>4</v>
      </c>
    </row>
    <row r="6" spans="1:7">
      <c r="A6" s="63">
        <v>2015</v>
      </c>
      <c r="B6" s="64" t="s">
        <v>534</v>
      </c>
      <c r="C6" s="215">
        <v>72.867999999999995</v>
      </c>
      <c r="F6" s="35" t="s">
        <v>153</v>
      </c>
      <c r="G6" s="71">
        <v>3</v>
      </c>
    </row>
    <row r="7" spans="1:7">
      <c r="A7" s="63" t="s">
        <v>729</v>
      </c>
      <c r="B7" s="64" t="s">
        <v>288</v>
      </c>
      <c r="C7" s="215">
        <v>73.17</v>
      </c>
      <c r="F7" s="35" t="s">
        <v>275</v>
      </c>
      <c r="G7" s="71">
        <v>2</v>
      </c>
    </row>
    <row r="8" spans="1:7">
      <c r="A8" s="58" t="s">
        <v>621</v>
      </c>
      <c r="B8" s="50" t="s">
        <v>611</v>
      </c>
      <c r="C8" s="37">
        <v>73.111000000000004</v>
      </c>
      <c r="F8" s="35" t="s">
        <v>138</v>
      </c>
      <c r="G8" s="71">
        <v>2</v>
      </c>
    </row>
    <row r="9" spans="1:7">
      <c r="A9" s="58" t="s">
        <v>607</v>
      </c>
      <c r="B9" s="50" t="s">
        <v>611</v>
      </c>
      <c r="C9" s="37">
        <v>72.462000000000003</v>
      </c>
      <c r="F9" s="35" t="s">
        <v>534</v>
      </c>
      <c r="G9" s="71">
        <v>2</v>
      </c>
    </row>
    <row r="10" spans="1:7">
      <c r="A10" s="58" t="s">
        <v>593</v>
      </c>
      <c r="B10" s="50" t="s">
        <v>540</v>
      </c>
      <c r="C10" s="37">
        <v>72.55</v>
      </c>
      <c r="F10" s="35" t="s">
        <v>540</v>
      </c>
      <c r="G10" s="71">
        <v>2</v>
      </c>
    </row>
    <row r="11" spans="1:7">
      <c r="A11" s="58" t="s">
        <v>533</v>
      </c>
      <c r="B11" s="50" t="s">
        <v>288</v>
      </c>
      <c r="C11" s="37">
        <v>72.760000000000005</v>
      </c>
      <c r="F11" s="35" t="s">
        <v>361</v>
      </c>
      <c r="G11" s="71">
        <v>2</v>
      </c>
    </row>
    <row r="12" spans="1:7">
      <c r="A12" s="58" t="s">
        <v>514</v>
      </c>
      <c r="B12" s="50" t="s">
        <v>534</v>
      </c>
      <c r="C12" s="37">
        <v>71.56</v>
      </c>
      <c r="F12" s="35" t="s">
        <v>611</v>
      </c>
      <c r="G12" s="71">
        <v>2</v>
      </c>
    </row>
    <row r="13" spans="1:7">
      <c r="A13" s="58" t="s">
        <v>503</v>
      </c>
      <c r="B13" s="50" t="s">
        <v>288</v>
      </c>
      <c r="C13" s="37">
        <v>73.239000000000004</v>
      </c>
      <c r="F13" s="35" t="s">
        <v>287</v>
      </c>
      <c r="G13" s="71">
        <v>1</v>
      </c>
    </row>
    <row r="14" spans="1:7">
      <c r="A14" s="41" t="s">
        <v>484</v>
      </c>
      <c r="B14" t="s">
        <v>153</v>
      </c>
      <c r="C14" s="37">
        <v>70.923000000000002</v>
      </c>
      <c r="F14" s="35" t="s">
        <v>281</v>
      </c>
      <c r="G14" s="71">
        <v>1</v>
      </c>
    </row>
    <row r="15" spans="1:7">
      <c r="A15" s="41" t="s">
        <v>482</v>
      </c>
      <c r="B15" t="s">
        <v>230</v>
      </c>
      <c r="C15" s="37">
        <v>71.917000000000002</v>
      </c>
      <c r="F15" s="35" t="s">
        <v>277</v>
      </c>
      <c r="G15" s="71">
        <v>1</v>
      </c>
    </row>
    <row r="16" spans="1:7">
      <c r="A16" s="41" t="s">
        <v>467</v>
      </c>
      <c r="B16" t="s">
        <v>233</v>
      </c>
      <c r="C16" s="37">
        <v>70.882999999999996</v>
      </c>
      <c r="F16" s="35" t="s">
        <v>356</v>
      </c>
      <c r="G16" s="71">
        <v>1</v>
      </c>
    </row>
    <row r="17" spans="1:7">
      <c r="A17" s="41" t="s">
        <v>458</v>
      </c>
      <c r="B17" t="s">
        <v>230</v>
      </c>
      <c r="C17" s="37">
        <v>72.263000000000005</v>
      </c>
      <c r="F17" s="35" t="s">
        <v>271</v>
      </c>
      <c r="G17" s="71">
        <v>1</v>
      </c>
    </row>
    <row r="18" spans="1:7">
      <c r="A18" s="41" t="s">
        <v>369</v>
      </c>
      <c r="B18" t="s">
        <v>230</v>
      </c>
      <c r="C18" s="37">
        <v>72.817999999999998</v>
      </c>
      <c r="F18" s="35" t="s">
        <v>362</v>
      </c>
      <c r="G18" s="71">
        <v>1</v>
      </c>
    </row>
    <row r="19" spans="1:7">
      <c r="A19" s="35">
        <v>2002</v>
      </c>
      <c r="B19" t="s">
        <v>230</v>
      </c>
      <c r="C19" s="37">
        <v>71.900000000000006</v>
      </c>
      <c r="F19" s="35" t="s">
        <v>360</v>
      </c>
      <c r="G19" s="71">
        <v>1</v>
      </c>
    </row>
    <row r="20" spans="1:7">
      <c r="A20" s="35">
        <v>2001</v>
      </c>
      <c r="B20" t="s">
        <v>288</v>
      </c>
      <c r="C20" s="37">
        <v>72.8</v>
      </c>
      <c r="F20" s="35" t="s">
        <v>106</v>
      </c>
      <c r="G20" s="71">
        <v>1</v>
      </c>
    </row>
    <row r="21" spans="1:7">
      <c r="A21" s="35">
        <v>2000</v>
      </c>
      <c r="B21" t="s">
        <v>281</v>
      </c>
      <c r="C21" s="37">
        <v>73.489000000000004</v>
      </c>
      <c r="F21" s="35" t="s">
        <v>274</v>
      </c>
      <c r="G21" s="71">
        <v>1</v>
      </c>
    </row>
    <row r="22" spans="1:7">
      <c r="A22" s="35">
        <v>1999</v>
      </c>
      <c r="B22" t="s">
        <v>286</v>
      </c>
      <c r="C22" s="37">
        <v>71.5</v>
      </c>
      <c r="F22" s="35" t="s">
        <v>276</v>
      </c>
      <c r="G22" s="71">
        <v>1</v>
      </c>
    </row>
    <row r="23" spans="1:7">
      <c r="A23" s="35">
        <v>1998</v>
      </c>
      <c r="B23" t="s">
        <v>153</v>
      </c>
      <c r="C23" s="37">
        <v>70.066999999999993</v>
      </c>
      <c r="F23" s="35" t="s">
        <v>798</v>
      </c>
      <c r="G23" s="71">
        <v>1</v>
      </c>
    </row>
    <row r="24" spans="1:7">
      <c r="A24" s="35">
        <v>1997</v>
      </c>
      <c r="B24" t="s">
        <v>287</v>
      </c>
      <c r="C24" s="37">
        <v>71.736999999999995</v>
      </c>
      <c r="F24" s="35" t="s">
        <v>47</v>
      </c>
      <c r="G24" s="71">
        <v>1</v>
      </c>
    </row>
    <row r="25" spans="1:7">
      <c r="A25" s="35">
        <v>1996</v>
      </c>
      <c r="B25" t="s">
        <v>230</v>
      </c>
      <c r="C25" s="37">
        <v>72.733000000000004</v>
      </c>
      <c r="F25" s="35" t="s">
        <v>273</v>
      </c>
      <c r="G25" s="71">
        <v>1</v>
      </c>
    </row>
    <row r="26" spans="1:7">
      <c r="A26" s="35">
        <v>1995</v>
      </c>
      <c r="B26" t="s">
        <v>362</v>
      </c>
      <c r="C26" s="37">
        <v>70.582999999999998</v>
      </c>
      <c r="F26" s="35" t="s">
        <v>286</v>
      </c>
      <c r="G26" s="71">
        <v>1</v>
      </c>
    </row>
    <row r="27" spans="1:7">
      <c r="A27" s="35">
        <v>1994</v>
      </c>
      <c r="B27" t="s">
        <v>138</v>
      </c>
      <c r="C27" s="37">
        <v>71.308000000000007</v>
      </c>
      <c r="F27" s="35" t="s">
        <v>233</v>
      </c>
      <c r="G27" s="71">
        <v>1</v>
      </c>
    </row>
    <row r="28" spans="1:7">
      <c r="A28" s="35">
        <v>1993</v>
      </c>
      <c r="B28" t="s">
        <v>361</v>
      </c>
      <c r="C28" s="37">
        <v>72.263000000000005</v>
      </c>
      <c r="F28" s="35" t="s">
        <v>368</v>
      </c>
      <c r="G28" s="71">
        <v>51</v>
      </c>
    </row>
    <row r="29" spans="1:7">
      <c r="A29" s="35">
        <v>1992</v>
      </c>
      <c r="B29" t="s">
        <v>360</v>
      </c>
      <c r="C29" s="37">
        <v>73.188000000000002</v>
      </c>
    </row>
    <row r="30" spans="1:7">
      <c r="A30" s="35">
        <v>1991</v>
      </c>
      <c r="B30" t="s">
        <v>138</v>
      </c>
      <c r="C30" s="37">
        <v>71</v>
      </c>
    </row>
    <row r="31" spans="1:7">
      <c r="A31" s="35">
        <v>1990</v>
      </c>
      <c r="B31" t="s">
        <v>361</v>
      </c>
      <c r="C31" s="37">
        <v>68.994</v>
      </c>
    </row>
    <row r="32" spans="1:7">
      <c r="A32" s="35">
        <v>1989</v>
      </c>
      <c r="B32" t="s">
        <v>153</v>
      </c>
      <c r="C32" s="37">
        <v>72.125</v>
      </c>
    </row>
    <row r="33" spans="1:3">
      <c r="A33" s="35">
        <v>1988</v>
      </c>
      <c r="B33" t="s">
        <v>272</v>
      </c>
      <c r="C33" s="37">
        <v>72.120999999999995</v>
      </c>
    </row>
    <row r="34" spans="1:3">
      <c r="A34" s="35">
        <v>1987</v>
      </c>
      <c r="B34" t="s">
        <v>272</v>
      </c>
      <c r="C34" s="37">
        <v>73.25</v>
      </c>
    </row>
    <row r="35" spans="1:3">
      <c r="A35" s="35">
        <v>1986</v>
      </c>
      <c r="B35" t="s">
        <v>356</v>
      </c>
      <c r="C35" s="37">
        <v>72.111000000000004</v>
      </c>
    </row>
    <row r="36" spans="1:3">
      <c r="A36" s="35">
        <v>1985</v>
      </c>
      <c r="B36" t="s">
        <v>272</v>
      </c>
      <c r="C36" s="37">
        <v>68.667000000000002</v>
      </c>
    </row>
    <row r="37" spans="1:3">
      <c r="A37" s="35">
        <v>1984</v>
      </c>
      <c r="B37" t="s">
        <v>272</v>
      </c>
      <c r="C37" s="37">
        <v>71.760000000000005</v>
      </c>
    </row>
    <row r="38" spans="1:3">
      <c r="A38" s="35">
        <v>1983</v>
      </c>
      <c r="B38" t="s">
        <v>275</v>
      </c>
      <c r="C38" s="37">
        <v>72.42</v>
      </c>
    </row>
    <row r="39" spans="1:3">
      <c r="A39" s="35">
        <v>1982</v>
      </c>
      <c r="B39" t="s">
        <v>272</v>
      </c>
      <c r="C39" s="37">
        <v>72.09</v>
      </c>
    </row>
    <row r="40" spans="1:3">
      <c r="A40" s="35">
        <v>1981</v>
      </c>
      <c r="B40" t="s">
        <v>277</v>
      </c>
      <c r="C40" s="37">
        <v>71.349999999999994</v>
      </c>
    </row>
    <row r="41" spans="1:3">
      <c r="A41" s="35">
        <v>1980</v>
      </c>
      <c r="B41" t="s">
        <v>272</v>
      </c>
      <c r="C41" s="37">
        <v>71.7</v>
      </c>
    </row>
    <row r="42" spans="1:3">
      <c r="A42" s="35">
        <v>1979</v>
      </c>
      <c r="B42" t="s">
        <v>276</v>
      </c>
      <c r="C42" s="37">
        <v>71.709999999999994</v>
      </c>
    </row>
    <row r="43" spans="1:3">
      <c r="A43" s="35">
        <v>1978</v>
      </c>
      <c r="B43" t="s">
        <v>272</v>
      </c>
      <c r="C43" s="37">
        <v>71.92</v>
      </c>
    </row>
    <row r="44" spans="1:3">
      <c r="A44" s="35">
        <v>1977</v>
      </c>
      <c r="B44" t="s">
        <v>275</v>
      </c>
      <c r="C44" s="37">
        <v>72.58</v>
      </c>
    </row>
    <row r="45" spans="1:3">
      <c r="A45" s="35">
        <v>1976</v>
      </c>
      <c r="B45" t="s">
        <v>106</v>
      </c>
      <c r="C45" s="37">
        <v>71.67</v>
      </c>
    </row>
    <row r="46" spans="1:3">
      <c r="A46" s="35">
        <v>1975</v>
      </c>
      <c r="B46" t="s">
        <v>274</v>
      </c>
      <c r="C46" s="37">
        <v>70.87</v>
      </c>
    </row>
    <row r="47" spans="1:3">
      <c r="A47" s="35">
        <v>1974</v>
      </c>
      <c r="B47" t="s">
        <v>273</v>
      </c>
      <c r="C47" s="37">
        <v>69.27</v>
      </c>
    </row>
    <row r="48" spans="1:3">
      <c r="A48" s="35">
        <v>1973</v>
      </c>
      <c r="B48" t="s">
        <v>47</v>
      </c>
      <c r="C48" s="37">
        <v>71.930000000000007</v>
      </c>
    </row>
    <row r="49" spans="1:3">
      <c r="A49" s="35">
        <v>1972</v>
      </c>
      <c r="B49" t="s">
        <v>272</v>
      </c>
      <c r="C49" s="37">
        <v>73.63</v>
      </c>
    </row>
    <row r="50" spans="1:3">
      <c r="A50" s="35">
        <v>1971</v>
      </c>
      <c r="B50" t="s">
        <v>271</v>
      </c>
      <c r="C50" s="37"/>
    </row>
    <row r="51" spans="1:3">
      <c r="A51" s="35">
        <v>1970</v>
      </c>
      <c r="B51" t="s">
        <v>100</v>
      </c>
      <c r="C51" s="37"/>
    </row>
    <row r="52" spans="1:3">
      <c r="A52" s="35">
        <v>1969</v>
      </c>
      <c r="B52" t="s">
        <v>100</v>
      </c>
      <c r="C52" s="37"/>
    </row>
    <row r="53" spans="1:3">
      <c r="A53" s="35">
        <v>1968</v>
      </c>
      <c r="B53" t="s">
        <v>100</v>
      </c>
      <c r="C53" s="37"/>
    </row>
    <row r="54" spans="1:3">
      <c r="A54" s="35">
        <v>1967</v>
      </c>
      <c r="B54" t="s">
        <v>100</v>
      </c>
      <c r="C54" s="37"/>
    </row>
  </sheetData>
  <phoneticPr fontId="0" type="noConversion"/>
  <pageMargins left="0.75" right="0.75" top="1" bottom="1" header="0.5" footer="0.5"/>
  <pageSetup scale="9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I44" sqref="I44"/>
    </sheetView>
  </sheetViews>
  <sheetFormatPr defaultRowHeight="12.75"/>
  <cols>
    <col min="2" max="2" width="2.28515625" customWidth="1"/>
    <col min="3" max="3" width="12.7109375" customWidth="1"/>
    <col min="4" max="4" width="2.28515625" customWidth="1"/>
    <col min="5" max="5" width="14" customWidth="1"/>
    <col min="8" max="8" width="2.5703125" customWidth="1"/>
    <col min="9" max="9" width="13.28515625" customWidth="1"/>
    <col min="10" max="10" width="2.5703125" customWidth="1"/>
    <col min="11" max="11" width="18.28515625" customWidth="1"/>
  </cols>
  <sheetData>
    <row r="1" spans="1:11">
      <c r="A1" s="295" t="s">
        <v>769</v>
      </c>
      <c r="B1" s="296"/>
      <c r="C1" s="296"/>
      <c r="D1" s="296"/>
      <c r="E1" s="297"/>
      <c r="G1" s="295" t="s">
        <v>771</v>
      </c>
      <c r="H1" s="296"/>
      <c r="I1" s="296"/>
      <c r="J1" s="296"/>
      <c r="K1" s="297"/>
    </row>
    <row r="2" spans="1:11">
      <c r="A2" s="225" t="s">
        <v>768</v>
      </c>
      <c r="B2" s="223"/>
      <c r="C2" s="142" t="s">
        <v>89</v>
      </c>
      <c r="D2" s="221"/>
      <c r="E2" s="142" t="s">
        <v>685</v>
      </c>
      <c r="G2" s="225" t="s">
        <v>768</v>
      </c>
      <c r="H2" s="223"/>
      <c r="I2" s="221" t="s">
        <v>89</v>
      </c>
      <c r="J2" s="221"/>
      <c r="K2" s="221" t="s">
        <v>687</v>
      </c>
    </row>
    <row r="3" spans="1:11">
      <c r="A3" s="221">
        <v>1</v>
      </c>
      <c r="B3" s="223"/>
      <c r="C3" s="144" t="s">
        <v>23</v>
      </c>
      <c r="D3" s="222"/>
      <c r="E3" s="142">
        <v>2845</v>
      </c>
      <c r="G3" s="221">
        <v>1</v>
      </c>
      <c r="H3" s="223"/>
      <c r="I3" s="223" t="s">
        <v>23</v>
      </c>
      <c r="J3" s="223"/>
      <c r="K3" s="227">
        <v>5507.2999999999993</v>
      </c>
    </row>
    <row r="4" spans="1:11">
      <c r="A4" s="221">
        <v>2</v>
      </c>
      <c r="B4" s="223"/>
      <c r="C4" s="144" t="s">
        <v>4</v>
      </c>
      <c r="D4" s="222"/>
      <c r="E4" s="142">
        <v>1539</v>
      </c>
      <c r="G4" s="221">
        <v>2</v>
      </c>
      <c r="H4" s="223"/>
      <c r="I4" s="223" t="s">
        <v>0</v>
      </c>
      <c r="J4" s="223"/>
      <c r="K4" s="227">
        <v>3243.2</v>
      </c>
    </row>
    <row r="5" spans="1:11">
      <c r="A5" s="221">
        <v>3</v>
      </c>
      <c r="B5" s="223"/>
      <c r="C5" s="144" t="s">
        <v>348</v>
      </c>
      <c r="D5" s="222"/>
      <c r="E5" s="142">
        <v>1510</v>
      </c>
      <c r="G5" s="221">
        <v>3</v>
      </c>
      <c r="H5" s="223"/>
      <c r="I5" s="223" t="s">
        <v>16</v>
      </c>
      <c r="J5" s="223"/>
      <c r="K5" s="227">
        <v>3178.6500000000005</v>
      </c>
    </row>
    <row r="6" spans="1:11">
      <c r="A6" s="221">
        <v>4</v>
      </c>
      <c r="B6" s="223"/>
      <c r="C6" s="144" t="s">
        <v>35</v>
      </c>
      <c r="D6" s="222"/>
      <c r="E6" s="142">
        <v>1462</v>
      </c>
      <c r="G6" s="221">
        <v>4</v>
      </c>
      <c r="H6" s="223"/>
      <c r="I6" s="224" t="s">
        <v>511</v>
      </c>
      <c r="J6" s="223"/>
      <c r="K6" s="227">
        <v>3100.8</v>
      </c>
    </row>
    <row r="7" spans="1:11">
      <c r="A7" s="221">
        <v>5</v>
      </c>
      <c r="B7" s="223"/>
      <c r="C7" s="144" t="s">
        <v>33</v>
      </c>
      <c r="D7" s="222"/>
      <c r="E7" s="142">
        <f>1088+50+55+34+25+16+25+15+10+10+4+6+4+1</f>
        <v>1343</v>
      </c>
      <c r="G7" s="221">
        <v>5</v>
      </c>
      <c r="H7" s="223"/>
      <c r="I7" s="223" t="s">
        <v>4</v>
      </c>
      <c r="J7" s="223"/>
      <c r="K7" s="227">
        <v>2814.1000000000004</v>
      </c>
    </row>
    <row r="8" spans="1:11">
      <c r="A8" s="221">
        <v>6</v>
      </c>
      <c r="B8" s="223"/>
      <c r="C8" s="144" t="s">
        <v>16</v>
      </c>
      <c r="D8" s="222"/>
      <c r="E8" s="142">
        <f>1048+48+45+56+38+15+14+5+14+7+11+7+4+3+1</f>
        <v>1316</v>
      </c>
      <c r="G8" s="221">
        <v>6</v>
      </c>
      <c r="H8" s="223"/>
      <c r="I8" s="223" t="s">
        <v>24</v>
      </c>
      <c r="J8" s="223"/>
      <c r="K8" s="227">
        <v>2792.2500000000005</v>
      </c>
    </row>
    <row r="9" spans="1:11">
      <c r="A9" s="221">
        <v>7</v>
      </c>
      <c r="B9" s="223"/>
      <c r="C9" s="144" t="s">
        <v>734</v>
      </c>
      <c r="D9" s="222"/>
      <c r="E9" s="142">
        <v>1290</v>
      </c>
      <c r="G9" s="221">
        <v>7</v>
      </c>
      <c r="H9" s="223"/>
      <c r="I9" s="223" t="s">
        <v>513</v>
      </c>
      <c r="J9" s="223"/>
      <c r="K9" s="227">
        <v>2575</v>
      </c>
    </row>
    <row r="10" spans="1:11">
      <c r="A10" s="221">
        <v>8</v>
      </c>
      <c r="B10" s="223"/>
      <c r="C10" s="144" t="s">
        <v>26</v>
      </c>
      <c r="D10" s="222"/>
      <c r="E10" s="142">
        <v>1290</v>
      </c>
      <c r="G10" s="221">
        <v>8</v>
      </c>
      <c r="H10" s="223"/>
      <c r="I10" s="223" t="s">
        <v>26</v>
      </c>
      <c r="J10" s="223"/>
      <c r="K10" s="227">
        <v>2008.7</v>
      </c>
    </row>
    <row r="11" spans="1:11">
      <c r="A11" s="221">
        <v>9</v>
      </c>
      <c r="B11" s="223"/>
      <c r="C11" s="144" t="s">
        <v>24</v>
      </c>
      <c r="D11" s="222"/>
      <c r="E11" s="142">
        <v>1267</v>
      </c>
      <c r="G11" s="221">
        <v>9</v>
      </c>
      <c r="H11" s="223"/>
      <c r="I11" s="223" t="s">
        <v>25</v>
      </c>
      <c r="J11" s="223"/>
      <c r="K11" s="227">
        <v>1848.0499999999997</v>
      </c>
    </row>
    <row r="12" spans="1:11">
      <c r="A12" s="221">
        <v>10</v>
      </c>
      <c r="B12" s="223"/>
      <c r="C12" s="144" t="s">
        <v>32</v>
      </c>
      <c r="D12" s="222"/>
      <c r="E12" s="142">
        <v>1180</v>
      </c>
      <c r="G12" s="221">
        <v>10</v>
      </c>
      <c r="H12" s="223"/>
      <c r="I12" s="223" t="s">
        <v>519</v>
      </c>
      <c r="J12" s="223"/>
      <c r="K12" s="227">
        <v>1684.85</v>
      </c>
    </row>
    <row r="14" spans="1:11">
      <c r="A14" s="295" t="s">
        <v>770</v>
      </c>
      <c r="B14" s="296"/>
      <c r="C14" s="296"/>
      <c r="D14" s="296"/>
      <c r="E14" s="297"/>
      <c r="G14" s="295" t="s">
        <v>772</v>
      </c>
      <c r="H14" s="296"/>
      <c r="I14" s="296"/>
      <c r="J14" s="296"/>
      <c r="K14" s="297"/>
    </row>
    <row r="15" spans="1:11">
      <c r="A15" s="225" t="s">
        <v>768</v>
      </c>
      <c r="B15" s="223"/>
      <c r="C15" s="221" t="s">
        <v>89</v>
      </c>
      <c r="D15" s="221"/>
      <c r="E15" s="221" t="s">
        <v>686</v>
      </c>
      <c r="G15" s="225" t="s">
        <v>768</v>
      </c>
      <c r="H15" s="223"/>
      <c r="I15" s="142" t="s">
        <v>89</v>
      </c>
      <c r="J15" s="142"/>
      <c r="K15" s="142" t="s">
        <v>689</v>
      </c>
    </row>
    <row r="16" spans="1:11">
      <c r="A16" s="221">
        <v>1</v>
      </c>
      <c r="B16" s="223"/>
      <c r="C16" s="223" t="s">
        <v>672</v>
      </c>
      <c r="D16" s="223"/>
      <c r="E16" s="226">
        <v>55.6</v>
      </c>
      <c r="G16" s="221">
        <v>1</v>
      </c>
      <c r="H16" s="223"/>
      <c r="I16" s="144" t="s">
        <v>511</v>
      </c>
      <c r="J16" s="142"/>
      <c r="K16" s="154">
        <v>310.08</v>
      </c>
    </row>
    <row r="17" spans="1:11">
      <c r="A17" s="221">
        <v>2</v>
      </c>
      <c r="B17" s="223"/>
      <c r="C17" s="223" t="s">
        <v>566</v>
      </c>
      <c r="D17" s="223"/>
      <c r="E17" s="226">
        <v>55.25</v>
      </c>
      <c r="G17" s="221">
        <v>2</v>
      </c>
      <c r="H17" s="223"/>
      <c r="I17" s="144" t="s">
        <v>566</v>
      </c>
      <c r="J17" s="142"/>
      <c r="K17" s="154">
        <v>252.96250000000003</v>
      </c>
    </row>
    <row r="18" spans="1:11">
      <c r="A18" s="221">
        <v>3</v>
      </c>
      <c r="B18" s="223"/>
      <c r="C18" s="223" t="s">
        <v>511</v>
      </c>
      <c r="D18" s="223"/>
      <c r="E18" s="226">
        <v>54.4</v>
      </c>
      <c r="G18" s="221">
        <v>3</v>
      </c>
      <c r="H18" s="223"/>
      <c r="I18" s="144" t="s">
        <v>519</v>
      </c>
      <c r="J18" s="142"/>
      <c r="K18" s="154">
        <v>187.21</v>
      </c>
    </row>
    <row r="19" spans="1:11">
      <c r="A19" s="221">
        <v>4</v>
      </c>
      <c r="B19" s="223"/>
      <c r="C19" s="223" t="s">
        <v>694</v>
      </c>
      <c r="D19" s="223"/>
      <c r="E19" s="226">
        <v>53.75</v>
      </c>
      <c r="G19" s="221">
        <v>4</v>
      </c>
      <c r="H19" s="223"/>
      <c r="I19" s="144" t="s">
        <v>28</v>
      </c>
      <c r="J19" s="143"/>
      <c r="K19" s="154">
        <v>129.57272727272726</v>
      </c>
    </row>
    <row r="20" spans="1:11">
      <c r="A20" s="221">
        <v>5</v>
      </c>
      <c r="B20" s="223"/>
      <c r="C20" s="223" t="s">
        <v>23</v>
      </c>
      <c r="D20" s="223"/>
      <c r="E20" s="226">
        <v>52.69</v>
      </c>
      <c r="G20" s="221">
        <v>5</v>
      </c>
      <c r="H20" s="223"/>
      <c r="I20" s="144" t="s">
        <v>716</v>
      </c>
      <c r="J20" s="143"/>
      <c r="K20" s="154">
        <v>129.4375</v>
      </c>
    </row>
    <row r="21" spans="1:11">
      <c r="A21" s="221">
        <v>6</v>
      </c>
      <c r="B21" s="223"/>
      <c r="C21" s="223" t="s">
        <v>468</v>
      </c>
      <c r="D21" s="223"/>
      <c r="E21" s="226">
        <v>49.92</v>
      </c>
      <c r="G21" s="221">
        <v>6</v>
      </c>
      <c r="H21" s="223"/>
      <c r="I21" s="144" t="s">
        <v>0</v>
      </c>
      <c r="J21" s="142"/>
      <c r="K21" s="154">
        <v>124.74</v>
      </c>
    </row>
    <row r="22" spans="1:11">
      <c r="A22" s="221">
        <v>7</v>
      </c>
      <c r="B22" s="223"/>
      <c r="C22" s="223" t="s">
        <v>519</v>
      </c>
      <c r="D22" s="223"/>
      <c r="E22" s="226">
        <v>46.11</v>
      </c>
      <c r="G22" s="221">
        <v>7</v>
      </c>
      <c r="H22" s="223"/>
      <c r="I22" s="144" t="s">
        <v>468</v>
      </c>
      <c r="J22" s="142"/>
      <c r="K22" s="154">
        <v>115.23</v>
      </c>
    </row>
    <row r="23" spans="1:11">
      <c r="A23" s="221">
        <v>8</v>
      </c>
      <c r="B23" s="223"/>
      <c r="C23" s="223" t="s">
        <v>4</v>
      </c>
      <c r="D23" s="223"/>
      <c r="E23" s="226">
        <v>45.26</v>
      </c>
      <c r="G23" s="221">
        <v>8</v>
      </c>
      <c r="H23" s="223"/>
      <c r="I23" s="144" t="s">
        <v>532</v>
      </c>
      <c r="J23" s="142"/>
      <c r="K23" s="154">
        <v>108.48</v>
      </c>
    </row>
    <row r="24" spans="1:11">
      <c r="A24" s="221">
        <v>9</v>
      </c>
      <c r="B24" s="223"/>
      <c r="C24" s="223" t="s">
        <v>265</v>
      </c>
      <c r="D24" s="223"/>
      <c r="E24" s="226">
        <v>44.76</v>
      </c>
      <c r="G24" s="221">
        <v>9</v>
      </c>
      <c r="H24" s="223"/>
      <c r="I24" s="144" t="s">
        <v>513</v>
      </c>
      <c r="J24" s="142"/>
      <c r="K24" s="154">
        <v>107.29</v>
      </c>
    </row>
    <row r="25" spans="1:11">
      <c r="A25" s="221">
        <v>10</v>
      </c>
      <c r="B25" s="223"/>
      <c r="C25" s="223" t="s">
        <v>26</v>
      </c>
      <c r="D25" s="223"/>
      <c r="E25" s="226">
        <v>44.48</v>
      </c>
      <c r="G25" s="221">
        <v>10</v>
      </c>
      <c r="H25" s="223"/>
      <c r="I25" s="144" t="s">
        <v>23</v>
      </c>
      <c r="J25" s="142"/>
      <c r="K25" s="154">
        <v>101.99</v>
      </c>
    </row>
    <row r="27" spans="1:11">
      <c r="A27" s="295" t="s">
        <v>773</v>
      </c>
      <c r="B27" s="296"/>
      <c r="C27" s="296"/>
      <c r="D27" s="296"/>
      <c r="E27" s="297"/>
      <c r="G27" s="295" t="s">
        <v>774</v>
      </c>
      <c r="H27" s="296"/>
      <c r="I27" s="296"/>
      <c r="J27" s="296"/>
      <c r="K27" s="297"/>
    </row>
    <row r="28" spans="1:11">
      <c r="A28" s="225" t="s">
        <v>768</v>
      </c>
      <c r="B28" s="223"/>
      <c r="C28" s="221" t="s">
        <v>89</v>
      </c>
      <c r="D28" s="221"/>
      <c r="E28" s="225" t="s">
        <v>776</v>
      </c>
      <c r="G28" s="225" t="s">
        <v>768</v>
      </c>
      <c r="H28" s="223"/>
      <c r="I28" s="221" t="s">
        <v>89</v>
      </c>
      <c r="J28" s="221"/>
      <c r="K28" s="225" t="s">
        <v>776</v>
      </c>
    </row>
    <row r="29" spans="1:11">
      <c r="A29" s="221">
        <v>1</v>
      </c>
      <c r="B29" s="223"/>
      <c r="C29" s="224" t="s">
        <v>23</v>
      </c>
      <c r="D29" s="223"/>
      <c r="E29" s="228">
        <v>6</v>
      </c>
      <c r="G29" s="221">
        <v>1</v>
      </c>
      <c r="H29" s="223"/>
      <c r="I29" s="224" t="s">
        <v>4</v>
      </c>
      <c r="J29" s="223"/>
      <c r="K29" s="228">
        <v>4</v>
      </c>
    </row>
    <row r="30" spans="1:11">
      <c r="A30" s="221">
        <v>2</v>
      </c>
      <c r="B30" s="223"/>
      <c r="C30" s="224" t="s">
        <v>22</v>
      </c>
      <c r="D30" s="223"/>
      <c r="E30" s="228">
        <v>3</v>
      </c>
      <c r="G30" s="221">
        <v>2</v>
      </c>
      <c r="H30" s="223"/>
      <c r="I30" s="224" t="s">
        <v>23</v>
      </c>
      <c r="J30" s="223"/>
      <c r="K30" s="228">
        <v>3</v>
      </c>
    </row>
    <row r="31" spans="1:11">
      <c r="A31" s="221">
        <v>2</v>
      </c>
      <c r="B31" s="223"/>
      <c r="C31" s="224" t="s">
        <v>81</v>
      </c>
      <c r="D31" s="223"/>
      <c r="E31" s="228">
        <v>3</v>
      </c>
      <c r="G31" s="221">
        <v>2</v>
      </c>
      <c r="H31" s="223"/>
      <c r="I31" s="224" t="s">
        <v>24</v>
      </c>
      <c r="J31" s="223"/>
      <c r="K31" s="228">
        <v>3</v>
      </c>
    </row>
    <row r="32" spans="1:11">
      <c r="A32" s="221">
        <v>4</v>
      </c>
      <c r="B32" s="223"/>
      <c r="C32" s="224" t="s">
        <v>985</v>
      </c>
      <c r="D32" s="223"/>
      <c r="E32" s="228">
        <v>2</v>
      </c>
      <c r="G32" s="221">
        <v>2</v>
      </c>
      <c r="H32" s="223"/>
      <c r="I32" s="224" t="s">
        <v>32</v>
      </c>
      <c r="J32" s="223"/>
      <c r="K32" s="228">
        <v>3</v>
      </c>
    </row>
    <row r="33" spans="1:11">
      <c r="G33" s="221">
        <v>5</v>
      </c>
      <c r="H33" s="223"/>
      <c r="I33" s="224" t="s">
        <v>986</v>
      </c>
      <c r="J33" s="223"/>
      <c r="K33" s="228">
        <v>2</v>
      </c>
    </row>
    <row r="35" spans="1:11">
      <c r="A35" s="295" t="s">
        <v>777</v>
      </c>
      <c r="B35" s="296"/>
      <c r="C35" s="296"/>
      <c r="D35" s="296"/>
      <c r="E35" s="297"/>
      <c r="G35" s="295" t="s">
        <v>778</v>
      </c>
      <c r="H35" s="296"/>
      <c r="I35" s="296"/>
      <c r="J35" s="296"/>
      <c r="K35" s="297"/>
    </row>
    <row r="36" spans="1:11">
      <c r="A36" s="225" t="s">
        <v>768</v>
      </c>
      <c r="B36" s="223"/>
      <c r="C36" s="221" t="s">
        <v>89</v>
      </c>
      <c r="D36" s="221"/>
      <c r="E36" s="225" t="s">
        <v>776</v>
      </c>
      <c r="G36" s="225" t="s">
        <v>768</v>
      </c>
      <c r="H36" s="223"/>
      <c r="I36" s="221" t="s">
        <v>89</v>
      </c>
      <c r="J36" s="221"/>
      <c r="K36" s="225" t="s">
        <v>776</v>
      </c>
    </row>
    <row r="37" spans="1:11">
      <c r="A37" s="221">
        <v>1</v>
      </c>
      <c r="B37" s="223"/>
      <c r="C37" s="224" t="s">
        <v>0</v>
      </c>
      <c r="D37" s="223"/>
      <c r="E37" s="228">
        <v>8</v>
      </c>
      <c r="G37" s="221">
        <v>1</v>
      </c>
      <c r="H37" s="223"/>
      <c r="I37" s="224" t="s">
        <v>16</v>
      </c>
      <c r="J37" s="223"/>
      <c r="K37" s="228">
        <v>4</v>
      </c>
    </row>
    <row r="38" spans="1:11">
      <c r="A38" s="221">
        <v>1</v>
      </c>
      <c r="B38" s="223"/>
      <c r="C38" s="224" t="s">
        <v>25</v>
      </c>
      <c r="D38" s="223"/>
      <c r="E38" s="228">
        <v>8</v>
      </c>
      <c r="G38" s="257">
        <v>1</v>
      </c>
      <c r="H38" s="258"/>
      <c r="I38" s="259" t="s">
        <v>823</v>
      </c>
      <c r="J38" s="258"/>
      <c r="K38" s="260">
        <v>4</v>
      </c>
    </row>
    <row r="39" spans="1:11">
      <c r="A39" s="221">
        <v>3</v>
      </c>
      <c r="B39" s="223"/>
      <c r="C39" s="224" t="s">
        <v>4</v>
      </c>
      <c r="D39" s="223"/>
      <c r="E39" s="228">
        <v>3</v>
      </c>
      <c r="G39" s="257">
        <v>1</v>
      </c>
      <c r="H39" s="258"/>
      <c r="I39" s="259" t="s">
        <v>824</v>
      </c>
      <c r="J39" s="258"/>
      <c r="K39" s="260">
        <v>4</v>
      </c>
    </row>
    <row r="40" spans="1:11">
      <c r="A40" s="221">
        <v>3</v>
      </c>
      <c r="B40" s="223"/>
      <c r="C40" s="224" t="s">
        <v>352</v>
      </c>
      <c r="D40" s="223"/>
      <c r="E40" s="228">
        <v>3</v>
      </c>
      <c r="G40" s="257">
        <v>4</v>
      </c>
      <c r="H40" s="258"/>
      <c r="I40" s="259" t="s">
        <v>734</v>
      </c>
      <c r="J40" s="258"/>
      <c r="K40" s="260">
        <v>3</v>
      </c>
    </row>
    <row r="41" spans="1:11">
      <c r="A41" s="221">
        <v>5</v>
      </c>
      <c r="B41" s="223"/>
      <c r="C41" s="224" t="s">
        <v>258</v>
      </c>
      <c r="D41" s="223"/>
      <c r="E41" s="228">
        <v>3</v>
      </c>
      <c r="G41" s="221">
        <v>4</v>
      </c>
      <c r="H41" s="223"/>
      <c r="I41" s="224" t="s">
        <v>560</v>
      </c>
      <c r="J41" s="223"/>
      <c r="K41" s="228">
        <v>3</v>
      </c>
    </row>
    <row r="42" spans="1:11">
      <c r="A42" s="221">
        <v>5</v>
      </c>
      <c r="B42" s="223"/>
      <c r="C42" s="224" t="s">
        <v>259</v>
      </c>
      <c r="D42" s="223"/>
      <c r="E42" s="228">
        <v>3</v>
      </c>
      <c r="G42" s="221">
        <v>4</v>
      </c>
      <c r="H42" s="223"/>
      <c r="I42" s="224" t="s">
        <v>350</v>
      </c>
      <c r="J42" s="223"/>
      <c r="K42" s="228">
        <v>3</v>
      </c>
    </row>
    <row r="43" spans="1:11">
      <c r="G43" s="221">
        <v>7</v>
      </c>
      <c r="H43" s="223"/>
      <c r="I43" s="224" t="s">
        <v>775</v>
      </c>
      <c r="J43" s="223"/>
      <c r="K43" s="228">
        <v>2</v>
      </c>
    </row>
  </sheetData>
  <sortState ref="I16:K25">
    <sortCondition descending="1" ref="K16:K25"/>
    <sortCondition ref="I16:I25"/>
  </sortState>
  <mergeCells count="8">
    <mergeCell ref="A35:E35"/>
    <mergeCell ref="G35:K35"/>
    <mergeCell ref="A1:E1"/>
    <mergeCell ref="A14:E14"/>
    <mergeCell ref="A27:E27"/>
    <mergeCell ref="G1:K1"/>
    <mergeCell ref="G14:K14"/>
    <mergeCell ref="G27:K27"/>
  </mergeCells>
  <pageMargins left="0.7" right="0.7" top="0.75" bottom="0.75" header="0.3" footer="0.3"/>
  <pageSetup scale="9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I12" sqref="I12"/>
    </sheetView>
  </sheetViews>
  <sheetFormatPr defaultRowHeight="12.75"/>
  <cols>
    <col min="2" max="2" width="15.28515625" bestFit="1" customWidth="1"/>
    <col min="6" max="6" width="13.85546875" bestFit="1" customWidth="1"/>
    <col min="7" max="7" width="15.85546875" bestFit="1" customWidth="1"/>
  </cols>
  <sheetData>
    <row r="1" spans="1:7">
      <c r="A1" s="33" t="s">
        <v>363</v>
      </c>
      <c r="F1" s="70" t="s">
        <v>553</v>
      </c>
      <c r="G1" t="s">
        <v>478</v>
      </c>
    </row>
    <row r="2" spans="1:7">
      <c r="A2" s="33"/>
      <c r="F2" s="35" t="s">
        <v>680</v>
      </c>
      <c r="G2" s="71">
        <v>2</v>
      </c>
    </row>
    <row r="3" spans="1:7">
      <c r="A3" s="34" t="s">
        <v>92</v>
      </c>
      <c r="B3" s="34" t="s">
        <v>95</v>
      </c>
      <c r="C3" s="34" t="s">
        <v>279</v>
      </c>
      <c r="F3" s="35" t="s">
        <v>282</v>
      </c>
      <c r="G3" s="71">
        <v>2</v>
      </c>
    </row>
    <row r="4" spans="1:7">
      <c r="A4" s="63" t="s">
        <v>987</v>
      </c>
      <c r="B4" s="64" t="s">
        <v>153</v>
      </c>
      <c r="C4" s="237">
        <v>1.0871</v>
      </c>
      <c r="F4" s="35" t="s">
        <v>367</v>
      </c>
      <c r="G4" s="71">
        <v>2</v>
      </c>
    </row>
    <row r="5" spans="1:7">
      <c r="A5" s="64">
        <v>2016</v>
      </c>
      <c r="B5" s="64" t="s">
        <v>799</v>
      </c>
      <c r="C5" s="237">
        <v>1.135</v>
      </c>
      <c r="F5" s="35" t="s">
        <v>281</v>
      </c>
      <c r="G5" s="71">
        <v>2</v>
      </c>
    </row>
    <row r="6" spans="1:7">
      <c r="A6" s="64">
        <v>2015</v>
      </c>
      <c r="B6" s="64" t="s">
        <v>797</v>
      </c>
      <c r="C6" s="236">
        <v>1.1176999999999999</v>
      </c>
      <c r="F6" s="35" t="s">
        <v>596</v>
      </c>
      <c r="G6" s="71">
        <v>1</v>
      </c>
    </row>
    <row r="7" spans="1:7">
      <c r="A7" s="63" t="s">
        <v>729</v>
      </c>
      <c r="B7" s="64" t="s">
        <v>764</v>
      </c>
      <c r="C7" s="214">
        <v>1.2493000000000001</v>
      </c>
      <c r="F7" s="35" t="s">
        <v>230</v>
      </c>
      <c r="G7" s="71">
        <v>1</v>
      </c>
    </row>
    <row r="8" spans="1:7">
      <c r="A8" s="63" t="s">
        <v>621</v>
      </c>
      <c r="B8" s="64" t="s">
        <v>680</v>
      </c>
      <c r="C8" s="136">
        <v>1.1434</v>
      </c>
      <c r="F8" s="35" t="s">
        <v>272</v>
      </c>
      <c r="G8" s="71">
        <v>1</v>
      </c>
    </row>
    <row r="9" spans="1:7">
      <c r="A9" s="63" t="s">
        <v>607</v>
      </c>
      <c r="B9" s="64" t="s">
        <v>612</v>
      </c>
      <c r="C9" s="136">
        <v>1.1739999999999999</v>
      </c>
      <c r="F9" s="35" t="s">
        <v>366</v>
      </c>
      <c r="G9" s="71">
        <v>1</v>
      </c>
    </row>
    <row r="10" spans="1:7">
      <c r="A10" s="63" t="s">
        <v>593</v>
      </c>
      <c r="B10" s="64" t="s">
        <v>596</v>
      </c>
      <c r="C10" s="136">
        <v>1.2433000000000001</v>
      </c>
      <c r="F10" s="35" t="s">
        <v>477</v>
      </c>
      <c r="G10" s="71">
        <v>1</v>
      </c>
    </row>
    <row r="11" spans="1:7">
      <c r="A11" s="63" t="s">
        <v>533</v>
      </c>
      <c r="B11" s="64" t="s">
        <v>367</v>
      </c>
      <c r="C11" s="136">
        <v>1.1512</v>
      </c>
      <c r="F11" s="35" t="s">
        <v>138</v>
      </c>
      <c r="G11" s="71">
        <v>1</v>
      </c>
    </row>
    <row r="12" spans="1:7">
      <c r="A12" s="35">
        <v>2009</v>
      </c>
      <c r="B12" s="65" t="s">
        <v>534</v>
      </c>
      <c r="C12" s="137" t="s">
        <v>535</v>
      </c>
      <c r="F12" s="35" t="s">
        <v>499</v>
      </c>
      <c r="G12" s="71">
        <v>1</v>
      </c>
    </row>
    <row r="13" spans="1:7">
      <c r="A13" s="58" t="s">
        <v>503</v>
      </c>
      <c r="B13" s="50" t="s">
        <v>254</v>
      </c>
      <c r="C13" s="40">
        <v>1.1082000000000001</v>
      </c>
      <c r="F13" s="35" t="s">
        <v>764</v>
      </c>
      <c r="G13" s="71">
        <v>1</v>
      </c>
    </row>
    <row r="14" spans="1:7">
      <c r="A14" s="41" t="s">
        <v>484</v>
      </c>
      <c r="B14" t="s">
        <v>499</v>
      </c>
      <c r="C14" s="40">
        <v>1.1583000000000001</v>
      </c>
      <c r="F14" s="35" t="s">
        <v>612</v>
      </c>
      <c r="G14" s="71">
        <v>1</v>
      </c>
    </row>
    <row r="15" spans="1:7">
      <c r="A15" s="41" t="s">
        <v>482</v>
      </c>
      <c r="B15" t="s">
        <v>477</v>
      </c>
      <c r="C15" s="40">
        <v>1.1062000000000001</v>
      </c>
      <c r="F15" s="35" t="s">
        <v>799</v>
      </c>
      <c r="G15" s="71">
        <v>1</v>
      </c>
    </row>
    <row r="16" spans="1:7">
      <c r="A16" s="41" t="s">
        <v>467</v>
      </c>
      <c r="B16" t="s">
        <v>359</v>
      </c>
      <c r="C16" s="40">
        <v>1.1477999999999999</v>
      </c>
      <c r="F16" s="35" t="s">
        <v>359</v>
      </c>
      <c r="G16" s="71">
        <v>1</v>
      </c>
    </row>
    <row r="17" spans="1:7">
      <c r="A17" s="41" t="s">
        <v>458</v>
      </c>
      <c r="B17" s="64" t="s">
        <v>680</v>
      </c>
      <c r="C17" s="40">
        <v>1.1283000000000001</v>
      </c>
      <c r="F17" s="35" t="s">
        <v>153</v>
      </c>
      <c r="G17" s="71">
        <v>1</v>
      </c>
    </row>
    <row r="18" spans="1:7">
      <c r="A18" s="41" t="s">
        <v>369</v>
      </c>
      <c r="B18" t="s">
        <v>281</v>
      </c>
      <c r="C18" s="40">
        <v>1.2141</v>
      </c>
      <c r="F18" s="35" t="s">
        <v>797</v>
      </c>
      <c r="G18" s="71">
        <v>1</v>
      </c>
    </row>
    <row r="19" spans="1:7">
      <c r="A19" s="35">
        <v>2002</v>
      </c>
      <c r="B19" t="s">
        <v>230</v>
      </c>
      <c r="C19" s="40">
        <v>1.1358999999999999</v>
      </c>
      <c r="F19" s="35" t="s">
        <v>254</v>
      </c>
      <c r="G19" s="71">
        <v>1</v>
      </c>
    </row>
    <row r="20" spans="1:7">
      <c r="A20" s="35">
        <v>2001</v>
      </c>
      <c r="B20" t="s">
        <v>367</v>
      </c>
      <c r="C20" s="40">
        <v>1.1694</v>
      </c>
      <c r="F20" s="35" t="s">
        <v>364</v>
      </c>
      <c r="G20" s="71">
        <v>1</v>
      </c>
    </row>
    <row r="21" spans="1:7">
      <c r="A21" s="35">
        <v>2000</v>
      </c>
      <c r="B21" t="s">
        <v>366</v>
      </c>
      <c r="C21" s="40">
        <v>1.0669999999999999</v>
      </c>
      <c r="F21" s="35" t="s">
        <v>534</v>
      </c>
      <c r="G21" s="71">
        <v>1</v>
      </c>
    </row>
    <row r="22" spans="1:7">
      <c r="A22" s="35">
        <v>1999</v>
      </c>
      <c r="B22" t="s">
        <v>138</v>
      </c>
      <c r="C22" s="40">
        <v>1.149</v>
      </c>
      <c r="F22" s="35" t="s">
        <v>368</v>
      </c>
      <c r="G22" s="71">
        <v>24</v>
      </c>
    </row>
    <row r="23" spans="1:7">
      <c r="A23" s="35">
        <v>1998</v>
      </c>
      <c r="B23" t="s">
        <v>281</v>
      </c>
      <c r="C23" s="40">
        <v>1.218</v>
      </c>
    </row>
    <row r="24" spans="1:7">
      <c r="A24" s="35">
        <v>1997</v>
      </c>
      <c r="B24" t="s">
        <v>282</v>
      </c>
      <c r="C24" s="40">
        <v>1.2410000000000001</v>
      </c>
    </row>
    <row r="25" spans="1:7">
      <c r="A25" s="35">
        <v>1996</v>
      </c>
      <c r="B25" t="s">
        <v>272</v>
      </c>
      <c r="C25" s="40">
        <v>1.1403000000000001</v>
      </c>
    </row>
    <row r="26" spans="1:7">
      <c r="A26" s="35">
        <v>1995</v>
      </c>
      <c r="B26" t="s">
        <v>282</v>
      </c>
      <c r="C26" s="40">
        <v>1.1695</v>
      </c>
    </row>
    <row r="27" spans="1:7">
      <c r="A27" s="35">
        <v>1994</v>
      </c>
      <c r="B27" t="s">
        <v>364</v>
      </c>
      <c r="C27" s="40">
        <v>1.125</v>
      </c>
    </row>
    <row r="28" spans="1:7">
      <c r="B28" s="40"/>
      <c r="C28" s="40"/>
    </row>
    <row r="29" spans="1:7">
      <c r="B29" s="40"/>
    </row>
    <row r="30" spans="1:7">
      <c r="B30" s="40"/>
    </row>
    <row r="31" spans="1:7">
      <c r="B31" s="40"/>
    </row>
    <row r="32" spans="1:7">
      <c r="B32" s="40"/>
    </row>
    <row r="33" spans="2:2">
      <c r="B33" s="40"/>
    </row>
    <row r="34" spans="2:2">
      <c r="B34" s="40"/>
    </row>
    <row r="35" spans="2:2">
      <c r="B35" s="40"/>
    </row>
    <row r="36" spans="2:2">
      <c r="B36" s="40"/>
    </row>
    <row r="37" spans="2:2">
      <c r="B37" s="40"/>
    </row>
    <row r="38" spans="2:2">
      <c r="B38" s="40"/>
    </row>
    <row r="39" spans="2:2">
      <c r="B39" s="40"/>
    </row>
    <row r="40" spans="2:2">
      <c r="B40" s="40"/>
    </row>
    <row r="41" spans="2:2">
      <c r="B41" s="40"/>
    </row>
    <row r="42" spans="2:2">
      <c r="B42" s="40"/>
    </row>
    <row r="43" spans="2:2">
      <c r="B43" s="40"/>
    </row>
    <row r="44" spans="2:2">
      <c r="B44" s="40"/>
    </row>
    <row r="45" spans="2:2">
      <c r="B45" s="40"/>
    </row>
    <row r="46" spans="2:2">
      <c r="B46" s="40"/>
    </row>
    <row r="47" spans="2:2">
      <c r="B47" s="40"/>
    </row>
    <row r="48" spans="2:2">
      <c r="B48" s="40"/>
    </row>
    <row r="49" spans="2:3">
      <c r="B49" s="40"/>
    </row>
    <row r="50" spans="2:3">
      <c r="B50" s="40"/>
    </row>
    <row r="51" spans="2:3">
      <c r="B51" s="40"/>
    </row>
    <row r="52" spans="2:3">
      <c r="B52" s="40"/>
    </row>
    <row r="53" spans="2:3">
      <c r="B53" s="40"/>
    </row>
    <row r="54" spans="2:3">
      <c r="C54" s="40"/>
    </row>
    <row r="55" spans="2:3">
      <c r="C55" s="40"/>
    </row>
    <row r="56" spans="2:3">
      <c r="C56" s="40"/>
    </row>
    <row r="57" spans="2:3">
      <c r="C57" s="40"/>
    </row>
  </sheetData>
  <phoneticPr fontId="0" type="noConversion"/>
  <pageMargins left="0.75" right="0.75" top="1" bottom="1" header="0.5" footer="0.5"/>
  <pageSetup orientation="portrait" r:id="rId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workbookViewId="0">
      <selection activeCell="A3" sqref="A3"/>
    </sheetView>
  </sheetViews>
  <sheetFormatPr defaultRowHeight="12.75"/>
  <cols>
    <col min="1" max="1" width="9.140625" style="43"/>
    <col min="2" max="2" width="12.28515625" customWidth="1"/>
    <col min="3" max="3" width="26" customWidth="1"/>
    <col min="5" max="5" width="13.140625" customWidth="1"/>
    <col min="6" max="6" width="12" style="104" customWidth="1"/>
    <col min="7" max="7" width="12.42578125" customWidth="1"/>
    <col min="8" max="8" width="28.140625" customWidth="1"/>
    <col min="9" max="9" width="18.140625" customWidth="1"/>
    <col min="10" max="10" width="14.42578125" customWidth="1"/>
    <col min="11" max="11" width="24.85546875" customWidth="1"/>
    <col min="14" max="14" width="15.85546875" customWidth="1"/>
    <col min="15" max="15" width="18.42578125" customWidth="1"/>
    <col min="16" max="16" width="16.42578125" customWidth="1"/>
  </cols>
  <sheetData>
    <row r="1" spans="1:16" ht="25.5">
      <c r="A1" s="43" t="s">
        <v>92</v>
      </c>
      <c r="B1" s="107" t="s">
        <v>541</v>
      </c>
      <c r="C1" s="43" t="s">
        <v>542</v>
      </c>
      <c r="D1" s="43" t="s">
        <v>543</v>
      </c>
      <c r="E1" s="107" t="s">
        <v>544</v>
      </c>
      <c r="F1" s="104" t="s">
        <v>609</v>
      </c>
      <c r="G1" s="43" t="s">
        <v>610</v>
      </c>
      <c r="H1" s="43" t="s">
        <v>548</v>
      </c>
      <c r="I1" s="102" t="s">
        <v>615</v>
      </c>
      <c r="J1" s="68" t="s">
        <v>620</v>
      </c>
      <c r="K1" s="102" t="s">
        <v>619</v>
      </c>
      <c r="L1" s="264" t="s">
        <v>965</v>
      </c>
      <c r="M1" s="264" t="s">
        <v>966</v>
      </c>
      <c r="N1" s="264" t="s">
        <v>967</v>
      </c>
      <c r="O1" s="264" t="s">
        <v>968</v>
      </c>
      <c r="P1" s="264" t="s">
        <v>969</v>
      </c>
    </row>
    <row r="2" spans="1:16">
      <c r="N2" s="43"/>
      <c r="O2" s="43"/>
      <c r="P2" s="43"/>
    </row>
    <row r="3" spans="1:16" ht="25.5">
      <c r="A3" s="43">
        <v>2017</v>
      </c>
      <c r="B3" s="43">
        <v>1099</v>
      </c>
      <c r="C3" s="68" t="s">
        <v>925</v>
      </c>
      <c r="D3" s="43">
        <v>73</v>
      </c>
      <c r="E3" s="43">
        <v>7</v>
      </c>
      <c r="F3" s="105">
        <v>98757</v>
      </c>
      <c r="G3" s="43">
        <v>93.88</v>
      </c>
      <c r="H3" s="68" t="s">
        <v>963</v>
      </c>
      <c r="I3" s="68" t="s">
        <v>999</v>
      </c>
      <c r="J3" s="288">
        <v>6219</v>
      </c>
      <c r="K3" s="50" t="s">
        <v>1000</v>
      </c>
      <c r="L3" s="43">
        <v>127</v>
      </c>
      <c r="M3" s="43">
        <v>51</v>
      </c>
      <c r="N3" s="68" t="s">
        <v>1001</v>
      </c>
      <c r="O3" s="68" t="s">
        <v>1002</v>
      </c>
      <c r="P3" s="289" t="s">
        <v>1003</v>
      </c>
    </row>
    <row r="4" spans="1:16">
      <c r="A4" s="43">
        <v>2016</v>
      </c>
      <c r="B4" s="43">
        <v>1250</v>
      </c>
      <c r="C4" s="68" t="s">
        <v>925</v>
      </c>
      <c r="D4" s="43">
        <v>74</v>
      </c>
      <c r="E4" s="43">
        <v>7</v>
      </c>
      <c r="F4" s="105">
        <v>115042</v>
      </c>
      <c r="G4" s="43">
        <v>92.55</v>
      </c>
      <c r="H4" s="68" t="s">
        <v>963</v>
      </c>
      <c r="I4" s="68" t="s">
        <v>281</v>
      </c>
      <c r="J4" s="263">
        <v>6207</v>
      </c>
      <c r="K4" s="50" t="s">
        <v>964</v>
      </c>
      <c r="L4" s="43">
        <v>134</v>
      </c>
      <c r="M4" s="43">
        <v>58</v>
      </c>
      <c r="N4" s="68" t="s">
        <v>971</v>
      </c>
      <c r="O4" s="68" t="s">
        <v>972</v>
      </c>
      <c r="P4" s="68" t="s">
        <v>970</v>
      </c>
    </row>
    <row r="5" spans="1:16">
      <c r="A5" s="43">
        <v>2015</v>
      </c>
      <c r="B5" s="43">
        <v>1231</v>
      </c>
      <c r="C5" s="43" t="s">
        <v>794</v>
      </c>
      <c r="D5" s="43">
        <v>84</v>
      </c>
      <c r="E5" s="43">
        <v>9</v>
      </c>
      <c r="F5" s="138">
        <v>110336</v>
      </c>
      <c r="G5" s="43">
        <v>91.14</v>
      </c>
      <c r="H5" s="43" t="s">
        <v>795</v>
      </c>
      <c r="I5" s="43" t="s">
        <v>281</v>
      </c>
      <c r="J5" s="139">
        <v>6663</v>
      </c>
      <c r="K5" t="s">
        <v>796</v>
      </c>
      <c r="L5" s="43">
        <v>129</v>
      </c>
      <c r="M5" s="43">
        <v>43</v>
      </c>
      <c r="N5" s="68" t="s">
        <v>973</v>
      </c>
      <c r="O5" s="68" t="s">
        <v>974</v>
      </c>
      <c r="P5" s="68" t="s">
        <v>975</v>
      </c>
    </row>
    <row r="6" spans="1:16">
      <c r="A6" s="135" t="s">
        <v>729</v>
      </c>
      <c r="B6" s="43">
        <v>1306</v>
      </c>
      <c r="C6" s="68" t="s">
        <v>545</v>
      </c>
      <c r="D6" s="43">
        <v>75</v>
      </c>
      <c r="E6" s="43">
        <v>10</v>
      </c>
      <c r="F6" s="105">
        <v>112857</v>
      </c>
      <c r="G6" s="43">
        <v>92.13</v>
      </c>
      <c r="H6" s="68" t="s">
        <v>765</v>
      </c>
      <c r="I6" s="68" t="s">
        <v>281</v>
      </c>
      <c r="J6" s="216">
        <v>6683</v>
      </c>
      <c r="K6" s="50" t="s">
        <v>766</v>
      </c>
    </row>
    <row r="7" spans="1:16">
      <c r="A7" s="135" t="s">
        <v>621</v>
      </c>
      <c r="B7" s="43">
        <v>1519</v>
      </c>
      <c r="C7" s="68" t="s">
        <v>545</v>
      </c>
      <c r="D7" s="43">
        <v>86</v>
      </c>
      <c r="E7" s="43">
        <v>12</v>
      </c>
      <c r="F7" s="138">
        <v>135875</v>
      </c>
      <c r="G7" s="43">
        <v>92.62</v>
      </c>
      <c r="H7" s="68" t="s">
        <v>681</v>
      </c>
      <c r="I7" s="68" t="s">
        <v>281</v>
      </c>
      <c r="J7" s="103">
        <v>7724</v>
      </c>
    </row>
    <row r="8" spans="1:16">
      <c r="A8" s="43">
        <v>2012</v>
      </c>
      <c r="B8" s="43">
        <v>1544</v>
      </c>
      <c r="C8" s="68" t="s">
        <v>613</v>
      </c>
      <c r="D8" s="43">
        <v>83</v>
      </c>
      <c r="E8" s="43">
        <v>12</v>
      </c>
      <c r="F8" s="138">
        <v>137267</v>
      </c>
      <c r="G8" s="43">
        <v>91.39</v>
      </c>
      <c r="H8" s="50" t="s">
        <v>614</v>
      </c>
      <c r="I8" s="68" t="s">
        <v>612</v>
      </c>
      <c r="J8" s="105">
        <v>8024</v>
      </c>
    </row>
    <row r="9" spans="1:16">
      <c r="A9" s="43">
        <v>2011</v>
      </c>
      <c r="B9" s="43">
        <v>1347</v>
      </c>
      <c r="C9" s="68" t="s">
        <v>545</v>
      </c>
      <c r="D9" s="43">
        <v>70</v>
      </c>
      <c r="E9" s="43">
        <v>9</v>
      </c>
      <c r="F9" s="138">
        <v>119976</v>
      </c>
      <c r="G9" s="43">
        <v>92.29</v>
      </c>
      <c r="I9" s="68" t="s">
        <v>596</v>
      </c>
      <c r="J9" s="105">
        <v>6314</v>
      </c>
    </row>
    <row r="10" spans="1:16">
      <c r="A10" s="43">
        <v>2010</v>
      </c>
      <c r="B10" s="43">
        <v>1249</v>
      </c>
      <c r="C10" s="68" t="s">
        <v>545</v>
      </c>
      <c r="D10" s="43">
        <v>67</v>
      </c>
      <c r="E10" s="43">
        <v>9</v>
      </c>
      <c r="F10" s="138">
        <v>112575</v>
      </c>
      <c r="G10" s="43">
        <v>91.75</v>
      </c>
      <c r="I10" s="68" t="s">
        <v>281</v>
      </c>
      <c r="J10" s="105">
        <v>5804</v>
      </c>
    </row>
    <row r="11" spans="1:16">
      <c r="A11" s="43">
        <v>2009</v>
      </c>
      <c r="B11" s="43">
        <v>1163</v>
      </c>
      <c r="C11" s="43" t="s">
        <v>545</v>
      </c>
      <c r="D11" s="43">
        <v>62</v>
      </c>
      <c r="E11" s="43">
        <v>5</v>
      </c>
      <c r="F11" s="138">
        <v>103796</v>
      </c>
      <c r="G11" s="43">
        <v>97.28</v>
      </c>
      <c r="I11" s="68" t="s">
        <v>144</v>
      </c>
      <c r="J11" s="105">
        <v>5460</v>
      </c>
    </row>
    <row r="12" spans="1:16">
      <c r="A12" s="43">
        <v>2008</v>
      </c>
      <c r="B12" s="43">
        <v>1208</v>
      </c>
      <c r="C12" s="43" t="s">
        <v>552</v>
      </c>
      <c r="D12" s="43">
        <v>71</v>
      </c>
      <c r="E12" s="43">
        <v>10</v>
      </c>
      <c r="F12" s="138">
        <v>104036</v>
      </c>
      <c r="G12" s="43">
        <v>90.62</v>
      </c>
      <c r="I12" s="68" t="s">
        <v>106</v>
      </c>
      <c r="J12" s="105">
        <v>6099</v>
      </c>
    </row>
    <row r="13" spans="1:16">
      <c r="A13" s="43">
        <v>2007</v>
      </c>
      <c r="B13" s="43">
        <v>1028</v>
      </c>
      <c r="C13" s="43" t="s">
        <v>550</v>
      </c>
      <c r="D13" s="43">
        <v>58</v>
      </c>
      <c r="E13" s="43">
        <v>4</v>
      </c>
      <c r="F13" s="138">
        <v>90554</v>
      </c>
      <c r="G13" s="43">
        <v>91.47</v>
      </c>
      <c r="I13" s="68" t="s">
        <v>540</v>
      </c>
      <c r="J13" s="105">
        <v>4560</v>
      </c>
    </row>
    <row r="14" spans="1:16">
      <c r="A14" s="43">
        <v>2006</v>
      </c>
      <c r="B14" s="43">
        <v>1139</v>
      </c>
      <c r="C14" s="43" t="s">
        <v>551</v>
      </c>
      <c r="D14" s="43">
        <v>58</v>
      </c>
      <c r="E14" s="43">
        <v>7</v>
      </c>
      <c r="F14" s="138">
        <v>99120</v>
      </c>
      <c r="G14" s="43">
        <v>92.12</v>
      </c>
      <c r="I14" s="68" t="s">
        <v>498</v>
      </c>
      <c r="J14" s="105">
        <v>4888</v>
      </c>
    </row>
    <row r="15" spans="1:16">
      <c r="A15" s="43">
        <v>2005</v>
      </c>
      <c r="B15" s="43">
        <v>1038</v>
      </c>
      <c r="C15" s="43" t="s">
        <v>549</v>
      </c>
      <c r="D15" s="43">
        <v>65</v>
      </c>
      <c r="E15" s="43">
        <v>4</v>
      </c>
      <c r="F15" s="138">
        <v>91707</v>
      </c>
      <c r="G15" s="43">
        <v>91.52</v>
      </c>
      <c r="I15" s="68" t="s">
        <v>616</v>
      </c>
      <c r="J15" s="105">
        <v>5425</v>
      </c>
    </row>
    <row r="16" spans="1:16">
      <c r="A16" s="43">
        <v>2004</v>
      </c>
      <c r="B16" s="43">
        <v>1025</v>
      </c>
      <c r="C16" s="43" t="s">
        <v>549</v>
      </c>
      <c r="D16" s="43">
        <v>60</v>
      </c>
      <c r="E16" s="43">
        <v>3</v>
      </c>
      <c r="F16" s="139">
        <v>90819</v>
      </c>
      <c r="G16" s="43">
        <v>93.63</v>
      </c>
      <c r="I16" s="68" t="s">
        <v>617</v>
      </c>
      <c r="J16" s="105">
        <v>4819</v>
      </c>
      <c r="K16" s="50" t="s">
        <v>618</v>
      </c>
    </row>
    <row r="17" spans="1:10">
      <c r="A17" s="43">
        <v>2003</v>
      </c>
      <c r="B17" s="43">
        <v>1092</v>
      </c>
      <c r="C17" s="43" t="s">
        <v>545</v>
      </c>
      <c r="D17" s="43">
        <v>73</v>
      </c>
      <c r="E17" s="43">
        <v>5</v>
      </c>
      <c r="G17" s="43"/>
      <c r="I17" s="43"/>
      <c r="J17" s="105"/>
    </row>
    <row r="18" spans="1:10">
      <c r="A18" s="43">
        <v>2002</v>
      </c>
      <c r="B18" s="43">
        <v>1242</v>
      </c>
      <c r="C18" s="43" t="s">
        <v>545</v>
      </c>
      <c r="D18" s="43">
        <v>76</v>
      </c>
      <c r="E18" s="43">
        <v>5</v>
      </c>
      <c r="G18" s="43"/>
      <c r="H18" t="s">
        <v>547</v>
      </c>
      <c r="I18" s="43"/>
      <c r="J18" s="105"/>
    </row>
    <row r="19" spans="1:10">
      <c r="A19" s="43">
        <v>2001</v>
      </c>
      <c r="B19" s="43">
        <v>1194</v>
      </c>
      <c r="C19" s="43" t="s">
        <v>546</v>
      </c>
      <c r="D19" s="43">
        <v>62</v>
      </c>
      <c r="E19" s="43">
        <v>6</v>
      </c>
      <c r="G19" s="43"/>
      <c r="I19" s="43"/>
      <c r="J19" s="105"/>
    </row>
    <row r="20" spans="1:10">
      <c r="A20" s="43">
        <v>2000</v>
      </c>
      <c r="B20" s="43">
        <v>1108</v>
      </c>
      <c r="C20" s="43" t="s">
        <v>545</v>
      </c>
      <c r="D20" s="43">
        <v>69</v>
      </c>
      <c r="E20" s="43">
        <v>3</v>
      </c>
      <c r="G20" s="43"/>
      <c r="I20" s="43"/>
      <c r="J20" s="105"/>
    </row>
    <row r="21" spans="1:10">
      <c r="A21" s="43">
        <v>1999</v>
      </c>
      <c r="B21" s="43">
        <v>1056</v>
      </c>
      <c r="C21" s="43" t="s">
        <v>545</v>
      </c>
      <c r="D21" s="43">
        <v>74</v>
      </c>
      <c r="E21" s="43">
        <v>3</v>
      </c>
      <c r="G21" s="43"/>
      <c r="I21" s="43"/>
      <c r="J21" s="105"/>
    </row>
    <row r="22" spans="1:10">
      <c r="A22" s="43">
        <v>1998</v>
      </c>
      <c r="B22" s="43">
        <v>979</v>
      </c>
      <c r="C22" s="43" t="s">
        <v>545</v>
      </c>
      <c r="D22" s="43">
        <v>75</v>
      </c>
      <c r="E22" s="43">
        <v>3</v>
      </c>
      <c r="G22" s="43"/>
      <c r="I22" s="43"/>
      <c r="J22" s="105"/>
    </row>
    <row r="23" spans="1:10">
      <c r="A23" s="43">
        <v>1997</v>
      </c>
      <c r="B23" s="43">
        <v>1088</v>
      </c>
      <c r="C23" s="43" t="s">
        <v>545</v>
      </c>
      <c r="D23" s="43">
        <v>95</v>
      </c>
      <c r="E23" s="43">
        <v>5</v>
      </c>
      <c r="G23" s="43"/>
      <c r="I23" s="43"/>
      <c r="J23" s="105"/>
    </row>
    <row r="24" spans="1:10">
      <c r="A24" s="43">
        <v>1996</v>
      </c>
      <c r="B24" s="43">
        <v>980</v>
      </c>
      <c r="C24" s="43" t="s">
        <v>545</v>
      </c>
      <c r="D24" s="43">
        <v>81</v>
      </c>
      <c r="E24" s="43">
        <v>3</v>
      </c>
      <c r="G24" s="43"/>
      <c r="I24" s="43"/>
      <c r="J24" s="105"/>
    </row>
    <row r="25" spans="1:10">
      <c r="A25" s="43">
        <v>1995</v>
      </c>
      <c r="B25" s="43">
        <v>1010</v>
      </c>
      <c r="C25" s="43" t="s">
        <v>545</v>
      </c>
      <c r="D25" s="43">
        <v>83</v>
      </c>
      <c r="E25" s="43">
        <v>6</v>
      </c>
      <c r="G25" s="43"/>
      <c r="I25" s="43"/>
      <c r="J25" s="105"/>
    </row>
    <row r="26" spans="1:10">
      <c r="A26" s="43">
        <v>1994</v>
      </c>
      <c r="B26" s="43">
        <v>1056</v>
      </c>
      <c r="C26" s="43" t="s">
        <v>545</v>
      </c>
      <c r="D26" s="43">
        <v>67</v>
      </c>
      <c r="E26" s="43">
        <v>7</v>
      </c>
      <c r="G26" s="43"/>
      <c r="I26" s="43"/>
      <c r="J26" s="105"/>
    </row>
    <row r="27" spans="1:10">
      <c r="A27" s="43">
        <v>1993</v>
      </c>
      <c r="B27" s="43">
        <v>1108</v>
      </c>
      <c r="C27" s="43" t="s">
        <v>545</v>
      </c>
      <c r="D27" s="43">
        <v>87</v>
      </c>
      <c r="E27" s="43">
        <v>7</v>
      </c>
      <c r="G27" s="43"/>
      <c r="I27" s="43"/>
      <c r="J27" s="105"/>
    </row>
    <row r="28" spans="1:10">
      <c r="A28" s="43">
        <v>1992</v>
      </c>
      <c r="B28" s="43">
        <v>1034</v>
      </c>
      <c r="C28" s="43" t="s">
        <v>545</v>
      </c>
      <c r="D28" s="43">
        <v>87</v>
      </c>
      <c r="E28" s="43">
        <v>6</v>
      </c>
      <c r="G28" s="43"/>
      <c r="I28" s="43"/>
      <c r="J28" s="105"/>
    </row>
    <row r="29" spans="1:10">
      <c r="A29" s="43">
        <v>1991</v>
      </c>
      <c r="B29" s="43">
        <v>979</v>
      </c>
      <c r="C29" s="43" t="s">
        <v>545</v>
      </c>
      <c r="D29" s="43">
        <v>67</v>
      </c>
      <c r="E29" s="43">
        <v>1</v>
      </c>
      <c r="G29" s="43"/>
      <c r="I29" s="43"/>
      <c r="J29" s="105"/>
    </row>
  </sheetData>
  <printOptions gridLines="1"/>
  <pageMargins left="0.7" right="0.7" top="0.75" bottom="0.75" header="0.3" footer="0.3"/>
  <pageSetup scale="50" orientation="landscape" r:id="rId1"/>
  <headerFooter>
    <oddHeader>&amp;C&amp;"Arial,Bold"&amp;14DGA Total Rounds Summary</oddHeader>
    <oddFooter>&amp;L&amp;F&amp;R&amp;D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9"/>
  <sheetViews>
    <sheetView workbookViewId="0">
      <selection activeCell="G7" sqref="G7"/>
    </sheetView>
  </sheetViews>
  <sheetFormatPr defaultRowHeight="12.75"/>
  <cols>
    <col min="2" max="2" width="13.28515625" customWidth="1"/>
    <col min="3" max="3" width="14.42578125" customWidth="1"/>
    <col min="4" max="4" width="14.140625" customWidth="1"/>
    <col min="5" max="5" width="21.28515625" customWidth="1"/>
    <col min="6" max="6" width="12" customWidth="1"/>
  </cols>
  <sheetData>
    <row r="1" spans="1:7">
      <c r="A1" s="33" t="s">
        <v>291</v>
      </c>
    </row>
    <row r="3" spans="1:7">
      <c r="A3" s="41">
        <v>2004</v>
      </c>
      <c r="B3" t="s">
        <v>3</v>
      </c>
      <c r="D3" t="s">
        <v>292</v>
      </c>
      <c r="E3" t="s">
        <v>479</v>
      </c>
      <c r="F3" t="s">
        <v>294</v>
      </c>
      <c r="G3">
        <v>76</v>
      </c>
    </row>
    <row r="4" spans="1:7">
      <c r="B4" t="s">
        <v>4</v>
      </c>
      <c r="C4" t="s">
        <v>295</v>
      </c>
      <c r="D4" t="s">
        <v>296</v>
      </c>
      <c r="E4" t="s">
        <v>480</v>
      </c>
      <c r="F4" t="s">
        <v>298</v>
      </c>
      <c r="G4">
        <v>80</v>
      </c>
    </row>
    <row r="5" spans="1:7">
      <c r="B5" t="s">
        <v>5</v>
      </c>
      <c r="E5" t="s">
        <v>481</v>
      </c>
      <c r="F5" t="s">
        <v>298</v>
      </c>
      <c r="G5">
        <v>79</v>
      </c>
    </row>
    <row r="6" spans="1:7">
      <c r="B6" t="s">
        <v>257</v>
      </c>
      <c r="C6" t="s">
        <v>235</v>
      </c>
      <c r="E6" t="s">
        <v>3</v>
      </c>
      <c r="F6" t="s">
        <v>300</v>
      </c>
      <c r="G6">
        <v>88</v>
      </c>
    </row>
    <row r="7" spans="1:7">
      <c r="B7" t="s">
        <v>106</v>
      </c>
      <c r="E7" t="s">
        <v>106</v>
      </c>
      <c r="F7" t="s">
        <v>300</v>
      </c>
      <c r="G7">
        <v>77</v>
      </c>
    </row>
    <row r="8" spans="1:7">
      <c r="B8" t="s">
        <v>31</v>
      </c>
    </row>
    <row r="9" spans="1:7">
      <c r="B9" t="s">
        <v>265</v>
      </c>
      <c r="G9">
        <f>SUM(G3:G8)</f>
        <v>400</v>
      </c>
    </row>
    <row r="10" spans="1:7">
      <c r="B10" t="s">
        <v>112</v>
      </c>
    </row>
    <row r="12" spans="1:7">
      <c r="A12">
        <v>2003</v>
      </c>
      <c r="B12" t="s">
        <v>256</v>
      </c>
      <c r="D12" t="s">
        <v>292</v>
      </c>
      <c r="E12" t="s">
        <v>293</v>
      </c>
      <c r="F12" t="s">
        <v>294</v>
      </c>
      <c r="G12">
        <v>85</v>
      </c>
    </row>
    <row r="13" spans="1:7">
      <c r="B13" t="s">
        <v>4</v>
      </c>
      <c r="C13" t="s">
        <v>295</v>
      </c>
      <c r="D13" t="s">
        <v>296</v>
      </c>
      <c r="E13" t="s">
        <v>297</v>
      </c>
      <c r="F13" t="s">
        <v>298</v>
      </c>
      <c r="G13">
        <v>69</v>
      </c>
    </row>
    <row r="14" spans="1:7">
      <c r="B14" t="s">
        <v>106</v>
      </c>
      <c r="E14" t="s">
        <v>299</v>
      </c>
      <c r="F14" t="s">
        <v>298</v>
      </c>
      <c r="G14">
        <v>69</v>
      </c>
    </row>
    <row r="15" spans="1:7">
      <c r="B15" t="s">
        <v>23</v>
      </c>
      <c r="C15" t="s">
        <v>235</v>
      </c>
      <c r="E15" t="s">
        <v>23</v>
      </c>
      <c r="F15" t="s">
        <v>300</v>
      </c>
      <c r="G15">
        <v>77</v>
      </c>
    </row>
    <row r="16" spans="1:7">
      <c r="B16" t="s">
        <v>259</v>
      </c>
      <c r="E16" t="s">
        <v>106</v>
      </c>
      <c r="F16" t="s">
        <v>300</v>
      </c>
      <c r="G16">
        <v>83</v>
      </c>
    </row>
    <row r="17" spans="1:7">
      <c r="B17" t="s">
        <v>32</v>
      </c>
    </row>
    <row r="18" spans="1:7">
      <c r="B18" t="s">
        <v>233</v>
      </c>
      <c r="G18">
        <f>SUM(G12:G17)</f>
        <v>383</v>
      </c>
    </row>
    <row r="19" spans="1:7">
      <c r="B19" t="s">
        <v>112</v>
      </c>
    </row>
    <row r="21" spans="1:7">
      <c r="A21">
        <v>2002</v>
      </c>
      <c r="B21" t="s">
        <v>3</v>
      </c>
      <c r="D21" t="s">
        <v>292</v>
      </c>
      <c r="E21" t="s">
        <v>301</v>
      </c>
      <c r="F21" t="s">
        <v>294</v>
      </c>
      <c r="G21">
        <v>72</v>
      </c>
    </row>
    <row r="22" spans="1:7">
      <c r="B22" t="s">
        <v>4</v>
      </c>
      <c r="D22" t="s">
        <v>302</v>
      </c>
      <c r="E22" t="s">
        <v>303</v>
      </c>
      <c r="F22" t="s">
        <v>298</v>
      </c>
      <c r="G22">
        <v>77</v>
      </c>
    </row>
    <row r="23" spans="1:7">
      <c r="B23" t="s">
        <v>9</v>
      </c>
      <c r="E23" t="s">
        <v>304</v>
      </c>
      <c r="F23" t="s">
        <v>298</v>
      </c>
      <c r="G23">
        <v>73</v>
      </c>
    </row>
    <row r="24" spans="1:7">
      <c r="B24" t="s">
        <v>153</v>
      </c>
      <c r="C24" t="s">
        <v>235</v>
      </c>
      <c r="E24" t="s">
        <v>3</v>
      </c>
      <c r="F24" t="s">
        <v>300</v>
      </c>
      <c r="G24">
        <v>76</v>
      </c>
    </row>
    <row r="25" spans="1:7">
      <c r="B25" t="s">
        <v>106</v>
      </c>
      <c r="C25" t="s">
        <v>295</v>
      </c>
      <c r="E25" t="s">
        <v>106</v>
      </c>
      <c r="F25" t="s">
        <v>300</v>
      </c>
      <c r="G25">
        <v>76</v>
      </c>
    </row>
    <row r="26" spans="1:7">
      <c r="B26" t="s">
        <v>144</v>
      </c>
    </row>
    <row r="27" spans="1:7">
      <c r="B27" t="s">
        <v>305</v>
      </c>
      <c r="G27">
        <f>SUM(G21:G26)</f>
        <v>374</v>
      </c>
    </row>
    <row r="28" spans="1:7">
      <c r="B28" t="s">
        <v>112</v>
      </c>
    </row>
    <row r="30" spans="1:7">
      <c r="A30">
        <v>2001</v>
      </c>
      <c r="B30" t="s">
        <v>4</v>
      </c>
      <c r="C30" t="s">
        <v>295</v>
      </c>
      <c r="D30" t="s">
        <v>306</v>
      </c>
      <c r="E30" t="s">
        <v>307</v>
      </c>
      <c r="F30" t="s">
        <v>294</v>
      </c>
      <c r="G30">
        <v>72</v>
      </c>
    </row>
    <row r="31" spans="1:7">
      <c r="B31" t="s">
        <v>0</v>
      </c>
      <c r="D31" t="s">
        <v>308</v>
      </c>
      <c r="E31" t="s">
        <v>309</v>
      </c>
      <c r="F31" t="s">
        <v>298</v>
      </c>
      <c r="G31">
        <v>69</v>
      </c>
    </row>
    <row r="32" spans="1:7">
      <c r="B32" t="s">
        <v>256</v>
      </c>
      <c r="E32" t="s">
        <v>310</v>
      </c>
      <c r="F32" t="s">
        <v>298</v>
      </c>
      <c r="G32">
        <v>67</v>
      </c>
    </row>
    <row r="33" spans="1:7">
      <c r="B33" t="s">
        <v>7</v>
      </c>
      <c r="E33" t="s">
        <v>256</v>
      </c>
      <c r="F33" t="s">
        <v>300</v>
      </c>
      <c r="G33">
        <v>68</v>
      </c>
    </row>
    <row r="34" spans="1:7">
      <c r="B34" t="s">
        <v>13</v>
      </c>
      <c r="E34" t="s">
        <v>265</v>
      </c>
      <c r="F34" t="s">
        <v>300</v>
      </c>
      <c r="G34">
        <v>74</v>
      </c>
    </row>
    <row r="35" spans="1:7">
      <c r="B35" t="s">
        <v>144</v>
      </c>
    </row>
    <row r="36" spans="1:7">
      <c r="B36" t="s">
        <v>265</v>
      </c>
      <c r="G36">
        <f>SUM(G30:G35)</f>
        <v>350</v>
      </c>
    </row>
    <row r="37" spans="1:7">
      <c r="B37" t="s">
        <v>32</v>
      </c>
    </row>
    <row r="39" spans="1:7">
      <c r="A39">
        <v>2000</v>
      </c>
      <c r="B39" t="s">
        <v>106</v>
      </c>
      <c r="C39" t="s">
        <v>295</v>
      </c>
      <c r="D39" t="s">
        <v>311</v>
      </c>
      <c r="E39" t="s">
        <v>312</v>
      </c>
    </row>
    <row r="40" spans="1:7">
      <c r="B40" t="s">
        <v>257</v>
      </c>
      <c r="E40" t="s">
        <v>313</v>
      </c>
    </row>
    <row r="41" spans="1:7">
      <c r="B41" t="s">
        <v>17</v>
      </c>
      <c r="E41" t="s">
        <v>314</v>
      </c>
    </row>
    <row r="42" spans="1:7">
      <c r="B42" t="s">
        <v>20</v>
      </c>
      <c r="E42" t="s">
        <v>315</v>
      </c>
    </row>
    <row r="43" spans="1:7">
      <c r="B43" t="s">
        <v>144</v>
      </c>
    </row>
    <row r="44" spans="1:7">
      <c r="B44" t="s">
        <v>258</v>
      </c>
    </row>
    <row r="45" spans="1:7">
      <c r="B45" t="s">
        <v>29</v>
      </c>
    </row>
    <row r="46" spans="1:7">
      <c r="B46" t="s">
        <v>316</v>
      </c>
    </row>
    <row r="48" spans="1:7">
      <c r="A48">
        <v>2000</v>
      </c>
      <c r="B48" t="s">
        <v>233</v>
      </c>
      <c r="C48" t="s">
        <v>295</v>
      </c>
      <c r="D48" t="s">
        <v>306</v>
      </c>
      <c r="E48" t="s">
        <v>317</v>
      </c>
      <c r="F48" t="s">
        <v>298</v>
      </c>
      <c r="G48">
        <v>64</v>
      </c>
    </row>
    <row r="49" spans="1:7">
      <c r="B49" t="s">
        <v>5</v>
      </c>
      <c r="D49" t="s">
        <v>308</v>
      </c>
      <c r="E49" t="s">
        <v>318</v>
      </c>
      <c r="F49" t="s">
        <v>298</v>
      </c>
      <c r="G49">
        <v>67</v>
      </c>
    </row>
    <row r="50" spans="1:7">
      <c r="B50" t="s">
        <v>12</v>
      </c>
      <c r="E50" t="s">
        <v>319</v>
      </c>
      <c r="F50" t="s">
        <v>298</v>
      </c>
      <c r="G50">
        <v>70</v>
      </c>
    </row>
    <row r="51" spans="1:7">
      <c r="B51" t="s">
        <v>253</v>
      </c>
      <c r="E51" t="s">
        <v>320</v>
      </c>
      <c r="F51" t="s">
        <v>298</v>
      </c>
      <c r="G51">
        <v>70</v>
      </c>
    </row>
    <row r="52" spans="1:7">
      <c r="B52" t="s">
        <v>23</v>
      </c>
    </row>
    <row r="53" spans="1:7">
      <c r="B53" t="s">
        <v>25</v>
      </c>
      <c r="G53">
        <f>SUM(G48:G52)</f>
        <v>271</v>
      </c>
    </row>
    <row r="54" spans="1:7">
      <c r="B54" t="s">
        <v>254</v>
      </c>
    </row>
    <row r="55" spans="1:7">
      <c r="B55" t="s">
        <v>112</v>
      </c>
    </row>
    <row r="57" spans="1:7">
      <c r="A57">
        <v>1999</v>
      </c>
      <c r="B57" t="s">
        <v>3</v>
      </c>
      <c r="D57" t="s">
        <v>311</v>
      </c>
      <c r="E57" t="s">
        <v>321</v>
      </c>
      <c r="F57" t="s">
        <v>298</v>
      </c>
      <c r="G57">
        <v>73</v>
      </c>
    </row>
    <row r="58" spans="1:7">
      <c r="B58" t="s">
        <v>4</v>
      </c>
      <c r="C58" t="s">
        <v>295</v>
      </c>
      <c r="D58" t="s">
        <v>322</v>
      </c>
      <c r="E58" t="s">
        <v>323</v>
      </c>
      <c r="F58" t="s">
        <v>298</v>
      </c>
      <c r="G58">
        <v>71</v>
      </c>
    </row>
    <row r="59" spans="1:7">
      <c r="B59" t="s">
        <v>153</v>
      </c>
      <c r="E59" t="s">
        <v>324</v>
      </c>
      <c r="F59" t="s">
        <v>294</v>
      </c>
      <c r="G59">
        <v>74</v>
      </c>
    </row>
    <row r="60" spans="1:7">
      <c r="B60" t="s">
        <v>23</v>
      </c>
      <c r="E60" t="s">
        <v>230</v>
      </c>
      <c r="F60" t="s">
        <v>300</v>
      </c>
      <c r="G60">
        <v>75</v>
      </c>
    </row>
    <row r="61" spans="1:7">
      <c r="B61" t="s">
        <v>144</v>
      </c>
      <c r="E61" t="s">
        <v>155</v>
      </c>
      <c r="F61" t="s">
        <v>300</v>
      </c>
      <c r="G61">
        <v>77</v>
      </c>
    </row>
    <row r="62" spans="1:7">
      <c r="B62" t="s">
        <v>155</v>
      </c>
    </row>
    <row r="63" spans="1:7">
      <c r="B63" t="s">
        <v>112</v>
      </c>
      <c r="G63">
        <f>SUM(G57:G62)</f>
        <v>370</v>
      </c>
    </row>
    <row r="64" spans="1:7">
      <c r="B64" t="s">
        <v>230</v>
      </c>
    </row>
    <row r="66" spans="1:7">
      <c r="A66">
        <v>1998</v>
      </c>
      <c r="B66" t="s">
        <v>1</v>
      </c>
      <c r="D66" t="s">
        <v>311</v>
      </c>
      <c r="E66" t="s">
        <v>325</v>
      </c>
      <c r="F66" t="s">
        <v>298</v>
      </c>
      <c r="G66">
        <v>76</v>
      </c>
    </row>
    <row r="67" spans="1:7">
      <c r="B67" t="s">
        <v>3</v>
      </c>
      <c r="D67" t="s">
        <v>326</v>
      </c>
      <c r="E67" t="s">
        <v>327</v>
      </c>
      <c r="F67" t="s">
        <v>294</v>
      </c>
      <c r="G67">
        <v>69</v>
      </c>
    </row>
    <row r="68" spans="1:7">
      <c r="B68" t="s">
        <v>22</v>
      </c>
      <c r="E68" t="s">
        <v>328</v>
      </c>
      <c r="F68" t="s">
        <v>298</v>
      </c>
      <c r="G68">
        <v>71</v>
      </c>
    </row>
    <row r="69" spans="1:7">
      <c r="B69" t="s">
        <v>23</v>
      </c>
      <c r="E69" t="s">
        <v>23</v>
      </c>
      <c r="F69" t="s">
        <v>300</v>
      </c>
      <c r="G69">
        <v>82</v>
      </c>
    </row>
    <row r="70" spans="1:7">
      <c r="B70" t="s">
        <v>24</v>
      </c>
      <c r="C70" t="s">
        <v>295</v>
      </c>
      <c r="E70" t="s">
        <v>24</v>
      </c>
      <c r="F70" t="s">
        <v>300</v>
      </c>
      <c r="G70">
        <v>81</v>
      </c>
    </row>
    <row r="71" spans="1:7">
      <c r="B71" t="s">
        <v>144</v>
      </c>
    </row>
    <row r="72" spans="1:7">
      <c r="B72" t="s">
        <v>155</v>
      </c>
      <c r="G72">
        <f>SUM(G66:G71)</f>
        <v>379</v>
      </c>
    </row>
    <row r="73" spans="1:7">
      <c r="B73" t="s">
        <v>112</v>
      </c>
    </row>
    <row r="75" spans="1:7">
      <c r="A75">
        <v>1997</v>
      </c>
      <c r="B75" t="s">
        <v>3</v>
      </c>
      <c r="D75" t="s">
        <v>311</v>
      </c>
      <c r="E75" t="s">
        <v>329</v>
      </c>
      <c r="F75" t="s">
        <v>298</v>
      </c>
      <c r="G75">
        <v>76</v>
      </c>
    </row>
    <row r="76" spans="1:7">
      <c r="B76" t="s">
        <v>8</v>
      </c>
      <c r="D76" t="s">
        <v>322</v>
      </c>
      <c r="E76" t="s">
        <v>330</v>
      </c>
      <c r="F76" t="s">
        <v>298</v>
      </c>
      <c r="G76">
        <v>79</v>
      </c>
    </row>
    <row r="77" spans="1:7">
      <c r="B77" t="s">
        <v>106</v>
      </c>
      <c r="E77" t="s">
        <v>331</v>
      </c>
      <c r="F77" t="s">
        <v>298</v>
      </c>
      <c r="G77">
        <v>71</v>
      </c>
    </row>
    <row r="78" spans="1:7">
      <c r="B78" t="s">
        <v>22</v>
      </c>
      <c r="E78" t="s">
        <v>332</v>
      </c>
      <c r="F78" t="s">
        <v>298</v>
      </c>
      <c r="G78">
        <v>73</v>
      </c>
    </row>
    <row r="79" spans="1:7">
      <c r="B79" t="s">
        <v>24</v>
      </c>
      <c r="C79" t="s">
        <v>295</v>
      </c>
    </row>
    <row r="80" spans="1:7">
      <c r="B80" t="s">
        <v>155</v>
      </c>
      <c r="G80">
        <f>SUM(G75:G79)</f>
        <v>299</v>
      </c>
    </row>
    <row r="81" spans="1:7">
      <c r="B81" t="s">
        <v>30</v>
      </c>
    </row>
    <row r="82" spans="1:7">
      <c r="B82" t="s">
        <v>233</v>
      </c>
    </row>
    <row r="84" spans="1:7">
      <c r="A84">
        <v>1996</v>
      </c>
      <c r="B84" t="s">
        <v>3</v>
      </c>
      <c r="D84" t="s">
        <v>333</v>
      </c>
      <c r="E84" t="s">
        <v>334</v>
      </c>
      <c r="F84" t="s">
        <v>298</v>
      </c>
      <c r="G84">
        <v>64</v>
      </c>
    </row>
    <row r="85" spans="1:7">
      <c r="B85" t="s">
        <v>4</v>
      </c>
      <c r="D85" t="s">
        <v>322</v>
      </c>
      <c r="E85" t="s">
        <v>335</v>
      </c>
      <c r="F85" t="s">
        <v>298</v>
      </c>
      <c r="G85">
        <v>69</v>
      </c>
    </row>
    <row r="86" spans="1:7">
      <c r="B86" t="s">
        <v>22</v>
      </c>
      <c r="D86" t="s">
        <v>336</v>
      </c>
      <c r="E86" t="s">
        <v>337</v>
      </c>
      <c r="F86" t="s">
        <v>298</v>
      </c>
      <c r="G86">
        <v>65</v>
      </c>
    </row>
    <row r="87" spans="1:7">
      <c r="B87" t="s">
        <v>23</v>
      </c>
      <c r="E87" t="s">
        <v>323</v>
      </c>
      <c r="F87" t="s">
        <v>298</v>
      </c>
      <c r="G87">
        <v>72</v>
      </c>
    </row>
    <row r="88" spans="1:7">
      <c r="B88" t="s">
        <v>24</v>
      </c>
      <c r="C88" t="s">
        <v>295</v>
      </c>
    </row>
    <row r="89" spans="1:7">
      <c r="B89" t="s">
        <v>155</v>
      </c>
      <c r="G89">
        <f>SUM(G84:G88)</f>
        <v>270</v>
      </c>
    </row>
    <row r="90" spans="1:7">
      <c r="B90" t="s">
        <v>30</v>
      </c>
    </row>
    <row r="91" spans="1:7">
      <c r="B91" t="s">
        <v>112</v>
      </c>
    </row>
    <row r="93" spans="1:7">
      <c r="A93">
        <v>1995</v>
      </c>
      <c r="B93" t="s">
        <v>16</v>
      </c>
      <c r="D93" t="s">
        <v>333</v>
      </c>
      <c r="E93" t="s">
        <v>338</v>
      </c>
      <c r="F93" t="s">
        <v>298</v>
      </c>
      <c r="G93">
        <v>70</v>
      </c>
    </row>
    <row r="94" spans="1:7">
      <c r="B94" t="s">
        <v>144</v>
      </c>
      <c r="D94" t="s">
        <v>296</v>
      </c>
      <c r="E94" t="s">
        <v>339</v>
      </c>
      <c r="F94" t="s">
        <v>298</v>
      </c>
      <c r="G94">
        <v>72</v>
      </c>
    </row>
    <row r="95" spans="1:7">
      <c r="B95" t="s">
        <v>282</v>
      </c>
      <c r="C95" t="s">
        <v>295</v>
      </c>
      <c r="E95" t="s">
        <v>340</v>
      </c>
      <c r="F95" t="s">
        <v>298</v>
      </c>
      <c r="G95">
        <v>63</v>
      </c>
    </row>
    <row r="96" spans="1:7">
      <c r="B96" t="s">
        <v>112</v>
      </c>
      <c r="C96" t="s">
        <v>235</v>
      </c>
      <c r="E96" t="s">
        <v>341</v>
      </c>
      <c r="F96" t="s">
        <v>298</v>
      </c>
      <c r="G96">
        <v>69</v>
      </c>
    </row>
    <row r="97" spans="1:7">
      <c r="B97" t="s">
        <v>4</v>
      </c>
    </row>
    <row r="98" spans="1:7">
      <c r="B98" t="s">
        <v>155</v>
      </c>
      <c r="G98">
        <f>SUM(G93:G97)</f>
        <v>274</v>
      </c>
    </row>
    <row r="99" spans="1:7">
      <c r="B99" t="s">
        <v>23</v>
      </c>
    </row>
    <row r="100" spans="1:7">
      <c r="B100" t="s">
        <v>106</v>
      </c>
    </row>
    <row r="102" spans="1:7">
      <c r="A102">
        <v>1994</v>
      </c>
      <c r="B102" t="s">
        <v>4</v>
      </c>
      <c r="D102" t="s">
        <v>333</v>
      </c>
      <c r="E102" t="s">
        <v>342</v>
      </c>
      <c r="F102" t="s">
        <v>298</v>
      </c>
      <c r="G102">
        <v>64</v>
      </c>
    </row>
    <row r="103" spans="1:7">
      <c r="B103" t="s">
        <v>138</v>
      </c>
      <c r="D103" t="s">
        <v>308</v>
      </c>
      <c r="E103" t="s">
        <v>332</v>
      </c>
      <c r="F103" t="s">
        <v>298</v>
      </c>
      <c r="G103">
        <v>64</v>
      </c>
    </row>
    <row r="104" spans="1:7">
      <c r="B104" t="s">
        <v>155</v>
      </c>
      <c r="E104" t="s">
        <v>338</v>
      </c>
      <c r="F104" t="s">
        <v>298</v>
      </c>
      <c r="G104">
        <v>56</v>
      </c>
    </row>
    <row r="105" spans="1:7">
      <c r="B105" t="s">
        <v>282</v>
      </c>
      <c r="C105" t="s">
        <v>295</v>
      </c>
      <c r="E105" t="s">
        <v>343</v>
      </c>
      <c r="F105" t="s">
        <v>298</v>
      </c>
      <c r="G105">
        <v>61</v>
      </c>
    </row>
    <row r="106" spans="1:7">
      <c r="B106" t="s">
        <v>16</v>
      </c>
    </row>
    <row r="107" spans="1:7">
      <c r="B107" t="s">
        <v>144</v>
      </c>
      <c r="G107">
        <f>SUM(G102:G106)</f>
        <v>245</v>
      </c>
    </row>
    <row r="108" spans="1:7">
      <c r="B108" t="s">
        <v>23</v>
      </c>
    </row>
    <row r="109" spans="1:7">
      <c r="B109" t="s">
        <v>30</v>
      </c>
    </row>
  </sheetData>
  <phoneticPr fontId="0" type="noConversion"/>
  <pageMargins left="0.75" right="0.75" top="1" bottom="1" header="0.5" footer="0.5"/>
  <pageSetup scale="94" fitToHeight="2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opLeftCell="A2" workbookViewId="0">
      <selection activeCell="L36" sqref="L36"/>
    </sheetView>
  </sheetViews>
  <sheetFormatPr defaultRowHeight="12.75"/>
  <cols>
    <col min="1" max="1" width="13" customWidth="1"/>
  </cols>
  <sheetData>
    <row r="1" spans="1:12">
      <c r="B1" t="s">
        <v>344</v>
      </c>
      <c r="C1" t="s">
        <v>345</v>
      </c>
      <c r="D1" t="s">
        <v>346</v>
      </c>
    </row>
    <row r="2" spans="1:12">
      <c r="A2" t="s">
        <v>0</v>
      </c>
      <c r="C2">
        <f t="shared" ref="C2:C38" si="0">COUNTA(E2:P2)</f>
        <v>1</v>
      </c>
      <c r="D2">
        <v>1</v>
      </c>
      <c r="E2" s="38">
        <v>2001</v>
      </c>
    </row>
    <row r="3" spans="1:12">
      <c r="A3" t="s">
        <v>1</v>
      </c>
      <c r="C3">
        <f t="shared" si="0"/>
        <v>1</v>
      </c>
      <c r="D3">
        <v>0</v>
      </c>
      <c r="E3">
        <v>1998</v>
      </c>
    </row>
    <row r="4" spans="1:12">
      <c r="A4" t="s">
        <v>256</v>
      </c>
      <c r="C4">
        <f t="shared" si="0"/>
        <v>2</v>
      </c>
      <c r="D4">
        <v>1</v>
      </c>
      <c r="E4" s="38">
        <v>2001</v>
      </c>
      <c r="F4">
        <v>2003</v>
      </c>
    </row>
    <row r="5" spans="1:12">
      <c r="A5" t="s">
        <v>3</v>
      </c>
      <c r="C5">
        <f t="shared" si="0"/>
        <v>6</v>
      </c>
      <c r="D5">
        <v>0</v>
      </c>
      <c r="E5">
        <v>1996</v>
      </c>
      <c r="F5">
        <v>1997</v>
      </c>
      <c r="G5">
        <v>1998</v>
      </c>
      <c r="H5">
        <v>1999</v>
      </c>
      <c r="I5">
        <v>2002</v>
      </c>
      <c r="J5">
        <v>2004</v>
      </c>
    </row>
    <row r="6" spans="1:12">
      <c r="A6" t="s">
        <v>4</v>
      </c>
      <c r="B6">
        <v>4</v>
      </c>
      <c r="C6">
        <f t="shared" si="0"/>
        <v>8</v>
      </c>
      <c r="D6">
        <v>2</v>
      </c>
      <c r="E6" s="38">
        <v>1994</v>
      </c>
      <c r="F6">
        <v>1995</v>
      </c>
      <c r="G6">
        <v>1996</v>
      </c>
      <c r="H6">
        <v>1999</v>
      </c>
      <c r="I6" s="38">
        <v>2001</v>
      </c>
      <c r="J6">
        <v>2002</v>
      </c>
      <c r="K6">
        <v>2003</v>
      </c>
      <c r="L6">
        <v>2004</v>
      </c>
    </row>
    <row r="7" spans="1:12">
      <c r="A7" t="s">
        <v>144</v>
      </c>
      <c r="C7">
        <f t="shared" si="0"/>
        <v>7</v>
      </c>
      <c r="D7">
        <v>2</v>
      </c>
      <c r="E7" s="38">
        <v>1994</v>
      </c>
      <c r="F7">
        <v>1995</v>
      </c>
      <c r="G7">
        <v>1998</v>
      </c>
      <c r="H7">
        <v>1999</v>
      </c>
      <c r="I7">
        <v>2000</v>
      </c>
      <c r="J7" s="38">
        <v>2001</v>
      </c>
      <c r="K7">
        <v>2002</v>
      </c>
    </row>
    <row r="8" spans="1:12">
      <c r="A8" t="s">
        <v>5</v>
      </c>
      <c r="C8">
        <f t="shared" si="0"/>
        <v>2</v>
      </c>
      <c r="D8">
        <v>1</v>
      </c>
      <c r="E8" s="39">
        <v>2000</v>
      </c>
      <c r="F8">
        <v>2004</v>
      </c>
    </row>
    <row r="9" spans="1:12">
      <c r="A9" t="s">
        <v>7</v>
      </c>
      <c r="C9">
        <f t="shared" si="0"/>
        <v>1</v>
      </c>
      <c r="D9">
        <v>1</v>
      </c>
      <c r="E9" s="38">
        <v>2001</v>
      </c>
    </row>
    <row r="10" spans="1:12">
      <c r="A10" t="s">
        <v>8</v>
      </c>
      <c r="C10">
        <f t="shared" si="0"/>
        <v>1</v>
      </c>
      <c r="D10">
        <v>0</v>
      </c>
      <c r="E10">
        <v>1997</v>
      </c>
    </row>
    <row r="11" spans="1:12">
      <c r="A11" t="s">
        <v>9</v>
      </c>
      <c r="C11">
        <f t="shared" si="0"/>
        <v>1</v>
      </c>
      <c r="D11">
        <v>0</v>
      </c>
      <c r="E11">
        <v>2002</v>
      </c>
    </row>
    <row r="12" spans="1:12">
      <c r="A12" t="s">
        <v>257</v>
      </c>
      <c r="C12">
        <f t="shared" si="0"/>
        <v>2</v>
      </c>
      <c r="D12">
        <v>0</v>
      </c>
      <c r="E12">
        <v>2000</v>
      </c>
      <c r="F12">
        <v>2004</v>
      </c>
    </row>
    <row r="13" spans="1:12">
      <c r="A13" t="s">
        <v>12</v>
      </c>
      <c r="C13">
        <f t="shared" si="0"/>
        <v>1</v>
      </c>
      <c r="D13">
        <v>1</v>
      </c>
      <c r="E13" s="39">
        <v>2000</v>
      </c>
    </row>
    <row r="14" spans="1:12">
      <c r="A14" t="s">
        <v>13</v>
      </c>
      <c r="C14">
        <f t="shared" si="0"/>
        <v>1</v>
      </c>
      <c r="D14">
        <v>1</v>
      </c>
      <c r="E14" s="38">
        <v>2001</v>
      </c>
    </row>
    <row r="15" spans="1:12">
      <c r="A15" t="s">
        <v>347</v>
      </c>
      <c r="C15">
        <f>COUNTA(E15:P15)</f>
        <v>2</v>
      </c>
      <c r="D15">
        <v>0</v>
      </c>
      <c r="E15">
        <v>1999</v>
      </c>
      <c r="F15">
        <v>2002</v>
      </c>
    </row>
    <row r="16" spans="1:12">
      <c r="A16" t="s">
        <v>348</v>
      </c>
      <c r="B16">
        <v>2</v>
      </c>
      <c r="C16">
        <f t="shared" si="0"/>
        <v>6</v>
      </c>
      <c r="D16">
        <v>0</v>
      </c>
      <c r="E16">
        <v>1995</v>
      </c>
      <c r="F16">
        <v>1997</v>
      </c>
      <c r="G16">
        <v>2000</v>
      </c>
      <c r="H16">
        <v>2002</v>
      </c>
      <c r="I16">
        <v>2003</v>
      </c>
      <c r="J16">
        <v>2004</v>
      </c>
    </row>
    <row r="17" spans="1:11">
      <c r="A17" t="s">
        <v>16</v>
      </c>
      <c r="C17">
        <f t="shared" si="0"/>
        <v>2</v>
      </c>
      <c r="D17">
        <v>1</v>
      </c>
      <c r="E17" s="38">
        <v>1994</v>
      </c>
      <c r="F17">
        <v>1995</v>
      </c>
    </row>
    <row r="18" spans="1:11">
      <c r="A18" t="s">
        <v>17</v>
      </c>
      <c r="C18">
        <f t="shared" si="0"/>
        <v>1</v>
      </c>
      <c r="D18">
        <v>0</v>
      </c>
      <c r="E18">
        <v>2000</v>
      </c>
    </row>
    <row r="19" spans="1:11">
      <c r="A19" t="s">
        <v>20</v>
      </c>
      <c r="C19">
        <f t="shared" si="0"/>
        <v>1</v>
      </c>
      <c r="D19">
        <v>0</v>
      </c>
      <c r="E19">
        <v>2000</v>
      </c>
    </row>
    <row r="20" spans="1:11">
      <c r="A20" t="s">
        <v>253</v>
      </c>
      <c r="C20">
        <f t="shared" si="0"/>
        <v>1</v>
      </c>
      <c r="D20">
        <v>1</v>
      </c>
      <c r="E20" s="39">
        <v>2000</v>
      </c>
    </row>
    <row r="21" spans="1:11">
      <c r="A21" t="s">
        <v>22</v>
      </c>
      <c r="C21">
        <f t="shared" si="0"/>
        <v>3</v>
      </c>
      <c r="D21">
        <v>0</v>
      </c>
      <c r="E21">
        <v>1996</v>
      </c>
      <c r="F21">
        <v>1997</v>
      </c>
      <c r="G21">
        <v>1998</v>
      </c>
    </row>
    <row r="22" spans="1:11">
      <c r="A22" t="s">
        <v>23</v>
      </c>
      <c r="C22">
        <f t="shared" si="0"/>
        <v>7</v>
      </c>
      <c r="D22">
        <v>2</v>
      </c>
      <c r="E22" s="38">
        <v>1994</v>
      </c>
      <c r="F22">
        <v>1995</v>
      </c>
      <c r="G22">
        <v>1996</v>
      </c>
      <c r="H22">
        <v>1998</v>
      </c>
      <c r="I22">
        <v>1999</v>
      </c>
      <c r="J22" s="39">
        <v>2000</v>
      </c>
      <c r="K22">
        <v>2003</v>
      </c>
    </row>
    <row r="23" spans="1:11">
      <c r="A23" t="s">
        <v>24</v>
      </c>
      <c r="B23">
        <v>5</v>
      </c>
      <c r="C23">
        <f t="shared" si="0"/>
        <v>5</v>
      </c>
      <c r="D23">
        <v>1</v>
      </c>
      <c r="E23" s="38">
        <v>1994</v>
      </c>
      <c r="F23">
        <v>1995</v>
      </c>
      <c r="G23">
        <v>1996</v>
      </c>
      <c r="H23">
        <v>1997</v>
      </c>
      <c r="I23">
        <v>1998</v>
      </c>
    </row>
    <row r="24" spans="1:11">
      <c r="A24" t="s">
        <v>25</v>
      </c>
      <c r="C24">
        <f t="shared" si="0"/>
        <v>1</v>
      </c>
      <c r="D24">
        <v>1</v>
      </c>
      <c r="E24" s="39">
        <v>2000</v>
      </c>
    </row>
    <row r="25" spans="1:11">
      <c r="A25" t="s">
        <v>349</v>
      </c>
      <c r="C25">
        <f t="shared" si="0"/>
        <v>1</v>
      </c>
      <c r="D25">
        <v>1</v>
      </c>
      <c r="E25" s="39">
        <v>2000</v>
      </c>
    </row>
    <row r="26" spans="1:11">
      <c r="A26" t="s">
        <v>350</v>
      </c>
      <c r="C26">
        <f t="shared" si="0"/>
        <v>6</v>
      </c>
      <c r="D26">
        <v>1</v>
      </c>
      <c r="E26" s="38">
        <v>1994</v>
      </c>
      <c r="F26">
        <v>1995</v>
      </c>
      <c r="G26">
        <v>1996</v>
      </c>
      <c r="H26">
        <v>1997</v>
      </c>
      <c r="I26">
        <v>1998</v>
      </c>
      <c r="J26">
        <v>1999</v>
      </c>
    </row>
    <row r="27" spans="1:11">
      <c r="A27" t="s">
        <v>258</v>
      </c>
      <c r="C27">
        <f t="shared" si="0"/>
        <v>1</v>
      </c>
      <c r="D27">
        <v>0</v>
      </c>
      <c r="E27">
        <v>2000</v>
      </c>
    </row>
    <row r="28" spans="1:11">
      <c r="A28" t="s">
        <v>29</v>
      </c>
      <c r="C28">
        <f t="shared" si="0"/>
        <v>1</v>
      </c>
      <c r="D28">
        <v>0</v>
      </c>
      <c r="E28">
        <v>2000</v>
      </c>
    </row>
    <row r="29" spans="1:11">
      <c r="A29" t="s">
        <v>30</v>
      </c>
      <c r="C29">
        <f t="shared" si="0"/>
        <v>3</v>
      </c>
      <c r="D29">
        <v>1</v>
      </c>
      <c r="E29" s="38">
        <v>1994</v>
      </c>
      <c r="F29">
        <v>1996</v>
      </c>
      <c r="G29">
        <v>1997</v>
      </c>
    </row>
    <row r="30" spans="1:11">
      <c r="A30" t="s">
        <v>31</v>
      </c>
      <c r="C30">
        <f>COUNTA(E30:P30)</f>
        <v>1</v>
      </c>
      <c r="D30">
        <v>0</v>
      </c>
      <c r="E30" s="50">
        <v>2004</v>
      </c>
    </row>
    <row r="31" spans="1:11">
      <c r="A31" t="s">
        <v>265</v>
      </c>
      <c r="C31">
        <f t="shared" si="0"/>
        <v>2</v>
      </c>
      <c r="D31">
        <v>1</v>
      </c>
      <c r="E31" s="38">
        <v>2001</v>
      </c>
      <c r="F31">
        <v>2004</v>
      </c>
    </row>
    <row r="32" spans="1:11">
      <c r="A32" t="s">
        <v>259</v>
      </c>
      <c r="C32">
        <f t="shared" si="0"/>
        <v>1</v>
      </c>
      <c r="D32">
        <v>0</v>
      </c>
      <c r="E32">
        <v>2003</v>
      </c>
    </row>
    <row r="33" spans="1:12">
      <c r="A33" t="s">
        <v>32</v>
      </c>
      <c r="C33">
        <f t="shared" si="0"/>
        <v>2</v>
      </c>
      <c r="D33">
        <v>1</v>
      </c>
      <c r="E33" s="38">
        <v>2001</v>
      </c>
      <c r="F33">
        <v>2003</v>
      </c>
    </row>
    <row r="34" spans="1:12">
      <c r="A34" t="s">
        <v>351</v>
      </c>
      <c r="B34">
        <v>1</v>
      </c>
      <c r="C34">
        <f t="shared" si="0"/>
        <v>3</v>
      </c>
      <c r="D34">
        <v>1</v>
      </c>
      <c r="E34">
        <v>1997</v>
      </c>
      <c r="F34" s="39">
        <v>2000</v>
      </c>
      <c r="G34">
        <v>2003</v>
      </c>
    </row>
    <row r="35" spans="1:12">
      <c r="A35" t="s">
        <v>352</v>
      </c>
      <c r="B35" t="s">
        <v>235</v>
      </c>
      <c r="C35">
        <f t="shared" si="0"/>
        <v>8</v>
      </c>
      <c r="D35">
        <v>1</v>
      </c>
      <c r="E35">
        <v>1995</v>
      </c>
      <c r="F35">
        <v>1996</v>
      </c>
      <c r="G35">
        <v>1998</v>
      </c>
      <c r="H35">
        <v>1999</v>
      </c>
      <c r="I35" s="39">
        <v>2000</v>
      </c>
      <c r="J35">
        <v>2002</v>
      </c>
      <c r="K35">
        <v>2003</v>
      </c>
      <c r="L35">
        <v>2004</v>
      </c>
    </row>
    <row r="36" spans="1:12">
      <c r="A36" t="s">
        <v>305</v>
      </c>
      <c r="C36">
        <f t="shared" si="0"/>
        <v>1</v>
      </c>
      <c r="D36">
        <v>0</v>
      </c>
      <c r="E36">
        <v>2002</v>
      </c>
    </row>
    <row r="37" spans="1:12">
      <c r="A37" t="s">
        <v>353</v>
      </c>
      <c r="C37">
        <f t="shared" si="0"/>
        <v>1</v>
      </c>
      <c r="D37">
        <v>1</v>
      </c>
      <c r="E37" s="38">
        <v>1994</v>
      </c>
    </row>
    <row r="38" spans="1:12">
      <c r="A38" t="s">
        <v>354</v>
      </c>
      <c r="C38">
        <f t="shared" si="0"/>
        <v>2</v>
      </c>
      <c r="D38">
        <v>0</v>
      </c>
      <c r="E38">
        <v>1999</v>
      </c>
      <c r="F38">
        <v>2000</v>
      </c>
    </row>
  </sheetData>
  <phoneticPr fontId="0" type="noConversion"/>
  <pageMargins left="0.75" right="0.75" top="1" bottom="1" header="0.5" footer="0.5"/>
  <pageSetup scale="98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topLeftCell="A61" workbookViewId="0">
      <selection activeCell="I81" sqref="I81"/>
    </sheetView>
  </sheetViews>
  <sheetFormatPr defaultRowHeight="12.75"/>
  <cols>
    <col min="1" max="1" width="21.5703125" customWidth="1"/>
    <col min="2" max="2" width="12.5703125" customWidth="1"/>
    <col min="3" max="3" width="11.28515625" customWidth="1"/>
    <col min="4" max="4" width="13.85546875" customWidth="1"/>
    <col min="5" max="5" width="17.7109375" customWidth="1"/>
    <col min="6" max="7" width="15.140625" customWidth="1"/>
  </cols>
  <sheetData>
    <row r="1" spans="1:10" ht="15.75">
      <c r="A1" s="140">
        <v>116</v>
      </c>
      <c r="B1" s="140"/>
      <c r="C1" s="140"/>
      <c r="D1" s="141" t="s">
        <v>822</v>
      </c>
    </row>
    <row r="2" spans="1:10" ht="15.75">
      <c r="A2" s="140"/>
      <c r="B2" s="140"/>
      <c r="C2" s="140"/>
      <c r="D2" s="140"/>
    </row>
    <row r="3" spans="1:10">
      <c r="A3" s="35" t="s">
        <v>699</v>
      </c>
    </row>
    <row r="5" spans="1:10">
      <c r="A5" s="142" t="s">
        <v>89</v>
      </c>
      <c r="B5" s="142" t="s">
        <v>684</v>
      </c>
      <c r="C5" s="142" t="s">
        <v>685</v>
      </c>
      <c r="D5" s="142" t="s">
        <v>686</v>
      </c>
      <c r="E5" s="142" t="s">
        <v>687</v>
      </c>
      <c r="F5" s="142" t="s">
        <v>688</v>
      </c>
      <c r="G5" s="142" t="s">
        <v>689</v>
      </c>
      <c r="H5" s="142" t="s">
        <v>690</v>
      </c>
      <c r="I5" s="142" t="s">
        <v>700</v>
      </c>
      <c r="J5" s="147" t="s">
        <v>719</v>
      </c>
    </row>
    <row r="6" spans="1:10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0">
      <c r="A7" s="143" t="s">
        <v>701</v>
      </c>
      <c r="B7" s="143">
        <v>1</v>
      </c>
      <c r="C7" s="143">
        <v>1</v>
      </c>
      <c r="D7" s="145">
        <f t="shared" ref="D7:D52" si="0">C7/B7</f>
        <v>1</v>
      </c>
      <c r="E7" s="146">
        <v>-10</v>
      </c>
      <c r="F7" s="146">
        <f>E7/C7</f>
        <v>-10</v>
      </c>
      <c r="G7" s="146">
        <f>F7/D7</f>
        <v>-10</v>
      </c>
      <c r="H7" s="143">
        <v>2000</v>
      </c>
      <c r="I7" s="143">
        <v>2000</v>
      </c>
      <c r="J7" s="143"/>
    </row>
    <row r="8" spans="1:10">
      <c r="A8" s="144" t="s">
        <v>42</v>
      </c>
      <c r="B8" s="143">
        <v>1</v>
      </c>
      <c r="C8" s="143">
        <v>9</v>
      </c>
      <c r="D8" s="145">
        <f t="shared" si="0"/>
        <v>9</v>
      </c>
      <c r="E8" s="146">
        <v>-89.5</v>
      </c>
      <c r="F8" s="146">
        <f>E8/C8</f>
        <v>-9.9444444444444446</v>
      </c>
      <c r="G8" s="146">
        <f>F8/D8</f>
        <v>-1.1049382716049383</v>
      </c>
      <c r="H8" s="143">
        <f t="shared" ref="H8:H31" si="1">I8-B8+1</f>
        <v>1977</v>
      </c>
      <c r="I8" s="143">
        <v>1977</v>
      </c>
      <c r="J8" s="143"/>
    </row>
    <row r="9" spans="1:10">
      <c r="A9" s="144" t="s">
        <v>43</v>
      </c>
      <c r="B9" s="143">
        <v>23</v>
      </c>
      <c r="C9" s="143">
        <v>544</v>
      </c>
      <c r="D9" s="145">
        <f t="shared" si="0"/>
        <v>23.652173913043477</v>
      </c>
      <c r="E9" s="146">
        <v>-19.100000000000001</v>
      </c>
      <c r="F9" s="146">
        <f>E9/C9</f>
        <v>-3.5110294117647059E-2</v>
      </c>
      <c r="G9" s="146">
        <f t="shared" ref="G9:G94" si="2">E9/B9</f>
        <v>-0.83043478260869574</v>
      </c>
      <c r="H9" s="143">
        <f t="shared" si="1"/>
        <v>1967</v>
      </c>
      <c r="I9" s="143">
        <v>1989</v>
      </c>
      <c r="J9" s="143"/>
    </row>
    <row r="10" spans="1:10">
      <c r="A10" s="144" t="s">
        <v>1</v>
      </c>
      <c r="B10" s="143">
        <v>15</v>
      </c>
      <c r="C10" s="143">
        <f>50+53+36+22+29+40+44+40+28+14+19+4+17+3</f>
        <v>399</v>
      </c>
      <c r="D10" s="145">
        <f t="shared" si="0"/>
        <v>26.6</v>
      </c>
      <c r="E10" s="146">
        <f>5-106.05-148.1-5.1-179.1-115.8-242-82.1-232.4-176.45+175.3-8.95-105.15-67-35</f>
        <v>-1322.9000000000003</v>
      </c>
      <c r="F10" s="146">
        <f>E10/C10</f>
        <v>-3.3155388471177951</v>
      </c>
      <c r="G10" s="146">
        <f t="shared" si="2"/>
        <v>-88.193333333333356</v>
      </c>
      <c r="H10" s="143">
        <v>1992</v>
      </c>
      <c r="I10" s="143">
        <v>2006</v>
      </c>
      <c r="J10" s="143"/>
    </row>
    <row r="11" spans="1:10">
      <c r="A11" s="144" t="s">
        <v>44</v>
      </c>
      <c r="B11" s="143">
        <v>5</v>
      </c>
      <c r="C11" s="143">
        <v>64</v>
      </c>
      <c r="D11" s="145">
        <f t="shared" si="0"/>
        <v>12.8</v>
      </c>
      <c r="E11" s="146">
        <v>374.9</v>
      </c>
      <c r="F11" s="146">
        <f>E11/C11</f>
        <v>5.8578124999999996</v>
      </c>
      <c r="G11" s="146">
        <f t="shared" si="2"/>
        <v>74.97999999999999</v>
      </c>
      <c r="H11" s="143">
        <f t="shared" si="1"/>
        <v>1986</v>
      </c>
      <c r="I11" s="143">
        <v>1990</v>
      </c>
      <c r="J11" s="143"/>
    </row>
    <row r="12" spans="1:10">
      <c r="A12" s="144" t="s">
        <v>45</v>
      </c>
      <c r="B12" s="143">
        <v>8</v>
      </c>
      <c r="C12" s="143">
        <v>123</v>
      </c>
      <c r="D12" s="145">
        <f t="shared" si="0"/>
        <v>15.375</v>
      </c>
      <c r="E12" s="146">
        <v>-169.05</v>
      </c>
      <c r="F12" s="146">
        <f>E12/C12</f>
        <v>-1.3743902439024391</v>
      </c>
      <c r="G12" s="146">
        <f t="shared" si="2"/>
        <v>-21.131250000000001</v>
      </c>
      <c r="H12" s="143">
        <f t="shared" si="1"/>
        <v>1979</v>
      </c>
      <c r="I12" s="143">
        <v>1986</v>
      </c>
      <c r="J12" s="143"/>
    </row>
    <row r="13" spans="1:10">
      <c r="A13" s="144" t="s">
        <v>46</v>
      </c>
      <c r="B13" s="143">
        <v>21</v>
      </c>
      <c r="C13" s="143">
        <v>397</v>
      </c>
      <c r="D13" s="145">
        <f t="shared" si="0"/>
        <v>18.904761904761905</v>
      </c>
      <c r="E13" s="146">
        <v>-968.95</v>
      </c>
      <c r="F13" s="146">
        <f>E13/C13</f>
        <v>-2.4406801007556678</v>
      </c>
      <c r="G13" s="146">
        <f t="shared" si="2"/>
        <v>-46.140476190476193</v>
      </c>
      <c r="H13" s="143">
        <f t="shared" si="1"/>
        <v>1970</v>
      </c>
      <c r="I13" s="143">
        <v>1990</v>
      </c>
      <c r="J13" s="143"/>
    </row>
    <row r="14" spans="1:10">
      <c r="A14" s="144" t="s">
        <v>702</v>
      </c>
      <c r="B14" s="143">
        <v>1</v>
      </c>
      <c r="C14" s="143">
        <v>0</v>
      </c>
      <c r="D14" s="145">
        <v>0</v>
      </c>
      <c r="E14" s="146">
        <v>0</v>
      </c>
      <c r="F14" s="146">
        <v>0</v>
      </c>
      <c r="G14" s="146">
        <v>0</v>
      </c>
      <c r="H14" s="143">
        <v>1999</v>
      </c>
      <c r="I14" s="143">
        <v>1999</v>
      </c>
      <c r="J14" s="143"/>
    </row>
    <row r="15" spans="1:10">
      <c r="A15" s="144" t="s">
        <v>256</v>
      </c>
      <c r="B15" s="143">
        <v>10</v>
      </c>
      <c r="C15" s="143">
        <f>44+62+73+63+49+38+33+28+16</f>
        <v>406</v>
      </c>
      <c r="D15" s="145">
        <f>C15/B15</f>
        <v>40.6</v>
      </c>
      <c r="E15" s="146">
        <f>-255.8+22.35-176.5-133.8-64.25-209.45-195.15-270-10-315.1</f>
        <v>-1607.6999999999998</v>
      </c>
      <c r="F15" s="146">
        <f>E15/C15</f>
        <v>-3.959852216748768</v>
      </c>
      <c r="G15" s="146">
        <f>E15/B15</f>
        <v>-160.76999999999998</v>
      </c>
      <c r="H15" s="143">
        <v>2000</v>
      </c>
      <c r="I15" s="143">
        <v>2009</v>
      </c>
      <c r="J15" s="143"/>
    </row>
    <row r="16" spans="1:10">
      <c r="A16" s="144" t="s">
        <v>47</v>
      </c>
      <c r="B16" s="143">
        <v>6</v>
      </c>
      <c r="C16" s="143">
        <v>120</v>
      </c>
      <c r="D16" s="145">
        <f t="shared" si="0"/>
        <v>20</v>
      </c>
      <c r="E16" s="146">
        <v>38.5</v>
      </c>
      <c r="F16" s="146">
        <f>E16/C16</f>
        <v>0.32083333333333336</v>
      </c>
      <c r="G16" s="146">
        <f t="shared" si="2"/>
        <v>6.416666666666667</v>
      </c>
      <c r="H16" s="143">
        <f t="shared" si="1"/>
        <v>1968</v>
      </c>
      <c r="I16" s="143">
        <v>1973</v>
      </c>
      <c r="J16" s="143"/>
    </row>
    <row r="17" spans="1:10">
      <c r="A17" s="144" t="s">
        <v>48</v>
      </c>
      <c r="B17" s="143">
        <v>6</v>
      </c>
      <c r="C17" s="143">
        <v>90</v>
      </c>
      <c r="D17" s="145">
        <f t="shared" si="0"/>
        <v>15</v>
      </c>
      <c r="E17" s="146">
        <v>-219.2</v>
      </c>
      <c r="F17" s="146">
        <f>E17/C17</f>
        <v>-2.4355555555555553</v>
      </c>
      <c r="G17" s="146">
        <f t="shared" si="2"/>
        <v>-36.533333333333331</v>
      </c>
      <c r="H17" s="143">
        <f t="shared" si="1"/>
        <v>1971</v>
      </c>
      <c r="I17" s="143">
        <v>1976</v>
      </c>
      <c r="J17" s="143"/>
    </row>
    <row r="18" spans="1:10">
      <c r="A18" s="144" t="s">
        <v>703</v>
      </c>
      <c r="B18" s="143">
        <v>1</v>
      </c>
      <c r="C18" s="143">
        <v>5</v>
      </c>
      <c r="D18" s="145">
        <f t="shared" si="0"/>
        <v>5</v>
      </c>
      <c r="E18" s="146">
        <v>0</v>
      </c>
      <c r="F18" s="146">
        <f>E18/C18</f>
        <v>0</v>
      </c>
      <c r="G18" s="146">
        <f t="shared" si="2"/>
        <v>0</v>
      </c>
      <c r="H18" s="143">
        <v>2000</v>
      </c>
      <c r="I18" s="143">
        <v>2000</v>
      </c>
      <c r="J18" s="143"/>
    </row>
    <row r="19" spans="1:10">
      <c r="A19" s="144" t="s">
        <v>49</v>
      </c>
      <c r="B19" s="143">
        <v>14</v>
      </c>
      <c r="C19" s="143">
        <v>197</v>
      </c>
      <c r="D19" s="145">
        <f t="shared" si="0"/>
        <v>14.071428571428571</v>
      </c>
      <c r="E19" s="146">
        <v>-268.95</v>
      </c>
      <c r="F19" s="146">
        <f>E19/C19</f>
        <v>-1.3652284263959391</v>
      </c>
      <c r="G19" s="146">
        <f t="shared" si="2"/>
        <v>-19.210714285714285</v>
      </c>
      <c r="H19" s="143">
        <f t="shared" si="1"/>
        <v>1971</v>
      </c>
      <c r="I19" s="143">
        <v>1984</v>
      </c>
      <c r="J19" s="143"/>
    </row>
    <row r="20" spans="1:10">
      <c r="A20" s="144" t="s">
        <v>704</v>
      </c>
      <c r="B20" s="143">
        <v>1</v>
      </c>
      <c r="C20" s="143">
        <v>0</v>
      </c>
      <c r="D20" s="145">
        <v>0</v>
      </c>
      <c r="E20" s="146">
        <v>0</v>
      </c>
      <c r="F20" s="146">
        <v>0</v>
      </c>
      <c r="G20" s="146">
        <v>0</v>
      </c>
      <c r="H20" s="143">
        <v>1999</v>
      </c>
      <c r="I20" s="143">
        <v>1999</v>
      </c>
      <c r="J20" s="143"/>
    </row>
    <row r="21" spans="1:10">
      <c r="A21" s="144" t="s">
        <v>50</v>
      </c>
      <c r="B21" s="143">
        <v>11</v>
      </c>
      <c r="C21" s="143">
        <v>204</v>
      </c>
      <c r="D21" s="145">
        <f t="shared" si="0"/>
        <v>18.545454545454547</v>
      </c>
      <c r="E21" s="146">
        <v>118.75</v>
      </c>
      <c r="F21" s="146">
        <f t="shared" ref="F21:F52" si="3">E21/C21</f>
        <v>0.58210784313725494</v>
      </c>
      <c r="G21" s="146">
        <f t="shared" si="2"/>
        <v>10.795454545454545</v>
      </c>
      <c r="H21" s="143">
        <f t="shared" si="1"/>
        <v>1970</v>
      </c>
      <c r="I21" s="143">
        <v>1980</v>
      </c>
      <c r="J21" s="143"/>
    </row>
    <row r="22" spans="1:10">
      <c r="A22" s="144" t="s">
        <v>705</v>
      </c>
      <c r="B22" s="143">
        <v>2</v>
      </c>
      <c r="C22" s="143">
        <f>16+4</f>
        <v>20</v>
      </c>
      <c r="D22" s="145">
        <f t="shared" si="0"/>
        <v>10</v>
      </c>
      <c r="E22" s="146">
        <f>-93.8+23.25</f>
        <v>-70.55</v>
      </c>
      <c r="F22" s="146">
        <f t="shared" si="3"/>
        <v>-3.5274999999999999</v>
      </c>
      <c r="G22" s="146">
        <f t="shared" si="2"/>
        <v>-35.274999999999999</v>
      </c>
      <c r="H22" s="143">
        <v>2005</v>
      </c>
      <c r="I22" s="143">
        <v>2006</v>
      </c>
      <c r="J22" s="143"/>
    </row>
    <row r="23" spans="1:10">
      <c r="A23" s="144" t="s">
        <v>566</v>
      </c>
      <c r="B23" s="179">
        <v>4</v>
      </c>
      <c r="C23" s="179">
        <f>33+83+67+38</f>
        <v>221</v>
      </c>
      <c r="D23" s="229">
        <f t="shared" ref="D23" si="4">C23/B23</f>
        <v>55.25</v>
      </c>
      <c r="E23" s="230">
        <f>-122.4+131.6+776.45+226.2</f>
        <v>1011.8500000000001</v>
      </c>
      <c r="F23" s="230">
        <f t="shared" ref="F23" si="5">E23/C23</f>
        <v>4.5785067873303174</v>
      </c>
      <c r="G23" s="230">
        <f t="shared" ref="G23" si="6">E23/B23</f>
        <v>252.96250000000003</v>
      </c>
      <c r="H23" s="179">
        <v>2011</v>
      </c>
      <c r="I23" s="179">
        <v>2014</v>
      </c>
      <c r="J23" s="142"/>
    </row>
    <row r="24" spans="1:10">
      <c r="A24" s="144" t="s">
        <v>518</v>
      </c>
      <c r="B24" s="143">
        <v>3</v>
      </c>
      <c r="C24" s="143">
        <f>10+10+3</f>
        <v>23</v>
      </c>
      <c r="D24" s="145">
        <f t="shared" si="0"/>
        <v>7.666666666666667</v>
      </c>
      <c r="E24" s="146">
        <f>-142.5-96.3-32.85</f>
        <v>-271.65000000000003</v>
      </c>
      <c r="F24" s="146">
        <f t="shared" si="3"/>
        <v>-11.810869565217393</v>
      </c>
      <c r="G24" s="146">
        <f t="shared" si="2"/>
        <v>-90.550000000000011</v>
      </c>
      <c r="H24" s="143">
        <f t="shared" si="1"/>
        <v>2009</v>
      </c>
      <c r="I24" s="143">
        <v>2011</v>
      </c>
      <c r="J24" s="143"/>
    </row>
    <row r="25" spans="1:10">
      <c r="A25" s="144" t="s">
        <v>51</v>
      </c>
      <c r="B25" s="143">
        <v>8</v>
      </c>
      <c r="C25" s="143">
        <f>76+27+21+30+16+16</f>
        <v>186</v>
      </c>
      <c r="D25" s="145">
        <f t="shared" si="0"/>
        <v>23.25</v>
      </c>
      <c r="E25" s="146">
        <f>326.1+202.85+75.6+111.7+28.7+48.9</f>
        <v>793.85000000000014</v>
      </c>
      <c r="F25" s="146">
        <f t="shared" si="3"/>
        <v>4.2680107526881725</v>
      </c>
      <c r="G25" s="146">
        <f t="shared" si="2"/>
        <v>99.231250000000017</v>
      </c>
      <c r="H25" s="143">
        <f t="shared" si="1"/>
        <v>1989</v>
      </c>
      <c r="I25" s="143">
        <v>1996</v>
      </c>
      <c r="J25" s="143"/>
    </row>
    <row r="26" spans="1:10">
      <c r="A26" s="144" t="s">
        <v>531</v>
      </c>
      <c r="B26" s="143">
        <v>3</v>
      </c>
      <c r="C26" s="143">
        <f>40+32+25</f>
        <v>97</v>
      </c>
      <c r="D26" s="145">
        <f t="shared" ref="D26" si="7">C26/B26</f>
        <v>32.333333333333336</v>
      </c>
      <c r="E26" s="146">
        <f>-241.85-29.6-227.45</f>
        <v>-498.9</v>
      </c>
      <c r="F26" s="146">
        <f t="shared" ref="F26" si="8">E26/C26</f>
        <v>-5.1432989690721644</v>
      </c>
      <c r="G26" s="146">
        <f t="shared" ref="G26" si="9">E26/B26</f>
        <v>-166.29999999999998</v>
      </c>
      <c r="H26" s="143">
        <v>2010</v>
      </c>
      <c r="I26" s="143">
        <v>2012</v>
      </c>
      <c r="J26" s="143"/>
    </row>
    <row r="27" spans="1:10">
      <c r="A27" s="144" t="s">
        <v>706</v>
      </c>
      <c r="B27" s="143">
        <v>1</v>
      </c>
      <c r="C27" s="143">
        <v>9</v>
      </c>
      <c r="D27" s="145">
        <f t="shared" si="0"/>
        <v>9</v>
      </c>
      <c r="E27" s="146">
        <f>81.5</f>
        <v>81.5</v>
      </c>
      <c r="F27" s="146">
        <f t="shared" si="3"/>
        <v>9.0555555555555554</v>
      </c>
      <c r="G27" s="146">
        <f t="shared" si="2"/>
        <v>81.5</v>
      </c>
      <c r="H27" s="143">
        <v>2007</v>
      </c>
      <c r="I27" s="143">
        <v>2007</v>
      </c>
      <c r="J27" s="143"/>
    </row>
    <row r="28" spans="1:10">
      <c r="A28" s="144" t="s">
        <v>707</v>
      </c>
      <c r="B28" s="143">
        <v>1</v>
      </c>
      <c r="C28" s="143">
        <v>2</v>
      </c>
      <c r="D28" s="145">
        <f t="shared" si="0"/>
        <v>2</v>
      </c>
      <c r="E28" s="146">
        <v>-20</v>
      </c>
      <c r="F28" s="146">
        <f t="shared" si="3"/>
        <v>-10</v>
      </c>
      <c r="G28" s="146">
        <f t="shared" si="2"/>
        <v>-20</v>
      </c>
      <c r="H28" s="143">
        <f t="shared" si="1"/>
        <v>2005</v>
      </c>
      <c r="I28" s="143">
        <v>2005</v>
      </c>
      <c r="J28" s="143"/>
    </row>
    <row r="29" spans="1:10">
      <c r="A29" s="144" t="s">
        <v>52</v>
      </c>
      <c r="B29" s="143">
        <v>1</v>
      </c>
      <c r="C29" s="143">
        <v>11</v>
      </c>
      <c r="D29" s="145">
        <f t="shared" si="0"/>
        <v>11</v>
      </c>
      <c r="E29" s="146">
        <v>-31</v>
      </c>
      <c r="F29" s="146">
        <f t="shared" si="3"/>
        <v>-2.8181818181818183</v>
      </c>
      <c r="G29" s="146">
        <f t="shared" si="2"/>
        <v>-31</v>
      </c>
      <c r="H29" s="143">
        <f t="shared" si="1"/>
        <v>1969</v>
      </c>
      <c r="I29" s="143">
        <v>1969</v>
      </c>
      <c r="J29" s="143"/>
    </row>
    <row r="30" spans="1:10">
      <c r="A30" s="144" t="s">
        <v>6</v>
      </c>
      <c r="B30" s="143">
        <v>7</v>
      </c>
      <c r="C30" s="143">
        <f>16+11+12+18+11+18+6</f>
        <v>92</v>
      </c>
      <c r="D30" s="145">
        <f t="shared" si="0"/>
        <v>13.142857142857142</v>
      </c>
      <c r="E30" s="146">
        <f>20.65-212.05-35.25-27.85-130-161.9-79.25</f>
        <v>-625.65</v>
      </c>
      <c r="F30" s="146">
        <f t="shared" si="3"/>
        <v>-6.8005434782608694</v>
      </c>
      <c r="G30" s="146">
        <f t="shared" si="2"/>
        <v>-89.378571428571419</v>
      </c>
      <c r="H30" s="143">
        <f t="shared" si="1"/>
        <v>1996</v>
      </c>
      <c r="I30" s="143">
        <v>2002</v>
      </c>
      <c r="J30" s="143"/>
    </row>
    <row r="31" spans="1:10">
      <c r="A31" s="144" t="s">
        <v>708</v>
      </c>
      <c r="B31" s="143">
        <v>32</v>
      </c>
      <c r="C31" s="143">
        <f>748+32+15+14+5</f>
        <v>814</v>
      </c>
      <c r="D31" s="145">
        <f t="shared" si="0"/>
        <v>25.4375</v>
      </c>
      <c r="E31" s="146">
        <f>783.7-63.5-133.85+16.95-75</f>
        <v>528.30000000000007</v>
      </c>
      <c r="F31" s="146">
        <f t="shared" si="3"/>
        <v>0.64901719901719912</v>
      </c>
      <c r="G31" s="146">
        <f t="shared" si="2"/>
        <v>16.509375000000002</v>
      </c>
      <c r="H31" s="143">
        <f t="shared" si="1"/>
        <v>1964</v>
      </c>
      <c r="I31" s="143">
        <v>1995</v>
      </c>
      <c r="J31" s="143">
        <v>2001</v>
      </c>
    </row>
    <row r="32" spans="1:10">
      <c r="A32" s="144" t="s">
        <v>54</v>
      </c>
      <c r="B32" s="143">
        <v>15</v>
      </c>
      <c r="C32" s="143">
        <f>256+5+1</f>
        <v>262</v>
      </c>
      <c r="D32" s="145">
        <f t="shared" si="0"/>
        <v>17.466666666666665</v>
      </c>
      <c r="E32" s="146">
        <f>-137.55-51.4-20.7</f>
        <v>-209.65</v>
      </c>
      <c r="F32" s="146">
        <f t="shared" si="3"/>
        <v>-0.80019083969465654</v>
      </c>
      <c r="G32" s="146">
        <f t="shared" si="2"/>
        <v>-13.976666666666667</v>
      </c>
      <c r="H32" s="143">
        <f>1900+(93-B32)+1</f>
        <v>1979</v>
      </c>
      <c r="I32" s="143">
        <v>1993</v>
      </c>
      <c r="J32" s="143"/>
    </row>
    <row r="33" spans="1:10">
      <c r="A33" s="144" t="s">
        <v>55</v>
      </c>
      <c r="B33" s="143">
        <v>4</v>
      </c>
      <c r="C33" s="143">
        <v>45</v>
      </c>
      <c r="D33" s="145">
        <f t="shared" si="0"/>
        <v>11.25</v>
      </c>
      <c r="E33" s="146">
        <v>-151.19999999999999</v>
      </c>
      <c r="F33" s="146">
        <f t="shared" si="3"/>
        <v>-3.36</v>
      </c>
      <c r="G33" s="146">
        <f t="shared" si="2"/>
        <v>-37.799999999999997</v>
      </c>
      <c r="H33" s="143">
        <f t="shared" ref="H33:H78" si="10">I33-B33+1</f>
        <v>1967</v>
      </c>
      <c r="I33" s="143">
        <v>1970</v>
      </c>
      <c r="J33" s="143"/>
    </row>
    <row r="34" spans="1:10">
      <c r="A34" s="144" t="s">
        <v>56</v>
      </c>
      <c r="B34" s="143">
        <v>20</v>
      </c>
      <c r="C34" s="143">
        <v>323</v>
      </c>
      <c r="D34" s="145">
        <f t="shared" si="0"/>
        <v>16.149999999999999</v>
      </c>
      <c r="E34" s="146">
        <v>-63.15</v>
      </c>
      <c r="F34" s="146">
        <f t="shared" si="3"/>
        <v>-0.1955108359133127</v>
      </c>
      <c r="G34" s="146">
        <f t="shared" si="2"/>
        <v>-3.1574999999999998</v>
      </c>
      <c r="H34" s="143">
        <f t="shared" si="10"/>
        <v>1965</v>
      </c>
      <c r="I34" s="143">
        <v>1984</v>
      </c>
      <c r="J34" s="143"/>
    </row>
    <row r="35" spans="1:10">
      <c r="A35" s="144" t="s">
        <v>57</v>
      </c>
      <c r="B35" s="143">
        <v>5</v>
      </c>
      <c r="C35" s="143">
        <v>33</v>
      </c>
      <c r="D35" s="145">
        <f t="shared" si="0"/>
        <v>6.6</v>
      </c>
      <c r="E35" s="146">
        <v>-172</v>
      </c>
      <c r="F35" s="146">
        <f t="shared" si="3"/>
        <v>-5.2121212121212119</v>
      </c>
      <c r="G35" s="146">
        <f t="shared" si="2"/>
        <v>-34.4</v>
      </c>
      <c r="H35" s="143">
        <f t="shared" si="10"/>
        <v>1982</v>
      </c>
      <c r="I35" s="143">
        <v>1986</v>
      </c>
      <c r="J35" s="143"/>
    </row>
    <row r="36" spans="1:10">
      <c r="A36" s="144" t="s">
        <v>58</v>
      </c>
      <c r="B36" s="143">
        <v>7</v>
      </c>
      <c r="C36" s="143">
        <v>66</v>
      </c>
      <c r="D36" s="145">
        <f t="shared" si="0"/>
        <v>9.4285714285714288</v>
      </c>
      <c r="E36" s="146">
        <v>-505.5</v>
      </c>
      <c r="F36" s="146">
        <f t="shared" si="3"/>
        <v>-7.6590909090909092</v>
      </c>
      <c r="G36" s="146">
        <f t="shared" si="2"/>
        <v>-72.214285714285708</v>
      </c>
      <c r="H36" s="143">
        <f t="shared" si="10"/>
        <v>1986</v>
      </c>
      <c r="I36" s="143">
        <v>1992</v>
      </c>
      <c r="J36" s="143"/>
    </row>
    <row r="37" spans="1:10">
      <c r="A37" s="144" t="s">
        <v>483</v>
      </c>
      <c r="B37" s="143">
        <v>4</v>
      </c>
      <c r="C37" s="143">
        <f>22+50+59+8</f>
        <v>139</v>
      </c>
      <c r="D37" s="145">
        <f>C37/B37</f>
        <v>34.75</v>
      </c>
      <c r="E37" s="146">
        <f>-60.5+147.4-267.1-165.95</f>
        <v>-346.15</v>
      </c>
      <c r="F37" s="146">
        <f>E37/C37</f>
        <v>-2.4902877697841723</v>
      </c>
      <c r="G37" s="146">
        <f>E37/B37</f>
        <v>-86.537499999999994</v>
      </c>
      <c r="H37" s="143">
        <v>2006</v>
      </c>
      <c r="I37" s="143">
        <v>2009</v>
      </c>
      <c r="J37" s="143"/>
    </row>
    <row r="38" spans="1:10">
      <c r="A38" s="144" t="s">
        <v>8</v>
      </c>
      <c r="B38" s="143">
        <v>26</v>
      </c>
      <c r="C38" s="143">
        <f>591+65+63+52+16+35+23+2</f>
        <v>847</v>
      </c>
      <c r="D38" s="145">
        <f>C38/B38</f>
        <v>32.57692307692308</v>
      </c>
      <c r="E38" s="146">
        <f>-222-131.55+82.65-153.9+198.1-52.5-207.45-61.75</f>
        <v>-548.39999999999986</v>
      </c>
      <c r="F38" s="146">
        <f t="shared" si="3"/>
        <v>-0.64746162927981099</v>
      </c>
      <c r="G38" s="146">
        <f>E38/B38</f>
        <v>-21.092307692307688</v>
      </c>
      <c r="H38" s="143">
        <f t="shared" si="10"/>
        <v>1973</v>
      </c>
      <c r="I38" s="143">
        <v>1998</v>
      </c>
      <c r="J38" s="143"/>
    </row>
    <row r="39" spans="1:10">
      <c r="A39" s="144" t="s">
        <v>9</v>
      </c>
      <c r="B39" s="143">
        <v>35</v>
      </c>
      <c r="C39" s="143">
        <f>326+7+10+10+15+11+15+16+17+14+17+19+15+12+15+22+18+16+17+1</f>
        <v>593</v>
      </c>
      <c r="D39" s="145">
        <f t="shared" ref="D39" si="11">C39/B39</f>
        <v>16.942857142857143</v>
      </c>
      <c r="E39" s="146">
        <f>-351.4-82.55-18.4-110.95+53.9-54.4-19.1+422.55-215.65-63.6-175.95-86.05-236.5-214.35-80.15-292.15-146+31.15-232.2-47</f>
        <v>-1918.8</v>
      </c>
      <c r="F39" s="146">
        <f t="shared" ref="F39" si="12">E39/C39</f>
        <v>-3.23575042158516</v>
      </c>
      <c r="G39" s="146">
        <f t="shared" ref="G39" si="13">E39/B39</f>
        <v>-54.822857142857139</v>
      </c>
      <c r="H39" s="143">
        <v>1979</v>
      </c>
      <c r="I39" s="143">
        <v>2013</v>
      </c>
      <c r="J39" s="143">
        <v>2004</v>
      </c>
    </row>
    <row r="40" spans="1:10">
      <c r="A40" s="144" t="s">
        <v>88</v>
      </c>
      <c r="B40" s="143">
        <v>12</v>
      </c>
      <c r="C40" s="143">
        <f>208+33+48+58+40+27+13</f>
        <v>427</v>
      </c>
      <c r="D40" s="145">
        <f>C40/B40</f>
        <v>35.583333333333336</v>
      </c>
      <c r="E40" s="146">
        <f>-152.9-16.45-210.7+94.4-178.95-81.55-13.05</f>
        <v>-559.19999999999993</v>
      </c>
      <c r="F40" s="146">
        <f t="shared" si="3"/>
        <v>-1.3096018735362995</v>
      </c>
      <c r="G40" s="146">
        <f>E40/B40</f>
        <v>-46.599999999999994</v>
      </c>
      <c r="H40" s="143">
        <f t="shared" si="10"/>
        <v>1985</v>
      </c>
      <c r="I40" s="143">
        <v>1996</v>
      </c>
      <c r="J40" s="143"/>
    </row>
    <row r="41" spans="1:10">
      <c r="A41" s="144" t="s">
        <v>59</v>
      </c>
      <c r="B41" s="143">
        <v>7</v>
      </c>
      <c r="C41" s="143">
        <f>101+22+23+17</f>
        <v>163</v>
      </c>
      <c r="D41" s="145">
        <f>C41/B41</f>
        <v>23.285714285714285</v>
      </c>
      <c r="E41" s="146">
        <f>251+113.5+63.7+38.45</f>
        <v>466.65</v>
      </c>
      <c r="F41" s="146">
        <f t="shared" si="3"/>
        <v>2.8628834355828219</v>
      </c>
      <c r="G41" s="146">
        <f>E41/B41</f>
        <v>66.664285714285711</v>
      </c>
      <c r="H41" s="143">
        <f t="shared" si="10"/>
        <v>1988</v>
      </c>
      <c r="I41" s="143">
        <v>1994</v>
      </c>
      <c r="J41" s="143"/>
    </row>
    <row r="42" spans="1:10">
      <c r="A42" s="144" t="s">
        <v>709</v>
      </c>
      <c r="B42" s="143">
        <v>1</v>
      </c>
      <c r="C42" s="143">
        <v>4</v>
      </c>
      <c r="D42" s="145">
        <f>C42/B42</f>
        <v>4</v>
      </c>
      <c r="E42" s="146">
        <v>-40</v>
      </c>
      <c r="F42" s="146">
        <f t="shared" si="3"/>
        <v>-10</v>
      </c>
      <c r="G42" s="146">
        <f>E42/B42</f>
        <v>-40</v>
      </c>
      <c r="H42" s="143">
        <f t="shared" si="10"/>
        <v>2012</v>
      </c>
      <c r="I42" s="143">
        <v>2012</v>
      </c>
      <c r="J42" s="143"/>
    </row>
    <row r="43" spans="1:10">
      <c r="A43" s="144" t="s">
        <v>60</v>
      </c>
      <c r="B43" s="143">
        <v>1</v>
      </c>
      <c r="C43" s="143">
        <v>5</v>
      </c>
      <c r="D43" s="145">
        <f t="shared" si="0"/>
        <v>5</v>
      </c>
      <c r="E43" s="146">
        <v>-9.5</v>
      </c>
      <c r="F43" s="146">
        <f t="shared" si="3"/>
        <v>-1.9</v>
      </c>
      <c r="G43" s="146">
        <f t="shared" si="2"/>
        <v>-9.5</v>
      </c>
      <c r="H43" s="143">
        <f t="shared" si="10"/>
        <v>1982</v>
      </c>
      <c r="I43" s="143">
        <v>1982</v>
      </c>
      <c r="J43" s="143"/>
    </row>
    <row r="44" spans="1:10">
      <c r="A44" s="144" t="s">
        <v>61</v>
      </c>
      <c r="B44" s="143">
        <v>5</v>
      </c>
      <c r="C44" s="143">
        <f>15+21+22+30+7</f>
        <v>95</v>
      </c>
      <c r="D44" s="145">
        <f t="shared" si="0"/>
        <v>19</v>
      </c>
      <c r="E44" s="146">
        <f>-51.95+36-68.75+36.6-18.5</f>
        <v>-66.599999999999994</v>
      </c>
      <c r="F44" s="146">
        <f t="shared" si="3"/>
        <v>-0.70105263157894726</v>
      </c>
      <c r="G44" s="146">
        <f t="shared" si="2"/>
        <v>-13.319999999999999</v>
      </c>
      <c r="H44" s="143">
        <f t="shared" si="10"/>
        <v>1992</v>
      </c>
      <c r="I44" s="143">
        <v>1996</v>
      </c>
      <c r="J44" s="143"/>
    </row>
    <row r="45" spans="1:10">
      <c r="A45" s="144" t="s">
        <v>567</v>
      </c>
      <c r="B45" s="143">
        <v>1</v>
      </c>
      <c r="C45" s="143">
        <v>7</v>
      </c>
      <c r="D45" s="145">
        <f>C45/B45</f>
        <v>7</v>
      </c>
      <c r="E45" s="146">
        <v>-57</v>
      </c>
      <c r="F45" s="146">
        <f>E45/C45</f>
        <v>-8.1428571428571423</v>
      </c>
      <c r="G45" s="146">
        <f>E45/B45</f>
        <v>-57</v>
      </c>
      <c r="H45" s="143">
        <f t="shared" si="10"/>
        <v>2011</v>
      </c>
      <c r="I45" s="143">
        <v>2011</v>
      </c>
      <c r="J45" s="143"/>
    </row>
    <row r="46" spans="1:10">
      <c r="A46" s="144" t="s">
        <v>62</v>
      </c>
      <c r="B46" s="143">
        <v>3</v>
      </c>
      <c r="C46" s="143">
        <v>27</v>
      </c>
      <c r="D46" s="145">
        <f t="shared" si="0"/>
        <v>9</v>
      </c>
      <c r="E46" s="146">
        <v>-72</v>
      </c>
      <c r="F46" s="146">
        <f t="shared" si="3"/>
        <v>-2.6666666666666665</v>
      </c>
      <c r="G46" s="146">
        <f t="shared" si="2"/>
        <v>-24</v>
      </c>
      <c r="H46" s="143">
        <f t="shared" si="10"/>
        <v>1967</v>
      </c>
      <c r="I46" s="143">
        <v>1969</v>
      </c>
      <c r="J46" s="143"/>
    </row>
    <row r="47" spans="1:10">
      <c r="A47" s="144" t="s">
        <v>63</v>
      </c>
      <c r="B47" s="179">
        <v>55</v>
      </c>
      <c r="C47" s="179">
        <f>711+22+19+24+10+7+6+8+4+1</f>
        <v>812</v>
      </c>
      <c r="D47" s="229">
        <f>C47/B47</f>
        <v>14.763636363636364</v>
      </c>
      <c r="E47" s="230">
        <f>-129.45-186+1-6.4-76-53.35-23.3-50.25-63.65-12.25</f>
        <v>-599.65</v>
      </c>
      <c r="F47" s="230">
        <f>E47/C47</f>
        <v>-0.73848522167487685</v>
      </c>
      <c r="G47" s="230">
        <f>E47/B47</f>
        <v>-10.902727272727272</v>
      </c>
      <c r="H47" s="179">
        <v>1962</v>
      </c>
      <c r="I47" s="179">
        <v>2016</v>
      </c>
      <c r="J47" s="179">
        <v>2000</v>
      </c>
    </row>
    <row r="48" spans="1:10">
      <c r="A48" s="144" t="s">
        <v>13</v>
      </c>
      <c r="B48" s="143">
        <v>21</v>
      </c>
      <c r="C48" s="143">
        <f>80+15+14+10+12+20+16+26+21+19+21+10+19+2</f>
        <v>285</v>
      </c>
      <c r="D48" s="145">
        <f t="shared" si="0"/>
        <v>13.571428571428571</v>
      </c>
      <c r="E48" s="146">
        <f>-133.25-89.9-125.95-35.75-81.3-173.6-137.2+108.3-229.15-45+174.95-151.4-285.75-48-10</f>
        <v>-1263</v>
      </c>
      <c r="F48" s="146">
        <f t="shared" si="3"/>
        <v>-4.4315789473684211</v>
      </c>
      <c r="G48" s="146">
        <f t="shared" si="2"/>
        <v>-60.142857142857146</v>
      </c>
      <c r="H48" s="143">
        <v>1985</v>
      </c>
      <c r="I48" s="143">
        <v>2005</v>
      </c>
      <c r="J48" s="143"/>
    </row>
    <row r="49" spans="1:10">
      <c r="A49" s="144" t="s">
        <v>64</v>
      </c>
      <c r="B49" s="143">
        <v>8</v>
      </c>
      <c r="C49" s="143">
        <v>84</v>
      </c>
      <c r="D49" s="145">
        <f t="shared" si="0"/>
        <v>10.5</v>
      </c>
      <c r="E49" s="146">
        <v>96.1</v>
      </c>
      <c r="F49" s="146">
        <f t="shared" si="3"/>
        <v>1.144047619047619</v>
      </c>
      <c r="G49" s="146">
        <f t="shared" si="2"/>
        <v>12.012499999999999</v>
      </c>
      <c r="H49" s="143">
        <f t="shared" si="10"/>
        <v>1971</v>
      </c>
      <c r="I49" s="143">
        <v>1978</v>
      </c>
      <c r="J49" s="143"/>
    </row>
    <row r="50" spans="1:10">
      <c r="A50" s="144" t="s">
        <v>517</v>
      </c>
      <c r="B50" s="143">
        <v>3</v>
      </c>
      <c r="C50" s="143">
        <f>19+20+7</f>
        <v>46</v>
      </c>
      <c r="D50" s="145">
        <f t="shared" si="0"/>
        <v>15.333333333333334</v>
      </c>
      <c r="E50" s="146">
        <f>-287.65-82.85</f>
        <v>-370.5</v>
      </c>
      <c r="F50" s="146">
        <f t="shared" si="3"/>
        <v>-8.054347826086957</v>
      </c>
      <c r="G50" s="146">
        <f t="shared" si="2"/>
        <v>-123.5</v>
      </c>
      <c r="H50" s="143">
        <v>2009</v>
      </c>
      <c r="I50" s="143">
        <v>2011</v>
      </c>
      <c r="J50" s="143"/>
    </row>
    <row r="51" spans="1:10">
      <c r="A51" s="144" t="s">
        <v>710</v>
      </c>
      <c r="B51" s="143">
        <v>1</v>
      </c>
      <c r="C51" s="143">
        <v>2</v>
      </c>
      <c r="D51" s="145">
        <f t="shared" si="0"/>
        <v>2</v>
      </c>
      <c r="E51" s="146">
        <v>11</v>
      </c>
      <c r="F51" s="146">
        <f t="shared" si="3"/>
        <v>5.5</v>
      </c>
      <c r="G51" s="146">
        <f t="shared" si="2"/>
        <v>11</v>
      </c>
      <c r="H51" s="143">
        <f t="shared" si="10"/>
        <v>1979</v>
      </c>
      <c r="I51" s="143">
        <v>1979</v>
      </c>
      <c r="J51" s="143"/>
    </row>
    <row r="52" spans="1:10">
      <c r="A52" s="144" t="s">
        <v>711</v>
      </c>
      <c r="B52" s="143">
        <v>2</v>
      </c>
      <c r="C52" s="143">
        <v>9</v>
      </c>
      <c r="D52" s="145">
        <f t="shared" si="0"/>
        <v>4.5</v>
      </c>
      <c r="E52" s="146">
        <v>-34.9</v>
      </c>
      <c r="F52" s="146">
        <f t="shared" si="3"/>
        <v>-3.8777777777777778</v>
      </c>
      <c r="G52" s="146">
        <f t="shared" si="2"/>
        <v>-17.45</v>
      </c>
      <c r="H52" s="143">
        <f t="shared" si="10"/>
        <v>1987</v>
      </c>
      <c r="I52" s="143">
        <v>1988</v>
      </c>
      <c r="J52" s="143"/>
    </row>
    <row r="53" spans="1:10">
      <c r="A53" s="144" t="s">
        <v>65</v>
      </c>
      <c r="B53" s="143">
        <v>3</v>
      </c>
      <c r="C53" s="143"/>
      <c r="D53" s="145"/>
      <c r="E53" s="146">
        <v>90.1</v>
      </c>
      <c r="F53" s="146"/>
      <c r="G53" s="146">
        <f t="shared" si="2"/>
        <v>30.033333333333331</v>
      </c>
      <c r="H53" s="143">
        <f t="shared" si="10"/>
        <v>1981</v>
      </c>
      <c r="I53" s="143">
        <v>1983</v>
      </c>
      <c r="J53" s="143"/>
    </row>
    <row r="54" spans="1:10">
      <c r="A54" s="144" t="s">
        <v>19</v>
      </c>
      <c r="B54" s="143">
        <v>20</v>
      </c>
      <c r="C54" s="143">
        <f>56+22+25+17+8+7+8+13+12+14+11+17+11+4+10+5+6</f>
        <v>246</v>
      </c>
      <c r="D54" s="145">
        <f>C54/B54</f>
        <v>12.3</v>
      </c>
      <c r="E54" s="146">
        <f>198.35+33.05-68.1+2.45+74.45-25.1+43.25+25.35-29.2-50.05-28.05-24.3-149.6-58.1-3.5-140.55-39.1</f>
        <v>-238.74999999999997</v>
      </c>
      <c r="F54" s="146">
        <f>E54/C54</f>
        <v>-0.97052845528455278</v>
      </c>
      <c r="G54" s="146">
        <f t="shared" si="2"/>
        <v>-11.937499999999998</v>
      </c>
      <c r="H54" s="143">
        <v>1988</v>
      </c>
      <c r="I54" s="143">
        <v>2007</v>
      </c>
      <c r="J54" s="143"/>
    </row>
    <row r="55" spans="1:10">
      <c r="A55" s="144" t="s">
        <v>20</v>
      </c>
      <c r="B55" s="143">
        <v>8</v>
      </c>
      <c r="C55" s="143">
        <f>16+25+20+26+18+18+13+4</f>
        <v>140</v>
      </c>
      <c r="D55" s="145">
        <f>C55/B55</f>
        <v>17.5</v>
      </c>
      <c r="E55" s="146">
        <f>-108.4-119.85-223.45-63.05+35.3-230.05-70.9-98.9</f>
        <v>-879.3</v>
      </c>
      <c r="F55" s="146">
        <f>E55/C55</f>
        <v>-6.2807142857142857</v>
      </c>
      <c r="G55" s="146">
        <f t="shared" si="2"/>
        <v>-109.91249999999999</v>
      </c>
      <c r="H55" s="143">
        <v>1997</v>
      </c>
      <c r="I55" s="143">
        <v>2004</v>
      </c>
      <c r="J55" s="143"/>
    </row>
    <row r="56" spans="1:10">
      <c r="A56" s="144" t="s">
        <v>66</v>
      </c>
      <c r="B56" s="143">
        <v>1</v>
      </c>
      <c r="C56" s="143">
        <v>26</v>
      </c>
      <c r="D56" s="145">
        <f t="shared" ref="D56:D86" si="14">C56/B56</f>
        <v>26</v>
      </c>
      <c r="E56" s="146">
        <v>-41.25</v>
      </c>
      <c r="F56" s="146">
        <f t="shared" ref="F56:F86" si="15">E56/C56</f>
        <v>-1.5865384615384615</v>
      </c>
      <c r="G56" s="146">
        <f t="shared" si="2"/>
        <v>-41.25</v>
      </c>
      <c r="H56" s="143">
        <f t="shared" si="10"/>
        <v>1971</v>
      </c>
      <c r="I56" s="143">
        <v>1971</v>
      </c>
      <c r="J56" s="143"/>
    </row>
    <row r="57" spans="1:10">
      <c r="A57" s="144" t="s">
        <v>253</v>
      </c>
      <c r="B57" s="143">
        <v>13</v>
      </c>
      <c r="C57" s="143">
        <f>16+28+21+7+21+19+11+14+20+17+9+2+3</f>
        <v>188</v>
      </c>
      <c r="D57" s="145">
        <f>C57/B57</f>
        <v>14.461538461538462</v>
      </c>
      <c r="E57" s="146">
        <f>-205.25-0.2+76.25-40.45-19.2-6.8+97.55-116.5-114.65+95.4-57.35-56-108</f>
        <v>-455.2</v>
      </c>
      <c r="F57" s="146">
        <f>E57/C57</f>
        <v>-2.4212765957446809</v>
      </c>
      <c r="G57" s="146">
        <f>E57/B57</f>
        <v>-35.015384615384612</v>
      </c>
      <c r="H57" s="143">
        <v>1999</v>
      </c>
      <c r="I57" s="143">
        <v>2011</v>
      </c>
      <c r="J57" s="143"/>
    </row>
    <row r="58" spans="1:10">
      <c r="A58" s="144" t="s">
        <v>67</v>
      </c>
      <c r="B58" s="143">
        <v>2</v>
      </c>
      <c r="C58" s="143">
        <v>25</v>
      </c>
      <c r="D58" s="145">
        <f t="shared" si="14"/>
        <v>12.5</v>
      </c>
      <c r="E58" s="146">
        <v>80.400000000000006</v>
      </c>
      <c r="F58" s="146">
        <f t="shared" si="15"/>
        <v>3.2160000000000002</v>
      </c>
      <c r="G58" s="146">
        <f t="shared" si="2"/>
        <v>40.200000000000003</v>
      </c>
      <c r="H58" s="143">
        <f t="shared" si="10"/>
        <v>1967</v>
      </c>
      <c r="I58" s="143">
        <v>1968</v>
      </c>
      <c r="J58" s="143"/>
    </row>
    <row r="59" spans="1:10">
      <c r="A59" s="144" t="s">
        <v>21</v>
      </c>
      <c r="B59" s="143">
        <v>10</v>
      </c>
      <c r="C59" s="143">
        <f>9+10+8+9+12+10+7+10+5+2</f>
        <v>82</v>
      </c>
      <c r="D59" s="145">
        <f t="shared" si="14"/>
        <v>8.1999999999999993</v>
      </c>
      <c r="E59" s="146">
        <f>-98.7-72.65-40.15-122.25+57.8-111.4-32.65-88.85-69.4-47</f>
        <v>-625.25</v>
      </c>
      <c r="F59" s="146">
        <f t="shared" si="15"/>
        <v>-7.625</v>
      </c>
      <c r="G59" s="146">
        <f t="shared" si="2"/>
        <v>-62.524999999999999</v>
      </c>
      <c r="H59" s="143">
        <v>1995</v>
      </c>
      <c r="I59" s="143">
        <v>2004</v>
      </c>
      <c r="J59" s="143"/>
    </row>
    <row r="60" spans="1:10">
      <c r="A60" s="144" t="s">
        <v>712</v>
      </c>
      <c r="B60" s="143">
        <v>1</v>
      </c>
      <c r="C60" s="143">
        <v>1</v>
      </c>
      <c r="D60" s="145">
        <f t="shared" si="14"/>
        <v>1</v>
      </c>
      <c r="E60" s="146">
        <v>-10</v>
      </c>
      <c r="F60" s="146">
        <f t="shared" si="15"/>
        <v>-10</v>
      </c>
      <c r="G60" s="146">
        <f t="shared" si="2"/>
        <v>-10</v>
      </c>
      <c r="H60" s="143">
        <v>2009</v>
      </c>
      <c r="I60" s="143">
        <v>2009</v>
      </c>
      <c r="J60" s="143"/>
    </row>
    <row r="61" spans="1:10">
      <c r="A61" s="144" t="s">
        <v>22</v>
      </c>
      <c r="B61" s="179">
        <v>51</v>
      </c>
      <c r="C61" s="179">
        <f>323+61+59+59+55+65+58+40+41+28+24+10+6+1</f>
        <v>830</v>
      </c>
      <c r="D61" s="229">
        <f t="shared" ref="D61" si="16">C61/B61</f>
        <v>16.274509803921568</v>
      </c>
      <c r="E61" s="230">
        <f>-670.7-28.35-26.15-213.7+67.85-268.65-272.75-203.4+113.25-163.5-32.85-209.8-22.35-20</f>
        <v>-1951.1</v>
      </c>
      <c r="F61" s="230">
        <f t="shared" ref="F61" si="17">E61/C61</f>
        <v>-2.350722891566265</v>
      </c>
      <c r="G61" s="230">
        <f t="shared" ref="G61" si="18">E61/B61</f>
        <v>-38.25686274509804</v>
      </c>
      <c r="H61" s="179">
        <v>1962</v>
      </c>
      <c r="I61" s="179">
        <v>2016</v>
      </c>
      <c r="J61" s="179">
        <v>2000</v>
      </c>
    </row>
    <row r="62" spans="1:10">
      <c r="A62" s="144" t="s">
        <v>68</v>
      </c>
      <c r="B62" s="143">
        <v>3</v>
      </c>
      <c r="C62" s="143">
        <v>77</v>
      </c>
      <c r="D62" s="145">
        <f t="shared" si="14"/>
        <v>25.666666666666668</v>
      </c>
      <c r="E62" s="146">
        <v>-11.5</v>
      </c>
      <c r="F62" s="146">
        <f t="shared" si="15"/>
        <v>-0.14935064935064934</v>
      </c>
      <c r="G62" s="146">
        <f t="shared" si="2"/>
        <v>-3.8333333333333335</v>
      </c>
      <c r="H62" s="143">
        <f t="shared" si="10"/>
        <v>1977</v>
      </c>
      <c r="I62" s="143">
        <v>1979</v>
      </c>
      <c r="J62" s="143"/>
    </row>
    <row r="63" spans="1:10">
      <c r="A63" s="144" t="s">
        <v>69</v>
      </c>
      <c r="B63" s="143">
        <v>4</v>
      </c>
      <c r="C63" s="143">
        <v>26</v>
      </c>
      <c r="D63" s="145">
        <f t="shared" si="14"/>
        <v>6.5</v>
      </c>
      <c r="E63" s="146">
        <v>-78.349999999999994</v>
      </c>
      <c r="F63" s="146">
        <f t="shared" si="15"/>
        <v>-3.0134615384615384</v>
      </c>
      <c r="G63" s="146">
        <f t="shared" si="2"/>
        <v>-19.587499999999999</v>
      </c>
      <c r="H63" s="143">
        <f t="shared" si="10"/>
        <v>1983</v>
      </c>
      <c r="I63" s="143">
        <v>1986</v>
      </c>
      <c r="J63" s="143"/>
    </row>
    <row r="64" spans="1:10">
      <c r="A64" s="144" t="s">
        <v>27</v>
      </c>
      <c r="B64" s="143">
        <v>23</v>
      </c>
      <c r="C64" s="143">
        <f>45+18+17+18+11+20+17+21+21+31+30+24+24+32+28+26+29+33+33+2+43+14</f>
        <v>537</v>
      </c>
      <c r="D64" s="145">
        <f t="shared" ref="D64" si="19">C64/B64</f>
        <v>23.347826086956523</v>
      </c>
      <c r="E64" s="146">
        <f>-120.75-72.6+0.2+89.55-21.55-194.7+111.85-277.5+376.5+84.05+80.55+123.1+205.05+141.7-211.2+314.1-160.25+20-268.2-37+10.35-293.35</f>
        <v>-100.09999999999988</v>
      </c>
      <c r="F64" s="146">
        <f t="shared" ref="F64" si="20">E64/C64</f>
        <v>-0.18640595903165713</v>
      </c>
      <c r="G64" s="146">
        <f t="shared" ref="G64" si="21">E64/B64</f>
        <v>-4.3521739130434733</v>
      </c>
      <c r="H64" s="143">
        <v>1990</v>
      </c>
      <c r="I64" s="143">
        <v>2012</v>
      </c>
    </row>
    <row r="65" spans="1:10">
      <c r="A65" s="144" t="s">
        <v>28</v>
      </c>
      <c r="B65" s="143">
        <v>11</v>
      </c>
      <c r="C65" s="143">
        <f>99+40+40+50+59+43+49+44+34</f>
        <v>458</v>
      </c>
      <c r="D65" s="145">
        <f>C65/B65</f>
        <v>41.636363636363633</v>
      </c>
      <c r="E65" s="146">
        <f>56.25-173.15+167.2+200.2+171.25+284.9+288.2+102.65+327.8</f>
        <v>1425.3</v>
      </c>
      <c r="F65" s="146">
        <f>E65/C65</f>
        <v>3.112008733624454</v>
      </c>
      <c r="G65" s="146">
        <f>E65/B65</f>
        <v>129.57272727272726</v>
      </c>
      <c r="H65" s="143">
        <f t="shared" si="10"/>
        <v>1989</v>
      </c>
      <c r="I65" s="143">
        <v>1999</v>
      </c>
      <c r="J65" s="143"/>
    </row>
    <row r="66" spans="1:10">
      <c r="A66" s="144" t="s">
        <v>41</v>
      </c>
      <c r="B66" s="143">
        <v>4</v>
      </c>
      <c r="C66" s="143">
        <f>10+8+7+6</f>
        <v>31</v>
      </c>
      <c r="D66" s="145">
        <f>C66/B66</f>
        <v>7.75</v>
      </c>
      <c r="E66" s="146">
        <f>-38.9+14.2+51.4-108.45</f>
        <v>-81.75</v>
      </c>
      <c r="F66" s="146">
        <f>E66/C66</f>
        <v>-2.6370967741935485</v>
      </c>
      <c r="G66" s="146">
        <f>E66/B66</f>
        <v>-20.4375</v>
      </c>
      <c r="H66" s="143">
        <f t="shared" si="10"/>
        <v>1994</v>
      </c>
      <c r="I66" s="143">
        <v>1997</v>
      </c>
      <c r="J66" s="143"/>
    </row>
    <row r="67" spans="1:10">
      <c r="A67" s="144" t="s">
        <v>713</v>
      </c>
      <c r="B67" s="143">
        <v>1</v>
      </c>
      <c r="C67" s="143">
        <v>4</v>
      </c>
      <c r="D67" s="145">
        <f>C67/B67</f>
        <v>4</v>
      </c>
      <c r="E67" s="146">
        <v>-10</v>
      </c>
      <c r="F67" s="146">
        <f>E67/C67</f>
        <v>-2.5</v>
      </c>
      <c r="G67" s="146">
        <f>E67/B67</f>
        <v>-10</v>
      </c>
      <c r="H67" s="143">
        <v>2005</v>
      </c>
      <c r="I67" s="143">
        <v>2005</v>
      </c>
      <c r="J67" s="143"/>
    </row>
    <row r="68" spans="1:10">
      <c r="A68" s="144" t="s">
        <v>29</v>
      </c>
      <c r="B68" s="143">
        <v>35</v>
      </c>
      <c r="C68" s="143">
        <f>245+25+23+22+18+14+16+19+15+21+18+17+17+10</f>
        <v>480</v>
      </c>
      <c r="D68" s="145">
        <f>C68/B68</f>
        <v>13.714285714285714</v>
      </c>
      <c r="E68" s="146">
        <f>70.35+40.05+15.2-69.5+70-104.55-78.25+8.4-204.1+45.85-54.35-123.7-233.05-96.2</f>
        <v>-713.85000000000014</v>
      </c>
      <c r="F68" s="146">
        <f>E68/C68</f>
        <v>-1.4871875000000003</v>
      </c>
      <c r="G68" s="146">
        <f>E68/B68</f>
        <v>-20.395714285714291</v>
      </c>
      <c r="H68" s="143">
        <v>1971</v>
      </c>
      <c r="I68" s="143">
        <v>2005</v>
      </c>
      <c r="J68" s="143"/>
    </row>
    <row r="69" spans="1:10">
      <c r="A69" s="144" t="s">
        <v>70</v>
      </c>
      <c r="B69" s="143">
        <v>16</v>
      </c>
      <c r="C69" s="143">
        <v>193</v>
      </c>
      <c r="D69" s="145">
        <f t="shared" si="14"/>
        <v>12.0625</v>
      </c>
      <c r="E69" s="146">
        <v>-42.75</v>
      </c>
      <c r="F69" s="146">
        <f t="shared" si="15"/>
        <v>-0.22150259067357514</v>
      </c>
      <c r="G69" s="146">
        <f t="shared" si="2"/>
        <v>-2.671875</v>
      </c>
      <c r="H69" s="143">
        <f t="shared" si="10"/>
        <v>1973</v>
      </c>
      <c r="I69" s="143">
        <v>1988</v>
      </c>
      <c r="J69" s="143"/>
    </row>
    <row r="70" spans="1:10">
      <c r="A70" s="144" t="s">
        <v>714</v>
      </c>
      <c r="B70" s="143">
        <v>1</v>
      </c>
      <c r="C70" s="143">
        <v>7</v>
      </c>
      <c r="D70" s="145">
        <f t="shared" si="14"/>
        <v>7</v>
      </c>
      <c r="E70" s="146">
        <v>27.25</v>
      </c>
      <c r="F70" s="146">
        <f t="shared" si="15"/>
        <v>3.8928571428571428</v>
      </c>
      <c r="G70" s="146">
        <f t="shared" si="2"/>
        <v>27.25</v>
      </c>
      <c r="H70" s="143">
        <f t="shared" si="10"/>
        <v>1998</v>
      </c>
      <c r="I70" s="143">
        <v>1998</v>
      </c>
      <c r="J70" s="143"/>
    </row>
    <row r="71" spans="1:10">
      <c r="A71" s="144" t="s">
        <v>71</v>
      </c>
      <c r="B71" s="143">
        <v>4</v>
      </c>
      <c r="C71" s="143">
        <f>10+3+10+1</f>
        <v>24</v>
      </c>
      <c r="D71" s="145">
        <f>C71/B71</f>
        <v>6</v>
      </c>
      <c r="E71" s="146">
        <f>-18.15+11.75-26.6-25</f>
        <v>-58</v>
      </c>
      <c r="F71" s="146">
        <f>E71/C71</f>
        <v>-2.4166666666666665</v>
      </c>
      <c r="G71" s="146">
        <f>E71/B71</f>
        <v>-14.5</v>
      </c>
      <c r="H71" s="143">
        <f t="shared" si="10"/>
        <v>1991</v>
      </c>
      <c r="I71" s="143">
        <v>1994</v>
      </c>
      <c r="J71" s="143"/>
    </row>
    <row r="72" spans="1:10">
      <c r="A72" s="144" t="s">
        <v>72</v>
      </c>
      <c r="B72" s="143">
        <v>1</v>
      </c>
      <c r="C72" s="143">
        <v>6</v>
      </c>
      <c r="D72" s="145">
        <f>C72/B72</f>
        <v>6</v>
      </c>
      <c r="E72" s="146">
        <v>60</v>
      </c>
      <c r="F72" s="146">
        <f>E72/C72</f>
        <v>10</v>
      </c>
      <c r="G72" s="146">
        <f>E72/B72</f>
        <v>60</v>
      </c>
      <c r="H72" s="143">
        <f t="shared" si="10"/>
        <v>1995</v>
      </c>
      <c r="I72" s="143">
        <v>1995</v>
      </c>
      <c r="J72" s="143"/>
    </row>
    <row r="73" spans="1:10">
      <c r="A73" s="144" t="s">
        <v>73</v>
      </c>
      <c r="B73" s="143">
        <v>15</v>
      </c>
      <c r="C73" s="143">
        <v>233</v>
      </c>
      <c r="D73" s="145">
        <f t="shared" si="14"/>
        <v>15.533333333333333</v>
      </c>
      <c r="E73" s="146">
        <v>-788.65</v>
      </c>
      <c r="F73" s="146">
        <f t="shared" si="15"/>
        <v>-3.384763948497854</v>
      </c>
      <c r="G73" s="146">
        <f t="shared" si="2"/>
        <v>-52.576666666666668</v>
      </c>
      <c r="H73" s="143">
        <f t="shared" si="10"/>
        <v>1976</v>
      </c>
      <c r="I73" s="143">
        <v>1990</v>
      </c>
      <c r="J73" s="143"/>
    </row>
    <row r="74" spans="1:10">
      <c r="A74" s="144" t="s">
        <v>74</v>
      </c>
      <c r="B74" s="143">
        <v>7</v>
      </c>
      <c r="C74" s="143">
        <v>72</v>
      </c>
      <c r="D74" s="145">
        <f t="shared" si="14"/>
        <v>10.285714285714286</v>
      </c>
      <c r="E74" s="146">
        <v>150.30000000000001</v>
      </c>
      <c r="F74" s="146">
        <f t="shared" si="15"/>
        <v>2.0875000000000004</v>
      </c>
      <c r="G74" s="146">
        <f t="shared" si="2"/>
        <v>21.471428571428572</v>
      </c>
      <c r="H74" s="143">
        <f t="shared" si="10"/>
        <v>1974</v>
      </c>
      <c r="I74" s="143">
        <v>1980</v>
      </c>
      <c r="J74" s="143"/>
    </row>
    <row r="75" spans="1:10">
      <c r="A75" s="144" t="s">
        <v>260</v>
      </c>
      <c r="B75" s="143">
        <v>12</v>
      </c>
      <c r="C75" s="143">
        <f>18+33+10+23+20+24+22+9+20+4</f>
        <v>183</v>
      </c>
      <c r="D75" s="145">
        <f t="shared" si="14"/>
        <v>15.25</v>
      </c>
      <c r="E75" s="146">
        <f>-116.75+73.75-68.4-85.7+91.75+44.65+110.75-181.5+171.95-41.55</f>
        <v>-1.0500000000000256</v>
      </c>
      <c r="F75" s="146">
        <f t="shared" si="15"/>
        <v>-5.7377049180329263E-3</v>
      </c>
      <c r="G75" s="146">
        <f t="shared" si="2"/>
        <v>-8.7500000000002132E-2</v>
      </c>
      <c r="H75" s="143">
        <v>1990</v>
      </c>
      <c r="I75" s="143">
        <v>2011</v>
      </c>
      <c r="J75" s="143"/>
    </row>
    <row r="76" spans="1:10">
      <c r="A76" s="144" t="s">
        <v>75</v>
      </c>
      <c r="B76" s="143">
        <v>1</v>
      </c>
      <c r="C76" s="143">
        <v>9</v>
      </c>
      <c r="D76" s="145">
        <f t="shared" si="14"/>
        <v>9</v>
      </c>
      <c r="E76" s="146">
        <v>-2.2000000000000002</v>
      </c>
      <c r="F76" s="146">
        <f t="shared" si="15"/>
        <v>-0.24444444444444446</v>
      </c>
      <c r="G76" s="146">
        <f t="shared" si="2"/>
        <v>-2.2000000000000002</v>
      </c>
      <c r="H76" s="143">
        <f t="shared" si="10"/>
        <v>1962</v>
      </c>
      <c r="I76" s="143">
        <v>1962</v>
      </c>
      <c r="J76" s="143"/>
    </row>
    <row r="77" spans="1:10">
      <c r="A77" s="144" t="s">
        <v>76</v>
      </c>
      <c r="B77" s="143">
        <v>7</v>
      </c>
      <c r="C77" s="143">
        <v>42</v>
      </c>
      <c r="D77" s="145">
        <f t="shared" si="14"/>
        <v>6</v>
      </c>
      <c r="E77" s="146">
        <v>-113.65</v>
      </c>
      <c r="F77" s="146">
        <f t="shared" si="15"/>
        <v>-2.7059523809523811</v>
      </c>
      <c r="G77" s="146">
        <f t="shared" si="2"/>
        <v>-16.235714285714288</v>
      </c>
      <c r="H77" s="143">
        <f t="shared" si="10"/>
        <v>1983</v>
      </c>
      <c r="I77" s="143">
        <v>1989</v>
      </c>
      <c r="J77" s="143"/>
    </row>
    <row r="78" spans="1:10">
      <c r="A78" s="144" t="s">
        <v>715</v>
      </c>
      <c r="B78" s="143">
        <v>1</v>
      </c>
      <c r="C78" s="143">
        <v>6</v>
      </c>
      <c r="D78" s="145">
        <f t="shared" si="14"/>
        <v>6</v>
      </c>
      <c r="E78" s="146">
        <v>15</v>
      </c>
      <c r="F78" s="146">
        <f t="shared" si="15"/>
        <v>2.5</v>
      </c>
      <c r="G78" s="146">
        <f t="shared" si="2"/>
        <v>15</v>
      </c>
      <c r="H78" s="143">
        <f t="shared" si="10"/>
        <v>2012</v>
      </c>
      <c r="I78" s="143">
        <v>2012</v>
      </c>
      <c r="J78" s="143"/>
    </row>
    <row r="79" spans="1:10">
      <c r="A79" s="144" t="s">
        <v>77</v>
      </c>
      <c r="B79" s="143">
        <v>5</v>
      </c>
      <c r="C79" s="143">
        <f>43+7+5</f>
        <v>55</v>
      </c>
      <c r="D79" s="145">
        <f t="shared" si="14"/>
        <v>11</v>
      </c>
      <c r="E79" s="146">
        <f>300.5-17.25-34.05</f>
        <v>249.2</v>
      </c>
      <c r="F79" s="146">
        <f t="shared" si="15"/>
        <v>4.5309090909090903</v>
      </c>
      <c r="G79" s="146">
        <f t="shared" si="2"/>
        <v>49.839999999999996</v>
      </c>
      <c r="H79" s="143">
        <f>1900+(93-B79)+1</f>
        <v>1989</v>
      </c>
      <c r="I79" s="143">
        <v>1993</v>
      </c>
      <c r="J79" s="143"/>
    </row>
    <row r="80" spans="1:10">
      <c r="A80" s="144" t="s">
        <v>33</v>
      </c>
      <c r="B80" s="179">
        <v>55</v>
      </c>
      <c r="C80" s="179">
        <f>1088+50+55+34+25+16+25+15+10+10+4+6+4+1</f>
        <v>1343</v>
      </c>
      <c r="D80" s="229">
        <f t="shared" ref="D80" si="22">C80/B80</f>
        <v>24.418181818181818</v>
      </c>
      <c r="E80" s="230">
        <f>-972.4-90.15+71-6.8-181.05-141.75-149.8-209.25-14.55-54.8-25.8+21-35.5-17</f>
        <v>-1806.8499999999997</v>
      </c>
      <c r="F80" s="230">
        <f t="shared" ref="F80" si="23">E80/C80</f>
        <v>-1.3453834698436333</v>
      </c>
      <c r="G80" s="230">
        <f t="shared" ref="G80" si="24">E80/B80</f>
        <v>-32.851818181818174</v>
      </c>
      <c r="H80" s="179">
        <f>1900+(A$1-B80)+1</f>
        <v>1962</v>
      </c>
      <c r="I80" s="179">
        <v>2016</v>
      </c>
      <c r="J80" s="179">
        <v>2000</v>
      </c>
    </row>
    <row r="81" spans="1:10">
      <c r="A81" s="144" t="s">
        <v>78</v>
      </c>
      <c r="B81" s="143">
        <v>1</v>
      </c>
      <c r="C81" s="143">
        <v>13</v>
      </c>
      <c r="D81" s="145">
        <f t="shared" si="14"/>
        <v>13</v>
      </c>
      <c r="E81" s="146">
        <v>61.7</v>
      </c>
      <c r="F81" s="146">
        <f t="shared" si="15"/>
        <v>4.7461538461538462</v>
      </c>
      <c r="G81" s="146">
        <f t="shared" si="2"/>
        <v>61.7</v>
      </c>
      <c r="H81" s="143">
        <f t="shared" ref="H81:H94" si="25">I81-B81+1</f>
        <v>1973</v>
      </c>
      <c r="I81" s="143">
        <v>1973</v>
      </c>
      <c r="J81" s="143"/>
    </row>
    <row r="82" spans="1:10">
      <c r="A82" s="144" t="s">
        <v>79</v>
      </c>
      <c r="B82" s="143">
        <v>11</v>
      </c>
      <c r="C82" s="143">
        <v>162</v>
      </c>
      <c r="D82" s="145">
        <f t="shared" si="14"/>
        <v>14.727272727272727</v>
      </c>
      <c r="E82" s="146">
        <v>126.65</v>
      </c>
      <c r="F82" s="146">
        <f t="shared" si="15"/>
        <v>0.78179012345679011</v>
      </c>
      <c r="G82" s="146">
        <f t="shared" si="2"/>
        <v>11.513636363636364</v>
      </c>
      <c r="H82" s="143">
        <f t="shared" si="25"/>
        <v>1971</v>
      </c>
      <c r="I82" s="143">
        <v>1981</v>
      </c>
      <c r="J82" s="143"/>
    </row>
    <row r="83" spans="1:10">
      <c r="A83" s="144" t="s">
        <v>80</v>
      </c>
      <c r="B83" s="143">
        <v>4</v>
      </c>
      <c r="C83" s="143">
        <v>38</v>
      </c>
      <c r="D83" s="145">
        <f t="shared" si="14"/>
        <v>9.5</v>
      </c>
      <c r="E83" s="146">
        <v>-156.9</v>
      </c>
      <c r="F83" s="146">
        <f t="shared" si="15"/>
        <v>-4.1289473684210529</v>
      </c>
      <c r="G83" s="146">
        <f t="shared" si="2"/>
        <v>-39.225000000000001</v>
      </c>
      <c r="H83" s="143">
        <f t="shared" si="25"/>
        <v>1981</v>
      </c>
      <c r="I83" s="143">
        <v>1984</v>
      </c>
      <c r="J83" s="143"/>
    </row>
    <row r="84" spans="1:10">
      <c r="A84" s="144" t="s">
        <v>81</v>
      </c>
      <c r="B84" s="143">
        <v>21</v>
      </c>
      <c r="C84" s="143">
        <v>308</v>
      </c>
      <c r="D84" s="145">
        <f t="shared" si="14"/>
        <v>14.666666666666666</v>
      </c>
      <c r="E84" s="146">
        <f>493.1-10</f>
        <v>483.1</v>
      </c>
      <c r="F84" s="146">
        <f t="shared" si="15"/>
        <v>1.5685064935064936</v>
      </c>
      <c r="G84" s="146">
        <f t="shared" si="2"/>
        <v>23.004761904761907</v>
      </c>
      <c r="H84" s="143">
        <v>1970</v>
      </c>
      <c r="I84" s="143">
        <v>1989</v>
      </c>
      <c r="J84" s="143"/>
    </row>
    <row r="85" spans="1:10">
      <c r="A85" s="144" t="s">
        <v>82</v>
      </c>
      <c r="B85" s="143">
        <v>20</v>
      </c>
      <c r="C85" s="143">
        <v>388</v>
      </c>
      <c r="D85" s="145">
        <f t="shared" si="14"/>
        <v>19.399999999999999</v>
      </c>
      <c r="E85" s="146">
        <v>237.1</v>
      </c>
      <c r="F85" s="146">
        <f t="shared" si="15"/>
        <v>0.61108247422680406</v>
      </c>
      <c r="G85" s="146">
        <f t="shared" si="2"/>
        <v>11.855</v>
      </c>
      <c r="H85" s="143">
        <f t="shared" si="25"/>
        <v>1970</v>
      </c>
      <c r="I85" s="143">
        <v>1989</v>
      </c>
      <c r="J85" s="143"/>
    </row>
    <row r="86" spans="1:10">
      <c r="A86" s="144" t="s">
        <v>83</v>
      </c>
      <c r="B86" s="143">
        <v>1</v>
      </c>
      <c r="C86" s="143">
        <v>22</v>
      </c>
      <c r="D86" s="145">
        <f t="shared" si="14"/>
        <v>22</v>
      </c>
      <c r="E86" s="146">
        <v>-75.95</v>
      </c>
      <c r="F86" s="146">
        <f t="shared" si="15"/>
        <v>-3.4522727272727276</v>
      </c>
      <c r="G86" s="146">
        <f t="shared" si="2"/>
        <v>-75.95</v>
      </c>
      <c r="H86" s="143">
        <f t="shared" si="25"/>
        <v>1990</v>
      </c>
      <c r="I86" s="143">
        <v>1990</v>
      </c>
      <c r="J86" s="143"/>
    </row>
    <row r="87" spans="1:10">
      <c r="A87" s="144" t="s">
        <v>266</v>
      </c>
      <c r="B87" s="143">
        <v>7</v>
      </c>
      <c r="C87" s="143">
        <f>25+12+13+20+6+7+5</f>
        <v>88</v>
      </c>
      <c r="D87" s="145">
        <f>C87/B87</f>
        <v>12.571428571428571</v>
      </c>
      <c r="E87" s="146">
        <f>-235.95-190.15-115.2-14.65-80.5-106.6-96.3</f>
        <v>-839.35</v>
      </c>
      <c r="F87" s="146">
        <f>E87/C87</f>
        <v>-9.5380681818181827</v>
      </c>
      <c r="G87" s="146">
        <f>E87/B87</f>
        <v>-119.90714285714286</v>
      </c>
      <c r="H87" s="143">
        <v>2001</v>
      </c>
      <c r="I87" s="143">
        <v>2007</v>
      </c>
      <c r="J87" s="143"/>
    </row>
    <row r="88" spans="1:10">
      <c r="A88" s="144" t="s">
        <v>84</v>
      </c>
      <c r="B88" s="143">
        <v>2</v>
      </c>
      <c r="C88" s="143"/>
      <c r="D88" s="145"/>
      <c r="E88" s="146">
        <v>59.3</v>
      </c>
      <c r="F88" s="146"/>
      <c r="G88" s="146">
        <f t="shared" si="2"/>
        <v>29.65</v>
      </c>
      <c r="H88" s="143">
        <f t="shared" si="25"/>
        <v>1982</v>
      </c>
      <c r="I88" s="143">
        <v>1983</v>
      </c>
      <c r="J88" s="143"/>
    </row>
    <row r="89" spans="1:10">
      <c r="A89" s="144" t="s">
        <v>85</v>
      </c>
      <c r="B89" s="143">
        <v>1</v>
      </c>
      <c r="C89" s="143"/>
      <c r="D89" s="145"/>
      <c r="E89" s="146">
        <v>6.75</v>
      </c>
      <c r="F89" s="146"/>
      <c r="G89" s="146">
        <f t="shared" si="2"/>
        <v>6.75</v>
      </c>
      <c r="H89" s="143">
        <f t="shared" si="25"/>
        <v>1971</v>
      </c>
      <c r="I89" s="143">
        <v>1971</v>
      </c>
      <c r="J89" s="143"/>
    </row>
    <row r="90" spans="1:10">
      <c r="A90" s="144" t="s">
        <v>36</v>
      </c>
      <c r="B90" s="143">
        <v>10</v>
      </c>
      <c r="C90" s="143">
        <f>82+12+4+8+8+12+13+1</f>
        <v>140</v>
      </c>
      <c r="D90" s="145">
        <f>C90/B90</f>
        <v>14</v>
      </c>
      <c r="E90" s="146">
        <f>21.8+16.85-35.7-125.5-66.6+1.6-31.7-39.45</f>
        <v>-258.7</v>
      </c>
      <c r="F90" s="146">
        <f>E90/C90</f>
        <v>-1.8478571428571429</v>
      </c>
      <c r="G90" s="146">
        <f>E90/B90</f>
        <v>-25.869999999999997</v>
      </c>
      <c r="H90" s="143">
        <f t="shared" si="25"/>
        <v>1989</v>
      </c>
      <c r="I90" s="143">
        <v>1998</v>
      </c>
      <c r="J90" s="143"/>
    </row>
    <row r="91" spans="1:10">
      <c r="A91" s="144" t="s">
        <v>716</v>
      </c>
      <c r="B91" s="143">
        <v>8</v>
      </c>
      <c r="C91" s="143">
        <f>23+22+25+18+17+8+11+14</f>
        <v>138</v>
      </c>
      <c r="D91" s="145">
        <f>C91/B91</f>
        <v>17.25</v>
      </c>
      <c r="E91" s="146">
        <f>247.7+199.4+161.55+210.95-37.5-52.25+16.15+289.5</f>
        <v>1035.5</v>
      </c>
      <c r="F91" s="146">
        <f>E91/C91</f>
        <v>7.5036231884057969</v>
      </c>
      <c r="G91" s="146">
        <f>E91/B91</f>
        <v>129.4375</v>
      </c>
      <c r="H91" s="143">
        <f t="shared" si="25"/>
        <v>1992</v>
      </c>
      <c r="I91" s="143">
        <v>1999</v>
      </c>
      <c r="J91" s="143"/>
    </row>
    <row r="92" spans="1:10">
      <c r="A92" s="144" t="s">
        <v>717</v>
      </c>
      <c r="B92" s="143">
        <v>2</v>
      </c>
      <c r="C92" s="143">
        <v>9</v>
      </c>
      <c r="D92" s="145">
        <f>C92/B92</f>
        <v>4.5</v>
      </c>
      <c r="E92" s="146">
        <v>-37.35</v>
      </c>
      <c r="F92" s="146">
        <f>E92/C92</f>
        <v>-4.1500000000000004</v>
      </c>
      <c r="G92" s="146">
        <f>E92/B92</f>
        <v>-18.675000000000001</v>
      </c>
      <c r="H92" s="143">
        <v>2006</v>
      </c>
      <c r="I92" s="143">
        <v>2007</v>
      </c>
      <c r="J92" s="143"/>
    </row>
    <row r="93" spans="1:10">
      <c r="A93" s="144" t="s">
        <v>718</v>
      </c>
      <c r="B93" s="143">
        <v>2</v>
      </c>
      <c r="C93" s="143">
        <f>8+1</f>
        <v>9</v>
      </c>
      <c r="D93" s="145">
        <f>C93/B93</f>
        <v>4.5</v>
      </c>
      <c r="E93" s="146">
        <f>-78-45</f>
        <v>-123</v>
      </c>
      <c r="F93" s="146">
        <f>E93/C93</f>
        <v>-13.666666666666666</v>
      </c>
      <c r="G93" s="146">
        <f>E93/B93</f>
        <v>-61.5</v>
      </c>
      <c r="H93" s="143">
        <v>2006</v>
      </c>
      <c r="I93" s="143">
        <v>2007</v>
      </c>
      <c r="J93" s="143"/>
    </row>
    <row r="94" spans="1:10">
      <c r="A94" s="144" t="s">
        <v>86</v>
      </c>
      <c r="B94" s="143">
        <v>1</v>
      </c>
      <c r="C94" s="143">
        <v>23</v>
      </c>
      <c r="D94" s="145">
        <f>C94/B94</f>
        <v>23</v>
      </c>
      <c r="E94" s="146">
        <v>-87.9</v>
      </c>
      <c r="F94" s="146">
        <f>E94/C94</f>
        <v>-3.821739130434783</v>
      </c>
      <c r="G94" s="146">
        <f t="shared" si="2"/>
        <v>-87.9</v>
      </c>
      <c r="H94" s="143">
        <f t="shared" si="25"/>
        <v>1996</v>
      </c>
      <c r="I94" s="143">
        <v>1996</v>
      </c>
      <c r="J94" s="143"/>
    </row>
    <row r="95" spans="1:10">
      <c r="A95" s="143"/>
      <c r="B95" s="143"/>
      <c r="C95" s="143">
        <f>SUM(C7:C94)</f>
        <v>14970</v>
      </c>
      <c r="D95" s="143"/>
      <c r="E95" s="143"/>
      <c r="F95" s="146"/>
      <c r="G95" s="146"/>
      <c r="H95" s="143"/>
      <c r="I95" s="143"/>
      <c r="J95" s="143"/>
    </row>
  </sheetData>
  <pageMargins left="0.7" right="0.7" top="0.75" bottom="0.75" header="0.3" footer="0.3"/>
  <pageSetup scale="68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opLeftCell="A16" workbookViewId="0">
      <selection activeCell="D37" sqref="D37"/>
    </sheetView>
  </sheetViews>
  <sheetFormatPr defaultRowHeight="12.75"/>
  <cols>
    <col min="1" max="1" width="10.7109375" customWidth="1"/>
    <col min="2" max="2" width="14.85546875" customWidth="1"/>
    <col min="3" max="3" width="6.28515625" customWidth="1"/>
    <col min="4" max="4" width="32.140625" customWidth="1"/>
    <col min="5" max="5" width="6.140625" customWidth="1"/>
    <col min="6" max="6" width="9.42578125" customWidth="1"/>
    <col min="7" max="7" width="40" customWidth="1"/>
    <col min="8" max="8" width="40.7109375" customWidth="1"/>
    <col min="9" max="9" width="40.85546875" customWidth="1"/>
  </cols>
  <sheetData>
    <row r="1" spans="1:11">
      <c r="A1" s="33" t="s">
        <v>825</v>
      </c>
      <c r="B1" s="33" t="s">
        <v>569</v>
      </c>
      <c r="C1" s="33" t="s">
        <v>826</v>
      </c>
      <c r="D1" s="33" t="s">
        <v>827</v>
      </c>
      <c r="E1" s="33" t="s">
        <v>828</v>
      </c>
      <c r="F1" s="33" t="s">
        <v>829</v>
      </c>
      <c r="G1" s="33" t="s">
        <v>830</v>
      </c>
      <c r="H1" s="33" t="s">
        <v>831</v>
      </c>
      <c r="I1" s="33" t="s">
        <v>548</v>
      </c>
      <c r="J1" s="33" t="s">
        <v>92</v>
      </c>
      <c r="K1" s="33" t="s">
        <v>832</v>
      </c>
    </row>
    <row r="2" spans="1:11">
      <c r="A2" s="41" t="s">
        <v>833</v>
      </c>
      <c r="B2" t="s">
        <v>834</v>
      </c>
      <c r="C2" t="s">
        <v>835</v>
      </c>
      <c r="D2" t="s">
        <v>807</v>
      </c>
      <c r="E2">
        <v>3</v>
      </c>
      <c r="F2">
        <v>160</v>
      </c>
      <c r="G2" t="s">
        <v>836</v>
      </c>
      <c r="H2" t="s">
        <v>837</v>
      </c>
      <c r="I2" t="s">
        <v>838</v>
      </c>
      <c r="J2" s="41" t="s">
        <v>99</v>
      </c>
      <c r="K2" s="41">
        <v>3</v>
      </c>
    </row>
    <row r="3" spans="1:11">
      <c r="A3" s="41" t="s">
        <v>104</v>
      </c>
      <c r="B3" t="s">
        <v>551</v>
      </c>
      <c r="C3" t="s">
        <v>835</v>
      </c>
      <c r="D3" t="s">
        <v>807</v>
      </c>
      <c r="E3">
        <v>3</v>
      </c>
      <c r="F3">
        <v>185</v>
      </c>
      <c r="G3" s="50" t="s">
        <v>839</v>
      </c>
      <c r="J3" s="41" t="s">
        <v>104</v>
      </c>
      <c r="K3" s="41"/>
    </row>
    <row r="4" spans="1:11">
      <c r="A4" s="41" t="s">
        <v>840</v>
      </c>
      <c r="B4" t="s">
        <v>545</v>
      </c>
      <c r="C4" t="s">
        <v>835</v>
      </c>
      <c r="D4" t="s">
        <v>731</v>
      </c>
      <c r="E4">
        <v>9</v>
      </c>
      <c r="F4">
        <v>100</v>
      </c>
      <c r="G4" t="s">
        <v>841</v>
      </c>
      <c r="H4" t="s">
        <v>842</v>
      </c>
      <c r="J4" s="41" t="s">
        <v>108</v>
      </c>
      <c r="K4" s="41">
        <v>8</v>
      </c>
    </row>
    <row r="5" spans="1:11">
      <c r="A5" s="41" t="s">
        <v>843</v>
      </c>
      <c r="B5" t="s">
        <v>844</v>
      </c>
      <c r="C5" t="s">
        <v>835</v>
      </c>
      <c r="D5" t="s">
        <v>807</v>
      </c>
      <c r="E5">
        <v>3</v>
      </c>
      <c r="F5">
        <v>170</v>
      </c>
      <c r="G5" t="s">
        <v>845</v>
      </c>
      <c r="H5" t="s">
        <v>845</v>
      </c>
      <c r="J5" s="41" t="s">
        <v>111</v>
      </c>
      <c r="K5">
        <v>8</v>
      </c>
    </row>
    <row r="6" spans="1:11">
      <c r="A6" s="41" t="s">
        <v>846</v>
      </c>
      <c r="B6" t="s">
        <v>847</v>
      </c>
      <c r="C6" t="s">
        <v>848</v>
      </c>
      <c r="D6" t="s">
        <v>849</v>
      </c>
      <c r="E6">
        <v>5</v>
      </c>
      <c r="F6">
        <v>151</v>
      </c>
      <c r="G6" t="s">
        <v>850</v>
      </c>
      <c r="H6" t="s">
        <v>851</v>
      </c>
      <c r="I6" t="s">
        <v>852</v>
      </c>
      <c r="J6" s="41" t="s">
        <v>115</v>
      </c>
      <c r="K6" s="41">
        <v>5</v>
      </c>
    </row>
    <row r="7" spans="1:11">
      <c r="A7" s="261" t="s">
        <v>853</v>
      </c>
      <c r="B7" t="s">
        <v>854</v>
      </c>
      <c r="C7" t="s">
        <v>835</v>
      </c>
      <c r="D7" t="s">
        <v>855</v>
      </c>
      <c r="E7">
        <v>1</v>
      </c>
      <c r="F7">
        <v>150</v>
      </c>
      <c r="G7" t="s">
        <v>856</v>
      </c>
      <c r="H7" t="s">
        <v>857</v>
      </c>
      <c r="J7" s="41" t="s">
        <v>120</v>
      </c>
      <c r="K7" s="261">
        <v>6</v>
      </c>
    </row>
    <row r="8" spans="1:11">
      <c r="A8" s="261" t="s">
        <v>858</v>
      </c>
      <c r="B8" t="s">
        <v>859</v>
      </c>
      <c r="C8" t="s">
        <v>835</v>
      </c>
      <c r="D8" t="s">
        <v>860</v>
      </c>
      <c r="E8">
        <v>5</v>
      </c>
      <c r="F8">
        <v>155</v>
      </c>
      <c r="G8" t="s">
        <v>861</v>
      </c>
      <c r="H8" t="s">
        <v>862</v>
      </c>
      <c r="I8" t="s">
        <v>863</v>
      </c>
      <c r="J8" s="41" t="s">
        <v>133</v>
      </c>
      <c r="K8" s="261">
        <v>10</v>
      </c>
    </row>
    <row r="9" spans="1:11">
      <c r="A9" s="41" t="s">
        <v>864</v>
      </c>
      <c r="B9" t="s">
        <v>865</v>
      </c>
      <c r="C9" t="s">
        <v>848</v>
      </c>
      <c r="D9" t="s">
        <v>855</v>
      </c>
      <c r="E9">
        <v>7</v>
      </c>
      <c r="F9">
        <v>158</v>
      </c>
      <c r="G9" t="s">
        <v>866</v>
      </c>
      <c r="H9" t="s">
        <v>867</v>
      </c>
      <c r="J9" s="41" t="s">
        <v>142</v>
      </c>
      <c r="K9" s="41">
        <v>4</v>
      </c>
    </row>
    <row r="10" spans="1:11">
      <c r="A10" s="41" t="s">
        <v>868</v>
      </c>
      <c r="B10" t="s">
        <v>869</v>
      </c>
      <c r="C10" t="s">
        <v>835</v>
      </c>
      <c r="D10" t="s">
        <v>731</v>
      </c>
      <c r="E10">
        <v>9</v>
      </c>
      <c r="F10">
        <v>128</v>
      </c>
      <c r="G10" t="s">
        <v>870</v>
      </c>
      <c r="H10" t="s">
        <v>871</v>
      </c>
      <c r="J10" s="41" t="s">
        <v>142</v>
      </c>
      <c r="K10" s="41">
        <v>6</v>
      </c>
    </row>
    <row r="11" spans="1:11">
      <c r="A11" s="58" t="s">
        <v>872</v>
      </c>
      <c r="B11" t="s">
        <v>545</v>
      </c>
      <c r="C11" t="s">
        <v>848</v>
      </c>
      <c r="D11" t="s">
        <v>873</v>
      </c>
      <c r="E11">
        <v>11</v>
      </c>
      <c r="F11">
        <v>155</v>
      </c>
      <c r="G11" t="s">
        <v>836</v>
      </c>
      <c r="H11" t="s">
        <v>874</v>
      </c>
      <c r="J11" s="41" t="s">
        <v>232</v>
      </c>
      <c r="K11" s="41">
        <v>8</v>
      </c>
    </row>
    <row r="12" spans="1:11">
      <c r="A12" s="41" t="s">
        <v>875</v>
      </c>
      <c r="B12" t="s">
        <v>876</v>
      </c>
      <c r="C12" t="s">
        <v>835</v>
      </c>
      <c r="D12" t="s">
        <v>877</v>
      </c>
      <c r="E12">
        <v>6</v>
      </c>
      <c r="F12">
        <v>147</v>
      </c>
      <c r="G12" t="s">
        <v>878</v>
      </c>
      <c r="H12" t="s">
        <v>879</v>
      </c>
      <c r="I12" t="s">
        <v>880</v>
      </c>
      <c r="J12" s="41" t="s">
        <v>641</v>
      </c>
      <c r="K12" s="41">
        <v>8</v>
      </c>
    </row>
    <row r="13" spans="1:11">
      <c r="A13" s="41" t="s">
        <v>881</v>
      </c>
      <c r="B13" t="s">
        <v>847</v>
      </c>
      <c r="C13" t="s">
        <v>835</v>
      </c>
      <c r="D13" t="s">
        <v>882</v>
      </c>
      <c r="E13">
        <v>8</v>
      </c>
      <c r="F13">
        <v>161</v>
      </c>
      <c r="G13" t="s">
        <v>883</v>
      </c>
      <c r="H13" t="s">
        <v>884</v>
      </c>
      <c r="I13" t="s">
        <v>885</v>
      </c>
      <c r="J13" s="41" t="s">
        <v>641</v>
      </c>
      <c r="K13" s="41">
        <v>10</v>
      </c>
    </row>
    <row r="14" spans="1:11">
      <c r="A14" s="41" t="s">
        <v>886</v>
      </c>
      <c r="B14" t="s">
        <v>887</v>
      </c>
      <c r="C14" t="s">
        <v>835</v>
      </c>
      <c r="D14" t="s">
        <v>888</v>
      </c>
      <c r="E14">
        <v>2</v>
      </c>
      <c r="F14">
        <v>145</v>
      </c>
      <c r="G14" t="s">
        <v>856</v>
      </c>
      <c r="H14" t="s">
        <v>889</v>
      </c>
      <c r="I14" t="s">
        <v>890</v>
      </c>
      <c r="J14" s="41" t="s">
        <v>641</v>
      </c>
      <c r="K14" s="41">
        <v>12</v>
      </c>
    </row>
    <row r="15" spans="1:11">
      <c r="A15" s="41" t="s">
        <v>891</v>
      </c>
      <c r="B15" t="s">
        <v>892</v>
      </c>
      <c r="C15" t="s">
        <v>848</v>
      </c>
      <c r="D15" t="s">
        <v>557</v>
      </c>
      <c r="E15">
        <v>14</v>
      </c>
      <c r="F15">
        <v>138</v>
      </c>
      <c r="G15" t="s">
        <v>893</v>
      </c>
      <c r="H15" t="s">
        <v>894</v>
      </c>
      <c r="I15" t="s">
        <v>895</v>
      </c>
      <c r="J15" s="41" t="s">
        <v>248</v>
      </c>
      <c r="K15" s="41">
        <v>4</v>
      </c>
    </row>
    <row r="16" spans="1:11">
      <c r="A16" s="41" t="s">
        <v>896</v>
      </c>
      <c r="B16" t="s">
        <v>545</v>
      </c>
      <c r="C16" t="s">
        <v>835</v>
      </c>
      <c r="D16" t="s">
        <v>557</v>
      </c>
      <c r="E16">
        <v>12</v>
      </c>
      <c r="F16">
        <v>125</v>
      </c>
      <c r="G16" t="s">
        <v>856</v>
      </c>
      <c r="H16" t="s">
        <v>897</v>
      </c>
      <c r="J16" s="41" t="s">
        <v>378</v>
      </c>
      <c r="K16" s="41">
        <v>6</v>
      </c>
    </row>
    <row r="17" spans="1:11">
      <c r="A17" s="41" t="s">
        <v>898</v>
      </c>
      <c r="B17" t="s">
        <v>899</v>
      </c>
      <c r="C17" t="s">
        <v>848</v>
      </c>
      <c r="D17" t="s">
        <v>900</v>
      </c>
      <c r="E17">
        <v>4</v>
      </c>
      <c r="F17">
        <v>159</v>
      </c>
      <c r="G17" s="41" t="s">
        <v>901</v>
      </c>
      <c r="H17" t="s">
        <v>902</v>
      </c>
      <c r="J17" s="41" t="s">
        <v>378</v>
      </c>
      <c r="K17" s="41">
        <v>7</v>
      </c>
    </row>
    <row r="18" spans="1:11">
      <c r="A18" s="41" t="s">
        <v>903</v>
      </c>
      <c r="B18" t="s">
        <v>859</v>
      </c>
      <c r="C18" t="s">
        <v>835</v>
      </c>
      <c r="D18" t="s">
        <v>888</v>
      </c>
      <c r="E18">
        <v>17</v>
      </c>
      <c r="F18">
        <v>150</v>
      </c>
      <c r="G18" t="s">
        <v>904</v>
      </c>
      <c r="H18" t="s">
        <v>905</v>
      </c>
      <c r="I18" t="s">
        <v>906</v>
      </c>
      <c r="J18" s="41" t="s">
        <v>378</v>
      </c>
      <c r="K18" s="41">
        <v>12</v>
      </c>
    </row>
    <row r="19" spans="1:11">
      <c r="A19" s="41" t="s">
        <v>907</v>
      </c>
      <c r="B19" t="s">
        <v>908</v>
      </c>
      <c r="C19" t="s">
        <v>835</v>
      </c>
      <c r="D19" t="s">
        <v>809</v>
      </c>
      <c r="E19">
        <v>15</v>
      </c>
      <c r="F19">
        <v>139</v>
      </c>
      <c r="G19" t="s">
        <v>861</v>
      </c>
      <c r="H19" t="s">
        <v>905</v>
      </c>
      <c r="I19" t="s">
        <v>909</v>
      </c>
      <c r="J19" s="41" t="s">
        <v>263</v>
      </c>
      <c r="K19" s="41">
        <v>6</v>
      </c>
    </row>
    <row r="20" spans="1:11">
      <c r="A20" s="41" t="s">
        <v>910</v>
      </c>
      <c r="B20" t="s">
        <v>847</v>
      </c>
      <c r="C20" t="s">
        <v>835</v>
      </c>
      <c r="D20" t="s">
        <v>911</v>
      </c>
      <c r="E20">
        <v>3</v>
      </c>
      <c r="F20">
        <v>152</v>
      </c>
      <c r="G20" t="s">
        <v>912</v>
      </c>
      <c r="H20" t="s">
        <v>913</v>
      </c>
      <c r="I20" t="s">
        <v>914</v>
      </c>
      <c r="J20" s="41" t="s">
        <v>263</v>
      </c>
      <c r="K20" s="41">
        <v>10</v>
      </c>
    </row>
    <row r="21" spans="1:11">
      <c r="A21" s="262" t="s">
        <v>915</v>
      </c>
      <c r="B21" s="50" t="s">
        <v>854</v>
      </c>
      <c r="C21" s="50" t="s">
        <v>848</v>
      </c>
      <c r="D21" s="50" t="s">
        <v>916</v>
      </c>
      <c r="E21">
        <v>3</v>
      </c>
      <c r="J21" s="58" t="s">
        <v>402</v>
      </c>
      <c r="K21" s="41">
        <v>8</v>
      </c>
    </row>
    <row r="22" spans="1:11">
      <c r="A22" s="58" t="s">
        <v>917</v>
      </c>
      <c r="B22" t="s">
        <v>918</v>
      </c>
      <c r="C22" t="s">
        <v>848</v>
      </c>
      <c r="D22" t="s">
        <v>919</v>
      </c>
      <c r="E22">
        <v>4</v>
      </c>
      <c r="F22">
        <v>132</v>
      </c>
      <c r="G22" t="s">
        <v>870</v>
      </c>
      <c r="J22" s="41" t="s">
        <v>458</v>
      </c>
      <c r="K22" s="41">
        <v>3</v>
      </c>
    </row>
    <row r="23" spans="1:11">
      <c r="A23" s="41" t="s">
        <v>920</v>
      </c>
      <c r="B23" t="s">
        <v>551</v>
      </c>
      <c r="C23" t="s">
        <v>848</v>
      </c>
      <c r="D23" t="s">
        <v>921</v>
      </c>
      <c r="E23">
        <v>2</v>
      </c>
      <c r="F23">
        <v>147</v>
      </c>
      <c r="G23" t="s">
        <v>922</v>
      </c>
      <c r="H23" t="s">
        <v>874</v>
      </c>
      <c r="I23" t="s">
        <v>923</v>
      </c>
      <c r="J23" s="41" t="s">
        <v>467</v>
      </c>
      <c r="K23">
        <v>3</v>
      </c>
    </row>
    <row r="24" spans="1:11">
      <c r="A24" s="58" t="s">
        <v>924</v>
      </c>
      <c r="B24" t="s">
        <v>859</v>
      </c>
      <c r="C24" t="s">
        <v>835</v>
      </c>
      <c r="D24" t="s">
        <v>809</v>
      </c>
      <c r="E24">
        <v>8</v>
      </c>
      <c r="F24">
        <v>153</v>
      </c>
      <c r="G24" t="s">
        <v>861</v>
      </c>
      <c r="H24" t="s">
        <v>925</v>
      </c>
      <c r="I24" t="s">
        <v>926</v>
      </c>
      <c r="J24" s="41" t="s">
        <v>482</v>
      </c>
      <c r="K24">
        <v>5</v>
      </c>
    </row>
    <row r="25" spans="1:11">
      <c r="A25" s="58" t="s">
        <v>927</v>
      </c>
      <c r="B25" t="s">
        <v>928</v>
      </c>
      <c r="C25" t="s">
        <v>848</v>
      </c>
      <c r="D25" t="s">
        <v>929</v>
      </c>
      <c r="E25">
        <v>12</v>
      </c>
      <c r="F25">
        <v>125</v>
      </c>
      <c r="G25" t="s">
        <v>870</v>
      </c>
      <c r="J25" s="41" t="s">
        <v>484</v>
      </c>
      <c r="K25">
        <v>7</v>
      </c>
    </row>
    <row r="26" spans="1:11">
      <c r="A26" s="58" t="s">
        <v>930</v>
      </c>
      <c r="B26" s="50" t="s">
        <v>550</v>
      </c>
      <c r="C26" s="50" t="s">
        <v>835</v>
      </c>
      <c r="D26" s="50" t="s">
        <v>931</v>
      </c>
      <c r="E26">
        <v>7</v>
      </c>
      <c r="F26">
        <v>172</v>
      </c>
      <c r="J26" s="58" t="s">
        <v>514</v>
      </c>
      <c r="K26">
        <v>5</v>
      </c>
    </row>
    <row r="27" spans="1:11">
      <c r="A27" s="58" t="s">
        <v>932</v>
      </c>
      <c r="B27" s="50" t="s">
        <v>933</v>
      </c>
      <c r="C27" s="50" t="s">
        <v>835</v>
      </c>
      <c r="D27" s="50" t="s">
        <v>934</v>
      </c>
      <c r="E27">
        <v>3</v>
      </c>
      <c r="F27">
        <v>160</v>
      </c>
      <c r="H27" s="50" t="s">
        <v>935</v>
      </c>
      <c r="I27" s="50" t="s">
        <v>936</v>
      </c>
      <c r="J27" s="58" t="s">
        <v>514</v>
      </c>
      <c r="K27">
        <v>7</v>
      </c>
    </row>
    <row r="28" spans="1:11">
      <c r="A28" s="58" t="s">
        <v>937</v>
      </c>
      <c r="B28" s="50" t="s">
        <v>794</v>
      </c>
      <c r="C28" s="50" t="s">
        <v>848</v>
      </c>
      <c r="D28" s="50" t="s">
        <v>809</v>
      </c>
      <c r="E28">
        <v>8</v>
      </c>
      <c r="F28">
        <v>145</v>
      </c>
      <c r="G28" t="s">
        <v>893</v>
      </c>
      <c r="J28" s="41" t="s">
        <v>514</v>
      </c>
      <c r="K28">
        <v>11</v>
      </c>
    </row>
    <row r="29" spans="1:11">
      <c r="A29" s="58" t="s">
        <v>938</v>
      </c>
      <c r="B29" s="50" t="s">
        <v>551</v>
      </c>
      <c r="C29" s="50" t="s">
        <v>848</v>
      </c>
      <c r="D29" s="50" t="s">
        <v>939</v>
      </c>
      <c r="E29">
        <v>3</v>
      </c>
      <c r="F29">
        <v>127</v>
      </c>
      <c r="G29" t="s">
        <v>893</v>
      </c>
      <c r="I29" t="s">
        <v>940</v>
      </c>
      <c r="J29" s="41" t="s">
        <v>533</v>
      </c>
      <c r="K29">
        <v>6</v>
      </c>
    </row>
    <row r="30" spans="1:11">
      <c r="A30" s="58" t="s">
        <v>941</v>
      </c>
      <c r="B30" s="50" t="s">
        <v>545</v>
      </c>
      <c r="C30" s="50" t="s">
        <v>835</v>
      </c>
      <c r="D30" s="50" t="s">
        <v>942</v>
      </c>
      <c r="E30">
        <v>9</v>
      </c>
      <c r="F30">
        <v>130</v>
      </c>
      <c r="G30" t="s">
        <v>922</v>
      </c>
      <c r="H30" t="s">
        <v>943</v>
      </c>
      <c r="I30" t="s">
        <v>940</v>
      </c>
      <c r="J30" s="41" t="s">
        <v>593</v>
      </c>
      <c r="K30">
        <v>5</v>
      </c>
    </row>
    <row r="31" spans="1:11">
      <c r="A31" s="58" t="s">
        <v>944</v>
      </c>
      <c r="B31" s="50" t="s">
        <v>865</v>
      </c>
      <c r="C31" s="50" t="s">
        <v>848</v>
      </c>
      <c r="D31" s="50" t="s">
        <v>945</v>
      </c>
      <c r="E31">
        <v>3</v>
      </c>
      <c r="F31">
        <v>125</v>
      </c>
      <c r="G31" t="s">
        <v>856</v>
      </c>
      <c r="I31" t="s">
        <v>946</v>
      </c>
      <c r="J31" s="41" t="s">
        <v>593</v>
      </c>
      <c r="K31">
        <v>6</v>
      </c>
    </row>
    <row r="32" spans="1:11">
      <c r="A32" s="58" t="s">
        <v>947</v>
      </c>
      <c r="B32" s="50" t="s">
        <v>545</v>
      </c>
      <c r="C32" s="50" t="s">
        <v>835</v>
      </c>
      <c r="D32" s="50" t="s">
        <v>809</v>
      </c>
      <c r="E32">
        <v>8</v>
      </c>
      <c r="F32">
        <v>140</v>
      </c>
      <c r="G32" t="s">
        <v>922</v>
      </c>
      <c r="H32" t="s">
        <v>948</v>
      </c>
      <c r="J32" s="41" t="s">
        <v>607</v>
      </c>
      <c r="K32">
        <v>4</v>
      </c>
    </row>
    <row r="33" spans="1:11">
      <c r="A33" s="58" t="s">
        <v>949</v>
      </c>
      <c r="B33" s="50" t="s">
        <v>551</v>
      </c>
      <c r="C33" s="50" t="s">
        <v>848</v>
      </c>
      <c r="D33" s="50" t="s">
        <v>950</v>
      </c>
      <c r="E33">
        <v>8</v>
      </c>
      <c r="F33">
        <v>150</v>
      </c>
      <c r="G33" t="s">
        <v>922</v>
      </c>
      <c r="I33" t="s">
        <v>951</v>
      </c>
      <c r="J33" s="41" t="s">
        <v>607</v>
      </c>
      <c r="K33">
        <v>5</v>
      </c>
    </row>
    <row r="34" spans="1:11">
      <c r="A34" s="58" t="s">
        <v>952</v>
      </c>
      <c r="B34" s="50" t="s">
        <v>794</v>
      </c>
      <c r="C34" s="50" t="s">
        <v>848</v>
      </c>
      <c r="D34" s="50" t="s">
        <v>809</v>
      </c>
      <c r="E34">
        <v>4</v>
      </c>
      <c r="F34">
        <v>175</v>
      </c>
      <c r="G34" t="s">
        <v>836</v>
      </c>
      <c r="J34" s="41" t="s">
        <v>729</v>
      </c>
      <c r="K34">
        <v>4</v>
      </c>
    </row>
    <row r="35" spans="1:11">
      <c r="A35" s="58" t="s">
        <v>953</v>
      </c>
      <c r="B35" s="50" t="s">
        <v>551</v>
      </c>
      <c r="C35" s="50" t="s">
        <v>848</v>
      </c>
      <c r="D35" s="50" t="s">
        <v>954</v>
      </c>
      <c r="F35">
        <v>146</v>
      </c>
      <c r="G35" s="50" t="s">
        <v>922</v>
      </c>
      <c r="J35" s="58" t="s">
        <v>729</v>
      </c>
      <c r="K35">
        <v>5</v>
      </c>
    </row>
    <row r="36" spans="1:11">
      <c r="A36" s="58" t="s">
        <v>955</v>
      </c>
      <c r="B36" s="50" t="s">
        <v>859</v>
      </c>
      <c r="C36" s="50" t="s">
        <v>848</v>
      </c>
      <c r="D36" s="50" t="s">
        <v>976</v>
      </c>
      <c r="E36">
        <v>7</v>
      </c>
      <c r="F36">
        <v>85</v>
      </c>
      <c r="G36" t="s">
        <v>956</v>
      </c>
      <c r="H36" t="s">
        <v>957</v>
      </c>
      <c r="I36" t="s">
        <v>958</v>
      </c>
      <c r="J36" s="41" t="s">
        <v>785</v>
      </c>
      <c r="K36">
        <v>9</v>
      </c>
    </row>
    <row r="37" spans="1:11">
      <c r="A37" s="58" t="s">
        <v>959</v>
      </c>
      <c r="B37" s="50" t="s">
        <v>545</v>
      </c>
      <c r="C37" s="50" t="s">
        <v>835</v>
      </c>
      <c r="D37" s="50" t="s">
        <v>960</v>
      </c>
      <c r="E37">
        <v>17</v>
      </c>
      <c r="F37">
        <v>144</v>
      </c>
      <c r="G37" t="s">
        <v>961</v>
      </c>
      <c r="H37" t="s">
        <v>962</v>
      </c>
      <c r="I37" t="s">
        <v>958</v>
      </c>
      <c r="J37" s="41" t="s">
        <v>792</v>
      </c>
      <c r="K37">
        <v>11</v>
      </c>
    </row>
  </sheetData>
  <pageMargins left="0.7" right="0.7" top="0.75" bottom="0.75" header="0.3" footer="0.3"/>
  <pageSetup scale="56" orientation="landscape" r:id="rId1"/>
  <headerFooter>
    <oddHeader>&amp;C&amp;"Arial,Bold"&amp;14DGA Hole In One History</oddHeader>
    <oddFooter>&amp;L&amp;F&amp;R&amp;D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3"/>
  <sheetViews>
    <sheetView workbookViewId="0">
      <selection activeCell="L48" sqref="L48"/>
    </sheetView>
  </sheetViews>
  <sheetFormatPr defaultRowHeight="12.75"/>
  <cols>
    <col min="1" max="1" width="12.28515625" customWidth="1"/>
    <col min="2" max="2" width="9.140625" style="43"/>
    <col min="3" max="3" width="11.5703125" style="107" customWidth="1"/>
    <col min="4" max="4" width="2.42578125" style="107" customWidth="1"/>
    <col min="6" max="6" width="13.5703125" customWidth="1"/>
    <col min="7" max="7" width="2.140625" customWidth="1"/>
    <col min="8" max="8" width="9.140625" style="133"/>
    <col min="9" max="9" width="13.5703125" style="133" customWidth="1"/>
    <col min="10" max="10" width="2.140625" style="133" customWidth="1"/>
    <col min="11" max="11" width="9.140625" style="107"/>
    <col min="12" max="12" width="12.140625" style="107" customWidth="1"/>
    <col min="13" max="13" width="2.42578125" customWidth="1"/>
  </cols>
  <sheetData>
    <row r="1" spans="1:16" ht="25.5">
      <c r="A1" s="126" t="s">
        <v>629</v>
      </c>
      <c r="B1" s="127" t="s">
        <v>630</v>
      </c>
      <c r="C1" s="128" t="s">
        <v>631</v>
      </c>
      <c r="D1" s="128"/>
      <c r="E1" s="128" t="s">
        <v>644</v>
      </c>
      <c r="F1" s="129" t="s">
        <v>645</v>
      </c>
      <c r="G1" s="129"/>
      <c r="H1" s="130" t="s">
        <v>655</v>
      </c>
      <c r="I1" s="130" t="s">
        <v>656</v>
      </c>
      <c r="J1" s="131"/>
      <c r="K1" s="131" t="s">
        <v>663</v>
      </c>
      <c r="L1" s="130" t="s">
        <v>664</v>
      </c>
      <c r="M1" s="109"/>
      <c r="N1" s="130" t="s">
        <v>670</v>
      </c>
    </row>
    <row r="2" spans="1:16">
      <c r="A2" s="109"/>
      <c r="B2" s="110"/>
      <c r="C2" s="111"/>
      <c r="D2" s="111"/>
      <c r="E2" s="111"/>
      <c r="F2" s="124"/>
      <c r="G2" s="124"/>
      <c r="H2" s="111"/>
      <c r="I2" s="111"/>
      <c r="J2" s="132"/>
      <c r="K2" s="132"/>
      <c r="L2" s="111"/>
      <c r="M2" s="109"/>
      <c r="N2" s="109"/>
    </row>
    <row r="3" spans="1:16">
      <c r="A3" s="112" t="s">
        <v>42</v>
      </c>
      <c r="B3" s="110">
        <v>0</v>
      </c>
      <c r="C3" s="111"/>
      <c r="D3" s="111"/>
      <c r="E3" s="111">
        <v>0</v>
      </c>
      <c r="F3" s="124"/>
      <c r="G3" s="124"/>
      <c r="H3" s="111">
        <v>0</v>
      </c>
      <c r="I3" s="111"/>
      <c r="J3" s="132"/>
      <c r="K3" s="132">
        <v>0</v>
      </c>
      <c r="L3" s="111"/>
      <c r="M3" s="109"/>
      <c r="N3" s="110">
        <f>B3+E3+H3+K3</f>
        <v>0</v>
      </c>
    </row>
    <row r="4" spans="1:16" ht="51">
      <c r="A4" s="113" t="s">
        <v>0</v>
      </c>
      <c r="B4" s="110">
        <v>2</v>
      </c>
      <c r="C4" s="114" t="s">
        <v>632</v>
      </c>
      <c r="D4" s="114"/>
      <c r="E4" s="111">
        <v>2</v>
      </c>
      <c r="F4" s="125" t="s">
        <v>982</v>
      </c>
      <c r="G4" s="124"/>
      <c r="H4" s="111">
        <v>8</v>
      </c>
      <c r="I4" s="123" t="s">
        <v>983</v>
      </c>
      <c r="J4" s="134"/>
      <c r="K4" s="132">
        <v>0</v>
      </c>
      <c r="L4" s="111"/>
      <c r="M4" s="109"/>
      <c r="N4" s="110">
        <f t="shared" ref="N4:N69" si="0">B4+E4+H4+K4</f>
        <v>12</v>
      </c>
      <c r="P4" s="75"/>
    </row>
    <row r="5" spans="1:16">
      <c r="A5" s="112" t="s">
        <v>43</v>
      </c>
      <c r="B5" s="110">
        <v>0</v>
      </c>
      <c r="C5" s="111"/>
      <c r="D5" s="111"/>
      <c r="E5" s="111">
        <v>1</v>
      </c>
      <c r="F5" s="125" t="s">
        <v>108</v>
      </c>
      <c r="G5" s="125"/>
      <c r="H5" s="111">
        <v>0</v>
      </c>
      <c r="I5" s="111"/>
      <c r="J5" s="132"/>
      <c r="K5" s="132">
        <v>1</v>
      </c>
      <c r="L5" s="123" t="s">
        <v>166</v>
      </c>
      <c r="M5" s="109"/>
      <c r="N5" s="110">
        <f t="shared" si="0"/>
        <v>2</v>
      </c>
      <c r="P5" s="75"/>
    </row>
    <row r="6" spans="1:16">
      <c r="A6" s="109" t="s">
        <v>1</v>
      </c>
      <c r="B6" s="110">
        <v>1</v>
      </c>
      <c r="C6" s="114" t="s">
        <v>402</v>
      </c>
      <c r="D6" s="114"/>
      <c r="E6" s="111">
        <v>0</v>
      </c>
      <c r="F6" s="124"/>
      <c r="G6" s="124"/>
      <c r="H6" s="111">
        <v>1</v>
      </c>
      <c r="I6" s="123" t="s">
        <v>369</v>
      </c>
      <c r="J6" s="134"/>
      <c r="K6" s="132">
        <v>0</v>
      </c>
      <c r="L6" s="111"/>
      <c r="M6" s="109"/>
      <c r="N6" s="110">
        <f t="shared" si="0"/>
        <v>2</v>
      </c>
      <c r="P6" s="75"/>
    </row>
    <row r="7" spans="1:16">
      <c r="A7" s="112" t="s">
        <v>44</v>
      </c>
      <c r="B7" s="110">
        <v>0</v>
      </c>
      <c r="C7" s="111"/>
      <c r="D7" s="111"/>
      <c r="E7" s="111">
        <v>0</v>
      </c>
      <c r="F7" s="124"/>
      <c r="G7" s="124"/>
      <c r="H7" s="111">
        <v>0</v>
      </c>
      <c r="I7" s="111"/>
      <c r="J7" s="132"/>
      <c r="K7" s="132">
        <v>1</v>
      </c>
      <c r="L7" s="123" t="s">
        <v>117</v>
      </c>
      <c r="M7" s="109"/>
      <c r="N7" s="110">
        <f t="shared" si="0"/>
        <v>1</v>
      </c>
      <c r="P7" s="75"/>
    </row>
    <row r="8" spans="1:16">
      <c r="A8" s="112" t="s">
        <v>45</v>
      </c>
      <c r="B8" s="110">
        <v>0</v>
      </c>
      <c r="C8" s="111"/>
      <c r="D8" s="111"/>
      <c r="E8" s="111">
        <v>0</v>
      </c>
      <c r="F8" s="124"/>
      <c r="G8" s="124"/>
      <c r="H8" s="111">
        <v>0</v>
      </c>
      <c r="I8" s="111"/>
      <c r="J8" s="132"/>
      <c r="K8" s="132">
        <v>0</v>
      </c>
      <c r="L8" s="111"/>
      <c r="M8" s="109"/>
      <c r="N8" s="110">
        <f t="shared" si="0"/>
        <v>0</v>
      </c>
      <c r="P8" s="75"/>
    </row>
    <row r="9" spans="1:16">
      <c r="A9" s="112" t="s">
        <v>46</v>
      </c>
      <c r="B9" s="110">
        <v>0</v>
      </c>
      <c r="C9" s="111"/>
      <c r="D9" s="111"/>
      <c r="E9" s="111">
        <v>0</v>
      </c>
      <c r="F9" s="124"/>
      <c r="G9" s="124"/>
      <c r="H9" s="111">
        <v>0</v>
      </c>
      <c r="I9" s="111"/>
      <c r="J9" s="132"/>
      <c r="K9" s="132">
        <v>0</v>
      </c>
      <c r="L9" s="111"/>
      <c r="M9" s="109"/>
      <c r="N9" s="110">
        <f t="shared" si="0"/>
        <v>0</v>
      </c>
      <c r="P9" s="75"/>
    </row>
    <row r="10" spans="1:16">
      <c r="A10" s="112" t="s">
        <v>256</v>
      </c>
      <c r="B10" s="110">
        <v>0</v>
      </c>
      <c r="C10" s="111"/>
      <c r="D10" s="111"/>
      <c r="E10" s="111">
        <v>0</v>
      </c>
      <c r="F10" s="124"/>
      <c r="G10" s="124"/>
      <c r="H10" s="111">
        <v>0</v>
      </c>
      <c r="I10" s="111"/>
      <c r="J10" s="132"/>
      <c r="K10" s="132">
        <v>0</v>
      </c>
      <c r="L10" s="111"/>
      <c r="M10" s="109"/>
      <c r="N10" s="110">
        <f t="shared" si="0"/>
        <v>0</v>
      </c>
      <c r="P10" s="75"/>
    </row>
    <row r="11" spans="1:16">
      <c r="A11" s="112" t="s">
        <v>47</v>
      </c>
      <c r="B11" s="110">
        <v>0</v>
      </c>
      <c r="C11" s="111"/>
      <c r="D11" s="111"/>
      <c r="E11" s="111">
        <v>0</v>
      </c>
      <c r="F11" s="124"/>
      <c r="G11" s="124"/>
      <c r="H11" s="111">
        <v>0</v>
      </c>
      <c r="I11" s="111"/>
      <c r="J11" s="132"/>
      <c r="K11" s="132">
        <v>0</v>
      </c>
      <c r="L11" s="111"/>
      <c r="M11" s="109"/>
      <c r="N11" s="110">
        <f t="shared" si="0"/>
        <v>0</v>
      </c>
      <c r="P11" s="75"/>
    </row>
    <row r="12" spans="1:16">
      <c r="A12" s="112" t="s">
        <v>48</v>
      </c>
      <c r="B12" s="110">
        <v>0</v>
      </c>
      <c r="C12" s="111"/>
      <c r="D12" s="111"/>
      <c r="E12" s="111">
        <v>0</v>
      </c>
      <c r="F12" s="124"/>
      <c r="G12" s="124"/>
      <c r="H12" s="111">
        <v>0</v>
      </c>
      <c r="I12" s="111"/>
      <c r="J12" s="132"/>
      <c r="K12" s="132">
        <v>0</v>
      </c>
      <c r="L12" s="111"/>
      <c r="M12" s="109"/>
      <c r="N12" s="110">
        <f t="shared" si="0"/>
        <v>0</v>
      </c>
      <c r="P12" s="75"/>
    </row>
    <row r="13" spans="1:16">
      <c r="A13" s="109" t="s">
        <v>2</v>
      </c>
      <c r="B13" s="110">
        <v>0</v>
      </c>
      <c r="C13" s="111"/>
      <c r="D13" s="111"/>
      <c r="E13" s="111">
        <v>1</v>
      </c>
      <c r="F13" s="124">
        <v>2014</v>
      </c>
      <c r="G13" s="124"/>
      <c r="H13" s="111">
        <v>0</v>
      </c>
      <c r="I13" s="111"/>
      <c r="J13" s="132"/>
      <c r="K13" s="132">
        <v>1</v>
      </c>
      <c r="L13" s="123" t="s">
        <v>514</v>
      </c>
      <c r="M13" s="109"/>
      <c r="N13" s="110">
        <f t="shared" si="0"/>
        <v>2</v>
      </c>
      <c r="P13" s="75"/>
    </row>
    <row r="14" spans="1:16">
      <c r="A14" s="115" t="s">
        <v>509</v>
      </c>
      <c r="B14" s="110">
        <v>0</v>
      </c>
      <c r="C14" s="111"/>
      <c r="D14" s="111"/>
      <c r="E14" s="111">
        <v>0</v>
      </c>
      <c r="F14" s="124"/>
      <c r="G14" s="124"/>
      <c r="H14" s="111">
        <v>0</v>
      </c>
      <c r="I14" s="111"/>
      <c r="J14" s="132"/>
      <c r="K14" s="132">
        <v>0</v>
      </c>
      <c r="L14" s="111"/>
      <c r="M14" s="109"/>
      <c r="N14" s="110">
        <f t="shared" si="0"/>
        <v>0</v>
      </c>
      <c r="P14" s="75"/>
    </row>
    <row r="15" spans="1:16" ht="25.5">
      <c r="A15" s="116" t="s">
        <v>513</v>
      </c>
      <c r="B15" s="110">
        <v>1</v>
      </c>
      <c r="C15" s="111">
        <v>2014</v>
      </c>
      <c r="D15" s="111"/>
      <c r="E15" s="111">
        <v>0</v>
      </c>
      <c r="F15" s="124"/>
      <c r="G15" s="124"/>
      <c r="H15" s="111">
        <v>0</v>
      </c>
      <c r="I15" s="111"/>
      <c r="J15" s="132"/>
      <c r="K15" s="132">
        <v>3</v>
      </c>
      <c r="L15" s="123" t="s">
        <v>676</v>
      </c>
      <c r="M15" s="109"/>
      <c r="N15" s="110">
        <f t="shared" si="0"/>
        <v>4</v>
      </c>
      <c r="P15" s="75"/>
    </row>
    <row r="16" spans="1:16">
      <c r="A16" s="112" t="s">
        <v>49</v>
      </c>
      <c r="B16" s="110">
        <v>1</v>
      </c>
      <c r="C16" s="114" t="s">
        <v>171</v>
      </c>
      <c r="D16" s="114"/>
      <c r="E16" s="111">
        <v>0</v>
      </c>
      <c r="F16" s="124"/>
      <c r="G16" s="124"/>
      <c r="H16" s="111">
        <v>0</v>
      </c>
      <c r="I16" s="111"/>
      <c r="J16" s="132"/>
      <c r="K16" s="132">
        <v>0</v>
      </c>
      <c r="L16" s="111"/>
      <c r="M16" s="109"/>
      <c r="N16" s="110">
        <f t="shared" si="0"/>
        <v>1</v>
      </c>
      <c r="P16" s="75"/>
    </row>
    <row r="17" spans="1:16" ht="25.5">
      <c r="A17" s="109" t="s">
        <v>4</v>
      </c>
      <c r="B17" s="110">
        <v>2</v>
      </c>
      <c r="C17" s="114" t="s">
        <v>633</v>
      </c>
      <c r="D17" s="114"/>
      <c r="E17" s="111">
        <v>4</v>
      </c>
      <c r="F17" s="125" t="s">
        <v>646</v>
      </c>
      <c r="G17" s="125"/>
      <c r="H17" s="111">
        <v>3</v>
      </c>
      <c r="I17" s="123" t="s">
        <v>662</v>
      </c>
      <c r="J17" s="134"/>
      <c r="K17" s="132">
        <v>1</v>
      </c>
      <c r="L17" s="123" t="s">
        <v>621</v>
      </c>
      <c r="M17" s="109"/>
      <c r="N17" s="110">
        <f t="shared" si="0"/>
        <v>10</v>
      </c>
      <c r="P17" s="75"/>
    </row>
    <row r="18" spans="1:16">
      <c r="A18" s="112" t="s">
        <v>50</v>
      </c>
      <c r="B18" s="110">
        <v>0</v>
      </c>
      <c r="C18" s="111"/>
      <c r="D18" s="111"/>
      <c r="E18" s="111">
        <v>0</v>
      </c>
      <c r="F18" s="124"/>
      <c r="G18" s="124"/>
      <c r="H18" s="111">
        <v>0</v>
      </c>
      <c r="I18" s="111"/>
      <c r="J18" s="132"/>
      <c r="K18" s="132">
        <v>1</v>
      </c>
      <c r="L18" s="123" t="s">
        <v>667</v>
      </c>
      <c r="M18" s="109"/>
      <c r="N18" s="110">
        <f t="shared" si="0"/>
        <v>1</v>
      </c>
      <c r="P18" s="75"/>
    </row>
    <row r="19" spans="1:16">
      <c r="A19" s="118" t="s">
        <v>566</v>
      </c>
      <c r="B19" s="110">
        <v>0</v>
      </c>
      <c r="C19" s="111"/>
      <c r="D19" s="111"/>
      <c r="E19" s="111">
        <v>0</v>
      </c>
      <c r="F19" s="124"/>
      <c r="G19" s="124"/>
      <c r="H19" s="111">
        <v>0</v>
      </c>
      <c r="I19" s="111"/>
      <c r="J19" s="132"/>
      <c r="K19" s="132">
        <v>0</v>
      </c>
      <c r="L19" s="123"/>
      <c r="M19" s="109"/>
      <c r="N19" s="110"/>
      <c r="P19" s="75"/>
    </row>
    <row r="20" spans="1:16">
      <c r="A20" s="112" t="s">
        <v>51</v>
      </c>
      <c r="B20" s="110">
        <v>1</v>
      </c>
      <c r="C20" s="114" t="s">
        <v>133</v>
      </c>
      <c r="D20" s="114"/>
      <c r="E20" s="111">
        <v>1</v>
      </c>
      <c r="F20" s="125" t="s">
        <v>126</v>
      </c>
      <c r="G20" s="125"/>
      <c r="H20" s="111">
        <v>0</v>
      </c>
      <c r="I20" s="111"/>
      <c r="J20" s="132"/>
      <c r="K20" s="132">
        <v>0</v>
      </c>
      <c r="L20" s="111"/>
      <c r="M20" s="109"/>
      <c r="N20" s="110">
        <f t="shared" si="0"/>
        <v>2</v>
      </c>
      <c r="P20" s="75"/>
    </row>
    <row r="21" spans="1:16">
      <c r="A21" s="117" t="s">
        <v>531</v>
      </c>
      <c r="B21" s="110">
        <v>0</v>
      </c>
      <c r="C21" s="111"/>
      <c r="D21" s="111"/>
      <c r="E21" s="111">
        <v>0</v>
      </c>
      <c r="F21" s="124"/>
      <c r="G21" s="124"/>
      <c r="H21" s="111">
        <v>0</v>
      </c>
      <c r="I21" s="111"/>
      <c r="J21" s="132"/>
      <c r="K21" s="132">
        <v>0</v>
      </c>
      <c r="L21" s="111"/>
      <c r="M21" s="109"/>
      <c r="N21" s="110">
        <f t="shared" si="0"/>
        <v>0</v>
      </c>
      <c r="P21" s="75"/>
    </row>
    <row r="22" spans="1:16">
      <c r="A22" s="109" t="s">
        <v>518</v>
      </c>
      <c r="B22" s="110">
        <v>0</v>
      </c>
      <c r="C22" s="111"/>
      <c r="D22" s="111"/>
      <c r="E22" s="111">
        <v>0</v>
      </c>
      <c r="F22" s="124"/>
      <c r="G22" s="124"/>
      <c r="H22" s="111">
        <v>0</v>
      </c>
      <c r="I22" s="111"/>
      <c r="J22" s="132"/>
      <c r="K22" s="132">
        <v>0</v>
      </c>
      <c r="L22" s="111"/>
      <c r="M22" s="109"/>
      <c r="N22" s="110">
        <f t="shared" si="0"/>
        <v>0</v>
      </c>
      <c r="P22" s="75"/>
    </row>
    <row r="23" spans="1:16">
      <c r="A23" s="109" t="s">
        <v>5</v>
      </c>
      <c r="B23" s="110">
        <v>0</v>
      </c>
      <c r="C23" s="111"/>
      <c r="D23" s="111"/>
      <c r="E23" s="111">
        <v>0</v>
      </c>
      <c r="F23" s="124"/>
      <c r="G23" s="124"/>
      <c r="H23" s="111">
        <v>0</v>
      </c>
      <c r="I23" s="111"/>
      <c r="J23" s="132"/>
      <c r="K23" s="132">
        <v>0</v>
      </c>
      <c r="L23" s="111"/>
      <c r="M23" s="109"/>
      <c r="N23" s="110">
        <f t="shared" si="0"/>
        <v>0</v>
      </c>
      <c r="P23" s="75"/>
    </row>
    <row r="24" spans="1:16">
      <c r="A24" s="112" t="s">
        <v>52</v>
      </c>
      <c r="B24" s="110">
        <v>0</v>
      </c>
      <c r="C24" s="111"/>
      <c r="D24" s="111"/>
      <c r="E24" s="111">
        <v>0</v>
      </c>
      <c r="F24" s="124"/>
      <c r="G24" s="124"/>
      <c r="H24" s="111">
        <v>0</v>
      </c>
      <c r="I24" s="111"/>
      <c r="J24" s="132"/>
      <c r="K24" s="132">
        <v>0</v>
      </c>
      <c r="L24" s="111"/>
      <c r="M24" s="109"/>
      <c r="N24" s="110">
        <f t="shared" si="0"/>
        <v>0</v>
      </c>
      <c r="P24" s="75"/>
    </row>
    <row r="25" spans="1:16">
      <c r="A25" s="118" t="s">
        <v>728</v>
      </c>
      <c r="B25" s="110">
        <v>0</v>
      </c>
      <c r="C25" s="111"/>
      <c r="D25" s="111"/>
      <c r="E25" s="111">
        <v>0</v>
      </c>
      <c r="F25" s="124"/>
      <c r="G25" s="124"/>
      <c r="H25" s="111">
        <v>0</v>
      </c>
      <c r="I25" s="111"/>
      <c r="J25" s="132"/>
      <c r="K25" s="132">
        <v>0</v>
      </c>
      <c r="L25" s="111"/>
      <c r="M25" s="109"/>
      <c r="N25" s="110">
        <f t="shared" si="0"/>
        <v>0</v>
      </c>
      <c r="P25" s="75"/>
    </row>
    <row r="26" spans="1:16">
      <c r="A26" s="118" t="s">
        <v>510</v>
      </c>
      <c r="B26" s="110">
        <v>0</v>
      </c>
      <c r="C26" s="111"/>
      <c r="D26" s="111"/>
      <c r="E26" s="111">
        <v>0</v>
      </c>
      <c r="F26" s="124"/>
      <c r="G26" s="124"/>
      <c r="H26" s="111">
        <v>0</v>
      </c>
      <c r="I26" s="111"/>
      <c r="J26" s="132"/>
      <c r="K26" s="132">
        <v>0</v>
      </c>
      <c r="L26" s="111"/>
      <c r="M26" s="109"/>
      <c r="N26" s="110">
        <f t="shared" si="0"/>
        <v>0</v>
      </c>
      <c r="P26" s="75"/>
    </row>
    <row r="27" spans="1:16">
      <c r="A27" s="119" t="s">
        <v>532</v>
      </c>
      <c r="B27" s="110">
        <v>0</v>
      </c>
      <c r="C27" s="111"/>
      <c r="D27" s="111"/>
      <c r="E27" s="111">
        <v>1</v>
      </c>
      <c r="F27" s="124">
        <v>2013</v>
      </c>
      <c r="G27" s="124"/>
      <c r="H27" s="111">
        <v>0</v>
      </c>
      <c r="I27" s="111"/>
      <c r="J27" s="132"/>
      <c r="K27" s="132">
        <v>0</v>
      </c>
      <c r="L27" s="111"/>
      <c r="M27" s="109"/>
      <c r="N27" s="110">
        <f t="shared" si="0"/>
        <v>1</v>
      </c>
      <c r="P27" s="75"/>
    </row>
    <row r="28" spans="1:16">
      <c r="A28" s="109" t="s">
        <v>6</v>
      </c>
      <c r="B28" s="110">
        <v>0</v>
      </c>
      <c r="C28" s="111"/>
      <c r="D28" s="111"/>
      <c r="E28" s="111">
        <v>0</v>
      </c>
      <c r="F28" s="124"/>
      <c r="G28" s="124"/>
      <c r="H28" s="111">
        <v>0</v>
      </c>
      <c r="I28" s="111"/>
      <c r="J28" s="132"/>
      <c r="K28" s="132">
        <v>0</v>
      </c>
      <c r="L28" s="111"/>
      <c r="M28" s="109"/>
      <c r="N28" s="110">
        <f t="shared" si="0"/>
        <v>0</v>
      </c>
      <c r="P28" s="75"/>
    </row>
    <row r="29" spans="1:16">
      <c r="A29" s="112" t="s">
        <v>53</v>
      </c>
      <c r="B29" s="110">
        <v>2</v>
      </c>
      <c r="C29" s="114" t="s">
        <v>634</v>
      </c>
      <c r="D29" s="114"/>
      <c r="E29" s="111">
        <v>0</v>
      </c>
      <c r="F29" s="124"/>
      <c r="G29" s="124"/>
      <c r="H29" s="111">
        <v>0</v>
      </c>
      <c r="I29" s="111"/>
      <c r="J29" s="132"/>
      <c r="K29" s="132">
        <v>0</v>
      </c>
      <c r="L29" s="111"/>
      <c r="M29" s="109"/>
      <c r="N29" s="110">
        <f t="shared" si="0"/>
        <v>2</v>
      </c>
      <c r="P29" s="75"/>
    </row>
    <row r="30" spans="1:16">
      <c r="A30" s="112" t="s">
        <v>54</v>
      </c>
      <c r="B30" s="110">
        <v>0</v>
      </c>
      <c r="C30" s="111"/>
      <c r="D30" s="111"/>
      <c r="E30" s="111">
        <v>0</v>
      </c>
      <c r="F30" s="124"/>
      <c r="G30" s="124"/>
      <c r="H30" s="111">
        <v>0</v>
      </c>
      <c r="I30" s="111"/>
      <c r="J30" s="132"/>
      <c r="K30" s="132">
        <v>0</v>
      </c>
      <c r="L30" s="111"/>
      <c r="M30" s="109"/>
      <c r="N30" s="110">
        <f t="shared" si="0"/>
        <v>0</v>
      </c>
      <c r="P30" s="75"/>
    </row>
    <row r="31" spans="1:16">
      <c r="A31" s="109" t="s">
        <v>7</v>
      </c>
      <c r="B31" s="110">
        <v>1</v>
      </c>
      <c r="C31" s="123" t="s">
        <v>621</v>
      </c>
      <c r="D31" s="123"/>
      <c r="E31" s="111">
        <v>0</v>
      </c>
      <c r="F31" s="124"/>
      <c r="G31" s="124"/>
      <c r="H31" s="111">
        <v>0</v>
      </c>
      <c r="I31" s="111"/>
      <c r="J31" s="132"/>
      <c r="K31" s="132">
        <v>0</v>
      </c>
      <c r="L31" s="111"/>
      <c r="M31" s="109"/>
      <c r="N31" s="110">
        <f t="shared" si="0"/>
        <v>1</v>
      </c>
      <c r="P31" s="75"/>
    </row>
    <row r="32" spans="1:16">
      <c r="A32" s="112" t="s">
        <v>55</v>
      </c>
      <c r="B32" s="110">
        <v>0</v>
      </c>
      <c r="C32" s="111"/>
      <c r="D32" s="111"/>
      <c r="E32" s="111">
        <v>0</v>
      </c>
      <c r="F32" s="124"/>
      <c r="G32" s="124"/>
      <c r="H32" s="111">
        <v>0</v>
      </c>
      <c r="I32" s="111"/>
      <c r="J32" s="132"/>
      <c r="K32" s="132">
        <v>0</v>
      </c>
      <c r="L32" s="111"/>
      <c r="M32" s="109"/>
      <c r="N32" s="110">
        <f t="shared" si="0"/>
        <v>0</v>
      </c>
      <c r="P32" s="75"/>
    </row>
    <row r="33" spans="1:16">
      <c r="A33" s="112" t="s">
        <v>56</v>
      </c>
      <c r="B33" s="110">
        <v>0</v>
      </c>
      <c r="C33" s="111"/>
      <c r="D33" s="111"/>
      <c r="E33" s="111">
        <v>0</v>
      </c>
      <c r="F33" s="124"/>
      <c r="G33" s="124"/>
      <c r="H33" s="111">
        <v>0</v>
      </c>
      <c r="I33" s="111"/>
      <c r="J33" s="132"/>
      <c r="K33" s="132">
        <v>0</v>
      </c>
      <c r="L33" s="111"/>
      <c r="M33" s="109"/>
      <c r="N33" s="110">
        <f t="shared" si="0"/>
        <v>0</v>
      </c>
      <c r="P33" s="75"/>
    </row>
    <row r="34" spans="1:16">
      <c r="A34" s="112" t="s">
        <v>57</v>
      </c>
      <c r="B34" s="110">
        <v>0</v>
      </c>
      <c r="C34" s="111"/>
      <c r="D34" s="111"/>
      <c r="E34" s="111">
        <v>0</v>
      </c>
      <c r="F34" s="124"/>
      <c r="G34" s="124"/>
      <c r="H34" s="111">
        <v>0</v>
      </c>
      <c r="I34" s="111"/>
      <c r="J34" s="132"/>
      <c r="K34" s="132">
        <v>0</v>
      </c>
      <c r="L34" s="111"/>
      <c r="M34" s="109"/>
      <c r="N34" s="110">
        <f t="shared" si="0"/>
        <v>0</v>
      </c>
      <c r="P34" s="75"/>
    </row>
    <row r="35" spans="1:16">
      <c r="A35" s="112" t="s">
        <v>58</v>
      </c>
      <c r="B35" s="110">
        <v>0</v>
      </c>
      <c r="C35" s="111"/>
      <c r="D35" s="111"/>
      <c r="E35" s="111">
        <v>0</v>
      </c>
      <c r="F35" s="124"/>
      <c r="G35" s="124"/>
      <c r="H35" s="111">
        <v>0</v>
      </c>
      <c r="I35" s="111"/>
      <c r="J35" s="132"/>
      <c r="K35" s="132">
        <v>0</v>
      </c>
      <c r="L35" s="111"/>
      <c r="M35" s="109"/>
      <c r="N35" s="110">
        <f t="shared" si="0"/>
        <v>0</v>
      </c>
      <c r="P35" s="75"/>
    </row>
    <row r="36" spans="1:16">
      <c r="A36" s="118" t="s">
        <v>483</v>
      </c>
      <c r="B36" s="110">
        <v>0</v>
      </c>
      <c r="C36" s="111"/>
      <c r="D36" s="111"/>
      <c r="E36" s="111">
        <v>0</v>
      </c>
      <c r="F36" s="124"/>
      <c r="G36" s="124"/>
      <c r="H36" s="111">
        <v>0</v>
      </c>
      <c r="I36" s="111"/>
      <c r="J36" s="132"/>
      <c r="K36" s="132">
        <v>0</v>
      </c>
      <c r="L36" s="111"/>
      <c r="M36" s="109"/>
      <c r="N36" s="110">
        <f t="shared" si="0"/>
        <v>0</v>
      </c>
      <c r="P36" s="75"/>
    </row>
    <row r="37" spans="1:16">
      <c r="A37" s="109" t="s">
        <v>8</v>
      </c>
      <c r="B37" s="110">
        <v>0</v>
      </c>
      <c r="C37" s="111"/>
      <c r="D37" s="111"/>
      <c r="E37" s="111">
        <v>1</v>
      </c>
      <c r="F37" s="125" t="s">
        <v>231</v>
      </c>
      <c r="G37" s="125"/>
      <c r="H37" s="111">
        <v>0</v>
      </c>
      <c r="I37" s="111"/>
      <c r="J37" s="132"/>
      <c r="K37" s="132">
        <v>1</v>
      </c>
      <c r="L37" s="123" t="s">
        <v>115</v>
      </c>
      <c r="M37" s="109"/>
      <c r="N37" s="110">
        <f t="shared" si="0"/>
        <v>2</v>
      </c>
      <c r="P37" s="75"/>
    </row>
    <row r="38" spans="1:16">
      <c r="A38" s="109" t="s">
        <v>9</v>
      </c>
      <c r="B38" s="110">
        <v>1</v>
      </c>
      <c r="C38" s="114" t="s">
        <v>248</v>
      </c>
      <c r="D38" s="114"/>
      <c r="E38" s="111">
        <v>0</v>
      </c>
      <c r="F38" s="124"/>
      <c r="G38" s="124"/>
      <c r="H38" s="111">
        <v>1</v>
      </c>
      <c r="I38" s="123" t="s">
        <v>503</v>
      </c>
      <c r="J38" s="134"/>
      <c r="K38" s="132">
        <v>0</v>
      </c>
      <c r="L38" s="111"/>
      <c r="M38" s="109"/>
      <c r="N38" s="110">
        <f t="shared" si="0"/>
        <v>2</v>
      </c>
      <c r="P38" s="75"/>
    </row>
    <row r="39" spans="1:16">
      <c r="A39" s="109" t="s">
        <v>10</v>
      </c>
      <c r="B39" s="110">
        <v>2</v>
      </c>
      <c r="C39" s="114" t="s">
        <v>635</v>
      </c>
      <c r="D39" s="114"/>
      <c r="E39" s="111">
        <v>0</v>
      </c>
      <c r="F39" s="124"/>
      <c r="G39" s="124"/>
      <c r="H39" s="111">
        <v>1</v>
      </c>
      <c r="I39" s="123" t="s">
        <v>369</v>
      </c>
      <c r="J39" s="134"/>
      <c r="K39" s="132">
        <v>0</v>
      </c>
      <c r="L39" s="111"/>
      <c r="M39" s="109"/>
      <c r="N39" s="110">
        <f t="shared" si="0"/>
        <v>3</v>
      </c>
      <c r="P39" s="75"/>
    </row>
    <row r="40" spans="1:16">
      <c r="A40" s="109" t="s">
        <v>88</v>
      </c>
      <c r="B40" s="110">
        <v>0</v>
      </c>
      <c r="C40" s="111"/>
      <c r="D40" s="111"/>
      <c r="E40" s="111">
        <v>0</v>
      </c>
      <c r="F40" s="124"/>
      <c r="G40" s="124"/>
      <c r="H40" s="111">
        <v>0</v>
      </c>
      <c r="I40" s="111"/>
      <c r="J40" s="132"/>
      <c r="K40" s="132">
        <v>0</v>
      </c>
      <c r="L40" s="111"/>
      <c r="M40" s="109"/>
      <c r="N40" s="110">
        <f t="shared" si="0"/>
        <v>0</v>
      </c>
      <c r="P40" s="75"/>
    </row>
    <row r="41" spans="1:16">
      <c r="A41" s="112" t="s">
        <v>59</v>
      </c>
      <c r="B41" s="110">
        <v>0</v>
      </c>
      <c r="C41" s="111"/>
      <c r="D41" s="111"/>
      <c r="E41" s="111">
        <v>0</v>
      </c>
      <c r="F41" s="124"/>
      <c r="G41" s="124"/>
      <c r="H41" s="111">
        <v>0</v>
      </c>
      <c r="I41" s="111"/>
      <c r="J41" s="132"/>
      <c r="K41" s="132">
        <v>0</v>
      </c>
      <c r="L41" s="111"/>
      <c r="M41" s="109"/>
      <c r="N41" s="110">
        <f t="shared" si="0"/>
        <v>0</v>
      </c>
      <c r="P41" s="75"/>
    </row>
    <row r="42" spans="1:16">
      <c r="A42" s="109" t="s">
        <v>11</v>
      </c>
      <c r="B42" s="110">
        <v>0</v>
      </c>
      <c r="C42" s="111"/>
      <c r="D42" s="111"/>
      <c r="E42" s="111">
        <v>0</v>
      </c>
      <c r="F42" s="124"/>
      <c r="G42" s="124"/>
      <c r="H42" s="111">
        <v>0</v>
      </c>
      <c r="I42" s="111"/>
      <c r="J42" s="132"/>
      <c r="K42" s="132">
        <v>0</v>
      </c>
      <c r="L42" s="111"/>
      <c r="M42" s="109"/>
      <c r="N42" s="110">
        <f t="shared" si="0"/>
        <v>0</v>
      </c>
      <c r="P42" s="75"/>
    </row>
    <row r="43" spans="1:16">
      <c r="A43" s="112" t="s">
        <v>60</v>
      </c>
      <c r="B43" s="110">
        <v>0</v>
      </c>
      <c r="C43" s="111"/>
      <c r="D43" s="111"/>
      <c r="E43" s="111">
        <v>0</v>
      </c>
      <c r="F43" s="124"/>
      <c r="G43" s="124"/>
      <c r="H43" s="111">
        <v>0</v>
      </c>
      <c r="I43" s="111"/>
      <c r="J43" s="132"/>
      <c r="K43" s="132">
        <v>0</v>
      </c>
      <c r="L43" s="111"/>
      <c r="M43" s="109"/>
      <c r="N43" s="110">
        <f t="shared" si="0"/>
        <v>0</v>
      </c>
      <c r="P43" s="75"/>
    </row>
    <row r="44" spans="1:16">
      <c r="A44" s="112" t="s">
        <v>61</v>
      </c>
      <c r="B44" s="110">
        <v>0</v>
      </c>
      <c r="C44" s="111"/>
      <c r="D44" s="111"/>
      <c r="E44" s="111">
        <v>0</v>
      </c>
      <c r="F44" s="124"/>
      <c r="G44" s="124"/>
      <c r="H44" s="111">
        <v>0</v>
      </c>
      <c r="I44" s="111"/>
      <c r="J44" s="132"/>
      <c r="K44" s="132">
        <v>0</v>
      </c>
      <c r="L44" s="111"/>
      <c r="M44" s="109"/>
      <c r="N44" s="110">
        <f t="shared" si="0"/>
        <v>0</v>
      </c>
      <c r="P44" s="75"/>
    </row>
    <row r="45" spans="1:16">
      <c r="A45" s="112" t="s">
        <v>62</v>
      </c>
      <c r="B45" s="110">
        <v>0</v>
      </c>
      <c r="C45" s="111"/>
      <c r="D45" s="111"/>
      <c r="E45" s="111">
        <v>0</v>
      </c>
      <c r="F45" s="124"/>
      <c r="G45" s="124"/>
      <c r="H45" s="111">
        <v>0</v>
      </c>
      <c r="I45" s="111"/>
      <c r="J45" s="132"/>
      <c r="K45" s="132">
        <v>0</v>
      </c>
      <c r="L45" s="111"/>
      <c r="M45" s="109"/>
      <c r="N45" s="110">
        <f t="shared" si="0"/>
        <v>0</v>
      </c>
      <c r="P45" s="75"/>
    </row>
    <row r="46" spans="1:16">
      <c r="A46" s="112" t="s">
        <v>63</v>
      </c>
      <c r="B46" s="110">
        <v>2</v>
      </c>
      <c r="C46" s="114" t="s">
        <v>636</v>
      </c>
      <c r="D46" s="114"/>
      <c r="E46" s="111">
        <v>0</v>
      </c>
      <c r="F46" s="124"/>
      <c r="G46" s="124"/>
      <c r="H46" s="111">
        <v>0</v>
      </c>
      <c r="I46" s="111"/>
      <c r="J46" s="132"/>
      <c r="K46" s="132">
        <v>2</v>
      </c>
      <c r="L46" s="123" t="s">
        <v>669</v>
      </c>
      <c r="M46" s="109"/>
      <c r="N46" s="110">
        <f t="shared" si="0"/>
        <v>4</v>
      </c>
      <c r="P46" s="75"/>
    </row>
    <row r="47" spans="1:16">
      <c r="A47" s="109" t="s">
        <v>12</v>
      </c>
      <c r="B47" s="110">
        <v>0</v>
      </c>
      <c r="C47" s="111"/>
      <c r="D47" s="111"/>
      <c r="E47" s="111">
        <v>1</v>
      </c>
      <c r="F47" s="125" t="s">
        <v>263</v>
      </c>
      <c r="G47" s="125"/>
      <c r="H47" s="111">
        <v>1</v>
      </c>
      <c r="I47" s="123" t="s">
        <v>484</v>
      </c>
      <c r="J47" s="134"/>
      <c r="K47" s="132">
        <v>2</v>
      </c>
      <c r="L47" s="123" t="s">
        <v>984</v>
      </c>
      <c r="M47" s="109"/>
      <c r="N47" s="110">
        <f t="shared" si="0"/>
        <v>4</v>
      </c>
      <c r="P47" s="75"/>
    </row>
    <row r="48" spans="1:16">
      <c r="A48" s="109" t="s">
        <v>13</v>
      </c>
      <c r="B48" s="110">
        <v>0</v>
      </c>
      <c r="C48" s="111"/>
      <c r="D48" s="111"/>
      <c r="E48" s="111">
        <v>0</v>
      </c>
      <c r="F48" s="124"/>
      <c r="G48" s="124"/>
      <c r="H48" s="111">
        <v>0</v>
      </c>
      <c r="I48" s="111"/>
      <c r="J48" s="132"/>
      <c r="K48" s="132">
        <v>0</v>
      </c>
      <c r="L48" s="111"/>
      <c r="M48" s="109"/>
      <c r="N48" s="110">
        <f t="shared" si="0"/>
        <v>0</v>
      </c>
    </row>
    <row r="49" spans="1:14">
      <c r="A49" s="109" t="s">
        <v>14</v>
      </c>
      <c r="B49" s="110">
        <v>0</v>
      </c>
      <c r="C49" s="111"/>
      <c r="D49" s="111"/>
      <c r="E49" s="111">
        <v>0</v>
      </c>
      <c r="F49" s="124"/>
      <c r="G49" s="124"/>
      <c r="H49" s="111">
        <v>1</v>
      </c>
      <c r="I49" s="123" t="s">
        <v>514</v>
      </c>
      <c r="J49" s="134"/>
      <c r="K49" s="132">
        <v>1</v>
      </c>
      <c r="L49" s="123" t="s">
        <v>111</v>
      </c>
      <c r="M49" s="109"/>
      <c r="N49" s="110">
        <f t="shared" si="0"/>
        <v>2</v>
      </c>
    </row>
    <row r="50" spans="1:14">
      <c r="A50" s="109" t="s">
        <v>15</v>
      </c>
      <c r="B50" s="110">
        <v>0</v>
      </c>
      <c r="C50" s="111"/>
      <c r="D50" s="111"/>
      <c r="E50" s="111">
        <v>2</v>
      </c>
      <c r="F50" s="125" t="s">
        <v>647</v>
      </c>
      <c r="G50" s="125"/>
      <c r="H50" s="111">
        <v>0</v>
      </c>
      <c r="I50" s="111"/>
      <c r="J50" s="132"/>
      <c r="K50" s="132">
        <v>1</v>
      </c>
      <c r="L50" s="123" t="s">
        <v>402</v>
      </c>
      <c r="M50" s="109"/>
      <c r="N50" s="110">
        <f t="shared" si="0"/>
        <v>3</v>
      </c>
    </row>
    <row r="51" spans="1:14">
      <c r="A51" s="112" t="s">
        <v>64</v>
      </c>
      <c r="B51" s="110">
        <v>0</v>
      </c>
      <c r="C51" s="111"/>
      <c r="D51" s="111"/>
      <c r="E51" s="111">
        <v>0</v>
      </c>
      <c r="F51" s="124"/>
      <c r="G51" s="124"/>
      <c r="H51" s="111">
        <v>0</v>
      </c>
      <c r="I51" s="111"/>
      <c r="J51" s="132"/>
      <c r="K51" s="132">
        <v>0</v>
      </c>
      <c r="L51" s="111"/>
      <c r="M51" s="109"/>
      <c r="N51" s="110">
        <f t="shared" si="0"/>
        <v>0</v>
      </c>
    </row>
    <row r="52" spans="1:14" ht="25.5">
      <c r="A52" s="109" t="s">
        <v>16</v>
      </c>
      <c r="B52" s="110">
        <v>2</v>
      </c>
      <c r="C52" s="114" t="s">
        <v>637</v>
      </c>
      <c r="D52" s="114"/>
      <c r="E52" s="111">
        <v>0</v>
      </c>
      <c r="F52" s="124"/>
      <c r="G52" s="124"/>
      <c r="H52" s="111">
        <v>0</v>
      </c>
      <c r="I52" s="111"/>
      <c r="J52" s="132"/>
      <c r="K52" s="132">
        <v>4</v>
      </c>
      <c r="L52" s="123" t="s">
        <v>668</v>
      </c>
      <c r="M52" s="109"/>
      <c r="N52" s="110">
        <f t="shared" si="0"/>
        <v>6</v>
      </c>
    </row>
    <row r="53" spans="1:14">
      <c r="A53" s="109" t="s">
        <v>517</v>
      </c>
      <c r="B53" s="110">
        <v>0</v>
      </c>
      <c r="C53" s="111"/>
      <c r="D53" s="111"/>
      <c r="E53" s="111">
        <v>0</v>
      </c>
      <c r="F53" s="124"/>
      <c r="G53" s="124"/>
      <c r="H53" s="111">
        <v>0</v>
      </c>
      <c r="I53" s="111"/>
      <c r="J53" s="132"/>
      <c r="K53" s="132">
        <v>0</v>
      </c>
      <c r="L53" s="111"/>
      <c r="M53" s="109"/>
      <c r="N53" s="110">
        <f t="shared" si="0"/>
        <v>0</v>
      </c>
    </row>
    <row r="54" spans="1:14">
      <c r="A54" s="109" t="s">
        <v>17</v>
      </c>
      <c r="B54" s="110">
        <v>0</v>
      </c>
      <c r="C54" s="111"/>
      <c r="D54" s="111"/>
      <c r="E54" s="111">
        <v>0</v>
      </c>
      <c r="F54" s="124"/>
      <c r="G54" s="124"/>
      <c r="H54" s="111">
        <v>0</v>
      </c>
      <c r="I54" s="111"/>
      <c r="J54" s="132"/>
      <c r="K54" s="132">
        <v>0</v>
      </c>
      <c r="L54" s="111"/>
      <c r="M54" s="109"/>
      <c r="N54" s="110">
        <f t="shared" si="0"/>
        <v>0</v>
      </c>
    </row>
    <row r="55" spans="1:14">
      <c r="A55" s="112" t="s">
        <v>87</v>
      </c>
      <c r="B55" s="110">
        <v>0</v>
      </c>
      <c r="C55" s="111"/>
      <c r="D55" s="111"/>
      <c r="E55" s="111">
        <v>0</v>
      </c>
      <c r="F55" s="124"/>
      <c r="G55" s="124"/>
      <c r="H55" s="111">
        <v>0</v>
      </c>
      <c r="I55" s="111"/>
      <c r="J55" s="132"/>
      <c r="K55" s="132">
        <v>0</v>
      </c>
      <c r="L55" s="111"/>
      <c r="M55" s="109"/>
      <c r="N55" s="110">
        <f t="shared" si="0"/>
        <v>0</v>
      </c>
    </row>
    <row r="56" spans="1:14">
      <c r="A56" s="112" t="s">
        <v>65</v>
      </c>
      <c r="B56" s="110">
        <v>0</v>
      </c>
      <c r="C56" s="111"/>
      <c r="D56" s="111"/>
      <c r="E56" s="111">
        <v>0</v>
      </c>
      <c r="F56" s="124"/>
      <c r="G56" s="124"/>
      <c r="H56" s="111">
        <v>0</v>
      </c>
      <c r="I56" s="111"/>
      <c r="J56" s="132"/>
      <c r="K56" s="132">
        <v>0</v>
      </c>
      <c r="L56" s="111"/>
      <c r="M56" s="109"/>
      <c r="N56" s="110">
        <f t="shared" si="0"/>
        <v>0</v>
      </c>
    </row>
    <row r="57" spans="1:14">
      <c r="A57" s="109" t="s">
        <v>18</v>
      </c>
      <c r="B57" s="110">
        <v>0</v>
      </c>
      <c r="C57" s="111"/>
      <c r="D57" s="111"/>
      <c r="E57" s="111">
        <v>1</v>
      </c>
      <c r="F57" s="124">
        <v>2015</v>
      </c>
      <c r="G57" s="124"/>
      <c r="H57" s="111">
        <v>0</v>
      </c>
      <c r="I57" s="111"/>
      <c r="J57" s="132"/>
      <c r="K57" s="132">
        <v>0</v>
      </c>
      <c r="L57" s="111"/>
      <c r="M57" s="109"/>
      <c r="N57" s="110">
        <f t="shared" si="0"/>
        <v>1</v>
      </c>
    </row>
    <row r="58" spans="1:14">
      <c r="A58" s="109" t="s">
        <v>19</v>
      </c>
      <c r="B58" s="110">
        <v>0</v>
      </c>
      <c r="C58" s="111"/>
      <c r="D58" s="111"/>
      <c r="E58" s="111">
        <v>0</v>
      </c>
      <c r="F58" s="124"/>
      <c r="G58" s="124"/>
      <c r="H58" s="111">
        <v>0</v>
      </c>
      <c r="I58" s="111"/>
      <c r="J58" s="132"/>
      <c r="K58" s="132">
        <v>1</v>
      </c>
      <c r="L58" s="123" t="s">
        <v>133</v>
      </c>
      <c r="M58" s="109"/>
      <c r="N58" s="110">
        <f t="shared" si="0"/>
        <v>1</v>
      </c>
    </row>
    <row r="59" spans="1:14">
      <c r="A59" s="109" t="s">
        <v>20</v>
      </c>
      <c r="B59" s="110">
        <v>0</v>
      </c>
      <c r="C59" s="111"/>
      <c r="D59" s="111"/>
      <c r="E59" s="111">
        <v>0</v>
      </c>
      <c r="F59" s="124"/>
      <c r="G59" s="124"/>
      <c r="H59" s="111">
        <v>0</v>
      </c>
      <c r="I59" s="111"/>
      <c r="J59" s="132"/>
      <c r="K59" s="132">
        <v>0</v>
      </c>
      <c r="L59" s="111"/>
      <c r="M59" s="109"/>
      <c r="N59" s="110">
        <f t="shared" si="0"/>
        <v>0</v>
      </c>
    </row>
    <row r="60" spans="1:14">
      <c r="A60" s="112" t="s">
        <v>66</v>
      </c>
      <c r="B60" s="110">
        <v>0</v>
      </c>
      <c r="C60" s="111"/>
      <c r="D60" s="111"/>
      <c r="E60" s="111">
        <v>0</v>
      </c>
      <c r="F60" s="124"/>
      <c r="G60" s="124"/>
      <c r="H60" s="111">
        <v>0</v>
      </c>
      <c r="I60" s="111"/>
      <c r="J60" s="132"/>
      <c r="K60" s="132">
        <v>0</v>
      </c>
      <c r="L60" s="111"/>
      <c r="M60" s="109"/>
      <c r="N60" s="110">
        <f t="shared" si="0"/>
        <v>0</v>
      </c>
    </row>
    <row r="61" spans="1:14">
      <c r="A61" s="112" t="s">
        <v>253</v>
      </c>
      <c r="B61" s="110">
        <v>0</v>
      </c>
      <c r="C61" s="111"/>
      <c r="D61" s="111"/>
      <c r="E61" s="111">
        <v>0</v>
      </c>
      <c r="F61" s="124"/>
      <c r="G61" s="124"/>
      <c r="H61" s="111">
        <v>1</v>
      </c>
      <c r="I61" s="123" t="s">
        <v>503</v>
      </c>
      <c r="J61" s="134"/>
      <c r="K61" s="132">
        <v>0</v>
      </c>
      <c r="L61" s="111"/>
      <c r="M61" s="109"/>
      <c r="N61" s="110">
        <f t="shared" si="0"/>
        <v>1</v>
      </c>
    </row>
    <row r="62" spans="1:14">
      <c r="A62" s="112" t="s">
        <v>67</v>
      </c>
      <c r="B62" s="110">
        <v>0</v>
      </c>
      <c r="C62" s="111"/>
      <c r="D62" s="111"/>
      <c r="E62" s="111">
        <v>0</v>
      </c>
      <c r="F62" s="124"/>
      <c r="G62" s="124"/>
      <c r="H62" s="111">
        <v>0</v>
      </c>
      <c r="I62" s="111"/>
      <c r="J62" s="132"/>
      <c r="K62" s="132">
        <v>0</v>
      </c>
      <c r="L62" s="111"/>
      <c r="M62" s="109"/>
      <c r="N62" s="110">
        <f t="shared" si="0"/>
        <v>0</v>
      </c>
    </row>
    <row r="63" spans="1:14">
      <c r="A63" s="109" t="s">
        <v>21</v>
      </c>
      <c r="B63" s="110">
        <v>0</v>
      </c>
      <c r="C63" s="111"/>
      <c r="D63" s="111"/>
      <c r="E63" s="111">
        <v>0</v>
      </c>
      <c r="F63" s="124"/>
      <c r="G63" s="124"/>
      <c r="H63" s="111">
        <v>0</v>
      </c>
      <c r="I63" s="111"/>
      <c r="J63" s="132"/>
      <c r="K63" s="132">
        <v>0</v>
      </c>
      <c r="L63" s="111"/>
      <c r="M63" s="109"/>
      <c r="N63" s="110">
        <f t="shared" si="0"/>
        <v>0</v>
      </c>
    </row>
    <row r="64" spans="1:14" ht="25.5">
      <c r="A64" s="109" t="s">
        <v>22</v>
      </c>
      <c r="B64" s="110">
        <v>3</v>
      </c>
      <c r="C64" s="114" t="s">
        <v>638</v>
      </c>
      <c r="D64" s="114"/>
      <c r="E64" s="111">
        <v>1</v>
      </c>
      <c r="F64" s="125" t="s">
        <v>232</v>
      </c>
      <c r="G64" s="125"/>
      <c r="H64" s="111">
        <v>1</v>
      </c>
      <c r="I64" s="123" t="s">
        <v>378</v>
      </c>
      <c r="J64" s="134"/>
      <c r="K64" s="132">
        <v>0</v>
      </c>
      <c r="L64" s="111"/>
      <c r="M64" s="109"/>
      <c r="N64" s="110">
        <f t="shared" si="0"/>
        <v>5</v>
      </c>
    </row>
    <row r="65" spans="1:14" ht="38.25">
      <c r="A65" s="109" t="s">
        <v>23</v>
      </c>
      <c r="B65" s="110">
        <v>6</v>
      </c>
      <c r="C65" s="114" t="s">
        <v>779</v>
      </c>
      <c r="D65" s="114"/>
      <c r="E65" s="111">
        <v>3</v>
      </c>
      <c r="F65" s="125" t="s">
        <v>648</v>
      </c>
      <c r="G65" s="125"/>
      <c r="H65" s="111">
        <v>1</v>
      </c>
      <c r="I65" s="123" t="s">
        <v>641</v>
      </c>
      <c r="J65" s="134"/>
      <c r="K65" s="132">
        <v>1</v>
      </c>
      <c r="L65" s="123" t="s">
        <v>176</v>
      </c>
      <c r="M65" s="109"/>
      <c r="N65" s="110">
        <f t="shared" si="0"/>
        <v>11</v>
      </c>
    </row>
    <row r="66" spans="1:14">
      <c r="A66" s="109" t="s">
        <v>520</v>
      </c>
      <c r="B66" s="110">
        <v>0</v>
      </c>
      <c r="C66" s="111"/>
      <c r="D66" s="111"/>
      <c r="E66" s="111"/>
      <c r="F66" s="124"/>
      <c r="G66" s="124"/>
      <c r="H66" s="111">
        <v>0</v>
      </c>
      <c r="I66" s="111"/>
      <c r="J66" s="132"/>
      <c r="K66" s="132">
        <v>0</v>
      </c>
      <c r="L66" s="111"/>
      <c r="M66" s="109"/>
      <c r="N66" s="110">
        <f t="shared" si="0"/>
        <v>0</v>
      </c>
    </row>
    <row r="67" spans="1:14" ht="25.5">
      <c r="A67" s="109" t="s">
        <v>24</v>
      </c>
      <c r="B67" s="110">
        <v>0</v>
      </c>
      <c r="C67" s="111"/>
      <c r="D67" s="111"/>
      <c r="E67" s="111">
        <v>3</v>
      </c>
      <c r="F67" s="125" t="s">
        <v>649</v>
      </c>
      <c r="G67" s="125"/>
      <c r="H67" s="123">
        <v>1</v>
      </c>
      <c r="I67" s="123" t="s">
        <v>458</v>
      </c>
      <c r="J67" s="134"/>
      <c r="K67" s="132">
        <v>1</v>
      </c>
      <c r="L67" s="123" t="s">
        <v>104</v>
      </c>
      <c r="M67" s="109"/>
      <c r="N67" s="110">
        <f t="shared" si="0"/>
        <v>5</v>
      </c>
    </row>
    <row r="68" spans="1:14">
      <c r="A68" s="112" t="s">
        <v>68</v>
      </c>
      <c r="B68" s="110">
        <v>0</v>
      </c>
      <c r="C68" s="111"/>
      <c r="D68" s="111"/>
      <c r="E68" s="111">
        <v>0</v>
      </c>
      <c r="F68" s="124"/>
      <c r="G68" s="124"/>
      <c r="H68" s="111">
        <v>0</v>
      </c>
      <c r="I68" s="111"/>
      <c r="J68" s="132"/>
      <c r="K68" s="132">
        <v>0</v>
      </c>
      <c r="L68" s="111"/>
      <c r="M68" s="109"/>
      <c r="N68" s="110">
        <f t="shared" si="0"/>
        <v>0</v>
      </c>
    </row>
    <row r="69" spans="1:14" ht="51">
      <c r="A69" s="109" t="s">
        <v>25</v>
      </c>
      <c r="B69" s="110">
        <v>0</v>
      </c>
      <c r="C69" s="111"/>
      <c r="D69" s="111"/>
      <c r="E69" s="111">
        <v>2</v>
      </c>
      <c r="F69" s="125" t="s">
        <v>650</v>
      </c>
      <c r="G69" s="125"/>
      <c r="H69" s="111">
        <v>8</v>
      </c>
      <c r="I69" s="123" t="s">
        <v>983</v>
      </c>
      <c r="J69" s="134"/>
      <c r="K69" s="132">
        <v>1</v>
      </c>
      <c r="L69" s="123" t="s">
        <v>792</v>
      </c>
      <c r="M69" s="109"/>
      <c r="N69" s="110">
        <f t="shared" si="0"/>
        <v>11</v>
      </c>
    </row>
    <row r="70" spans="1:14">
      <c r="A70" s="112" t="s">
        <v>69</v>
      </c>
      <c r="B70" s="110">
        <v>0</v>
      </c>
      <c r="C70" s="111"/>
      <c r="D70" s="111"/>
      <c r="E70" s="111">
        <v>0</v>
      </c>
      <c r="F70" s="124"/>
      <c r="G70" s="124"/>
      <c r="H70" s="111">
        <v>0</v>
      </c>
      <c r="I70" s="111"/>
      <c r="J70" s="132"/>
      <c r="K70" s="132">
        <v>0</v>
      </c>
      <c r="L70" s="111"/>
      <c r="M70" s="109"/>
      <c r="N70" s="110">
        <f t="shared" ref="N70:N113" si="1">B70+E70+H70+K70</f>
        <v>0</v>
      </c>
    </row>
    <row r="71" spans="1:14">
      <c r="A71" s="109" t="s">
        <v>26</v>
      </c>
      <c r="B71" s="110">
        <v>2</v>
      </c>
      <c r="C71" s="114" t="s">
        <v>639</v>
      </c>
      <c r="D71" s="114"/>
      <c r="E71" s="111">
        <v>2</v>
      </c>
      <c r="F71" s="125" t="s">
        <v>651</v>
      </c>
      <c r="G71" s="125"/>
      <c r="H71" s="111">
        <v>1</v>
      </c>
      <c r="I71" s="123" t="s">
        <v>458</v>
      </c>
      <c r="J71" s="134"/>
      <c r="K71" s="132">
        <v>1</v>
      </c>
      <c r="L71" s="123" t="s">
        <v>665</v>
      </c>
      <c r="M71" s="109"/>
      <c r="N71" s="110">
        <f t="shared" si="1"/>
        <v>6</v>
      </c>
    </row>
    <row r="72" spans="1:14">
      <c r="A72" s="109" t="s">
        <v>27</v>
      </c>
      <c r="B72" s="110">
        <v>1</v>
      </c>
      <c r="C72" s="114" t="s">
        <v>482</v>
      </c>
      <c r="D72" s="114"/>
      <c r="E72" s="111">
        <v>0</v>
      </c>
      <c r="F72" s="124"/>
      <c r="G72" s="124"/>
      <c r="H72" s="111">
        <v>1</v>
      </c>
      <c r="I72" s="123" t="s">
        <v>263</v>
      </c>
      <c r="J72" s="134"/>
      <c r="K72" s="132">
        <v>1</v>
      </c>
      <c r="L72" s="123" t="s">
        <v>458</v>
      </c>
      <c r="M72" s="109"/>
      <c r="N72" s="110">
        <f t="shared" si="1"/>
        <v>3</v>
      </c>
    </row>
    <row r="73" spans="1:14">
      <c r="A73" s="109" t="s">
        <v>28</v>
      </c>
      <c r="B73" s="110">
        <v>1</v>
      </c>
      <c r="C73" s="114" t="s">
        <v>232</v>
      </c>
      <c r="D73" s="114"/>
      <c r="E73" s="111">
        <v>1</v>
      </c>
      <c r="F73" s="125" t="s">
        <v>641</v>
      </c>
      <c r="G73" s="125"/>
      <c r="H73" s="111">
        <v>0</v>
      </c>
      <c r="I73" s="111"/>
      <c r="J73" s="132"/>
      <c r="K73" s="132">
        <v>2</v>
      </c>
      <c r="L73" s="123" t="s">
        <v>654</v>
      </c>
      <c r="M73" s="109"/>
      <c r="N73" s="110">
        <f t="shared" si="1"/>
        <v>4</v>
      </c>
    </row>
    <row r="74" spans="1:14">
      <c r="A74" s="120" t="s">
        <v>511</v>
      </c>
      <c r="B74" s="110">
        <v>0</v>
      </c>
      <c r="C74" s="111"/>
      <c r="D74" s="111"/>
      <c r="E74" s="111">
        <v>0</v>
      </c>
      <c r="F74" s="124"/>
      <c r="G74" s="124"/>
      <c r="H74" s="111">
        <v>0</v>
      </c>
      <c r="I74" s="111"/>
      <c r="J74" s="132"/>
      <c r="K74" s="132">
        <v>0</v>
      </c>
      <c r="L74" s="111"/>
      <c r="M74" s="109"/>
      <c r="N74" s="110">
        <f t="shared" si="1"/>
        <v>0</v>
      </c>
    </row>
    <row r="75" spans="1:14">
      <c r="A75" s="109" t="s">
        <v>41</v>
      </c>
      <c r="B75" s="110">
        <v>0</v>
      </c>
      <c r="C75" s="111"/>
      <c r="D75" s="111"/>
      <c r="E75" s="111">
        <v>0</v>
      </c>
      <c r="F75" s="124"/>
      <c r="G75" s="124"/>
      <c r="H75" s="111">
        <v>0</v>
      </c>
      <c r="I75" s="111"/>
      <c r="J75" s="132"/>
      <c r="K75" s="132">
        <v>0</v>
      </c>
      <c r="L75" s="111"/>
      <c r="M75" s="109"/>
      <c r="N75" s="110">
        <f t="shared" si="1"/>
        <v>0</v>
      </c>
    </row>
    <row r="76" spans="1:14" ht="25.5">
      <c r="A76" s="109" t="s">
        <v>258</v>
      </c>
      <c r="B76" s="110">
        <v>1</v>
      </c>
      <c r="C76" s="114" t="s">
        <v>369</v>
      </c>
      <c r="D76" s="114"/>
      <c r="E76" s="111">
        <v>0</v>
      </c>
      <c r="F76" s="124"/>
      <c r="G76" s="124"/>
      <c r="H76" s="111">
        <v>3</v>
      </c>
      <c r="I76" s="123" t="s">
        <v>791</v>
      </c>
      <c r="J76" s="134"/>
      <c r="K76" s="132">
        <v>0</v>
      </c>
      <c r="L76" s="111"/>
      <c r="M76" s="109"/>
      <c r="N76" s="110">
        <f t="shared" si="1"/>
        <v>4</v>
      </c>
    </row>
    <row r="77" spans="1:14">
      <c r="A77" s="109" t="s">
        <v>29</v>
      </c>
      <c r="B77" s="110">
        <v>2</v>
      </c>
      <c r="C77" s="114" t="s">
        <v>640</v>
      </c>
      <c r="D77" s="114"/>
      <c r="E77" s="111">
        <v>0</v>
      </c>
      <c r="F77" s="124"/>
      <c r="G77" s="124"/>
      <c r="H77" s="111">
        <v>0</v>
      </c>
      <c r="I77" s="111"/>
      <c r="J77" s="132"/>
      <c r="K77" s="132">
        <v>0</v>
      </c>
      <c r="L77" s="111"/>
      <c r="M77" s="109"/>
      <c r="N77" s="110">
        <f t="shared" si="1"/>
        <v>2</v>
      </c>
    </row>
    <row r="78" spans="1:14">
      <c r="A78" s="115" t="s">
        <v>671</v>
      </c>
      <c r="B78" s="110">
        <v>0</v>
      </c>
      <c r="C78" s="111"/>
      <c r="D78" s="111"/>
      <c r="E78" s="111">
        <v>1</v>
      </c>
      <c r="F78" s="125" t="s">
        <v>126</v>
      </c>
      <c r="G78" s="125"/>
      <c r="H78" s="111">
        <v>0</v>
      </c>
      <c r="I78" s="111"/>
      <c r="J78" s="132"/>
      <c r="K78" s="132">
        <v>0</v>
      </c>
      <c r="L78" s="111"/>
      <c r="M78" s="109"/>
      <c r="N78" s="110">
        <f t="shared" si="1"/>
        <v>1</v>
      </c>
    </row>
    <row r="79" spans="1:14">
      <c r="A79" s="112" t="s">
        <v>70</v>
      </c>
      <c r="B79" s="110">
        <v>0</v>
      </c>
      <c r="C79" s="111"/>
      <c r="D79" s="111"/>
      <c r="E79" s="111">
        <v>0</v>
      </c>
      <c r="F79" s="124"/>
      <c r="G79" s="124"/>
      <c r="H79" s="111">
        <v>0</v>
      </c>
      <c r="I79" s="111"/>
      <c r="J79" s="132"/>
      <c r="K79" s="132">
        <v>0</v>
      </c>
      <c r="L79" s="111"/>
      <c r="M79" s="109"/>
      <c r="N79" s="110">
        <f t="shared" si="1"/>
        <v>0</v>
      </c>
    </row>
    <row r="80" spans="1:14">
      <c r="A80" s="109" t="s">
        <v>31</v>
      </c>
      <c r="B80" s="110">
        <v>2</v>
      </c>
      <c r="C80" s="123" t="s">
        <v>793</v>
      </c>
      <c r="D80" s="114"/>
      <c r="E80" s="111">
        <v>0</v>
      </c>
      <c r="F80" s="124"/>
      <c r="G80" s="124"/>
      <c r="H80" s="111">
        <v>1</v>
      </c>
      <c r="I80" s="123" t="s">
        <v>263</v>
      </c>
      <c r="J80" s="134"/>
      <c r="K80" s="132">
        <v>0</v>
      </c>
      <c r="L80" s="111"/>
      <c r="M80" s="109"/>
      <c r="N80" s="110">
        <f t="shared" si="1"/>
        <v>3</v>
      </c>
    </row>
    <row r="81" spans="1:14">
      <c r="A81" s="113" t="s">
        <v>265</v>
      </c>
      <c r="B81" s="110">
        <v>0</v>
      </c>
      <c r="C81" s="111"/>
      <c r="D81" s="111"/>
      <c r="E81" s="111">
        <v>0</v>
      </c>
      <c r="F81" s="124"/>
      <c r="G81" s="124"/>
      <c r="H81" s="111">
        <v>1</v>
      </c>
      <c r="I81" s="123" t="s">
        <v>484</v>
      </c>
      <c r="J81" s="134"/>
      <c r="K81" s="132">
        <v>0</v>
      </c>
      <c r="L81" s="111"/>
      <c r="M81" s="109"/>
      <c r="N81" s="110">
        <f t="shared" si="1"/>
        <v>1</v>
      </c>
    </row>
    <row r="82" spans="1:14">
      <c r="A82" s="116" t="s">
        <v>672</v>
      </c>
      <c r="B82" s="110"/>
      <c r="C82" s="111"/>
      <c r="D82" s="111"/>
      <c r="E82" s="111"/>
      <c r="F82" s="124"/>
      <c r="G82" s="124"/>
      <c r="H82" s="111">
        <v>0</v>
      </c>
      <c r="I82" s="123"/>
      <c r="J82" s="134"/>
      <c r="K82" s="132">
        <v>0</v>
      </c>
      <c r="L82" s="111"/>
      <c r="M82" s="109"/>
      <c r="N82" s="110"/>
    </row>
    <row r="83" spans="1:14">
      <c r="A83" s="121" t="s">
        <v>71</v>
      </c>
      <c r="B83" s="110">
        <v>0</v>
      </c>
      <c r="C83" s="111"/>
      <c r="D83" s="111"/>
      <c r="E83" s="111">
        <v>0</v>
      </c>
      <c r="F83" s="124"/>
      <c r="G83" s="124"/>
      <c r="H83" s="111">
        <v>0</v>
      </c>
      <c r="I83" s="111"/>
      <c r="J83" s="132"/>
      <c r="K83" s="132">
        <v>0</v>
      </c>
      <c r="L83" s="111"/>
      <c r="M83" s="109"/>
      <c r="N83" s="110">
        <f t="shared" si="1"/>
        <v>0</v>
      </c>
    </row>
    <row r="84" spans="1:14">
      <c r="A84" s="122" t="s">
        <v>519</v>
      </c>
      <c r="B84" s="110">
        <v>0</v>
      </c>
      <c r="C84" s="111"/>
      <c r="D84" s="111"/>
      <c r="E84" s="111">
        <v>0</v>
      </c>
      <c r="F84" s="124"/>
      <c r="G84" s="124"/>
      <c r="H84" s="111">
        <v>0</v>
      </c>
      <c r="I84" s="111"/>
      <c r="J84" s="132"/>
      <c r="K84" s="132">
        <v>1</v>
      </c>
      <c r="L84" s="123" t="s">
        <v>729</v>
      </c>
      <c r="M84" s="109"/>
      <c r="N84" s="110">
        <f t="shared" si="1"/>
        <v>1</v>
      </c>
    </row>
    <row r="85" spans="1:14" ht="25.5">
      <c r="A85" s="121" t="s">
        <v>259</v>
      </c>
      <c r="B85" s="110">
        <v>0</v>
      </c>
      <c r="C85" s="111"/>
      <c r="D85" s="111"/>
      <c r="E85" s="111">
        <v>0</v>
      </c>
      <c r="F85" s="124"/>
      <c r="G85" s="124"/>
      <c r="H85" s="111">
        <v>3</v>
      </c>
      <c r="I85" s="123" t="s">
        <v>791</v>
      </c>
      <c r="J85" s="134"/>
      <c r="K85" s="132">
        <v>0</v>
      </c>
      <c r="L85" s="111"/>
      <c r="M85" s="109"/>
      <c r="N85" s="110">
        <f t="shared" si="1"/>
        <v>3</v>
      </c>
    </row>
    <row r="86" spans="1:14">
      <c r="A86" s="121" t="s">
        <v>72</v>
      </c>
      <c r="B86" s="110">
        <v>0</v>
      </c>
      <c r="C86" s="111"/>
      <c r="D86" s="111"/>
      <c r="E86" s="111">
        <v>0</v>
      </c>
      <c r="F86" s="124"/>
      <c r="G86" s="124"/>
      <c r="H86" s="111">
        <v>0</v>
      </c>
      <c r="I86" s="111"/>
      <c r="J86" s="132"/>
      <c r="K86" s="132">
        <v>0</v>
      </c>
      <c r="L86" s="111"/>
      <c r="M86" s="109"/>
      <c r="N86" s="110">
        <f t="shared" si="1"/>
        <v>0</v>
      </c>
    </row>
    <row r="87" spans="1:14">
      <c r="A87" s="121" t="s">
        <v>73</v>
      </c>
      <c r="B87" s="110">
        <v>0</v>
      </c>
      <c r="C87" s="111"/>
      <c r="D87" s="111"/>
      <c r="E87" s="111">
        <v>1</v>
      </c>
      <c r="F87" s="125" t="s">
        <v>120</v>
      </c>
      <c r="G87" s="125"/>
      <c r="H87" s="111">
        <v>0</v>
      </c>
      <c r="I87" s="111"/>
      <c r="J87" s="132"/>
      <c r="K87" s="132">
        <v>0</v>
      </c>
      <c r="L87" s="111"/>
      <c r="M87" s="109"/>
      <c r="N87" s="110">
        <f t="shared" si="1"/>
        <v>1</v>
      </c>
    </row>
    <row r="88" spans="1:14">
      <c r="A88" s="122" t="s">
        <v>468</v>
      </c>
      <c r="B88" s="110">
        <v>0</v>
      </c>
      <c r="C88" s="111"/>
      <c r="D88" s="111"/>
      <c r="E88" s="111">
        <v>0</v>
      </c>
      <c r="F88" s="124"/>
      <c r="G88" s="124"/>
      <c r="H88" s="111">
        <v>0</v>
      </c>
      <c r="I88" s="111"/>
      <c r="J88" s="132"/>
      <c r="K88" s="132">
        <v>0</v>
      </c>
      <c r="L88" s="111"/>
      <c r="M88" s="109"/>
      <c r="N88" s="110">
        <f t="shared" si="1"/>
        <v>0</v>
      </c>
    </row>
    <row r="89" spans="1:14">
      <c r="A89" s="112" t="s">
        <v>74</v>
      </c>
      <c r="B89" s="110">
        <v>1</v>
      </c>
      <c r="C89" s="114" t="s">
        <v>99</v>
      </c>
      <c r="D89" s="114"/>
      <c r="E89" s="111">
        <v>2</v>
      </c>
      <c r="F89" s="125" t="s">
        <v>652</v>
      </c>
      <c r="G89" s="125"/>
      <c r="H89" s="111">
        <v>0</v>
      </c>
      <c r="I89" s="111"/>
      <c r="J89" s="132"/>
      <c r="K89" s="132">
        <v>0</v>
      </c>
      <c r="L89" s="111"/>
      <c r="M89" s="109"/>
      <c r="N89" s="110">
        <f t="shared" si="1"/>
        <v>3</v>
      </c>
    </row>
    <row r="90" spans="1:14">
      <c r="A90" s="112" t="s">
        <v>260</v>
      </c>
      <c r="B90" s="110">
        <v>0</v>
      </c>
      <c r="C90" s="111"/>
      <c r="D90" s="111"/>
      <c r="E90" s="111">
        <v>0</v>
      </c>
      <c r="F90" s="124"/>
      <c r="G90" s="124"/>
      <c r="H90" s="111">
        <v>0</v>
      </c>
      <c r="I90" s="111"/>
      <c r="J90" s="132"/>
      <c r="K90" s="132">
        <v>0</v>
      </c>
      <c r="L90" s="111"/>
      <c r="M90" s="109"/>
      <c r="N90" s="110">
        <f t="shared" si="1"/>
        <v>0</v>
      </c>
    </row>
    <row r="91" spans="1:14">
      <c r="A91" s="112" t="s">
        <v>75</v>
      </c>
      <c r="B91" s="110">
        <v>0</v>
      </c>
      <c r="C91" s="111"/>
      <c r="D91" s="111"/>
      <c r="E91" s="111">
        <v>0</v>
      </c>
      <c r="F91" s="124"/>
      <c r="G91" s="124"/>
      <c r="H91" s="111">
        <v>0</v>
      </c>
      <c r="I91" s="111"/>
      <c r="J91" s="132"/>
      <c r="K91" s="132">
        <v>0</v>
      </c>
      <c r="L91" s="111"/>
      <c r="M91" s="109"/>
      <c r="N91" s="110">
        <f t="shared" si="1"/>
        <v>0</v>
      </c>
    </row>
    <row r="92" spans="1:14">
      <c r="A92" s="112" t="s">
        <v>76</v>
      </c>
      <c r="B92" s="110">
        <v>0</v>
      </c>
      <c r="C92" s="111"/>
      <c r="D92" s="111"/>
      <c r="E92" s="111">
        <v>0</v>
      </c>
      <c r="F92" s="124"/>
      <c r="G92" s="124"/>
      <c r="H92" s="111">
        <v>0</v>
      </c>
      <c r="I92" s="111"/>
      <c r="J92" s="132"/>
      <c r="K92" s="132">
        <v>0</v>
      </c>
      <c r="L92" s="111"/>
      <c r="M92" s="109"/>
      <c r="N92" s="110">
        <f t="shared" si="1"/>
        <v>0</v>
      </c>
    </row>
    <row r="93" spans="1:14" ht="25.5">
      <c r="A93" s="109" t="s">
        <v>32</v>
      </c>
      <c r="B93" s="110">
        <v>1</v>
      </c>
      <c r="C93" s="114" t="s">
        <v>467</v>
      </c>
      <c r="D93" s="114"/>
      <c r="E93" s="111">
        <v>3</v>
      </c>
      <c r="F93" s="125" t="s">
        <v>653</v>
      </c>
      <c r="G93" s="125"/>
      <c r="H93" s="111">
        <v>0</v>
      </c>
      <c r="I93" s="111"/>
      <c r="J93" s="132"/>
      <c r="K93" s="132">
        <v>0</v>
      </c>
      <c r="L93" s="111"/>
      <c r="M93" s="109"/>
      <c r="N93" s="110">
        <f t="shared" si="1"/>
        <v>4</v>
      </c>
    </row>
    <row r="94" spans="1:14">
      <c r="A94" s="112" t="s">
        <v>77</v>
      </c>
      <c r="B94" s="110">
        <v>0</v>
      </c>
      <c r="C94" s="111"/>
      <c r="D94" s="111"/>
      <c r="E94" s="111">
        <v>1</v>
      </c>
      <c r="F94" s="125" t="s">
        <v>129</v>
      </c>
      <c r="G94" s="125"/>
      <c r="H94" s="111">
        <v>0</v>
      </c>
      <c r="I94" s="111"/>
      <c r="J94" s="132"/>
      <c r="K94" s="132">
        <v>0</v>
      </c>
      <c r="L94" s="111"/>
      <c r="M94" s="109"/>
      <c r="N94" s="110">
        <f t="shared" si="1"/>
        <v>1</v>
      </c>
    </row>
    <row r="95" spans="1:14">
      <c r="A95" s="118" t="s">
        <v>530</v>
      </c>
      <c r="B95" s="110"/>
      <c r="C95" s="111"/>
      <c r="D95" s="111"/>
      <c r="E95" s="111"/>
      <c r="F95" s="125"/>
      <c r="G95" s="125"/>
      <c r="H95" s="111">
        <v>0</v>
      </c>
      <c r="I95" s="111"/>
      <c r="J95" s="132"/>
      <c r="K95" s="132">
        <v>0</v>
      </c>
      <c r="L95" s="111"/>
      <c r="M95" s="109"/>
      <c r="N95" s="110"/>
    </row>
    <row r="96" spans="1:14">
      <c r="A96" s="109" t="s">
        <v>33</v>
      </c>
      <c r="B96" s="110">
        <v>1</v>
      </c>
      <c r="C96" s="114" t="s">
        <v>142</v>
      </c>
      <c r="D96" s="114"/>
      <c r="E96" s="111">
        <v>1</v>
      </c>
      <c r="F96" s="125" t="s">
        <v>117</v>
      </c>
      <c r="G96" s="125"/>
      <c r="H96" s="111">
        <v>0</v>
      </c>
      <c r="I96" s="111"/>
      <c r="J96" s="132"/>
      <c r="K96" s="132">
        <v>1</v>
      </c>
      <c r="L96" s="123" t="s">
        <v>137</v>
      </c>
      <c r="M96" s="109"/>
      <c r="N96" s="110">
        <f t="shared" si="1"/>
        <v>3</v>
      </c>
    </row>
    <row r="97" spans="1:14">
      <c r="A97" s="112" t="s">
        <v>78</v>
      </c>
      <c r="B97" s="110">
        <v>0</v>
      </c>
      <c r="C97" s="111"/>
      <c r="D97" s="111"/>
      <c r="E97" s="111">
        <v>0</v>
      </c>
      <c r="F97" s="124"/>
      <c r="G97" s="124"/>
      <c r="H97" s="111">
        <v>0</v>
      </c>
      <c r="I97" s="111"/>
      <c r="J97" s="132"/>
      <c r="K97" s="132">
        <v>0</v>
      </c>
      <c r="L97" s="111"/>
      <c r="M97" s="109"/>
      <c r="N97" s="110">
        <f t="shared" si="1"/>
        <v>0</v>
      </c>
    </row>
    <row r="98" spans="1:14">
      <c r="A98" s="112" t="s">
        <v>79</v>
      </c>
      <c r="B98" s="110">
        <v>0</v>
      </c>
      <c r="C98" s="111"/>
      <c r="D98" s="111"/>
      <c r="E98" s="111">
        <v>0</v>
      </c>
      <c r="F98" s="124"/>
      <c r="G98" s="124"/>
      <c r="H98" s="111">
        <v>0</v>
      </c>
      <c r="I98" s="111"/>
      <c r="J98" s="132"/>
      <c r="K98" s="132">
        <v>2</v>
      </c>
      <c r="L98" s="123" t="s">
        <v>666</v>
      </c>
      <c r="M98" s="109"/>
      <c r="N98" s="110">
        <f t="shared" si="1"/>
        <v>2</v>
      </c>
    </row>
    <row r="99" spans="1:14">
      <c r="A99" s="112" t="s">
        <v>80</v>
      </c>
      <c r="B99" s="110">
        <v>0</v>
      </c>
      <c r="C99" s="111"/>
      <c r="D99" s="111"/>
      <c r="E99" s="111">
        <v>0</v>
      </c>
      <c r="F99" s="124"/>
      <c r="G99" s="124"/>
      <c r="H99" s="111">
        <v>0</v>
      </c>
      <c r="I99" s="111"/>
      <c r="J99" s="132"/>
      <c r="K99" s="132">
        <v>0</v>
      </c>
      <c r="L99" s="111"/>
      <c r="M99" s="109"/>
      <c r="N99" s="110">
        <f t="shared" si="1"/>
        <v>0</v>
      </c>
    </row>
    <row r="100" spans="1:14">
      <c r="A100" s="113" t="s">
        <v>34</v>
      </c>
      <c r="B100" s="110">
        <v>2</v>
      </c>
      <c r="C100" s="123" t="s">
        <v>984</v>
      </c>
      <c r="D100" s="114"/>
      <c r="E100" s="111">
        <v>2</v>
      </c>
      <c r="F100" s="125" t="s">
        <v>654</v>
      </c>
      <c r="G100" s="125"/>
      <c r="H100" s="111">
        <v>0</v>
      </c>
      <c r="I100" s="111"/>
      <c r="J100" s="132"/>
      <c r="K100" s="132">
        <v>0</v>
      </c>
      <c r="L100" s="111"/>
      <c r="M100" s="109"/>
      <c r="N100" s="110">
        <f t="shared" si="1"/>
        <v>4</v>
      </c>
    </row>
    <row r="101" spans="1:14" ht="25.5">
      <c r="A101" s="109" t="s">
        <v>35</v>
      </c>
      <c r="B101" s="110">
        <v>2</v>
      </c>
      <c r="C101" s="114" t="s">
        <v>642</v>
      </c>
      <c r="D101" s="114"/>
      <c r="E101" s="111">
        <v>1</v>
      </c>
      <c r="F101" s="125" t="s">
        <v>111</v>
      </c>
      <c r="G101" s="125"/>
      <c r="H101" s="111">
        <v>3</v>
      </c>
      <c r="I101" s="123" t="s">
        <v>661</v>
      </c>
      <c r="J101" s="134"/>
      <c r="K101" s="132">
        <v>0</v>
      </c>
      <c r="L101" s="111"/>
      <c r="M101" s="109"/>
      <c r="N101" s="110">
        <f t="shared" si="1"/>
        <v>6</v>
      </c>
    </row>
    <row r="102" spans="1:14" ht="25.5">
      <c r="A102" s="112" t="s">
        <v>81</v>
      </c>
      <c r="B102" s="110">
        <v>3</v>
      </c>
      <c r="C102" s="114" t="s">
        <v>643</v>
      </c>
      <c r="D102" s="114"/>
      <c r="E102" s="111">
        <v>0</v>
      </c>
      <c r="F102" s="124"/>
      <c r="G102" s="124"/>
      <c r="H102" s="111">
        <v>0</v>
      </c>
      <c r="I102" s="111"/>
      <c r="J102" s="132"/>
      <c r="K102" s="132">
        <v>0</v>
      </c>
      <c r="L102" s="111"/>
      <c r="M102" s="109"/>
      <c r="N102" s="110">
        <f t="shared" si="1"/>
        <v>3</v>
      </c>
    </row>
    <row r="103" spans="1:14">
      <c r="A103" s="112" t="s">
        <v>82</v>
      </c>
      <c r="B103" s="110">
        <v>0</v>
      </c>
      <c r="C103" s="111"/>
      <c r="D103" s="111"/>
      <c r="E103" s="111">
        <v>0</v>
      </c>
      <c r="F103" s="124"/>
      <c r="G103" s="124"/>
      <c r="H103" s="111">
        <v>0</v>
      </c>
      <c r="I103" s="111"/>
      <c r="J103" s="132"/>
      <c r="K103" s="132">
        <v>0</v>
      </c>
      <c r="L103" s="111"/>
      <c r="M103" s="109"/>
      <c r="N103" s="110">
        <f t="shared" si="1"/>
        <v>0</v>
      </c>
    </row>
    <row r="104" spans="1:14">
      <c r="A104" s="112" t="s">
        <v>83</v>
      </c>
      <c r="B104" s="110">
        <v>0</v>
      </c>
      <c r="C104" s="111"/>
      <c r="D104" s="111"/>
      <c r="E104" s="111">
        <v>0</v>
      </c>
      <c r="F104" s="124"/>
      <c r="G104" s="124"/>
      <c r="H104" s="111">
        <v>0</v>
      </c>
      <c r="I104" s="111"/>
      <c r="J104" s="132"/>
      <c r="K104" s="132">
        <v>0</v>
      </c>
      <c r="L104" s="111"/>
      <c r="M104" s="109"/>
      <c r="N104" s="110">
        <f t="shared" si="1"/>
        <v>0</v>
      </c>
    </row>
    <row r="105" spans="1:14">
      <c r="A105" s="118" t="s">
        <v>600</v>
      </c>
      <c r="B105" s="110">
        <v>0</v>
      </c>
      <c r="C105" s="111"/>
      <c r="D105" s="111"/>
      <c r="E105" s="111">
        <v>0</v>
      </c>
      <c r="F105" s="124"/>
      <c r="G105" s="124"/>
      <c r="H105" s="111">
        <v>0</v>
      </c>
      <c r="I105" s="111"/>
      <c r="J105" s="132"/>
      <c r="K105" s="132">
        <v>0</v>
      </c>
      <c r="L105" s="111"/>
      <c r="M105" s="109"/>
      <c r="N105" s="110">
        <f t="shared" si="1"/>
        <v>0</v>
      </c>
    </row>
    <row r="106" spans="1:14">
      <c r="A106" s="112" t="s">
        <v>266</v>
      </c>
      <c r="B106" s="110">
        <v>0</v>
      </c>
      <c r="C106" s="111"/>
      <c r="D106" s="111"/>
      <c r="E106" s="111">
        <v>0</v>
      </c>
      <c r="F106" s="124"/>
      <c r="G106" s="124"/>
      <c r="H106" s="111">
        <v>0</v>
      </c>
      <c r="I106" s="111"/>
      <c r="J106" s="132"/>
      <c r="K106" s="132">
        <v>0</v>
      </c>
      <c r="L106" s="111"/>
      <c r="M106" s="109"/>
      <c r="N106" s="110">
        <f t="shared" si="1"/>
        <v>0</v>
      </c>
    </row>
    <row r="107" spans="1:14">
      <c r="A107" s="112" t="s">
        <v>84</v>
      </c>
      <c r="B107" s="110">
        <v>0</v>
      </c>
      <c r="C107" s="111"/>
      <c r="D107" s="111"/>
      <c r="E107" s="111">
        <v>0</v>
      </c>
      <c r="F107" s="124"/>
      <c r="G107" s="124"/>
      <c r="H107" s="111">
        <v>0</v>
      </c>
      <c r="I107" s="111"/>
      <c r="J107" s="132"/>
      <c r="K107" s="132">
        <v>0</v>
      </c>
      <c r="L107" s="111"/>
      <c r="M107" s="109"/>
      <c r="N107" s="110">
        <f t="shared" si="1"/>
        <v>0</v>
      </c>
    </row>
    <row r="108" spans="1:14">
      <c r="A108" s="112" t="s">
        <v>85</v>
      </c>
      <c r="B108" s="110">
        <v>0</v>
      </c>
      <c r="C108" s="111"/>
      <c r="D108" s="111"/>
      <c r="E108" s="111">
        <v>0</v>
      </c>
      <c r="F108" s="124"/>
      <c r="G108" s="124"/>
      <c r="H108" s="111">
        <v>0</v>
      </c>
      <c r="I108" s="111"/>
      <c r="J108" s="132"/>
      <c r="K108" s="132">
        <v>0</v>
      </c>
      <c r="L108" s="111"/>
      <c r="M108" s="109"/>
      <c r="N108" s="110">
        <f t="shared" si="1"/>
        <v>0</v>
      </c>
    </row>
    <row r="109" spans="1:14">
      <c r="A109" s="109" t="s">
        <v>36</v>
      </c>
      <c r="B109" s="110">
        <v>0</v>
      </c>
      <c r="C109" s="111"/>
      <c r="D109" s="111"/>
      <c r="E109" s="111">
        <v>0</v>
      </c>
      <c r="F109" s="124"/>
      <c r="G109" s="124"/>
      <c r="H109" s="111">
        <v>0</v>
      </c>
      <c r="I109" s="111"/>
      <c r="J109" s="132"/>
      <c r="K109" s="132">
        <v>0</v>
      </c>
      <c r="L109" s="111"/>
      <c r="M109" s="109"/>
      <c r="N109" s="110">
        <f t="shared" si="1"/>
        <v>0</v>
      </c>
    </row>
    <row r="110" spans="1:14">
      <c r="A110" s="109" t="s">
        <v>305</v>
      </c>
      <c r="B110" s="110">
        <v>0</v>
      </c>
      <c r="C110" s="111"/>
      <c r="D110" s="111"/>
      <c r="E110" s="111">
        <v>0</v>
      </c>
      <c r="F110" s="124"/>
      <c r="G110" s="124"/>
      <c r="H110" s="111">
        <v>0</v>
      </c>
      <c r="I110" s="111"/>
      <c r="J110" s="132"/>
      <c r="K110" s="132">
        <v>0</v>
      </c>
      <c r="L110" s="111"/>
      <c r="M110" s="109"/>
      <c r="N110" s="110">
        <f t="shared" si="1"/>
        <v>0</v>
      </c>
    </row>
    <row r="111" spans="1:14">
      <c r="A111" s="109" t="s">
        <v>37</v>
      </c>
      <c r="B111" s="110">
        <v>1</v>
      </c>
      <c r="C111" s="114" t="s">
        <v>378</v>
      </c>
      <c r="D111" s="114"/>
      <c r="E111" s="111">
        <v>1</v>
      </c>
      <c r="F111" s="125" t="s">
        <v>137</v>
      </c>
      <c r="G111" s="125"/>
      <c r="H111" s="111">
        <v>0</v>
      </c>
      <c r="I111" s="111"/>
      <c r="J111" s="132"/>
      <c r="K111" s="132">
        <v>0</v>
      </c>
      <c r="L111" s="111"/>
      <c r="M111" s="109"/>
      <c r="N111" s="110">
        <f t="shared" si="1"/>
        <v>2</v>
      </c>
    </row>
    <row r="112" spans="1:14">
      <c r="A112" s="109" t="s">
        <v>38</v>
      </c>
      <c r="B112" s="110">
        <v>0</v>
      </c>
      <c r="C112" s="111"/>
      <c r="D112" s="111"/>
      <c r="E112" s="111">
        <v>0</v>
      </c>
      <c r="F112" s="124"/>
      <c r="G112" s="124"/>
      <c r="H112" s="111">
        <v>1</v>
      </c>
      <c r="I112" s="123" t="s">
        <v>514</v>
      </c>
      <c r="J112" s="134"/>
      <c r="K112" s="132">
        <v>0</v>
      </c>
      <c r="L112" s="111"/>
      <c r="M112" s="109"/>
      <c r="N112" s="110">
        <f t="shared" si="1"/>
        <v>1</v>
      </c>
    </row>
    <row r="113" spans="1:14">
      <c r="A113" s="112" t="s">
        <v>86</v>
      </c>
      <c r="B113" s="110">
        <v>0</v>
      </c>
      <c r="C113" s="111"/>
      <c r="D113" s="111"/>
      <c r="E113" s="111">
        <v>0</v>
      </c>
      <c r="F113" s="124"/>
      <c r="G113" s="124"/>
      <c r="H113" s="111">
        <v>0</v>
      </c>
      <c r="I113" s="111"/>
      <c r="J113" s="132"/>
      <c r="K113" s="132">
        <v>0</v>
      </c>
      <c r="L113" s="111"/>
      <c r="M113" s="109"/>
      <c r="N113" s="110">
        <f t="shared" si="1"/>
        <v>0</v>
      </c>
    </row>
  </sheetData>
  <pageMargins left="0.7" right="0.7" top="0.75" bottom="0.75" header="0.3" footer="0.3"/>
  <pageSetup scale="78" fitToHeight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2"/>
  <sheetViews>
    <sheetView workbookViewId="0">
      <selection activeCell="A2" sqref="A2"/>
    </sheetView>
  </sheetViews>
  <sheetFormatPr defaultRowHeight="12.75"/>
  <cols>
    <col min="1" max="1" width="12.28515625" customWidth="1"/>
    <col min="2" max="2" width="9.140625" style="43"/>
    <col min="3" max="3" width="11.5703125" style="107" customWidth="1"/>
    <col min="4" max="4" width="2.42578125" style="107" customWidth="1"/>
    <col min="6" max="6" width="13.5703125" customWidth="1"/>
    <col min="7" max="7" width="2.140625" customWidth="1"/>
    <col min="8" max="8" width="9.140625" style="133"/>
    <col min="9" max="9" width="13.5703125" style="133" customWidth="1"/>
    <col min="10" max="10" width="2.140625" style="133" customWidth="1"/>
    <col min="11" max="11" width="9.140625" style="107"/>
    <col min="12" max="12" width="12.140625" style="107" customWidth="1"/>
    <col min="13" max="13" width="2.42578125" customWidth="1"/>
  </cols>
  <sheetData>
    <row r="1" spans="1:14" ht="25.5">
      <c r="A1" s="126" t="s">
        <v>629</v>
      </c>
      <c r="B1" s="127" t="s">
        <v>630</v>
      </c>
      <c r="C1" s="128" t="s">
        <v>631</v>
      </c>
      <c r="D1" s="128"/>
      <c r="E1" s="128" t="s">
        <v>644</v>
      </c>
      <c r="F1" s="129" t="s">
        <v>645</v>
      </c>
      <c r="G1" s="129"/>
      <c r="H1" s="130" t="s">
        <v>655</v>
      </c>
      <c r="I1" s="130" t="s">
        <v>656</v>
      </c>
      <c r="J1" s="131"/>
      <c r="K1" s="131" t="s">
        <v>663</v>
      </c>
      <c r="L1" s="130" t="s">
        <v>664</v>
      </c>
      <c r="M1" s="109"/>
      <c r="N1" s="130" t="s">
        <v>670</v>
      </c>
    </row>
    <row r="2" spans="1:14" ht="51">
      <c r="A2" s="113" t="s">
        <v>0</v>
      </c>
      <c r="B2" s="110">
        <v>2</v>
      </c>
      <c r="C2" s="123" t="s">
        <v>632</v>
      </c>
      <c r="D2" s="114"/>
      <c r="E2" s="111">
        <v>2</v>
      </c>
      <c r="F2" s="125" t="s">
        <v>982</v>
      </c>
      <c r="G2" s="124"/>
      <c r="H2" s="111">
        <v>8</v>
      </c>
      <c r="I2" s="123" t="s">
        <v>983</v>
      </c>
      <c r="J2" s="134"/>
      <c r="K2" s="132">
        <v>0</v>
      </c>
      <c r="L2" s="111"/>
      <c r="M2" s="109"/>
      <c r="N2" s="110">
        <f t="shared" ref="N2:N33" si="0">B2+E2+H2+K2</f>
        <v>12</v>
      </c>
    </row>
    <row r="3" spans="1:14" ht="38.25">
      <c r="A3" s="109" t="s">
        <v>23</v>
      </c>
      <c r="B3" s="110">
        <v>6</v>
      </c>
      <c r="C3" s="114" t="s">
        <v>779</v>
      </c>
      <c r="D3" s="114"/>
      <c r="E3" s="111">
        <v>3</v>
      </c>
      <c r="F3" s="125" t="s">
        <v>648</v>
      </c>
      <c r="G3" s="125"/>
      <c r="H3" s="111">
        <v>1</v>
      </c>
      <c r="I3" s="123" t="s">
        <v>641</v>
      </c>
      <c r="J3" s="134"/>
      <c r="K3" s="132">
        <v>1</v>
      </c>
      <c r="L3" s="123" t="s">
        <v>176</v>
      </c>
      <c r="M3" s="109"/>
      <c r="N3" s="110">
        <f t="shared" si="0"/>
        <v>11</v>
      </c>
    </row>
    <row r="4" spans="1:14" ht="51">
      <c r="A4" s="109" t="s">
        <v>25</v>
      </c>
      <c r="B4" s="110">
        <v>0</v>
      </c>
      <c r="C4" s="111"/>
      <c r="D4" s="111"/>
      <c r="E4" s="111">
        <v>2</v>
      </c>
      <c r="F4" s="125" t="s">
        <v>650</v>
      </c>
      <c r="G4" s="125"/>
      <c r="H4" s="111">
        <v>8</v>
      </c>
      <c r="I4" s="123" t="s">
        <v>983</v>
      </c>
      <c r="J4" s="134"/>
      <c r="K4" s="132">
        <v>1</v>
      </c>
      <c r="L4" s="123" t="s">
        <v>792</v>
      </c>
      <c r="M4" s="109"/>
      <c r="N4" s="110">
        <f t="shared" si="0"/>
        <v>11</v>
      </c>
    </row>
    <row r="5" spans="1:14" ht="25.5">
      <c r="A5" s="109" t="s">
        <v>4</v>
      </c>
      <c r="B5" s="110">
        <v>2</v>
      </c>
      <c r="C5" s="114" t="s">
        <v>633</v>
      </c>
      <c r="D5" s="114"/>
      <c r="E5" s="111">
        <v>4</v>
      </c>
      <c r="F5" s="125" t="s">
        <v>646</v>
      </c>
      <c r="G5" s="125"/>
      <c r="H5" s="111">
        <v>3</v>
      </c>
      <c r="I5" s="123" t="s">
        <v>662</v>
      </c>
      <c r="J5" s="134"/>
      <c r="K5" s="132">
        <v>1</v>
      </c>
      <c r="L5" s="123" t="s">
        <v>621</v>
      </c>
      <c r="M5" s="109"/>
      <c r="N5" s="110">
        <f t="shared" si="0"/>
        <v>10</v>
      </c>
    </row>
    <row r="6" spans="1:14" ht="25.5">
      <c r="A6" s="109" t="s">
        <v>26</v>
      </c>
      <c r="B6" s="110">
        <v>2</v>
      </c>
      <c r="C6" s="114" t="s">
        <v>639</v>
      </c>
      <c r="D6" s="114"/>
      <c r="E6" s="111">
        <v>2</v>
      </c>
      <c r="F6" s="125" t="s">
        <v>651</v>
      </c>
      <c r="G6" s="125"/>
      <c r="H6" s="111">
        <v>1</v>
      </c>
      <c r="I6" s="123" t="s">
        <v>458</v>
      </c>
      <c r="J6" s="134"/>
      <c r="K6" s="132">
        <v>3</v>
      </c>
      <c r="L6" s="123" t="s">
        <v>977</v>
      </c>
      <c r="M6" s="109"/>
      <c r="N6" s="110">
        <f t="shared" si="0"/>
        <v>8</v>
      </c>
    </row>
    <row r="7" spans="1:14" ht="25.5">
      <c r="A7" s="109" t="s">
        <v>16</v>
      </c>
      <c r="B7" s="110">
        <v>2</v>
      </c>
      <c r="C7" s="123" t="s">
        <v>637</v>
      </c>
      <c r="D7" s="114"/>
      <c r="E7" s="111">
        <v>0</v>
      </c>
      <c r="F7" s="124"/>
      <c r="G7" s="124"/>
      <c r="H7" s="111">
        <v>0</v>
      </c>
      <c r="I7" s="111"/>
      <c r="J7" s="132"/>
      <c r="K7" s="132">
        <v>4</v>
      </c>
      <c r="L7" s="123" t="s">
        <v>668</v>
      </c>
      <c r="M7" s="109"/>
      <c r="N7" s="110">
        <f t="shared" si="0"/>
        <v>6</v>
      </c>
    </row>
    <row r="8" spans="1:14" ht="25.5">
      <c r="A8" s="109" t="s">
        <v>35</v>
      </c>
      <c r="B8" s="110">
        <v>2</v>
      </c>
      <c r="C8" s="123" t="s">
        <v>642</v>
      </c>
      <c r="D8" s="114"/>
      <c r="E8" s="111">
        <v>1</v>
      </c>
      <c r="F8" s="125" t="s">
        <v>111</v>
      </c>
      <c r="G8" s="125"/>
      <c r="H8" s="111">
        <v>3</v>
      </c>
      <c r="I8" s="123" t="s">
        <v>661</v>
      </c>
      <c r="J8" s="134"/>
      <c r="K8" s="132">
        <v>0</v>
      </c>
      <c r="L8" s="111"/>
      <c r="M8" s="109"/>
      <c r="N8" s="110">
        <f t="shared" si="0"/>
        <v>6</v>
      </c>
    </row>
    <row r="9" spans="1:14" ht="25.5">
      <c r="A9" s="109" t="s">
        <v>22</v>
      </c>
      <c r="B9" s="110">
        <v>3</v>
      </c>
      <c r="C9" s="114" t="s">
        <v>638</v>
      </c>
      <c r="D9" s="114"/>
      <c r="E9" s="111">
        <v>1</v>
      </c>
      <c r="F9" s="125" t="s">
        <v>232</v>
      </c>
      <c r="G9" s="125"/>
      <c r="H9" s="111">
        <v>1</v>
      </c>
      <c r="I9" s="123" t="s">
        <v>378</v>
      </c>
      <c r="J9" s="134"/>
      <c r="K9" s="132">
        <v>0</v>
      </c>
      <c r="L9" s="111"/>
      <c r="M9" s="109"/>
      <c r="N9" s="110">
        <f t="shared" si="0"/>
        <v>5</v>
      </c>
    </row>
    <row r="10" spans="1:14" ht="25.5">
      <c r="A10" s="109" t="s">
        <v>24</v>
      </c>
      <c r="B10" s="110">
        <v>0</v>
      </c>
      <c r="C10" s="111"/>
      <c r="D10" s="111"/>
      <c r="E10" s="111">
        <v>3</v>
      </c>
      <c r="F10" s="125" t="s">
        <v>649</v>
      </c>
      <c r="G10" s="125"/>
      <c r="H10" s="123">
        <v>1</v>
      </c>
      <c r="I10" s="123" t="s">
        <v>458</v>
      </c>
      <c r="J10" s="134"/>
      <c r="K10" s="132">
        <v>1</v>
      </c>
      <c r="L10" s="123" t="s">
        <v>104</v>
      </c>
      <c r="M10" s="109"/>
      <c r="N10" s="110">
        <f t="shared" si="0"/>
        <v>5</v>
      </c>
    </row>
    <row r="11" spans="1:14" ht="25.5">
      <c r="A11" s="116" t="s">
        <v>513</v>
      </c>
      <c r="B11" s="110">
        <v>1</v>
      </c>
      <c r="C11" s="111">
        <v>2014</v>
      </c>
      <c r="D11" s="111"/>
      <c r="E11" s="111">
        <v>0</v>
      </c>
      <c r="F11" s="124"/>
      <c r="G11" s="124"/>
      <c r="H11" s="111">
        <v>0</v>
      </c>
      <c r="I11" s="111"/>
      <c r="J11" s="132"/>
      <c r="K11" s="132">
        <v>3</v>
      </c>
      <c r="L11" s="123" t="s">
        <v>676</v>
      </c>
      <c r="M11" s="109"/>
      <c r="N11" s="110">
        <f t="shared" si="0"/>
        <v>4</v>
      </c>
    </row>
    <row r="12" spans="1:14">
      <c r="A12" s="112" t="s">
        <v>63</v>
      </c>
      <c r="B12" s="110">
        <v>2</v>
      </c>
      <c r="C12" s="114" t="s">
        <v>636</v>
      </c>
      <c r="D12" s="114"/>
      <c r="E12" s="111">
        <v>0</v>
      </c>
      <c r="F12" s="124"/>
      <c r="G12" s="124"/>
      <c r="H12" s="111">
        <v>0</v>
      </c>
      <c r="I12" s="111"/>
      <c r="J12" s="132"/>
      <c r="K12" s="132">
        <v>2</v>
      </c>
      <c r="L12" s="123" t="s">
        <v>669</v>
      </c>
      <c r="M12" s="109"/>
      <c r="N12" s="110">
        <f t="shared" si="0"/>
        <v>4</v>
      </c>
    </row>
    <row r="13" spans="1:14">
      <c r="A13" s="109" t="s">
        <v>28</v>
      </c>
      <c r="B13" s="110">
        <v>1</v>
      </c>
      <c r="C13" s="114" t="s">
        <v>232</v>
      </c>
      <c r="D13" s="114"/>
      <c r="E13" s="111">
        <v>1</v>
      </c>
      <c r="F13" s="125" t="s">
        <v>641</v>
      </c>
      <c r="G13" s="125"/>
      <c r="H13" s="111">
        <v>0</v>
      </c>
      <c r="I13" s="111"/>
      <c r="J13" s="132"/>
      <c r="K13" s="132">
        <v>2</v>
      </c>
      <c r="L13" s="123" t="s">
        <v>654</v>
      </c>
      <c r="M13" s="109"/>
      <c r="N13" s="110">
        <f t="shared" si="0"/>
        <v>4</v>
      </c>
    </row>
    <row r="14" spans="1:14" ht="25.5">
      <c r="A14" s="109" t="s">
        <v>32</v>
      </c>
      <c r="B14" s="110">
        <v>1</v>
      </c>
      <c r="C14" s="114" t="s">
        <v>467</v>
      </c>
      <c r="D14" s="114"/>
      <c r="E14" s="111">
        <v>3</v>
      </c>
      <c r="F14" s="125" t="s">
        <v>653</v>
      </c>
      <c r="G14" s="125"/>
      <c r="H14" s="111">
        <v>0</v>
      </c>
      <c r="I14" s="111"/>
      <c r="J14" s="132"/>
      <c r="K14" s="132">
        <v>0</v>
      </c>
      <c r="L14" s="111"/>
      <c r="M14" s="109"/>
      <c r="N14" s="110">
        <f t="shared" si="0"/>
        <v>4</v>
      </c>
    </row>
    <row r="15" spans="1:14" ht="25.5">
      <c r="A15" s="109" t="s">
        <v>258</v>
      </c>
      <c r="B15" s="110">
        <v>1</v>
      </c>
      <c r="C15" s="114" t="s">
        <v>369</v>
      </c>
      <c r="D15" s="114"/>
      <c r="E15" s="111">
        <v>0</v>
      </c>
      <c r="F15" s="124"/>
      <c r="G15" s="124"/>
      <c r="H15" s="111">
        <v>3</v>
      </c>
      <c r="I15" s="123" t="s">
        <v>791</v>
      </c>
      <c r="J15" s="134"/>
      <c r="K15" s="132">
        <v>0</v>
      </c>
      <c r="L15" s="111"/>
      <c r="M15" s="109"/>
      <c r="N15" s="110">
        <f t="shared" si="0"/>
        <v>4</v>
      </c>
    </row>
    <row r="16" spans="1:14">
      <c r="A16" s="109" t="s">
        <v>12</v>
      </c>
      <c r="B16" s="110">
        <v>0</v>
      </c>
      <c r="C16" s="111"/>
      <c r="D16" s="111"/>
      <c r="E16" s="111">
        <v>1</v>
      </c>
      <c r="F16" s="125" t="s">
        <v>263</v>
      </c>
      <c r="G16" s="125"/>
      <c r="H16" s="111">
        <v>1</v>
      </c>
      <c r="I16" s="123" t="s">
        <v>484</v>
      </c>
      <c r="J16" s="134"/>
      <c r="K16" s="132">
        <v>2</v>
      </c>
      <c r="L16" s="123" t="s">
        <v>984</v>
      </c>
      <c r="M16" s="109"/>
      <c r="N16" s="110">
        <f t="shared" si="0"/>
        <v>4</v>
      </c>
    </row>
    <row r="17" spans="1:14">
      <c r="A17" s="113" t="s">
        <v>34</v>
      </c>
      <c r="B17" s="110">
        <v>2</v>
      </c>
      <c r="C17" s="123" t="s">
        <v>984</v>
      </c>
      <c r="D17" s="114"/>
      <c r="E17" s="111">
        <v>2</v>
      </c>
      <c r="F17" s="125" t="s">
        <v>654</v>
      </c>
      <c r="G17" s="125"/>
      <c r="H17" s="111">
        <v>0</v>
      </c>
      <c r="I17" s="111"/>
      <c r="J17" s="132"/>
      <c r="K17" s="132">
        <v>0</v>
      </c>
      <c r="L17" s="111"/>
      <c r="M17" s="109"/>
      <c r="N17" s="110">
        <f t="shared" si="0"/>
        <v>4</v>
      </c>
    </row>
    <row r="18" spans="1:14">
      <c r="A18" s="109" t="s">
        <v>10</v>
      </c>
      <c r="B18" s="110">
        <v>2</v>
      </c>
      <c r="C18" s="114" t="s">
        <v>635</v>
      </c>
      <c r="D18" s="114"/>
      <c r="E18" s="111">
        <v>0</v>
      </c>
      <c r="F18" s="124"/>
      <c r="G18" s="124"/>
      <c r="H18" s="111">
        <v>1</v>
      </c>
      <c r="I18" s="123" t="s">
        <v>369</v>
      </c>
      <c r="J18" s="134"/>
      <c r="K18" s="132">
        <v>0</v>
      </c>
      <c r="L18" s="111"/>
      <c r="M18" s="109"/>
      <c r="N18" s="110">
        <f t="shared" si="0"/>
        <v>3</v>
      </c>
    </row>
    <row r="19" spans="1:14">
      <c r="A19" s="109" t="s">
        <v>15</v>
      </c>
      <c r="B19" s="110">
        <v>0</v>
      </c>
      <c r="C19" s="111"/>
      <c r="D19" s="111"/>
      <c r="E19" s="111">
        <v>2</v>
      </c>
      <c r="F19" s="125" t="s">
        <v>647</v>
      </c>
      <c r="G19" s="125"/>
      <c r="H19" s="111">
        <v>0</v>
      </c>
      <c r="I19" s="111"/>
      <c r="J19" s="132"/>
      <c r="K19" s="132">
        <v>1</v>
      </c>
      <c r="L19" s="123" t="s">
        <v>402</v>
      </c>
      <c r="M19" s="109"/>
      <c r="N19" s="110">
        <f t="shared" si="0"/>
        <v>3</v>
      </c>
    </row>
    <row r="20" spans="1:14">
      <c r="A20" s="109" t="s">
        <v>27</v>
      </c>
      <c r="B20" s="110">
        <v>1</v>
      </c>
      <c r="C20" s="114" t="s">
        <v>482</v>
      </c>
      <c r="D20" s="114"/>
      <c r="E20" s="111">
        <v>0</v>
      </c>
      <c r="F20" s="124"/>
      <c r="G20" s="124"/>
      <c r="H20" s="111">
        <v>1</v>
      </c>
      <c r="I20" s="123" t="s">
        <v>263</v>
      </c>
      <c r="J20" s="134"/>
      <c r="K20" s="132">
        <v>1</v>
      </c>
      <c r="L20" s="123" t="s">
        <v>458</v>
      </c>
      <c r="M20" s="109"/>
      <c r="N20" s="110">
        <f t="shared" si="0"/>
        <v>3</v>
      </c>
    </row>
    <row r="21" spans="1:14">
      <c r="A21" s="112" t="s">
        <v>74</v>
      </c>
      <c r="B21" s="110">
        <v>1</v>
      </c>
      <c r="C21" s="123" t="s">
        <v>99</v>
      </c>
      <c r="D21" s="114"/>
      <c r="E21" s="111">
        <v>2</v>
      </c>
      <c r="F21" s="125" t="s">
        <v>652</v>
      </c>
      <c r="G21" s="125"/>
      <c r="H21" s="111">
        <v>0</v>
      </c>
      <c r="I21" s="111"/>
      <c r="J21" s="132"/>
      <c r="K21" s="132">
        <v>0</v>
      </c>
      <c r="L21" s="111"/>
      <c r="M21" s="109"/>
      <c r="N21" s="110">
        <f t="shared" si="0"/>
        <v>3</v>
      </c>
    </row>
    <row r="22" spans="1:14">
      <c r="A22" s="109" t="s">
        <v>33</v>
      </c>
      <c r="B22" s="110">
        <v>1</v>
      </c>
      <c r="C22" s="114" t="s">
        <v>142</v>
      </c>
      <c r="D22" s="114"/>
      <c r="E22" s="111">
        <v>1</v>
      </c>
      <c r="F22" s="125" t="s">
        <v>117</v>
      </c>
      <c r="G22" s="125"/>
      <c r="H22" s="111">
        <v>0</v>
      </c>
      <c r="I22" s="111"/>
      <c r="J22" s="132"/>
      <c r="K22" s="132">
        <v>1</v>
      </c>
      <c r="L22" s="123" t="s">
        <v>137</v>
      </c>
      <c r="M22" s="109"/>
      <c r="N22" s="110">
        <f t="shared" si="0"/>
        <v>3</v>
      </c>
    </row>
    <row r="23" spans="1:14" ht="25.5">
      <c r="A23" s="112" t="s">
        <v>81</v>
      </c>
      <c r="B23" s="110">
        <v>3</v>
      </c>
      <c r="C23" s="114" t="s">
        <v>643</v>
      </c>
      <c r="D23" s="114"/>
      <c r="E23" s="111">
        <v>0</v>
      </c>
      <c r="F23" s="124"/>
      <c r="G23" s="124"/>
      <c r="H23" s="111">
        <v>0</v>
      </c>
      <c r="I23" s="111"/>
      <c r="J23" s="132"/>
      <c r="K23" s="132">
        <v>0</v>
      </c>
      <c r="L23" s="111"/>
      <c r="M23" s="109"/>
      <c r="N23" s="110">
        <f t="shared" si="0"/>
        <v>3</v>
      </c>
    </row>
    <row r="24" spans="1:14" ht="25.5">
      <c r="A24" s="121" t="s">
        <v>259</v>
      </c>
      <c r="B24" s="110">
        <v>0</v>
      </c>
      <c r="C24" s="111"/>
      <c r="D24" s="111"/>
      <c r="E24" s="111">
        <v>0</v>
      </c>
      <c r="F24" s="124"/>
      <c r="G24" s="124"/>
      <c r="H24" s="111">
        <v>3</v>
      </c>
      <c r="I24" s="123" t="s">
        <v>791</v>
      </c>
      <c r="J24" s="134"/>
      <c r="K24" s="132">
        <v>0</v>
      </c>
      <c r="L24" s="111"/>
      <c r="M24" s="109"/>
      <c r="N24" s="110">
        <f t="shared" si="0"/>
        <v>3</v>
      </c>
    </row>
    <row r="25" spans="1:14">
      <c r="A25" s="109" t="s">
        <v>31</v>
      </c>
      <c r="B25" s="110">
        <v>2</v>
      </c>
      <c r="C25" s="123" t="s">
        <v>793</v>
      </c>
      <c r="D25" s="114"/>
      <c r="E25" s="111">
        <v>0</v>
      </c>
      <c r="F25" s="124"/>
      <c r="G25" s="124"/>
      <c r="H25" s="111">
        <v>1</v>
      </c>
      <c r="I25" s="123" t="s">
        <v>263</v>
      </c>
      <c r="J25" s="134"/>
      <c r="K25" s="132">
        <v>0</v>
      </c>
      <c r="L25" s="111"/>
      <c r="M25" s="109"/>
      <c r="N25" s="110">
        <f t="shared" si="0"/>
        <v>3</v>
      </c>
    </row>
    <row r="26" spans="1:14">
      <c r="A26" s="112" t="s">
        <v>43</v>
      </c>
      <c r="B26" s="110">
        <v>0</v>
      </c>
      <c r="C26" s="111"/>
      <c r="D26" s="111"/>
      <c r="E26" s="111">
        <v>1</v>
      </c>
      <c r="F26" s="125" t="s">
        <v>108</v>
      </c>
      <c r="G26" s="125"/>
      <c r="H26" s="111">
        <v>0</v>
      </c>
      <c r="I26" s="111"/>
      <c r="J26" s="132"/>
      <c r="K26" s="132">
        <v>1</v>
      </c>
      <c r="L26" s="123" t="s">
        <v>166</v>
      </c>
      <c r="M26" s="109"/>
      <c r="N26" s="110">
        <f t="shared" si="0"/>
        <v>2</v>
      </c>
    </row>
    <row r="27" spans="1:14">
      <c r="A27" s="109" t="s">
        <v>1</v>
      </c>
      <c r="B27" s="110">
        <v>1</v>
      </c>
      <c r="C27" s="114" t="s">
        <v>402</v>
      </c>
      <c r="D27" s="114"/>
      <c r="E27" s="111">
        <v>0</v>
      </c>
      <c r="F27" s="124"/>
      <c r="G27" s="124"/>
      <c r="H27" s="111">
        <v>1</v>
      </c>
      <c r="I27" s="123" t="s">
        <v>369</v>
      </c>
      <c r="J27" s="134"/>
      <c r="K27" s="132">
        <v>0</v>
      </c>
      <c r="L27" s="111"/>
      <c r="M27" s="109"/>
      <c r="N27" s="110">
        <f t="shared" si="0"/>
        <v>2</v>
      </c>
    </row>
    <row r="28" spans="1:14">
      <c r="A28" s="109" t="s">
        <v>2</v>
      </c>
      <c r="B28" s="110">
        <v>0</v>
      </c>
      <c r="C28" s="111"/>
      <c r="D28" s="111"/>
      <c r="E28" s="111">
        <v>1</v>
      </c>
      <c r="F28" s="124">
        <v>2014</v>
      </c>
      <c r="G28" s="124"/>
      <c r="H28" s="111">
        <v>0</v>
      </c>
      <c r="I28" s="111"/>
      <c r="J28" s="132"/>
      <c r="K28" s="132">
        <v>1</v>
      </c>
      <c r="L28" s="123" t="s">
        <v>514</v>
      </c>
      <c r="M28" s="109"/>
      <c r="N28" s="110">
        <f t="shared" si="0"/>
        <v>2</v>
      </c>
    </row>
    <row r="29" spans="1:14">
      <c r="A29" s="112" t="s">
        <v>51</v>
      </c>
      <c r="B29" s="110">
        <v>1</v>
      </c>
      <c r="C29" s="114" t="s">
        <v>133</v>
      </c>
      <c r="D29" s="114"/>
      <c r="E29" s="111">
        <v>1</v>
      </c>
      <c r="F29" s="125" t="s">
        <v>126</v>
      </c>
      <c r="G29" s="125"/>
      <c r="H29" s="111">
        <v>0</v>
      </c>
      <c r="I29" s="111"/>
      <c r="J29" s="132"/>
      <c r="K29" s="132">
        <v>0</v>
      </c>
      <c r="L29" s="111"/>
      <c r="M29" s="109"/>
      <c r="N29" s="110">
        <f t="shared" si="0"/>
        <v>2</v>
      </c>
    </row>
    <row r="30" spans="1:14">
      <c r="A30" s="112" t="s">
        <v>53</v>
      </c>
      <c r="B30" s="110">
        <v>2</v>
      </c>
      <c r="C30" s="114" t="s">
        <v>634</v>
      </c>
      <c r="D30" s="114"/>
      <c r="E30" s="111">
        <v>0</v>
      </c>
      <c r="F30" s="124"/>
      <c r="G30" s="124"/>
      <c r="H30" s="111">
        <v>0</v>
      </c>
      <c r="I30" s="111"/>
      <c r="J30" s="132"/>
      <c r="K30" s="132">
        <v>0</v>
      </c>
      <c r="L30" s="111"/>
      <c r="M30" s="109"/>
      <c r="N30" s="110">
        <f t="shared" si="0"/>
        <v>2</v>
      </c>
    </row>
    <row r="31" spans="1:14">
      <c r="A31" s="109" t="s">
        <v>8</v>
      </c>
      <c r="B31" s="110">
        <v>0</v>
      </c>
      <c r="C31" s="111"/>
      <c r="D31" s="111"/>
      <c r="E31" s="111">
        <v>1</v>
      </c>
      <c r="F31" s="125" t="s">
        <v>231</v>
      </c>
      <c r="G31" s="125"/>
      <c r="H31" s="111">
        <v>0</v>
      </c>
      <c r="I31" s="111"/>
      <c r="J31" s="132"/>
      <c r="K31" s="132">
        <v>1</v>
      </c>
      <c r="L31" s="123" t="s">
        <v>115</v>
      </c>
      <c r="M31" s="109"/>
      <c r="N31" s="110">
        <f t="shared" si="0"/>
        <v>2</v>
      </c>
    </row>
    <row r="32" spans="1:14">
      <c r="A32" s="109" t="s">
        <v>9</v>
      </c>
      <c r="B32" s="110">
        <v>1</v>
      </c>
      <c r="C32" s="114" t="s">
        <v>248</v>
      </c>
      <c r="D32" s="114"/>
      <c r="E32" s="111">
        <v>0</v>
      </c>
      <c r="F32" s="124"/>
      <c r="G32" s="124"/>
      <c r="H32" s="111">
        <v>1</v>
      </c>
      <c r="I32" s="123" t="s">
        <v>503</v>
      </c>
      <c r="J32" s="134"/>
      <c r="K32" s="132">
        <v>0</v>
      </c>
      <c r="L32" s="111"/>
      <c r="M32" s="109"/>
      <c r="N32" s="110">
        <f t="shared" si="0"/>
        <v>2</v>
      </c>
    </row>
    <row r="33" spans="1:14">
      <c r="A33" s="109" t="s">
        <v>14</v>
      </c>
      <c r="B33" s="110">
        <v>0</v>
      </c>
      <c r="C33" s="111"/>
      <c r="D33" s="111"/>
      <c r="E33" s="111">
        <v>0</v>
      </c>
      <c r="F33" s="124"/>
      <c r="G33" s="124"/>
      <c r="H33" s="111">
        <v>1</v>
      </c>
      <c r="I33" s="123" t="s">
        <v>514</v>
      </c>
      <c r="J33" s="134"/>
      <c r="K33" s="132">
        <v>1</v>
      </c>
      <c r="L33" s="123" t="s">
        <v>111</v>
      </c>
      <c r="M33" s="109"/>
      <c r="N33" s="110">
        <f t="shared" si="0"/>
        <v>2</v>
      </c>
    </row>
    <row r="34" spans="1:14">
      <c r="A34" s="109" t="s">
        <v>29</v>
      </c>
      <c r="B34" s="110">
        <v>2</v>
      </c>
      <c r="C34" s="114" t="s">
        <v>640</v>
      </c>
      <c r="D34" s="114"/>
      <c r="E34" s="111">
        <v>0</v>
      </c>
      <c r="F34" s="124"/>
      <c r="G34" s="124"/>
      <c r="H34" s="111">
        <v>0</v>
      </c>
      <c r="I34" s="111"/>
      <c r="J34" s="132"/>
      <c r="K34" s="132">
        <v>0</v>
      </c>
      <c r="L34" s="111"/>
      <c r="M34" s="109"/>
      <c r="N34" s="110">
        <f t="shared" ref="N34:N65" si="1">B34+E34+H34+K34</f>
        <v>2</v>
      </c>
    </row>
    <row r="35" spans="1:14">
      <c r="A35" s="112" t="s">
        <v>79</v>
      </c>
      <c r="B35" s="110">
        <v>0</v>
      </c>
      <c r="C35" s="111"/>
      <c r="D35" s="111"/>
      <c r="E35" s="111">
        <v>0</v>
      </c>
      <c r="F35" s="124"/>
      <c r="G35" s="124"/>
      <c r="H35" s="111">
        <v>0</v>
      </c>
      <c r="I35" s="111"/>
      <c r="J35" s="132"/>
      <c r="K35" s="132">
        <v>2</v>
      </c>
      <c r="L35" s="123" t="s">
        <v>666</v>
      </c>
      <c r="M35" s="109"/>
      <c r="N35" s="110">
        <f t="shared" si="1"/>
        <v>2</v>
      </c>
    </row>
    <row r="36" spans="1:14">
      <c r="A36" s="109" t="s">
        <v>37</v>
      </c>
      <c r="B36" s="110">
        <v>1</v>
      </c>
      <c r="C36" s="114" t="s">
        <v>378</v>
      </c>
      <c r="D36" s="114"/>
      <c r="E36" s="111">
        <v>1</v>
      </c>
      <c r="F36" s="125" t="s">
        <v>137</v>
      </c>
      <c r="G36" s="125"/>
      <c r="H36" s="111">
        <v>0</v>
      </c>
      <c r="I36" s="111"/>
      <c r="J36" s="132"/>
      <c r="K36" s="132">
        <v>0</v>
      </c>
      <c r="L36" s="111"/>
      <c r="M36" s="109"/>
      <c r="N36" s="110">
        <f t="shared" si="1"/>
        <v>2</v>
      </c>
    </row>
    <row r="37" spans="1:14">
      <c r="A37" s="112" t="s">
        <v>44</v>
      </c>
      <c r="B37" s="110">
        <v>0</v>
      </c>
      <c r="C37" s="111"/>
      <c r="D37" s="111"/>
      <c r="E37" s="111">
        <v>0</v>
      </c>
      <c r="F37" s="124"/>
      <c r="G37" s="124"/>
      <c r="H37" s="111">
        <v>0</v>
      </c>
      <c r="I37" s="111"/>
      <c r="J37" s="132"/>
      <c r="K37" s="132">
        <v>1</v>
      </c>
      <c r="L37" s="123" t="s">
        <v>117</v>
      </c>
      <c r="M37" s="109"/>
      <c r="N37" s="110">
        <f t="shared" si="1"/>
        <v>1</v>
      </c>
    </row>
    <row r="38" spans="1:14">
      <c r="A38" s="112" t="s">
        <v>49</v>
      </c>
      <c r="B38" s="110">
        <v>1</v>
      </c>
      <c r="C38" s="114" t="s">
        <v>171</v>
      </c>
      <c r="D38" s="114"/>
      <c r="E38" s="111">
        <v>0</v>
      </c>
      <c r="F38" s="124"/>
      <c r="G38" s="124"/>
      <c r="H38" s="111">
        <v>0</v>
      </c>
      <c r="I38" s="111"/>
      <c r="J38" s="132"/>
      <c r="K38" s="132">
        <v>0</v>
      </c>
      <c r="L38" s="111"/>
      <c r="M38" s="109"/>
      <c r="N38" s="110">
        <f t="shared" si="1"/>
        <v>1</v>
      </c>
    </row>
    <row r="39" spans="1:14">
      <c r="A39" s="112" t="s">
        <v>50</v>
      </c>
      <c r="B39" s="110">
        <v>0</v>
      </c>
      <c r="C39" s="111"/>
      <c r="D39" s="111"/>
      <c r="E39" s="111">
        <v>0</v>
      </c>
      <c r="F39" s="124"/>
      <c r="G39" s="124"/>
      <c r="H39" s="111">
        <v>0</v>
      </c>
      <c r="I39" s="111"/>
      <c r="J39" s="132"/>
      <c r="K39" s="132">
        <v>1</v>
      </c>
      <c r="L39" s="123" t="s">
        <v>667</v>
      </c>
      <c r="M39" s="109"/>
      <c r="N39" s="110">
        <f t="shared" si="1"/>
        <v>1</v>
      </c>
    </row>
    <row r="40" spans="1:14">
      <c r="A40" s="119" t="s">
        <v>532</v>
      </c>
      <c r="B40" s="110">
        <v>0</v>
      </c>
      <c r="C40" s="111"/>
      <c r="D40" s="111"/>
      <c r="E40" s="111">
        <v>1</v>
      </c>
      <c r="F40" s="124">
        <v>2013</v>
      </c>
      <c r="G40" s="124"/>
      <c r="H40" s="111">
        <v>0</v>
      </c>
      <c r="I40" s="111"/>
      <c r="J40" s="132"/>
      <c r="K40" s="132">
        <v>0</v>
      </c>
      <c r="L40" s="111"/>
      <c r="M40" s="109"/>
      <c r="N40" s="110">
        <f t="shared" si="1"/>
        <v>1</v>
      </c>
    </row>
    <row r="41" spans="1:14">
      <c r="A41" s="109" t="s">
        <v>7</v>
      </c>
      <c r="B41" s="110">
        <v>1</v>
      </c>
      <c r="C41" s="123" t="s">
        <v>621</v>
      </c>
      <c r="D41" s="123"/>
      <c r="E41" s="111">
        <v>0</v>
      </c>
      <c r="F41" s="124"/>
      <c r="G41" s="124"/>
      <c r="H41" s="111">
        <v>0</v>
      </c>
      <c r="I41" s="111"/>
      <c r="J41" s="132"/>
      <c r="K41" s="132">
        <v>0</v>
      </c>
      <c r="L41" s="111"/>
      <c r="M41" s="109"/>
      <c r="N41" s="110">
        <f t="shared" si="1"/>
        <v>1</v>
      </c>
    </row>
    <row r="42" spans="1:14">
      <c r="A42" s="109" t="s">
        <v>19</v>
      </c>
      <c r="B42" s="110">
        <v>0</v>
      </c>
      <c r="C42" s="111"/>
      <c r="D42" s="111"/>
      <c r="E42" s="111">
        <v>0</v>
      </c>
      <c r="F42" s="124"/>
      <c r="G42" s="124"/>
      <c r="H42" s="111">
        <v>0</v>
      </c>
      <c r="I42" s="111"/>
      <c r="J42" s="132"/>
      <c r="K42" s="132">
        <v>1</v>
      </c>
      <c r="L42" s="123" t="s">
        <v>133</v>
      </c>
      <c r="M42" s="109"/>
      <c r="N42" s="110">
        <f t="shared" si="1"/>
        <v>1</v>
      </c>
    </row>
    <row r="43" spans="1:14">
      <c r="A43" s="112" t="s">
        <v>253</v>
      </c>
      <c r="B43" s="110">
        <v>0</v>
      </c>
      <c r="C43" s="111"/>
      <c r="D43" s="111"/>
      <c r="E43" s="111">
        <v>0</v>
      </c>
      <c r="F43" s="124"/>
      <c r="G43" s="124"/>
      <c r="H43" s="111">
        <v>1</v>
      </c>
      <c r="I43" s="123" t="s">
        <v>503</v>
      </c>
      <c r="J43" s="134"/>
      <c r="K43" s="132">
        <v>0</v>
      </c>
      <c r="L43" s="111"/>
      <c r="M43" s="109"/>
      <c r="N43" s="110">
        <f t="shared" si="1"/>
        <v>1</v>
      </c>
    </row>
    <row r="44" spans="1:14">
      <c r="A44" s="115" t="s">
        <v>671</v>
      </c>
      <c r="B44" s="110">
        <v>0</v>
      </c>
      <c r="C44" s="111"/>
      <c r="D44" s="111"/>
      <c r="E44" s="111">
        <v>1</v>
      </c>
      <c r="F44" s="125" t="s">
        <v>126</v>
      </c>
      <c r="G44" s="125"/>
      <c r="H44" s="111">
        <v>0</v>
      </c>
      <c r="I44" s="111"/>
      <c r="J44" s="132"/>
      <c r="K44" s="132">
        <v>0</v>
      </c>
      <c r="L44" s="111"/>
      <c r="M44" s="109"/>
      <c r="N44" s="110">
        <f t="shared" si="1"/>
        <v>1</v>
      </c>
    </row>
    <row r="45" spans="1:14">
      <c r="A45" s="113" t="s">
        <v>265</v>
      </c>
      <c r="B45" s="110">
        <v>0</v>
      </c>
      <c r="C45" s="111"/>
      <c r="D45" s="111"/>
      <c r="E45" s="111">
        <v>0</v>
      </c>
      <c r="F45" s="124"/>
      <c r="G45" s="124"/>
      <c r="H45" s="111">
        <v>1</v>
      </c>
      <c r="I45" s="123" t="s">
        <v>484</v>
      </c>
      <c r="J45" s="134"/>
      <c r="K45" s="132">
        <v>0</v>
      </c>
      <c r="L45" s="111"/>
      <c r="M45" s="109"/>
      <c r="N45" s="110">
        <f t="shared" si="1"/>
        <v>1</v>
      </c>
    </row>
    <row r="46" spans="1:14">
      <c r="A46" s="121" t="s">
        <v>73</v>
      </c>
      <c r="B46" s="110">
        <v>0</v>
      </c>
      <c r="C46" s="111"/>
      <c r="D46" s="111"/>
      <c r="E46" s="111">
        <v>1</v>
      </c>
      <c r="F46" s="125" t="s">
        <v>120</v>
      </c>
      <c r="G46" s="125"/>
      <c r="H46" s="111">
        <v>0</v>
      </c>
      <c r="I46" s="111"/>
      <c r="J46" s="132"/>
      <c r="K46" s="132">
        <v>0</v>
      </c>
      <c r="L46" s="111"/>
      <c r="M46" s="109"/>
      <c r="N46" s="110">
        <f t="shared" si="1"/>
        <v>1</v>
      </c>
    </row>
    <row r="47" spans="1:14">
      <c r="A47" s="112" t="s">
        <v>77</v>
      </c>
      <c r="B47" s="110">
        <v>0</v>
      </c>
      <c r="C47" s="111"/>
      <c r="D47" s="111"/>
      <c r="E47" s="111">
        <v>1</v>
      </c>
      <c r="F47" s="125" t="s">
        <v>129</v>
      </c>
      <c r="G47" s="125"/>
      <c r="H47" s="111">
        <v>0</v>
      </c>
      <c r="I47" s="111"/>
      <c r="J47" s="132"/>
      <c r="K47" s="132">
        <v>0</v>
      </c>
      <c r="L47" s="111"/>
      <c r="M47" s="109"/>
      <c r="N47" s="110">
        <f t="shared" si="1"/>
        <v>1</v>
      </c>
    </row>
    <row r="48" spans="1:14">
      <c r="A48" s="109" t="s">
        <v>38</v>
      </c>
      <c r="B48" s="110">
        <v>0</v>
      </c>
      <c r="C48" s="111"/>
      <c r="D48" s="111"/>
      <c r="E48" s="111">
        <v>0</v>
      </c>
      <c r="F48" s="124"/>
      <c r="G48" s="124"/>
      <c r="H48" s="111">
        <v>1</v>
      </c>
      <c r="I48" s="123" t="s">
        <v>514</v>
      </c>
      <c r="J48" s="134"/>
      <c r="K48" s="132">
        <v>0</v>
      </c>
      <c r="L48" s="111"/>
      <c r="M48" s="109"/>
      <c r="N48" s="110">
        <f t="shared" si="1"/>
        <v>1</v>
      </c>
    </row>
    <row r="49" spans="1:14">
      <c r="A49" s="109" t="s">
        <v>18</v>
      </c>
      <c r="B49" s="110">
        <v>0</v>
      </c>
      <c r="C49" s="111"/>
      <c r="D49" s="111"/>
      <c r="E49" s="111">
        <v>1</v>
      </c>
      <c r="F49" s="124">
        <v>2015</v>
      </c>
      <c r="G49" s="124"/>
      <c r="H49" s="111">
        <v>0</v>
      </c>
      <c r="I49" s="111"/>
      <c r="J49" s="132"/>
      <c r="K49" s="132">
        <v>0</v>
      </c>
      <c r="L49" s="111"/>
      <c r="M49" s="109"/>
      <c r="N49" s="110">
        <f t="shared" si="1"/>
        <v>1</v>
      </c>
    </row>
    <row r="50" spans="1:14">
      <c r="A50" s="112" t="s">
        <v>42</v>
      </c>
      <c r="B50" s="110">
        <v>0</v>
      </c>
      <c r="C50" s="111"/>
      <c r="D50" s="111"/>
      <c r="E50" s="111">
        <v>0</v>
      </c>
      <c r="F50" s="124"/>
      <c r="G50" s="124"/>
      <c r="H50" s="111">
        <v>0</v>
      </c>
      <c r="I50" s="111"/>
      <c r="J50" s="132"/>
      <c r="K50" s="132">
        <v>0</v>
      </c>
      <c r="L50" s="111"/>
      <c r="M50" s="109"/>
      <c r="N50" s="110">
        <f t="shared" si="1"/>
        <v>0</v>
      </c>
    </row>
    <row r="51" spans="1:14">
      <c r="A51" s="112" t="s">
        <v>45</v>
      </c>
      <c r="B51" s="110">
        <v>0</v>
      </c>
      <c r="C51" s="111"/>
      <c r="D51" s="111"/>
      <c r="E51" s="111">
        <v>0</v>
      </c>
      <c r="F51" s="124"/>
      <c r="G51" s="124"/>
      <c r="H51" s="111">
        <v>0</v>
      </c>
      <c r="I51" s="111"/>
      <c r="J51" s="132"/>
      <c r="K51" s="132">
        <v>0</v>
      </c>
      <c r="L51" s="111"/>
      <c r="M51" s="109"/>
      <c r="N51" s="110">
        <f t="shared" si="1"/>
        <v>0</v>
      </c>
    </row>
    <row r="52" spans="1:14">
      <c r="A52" s="112" t="s">
        <v>46</v>
      </c>
      <c r="B52" s="110">
        <v>0</v>
      </c>
      <c r="C52" s="111"/>
      <c r="D52" s="111"/>
      <c r="E52" s="111">
        <v>0</v>
      </c>
      <c r="F52" s="124"/>
      <c r="G52" s="124"/>
      <c r="H52" s="111">
        <v>0</v>
      </c>
      <c r="I52" s="111"/>
      <c r="J52" s="132"/>
      <c r="K52" s="132">
        <v>0</v>
      </c>
      <c r="L52" s="111"/>
      <c r="M52" s="109"/>
      <c r="N52" s="110">
        <f t="shared" si="1"/>
        <v>0</v>
      </c>
    </row>
    <row r="53" spans="1:14">
      <c r="A53" s="112" t="s">
        <v>256</v>
      </c>
      <c r="B53" s="110">
        <v>0</v>
      </c>
      <c r="C53" s="111"/>
      <c r="D53" s="111"/>
      <c r="E53" s="111">
        <v>0</v>
      </c>
      <c r="F53" s="124"/>
      <c r="G53" s="124"/>
      <c r="H53" s="111">
        <v>0</v>
      </c>
      <c r="I53" s="111"/>
      <c r="J53" s="132"/>
      <c r="K53" s="132">
        <v>0</v>
      </c>
      <c r="L53" s="111"/>
      <c r="M53" s="109"/>
      <c r="N53" s="110">
        <f t="shared" si="1"/>
        <v>0</v>
      </c>
    </row>
    <row r="54" spans="1:14">
      <c r="A54" s="112" t="s">
        <v>47</v>
      </c>
      <c r="B54" s="110">
        <v>0</v>
      </c>
      <c r="C54" s="111"/>
      <c r="D54" s="111"/>
      <c r="E54" s="111">
        <v>0</v>
      </c>
      <c r="F54" s="124"/>
      <c r="G54" s="124"/>
      <c r="H54" s="111">
        <v>0</v>
      </c>
      <c r="I54" s="111"/>
      <c r="J54" s="132"/>
      <c r="K54" s="132">
        <v>0</v>
      </c>
      <c r="L54" s="111"/>
      <c r="M54" s="109"/>
      <c r="N54" s="110">
        <f t="shared" si="1"/>
        <v>0</v>
      </c>
    </row>
    <row r="55" spans="1:14">
      <c r="A55" s="112" t="s">
        <v>48</v>
      </c>
      <c r="B55" s="110">
        <v>0</v>
      </c>
      <c r="C55" s="111"/>
      <c r="D55" s="111"/>
      <c r="E55" s="111">
        <v>0</v>
      </c>
      <c r="F55" s="124"/>
      <c r="G55" s="124"/>
      <c r="H55" s="111">
        <v>0</v>
      </c>
      <c r="I55" s="111"/>
      <c r="J55" s="132"/>
      <c r="K55" s="132">
        <v>0</v>
      </c>
      <c r="L55" s="111"/>
      <c r="M55" s="109"/>
      <c r="N55" s="110">
        <f t="shared" si="1"/>
        <v>0</v>
      </c>
    </row>
    <row r="56" spans="1:14">
      <c r="A56" s="115" t="s">
        <v>509</v>
      </c>
      <c r="B56" s="110">
        <v>0</v>
      </c>
      <c r="C56" s="111"/>
      <c r="D56" s="111"/>
      <c r="E56" s="111">
        <v>0</v>
      </c>
      <c r="F56" s="124"/>
      <c r="G56" s="124"/>
      <c r="H56" s="111">
        <v>0</v>
      </c>
      <c r="I56" s="111"/>
      <c r="J56" s="132"/>
      <c r="K56" s="132">
        <v>0</v>
      </c>
      <c r="L56" s="111"/>
      <c r="M56" s="109"/>
      <c r="N56" s="110">
        <f t="shared" si="1"/>
        <v>0</v>
      </c>
    </row>
    <row r="57" spans="1:14">
      <c r="A57" s="118" t="s">
        <v>566</v>
      </c>
      <c r="B57" s="110">
        <v>0</v>
      </c>
      <c r="C57" s="111"/>
      <c r="D57" s="111"/>
      <c r="E57" s="111">
        <v>0</v>
      </c>
      <c r="F57" s="124"/>
      <c r="G57" s="124"/>
      <c r="H57" s="111">
        <v>0</v>
      </c>
      <c r="I57" s="111"/>
      <c r="J57" s="132"/>
      <c r="K57" s="132">
        <v>0</v>
      </c>
      <c r="L57" s="123"/>
      <c r="M57" s="109"/>
      <c r="N57" s="110">
        <f t="shared" si="1"/>
        <v>0</v>
      </c>
    </row>
    <row r="58" spans="1:14">
      <c r="A58" s="117" t="s">
        <v>531</v>
      </c>
      <c r="B58" s="110">
        <v>0</v>
      </c>
      <c r="C58" s="111"/>
      <c r="D58" s="111"/>
      <c r="E58" s="111">
        <v>0</v>
      </c>
      <c r="F58" s="124"/>
      <c r="G58" s="124"/>
      <c r="H58" s="111">
        <v>0</v>
      </c>
      <c r="I58" s="111"/>
      <c r="J58" s="132"/>
      <c r="K58" s="132">
        <v>0</v>
      </c>
      <c r="L58" s="111"/>
      <c r="M58" s="109"/>
      <c r="N58" s="110">
        <f t="shared" si="1"/>
        <v>0</v>
      </c>
    </row>
    <row r="59" spans="1:14">
      <c r="A59" s="109" t="s">
        <v>518</v>
      </c>
      <c r="B59" s="110">
        <v>0</v>
      </c>
      <c r="C59" s="111"/>
      <c r="D59" s="111"/>
      <c r="E59" s="111">
        <v>0</v>
      </c>
      <c r="F59" s="124"/>
      <c r="G59" s="124"/>
      <c r="H59" s="111">
        <v>0</v>
      </c>
      <c r="I59" s="111"/>
      <c r="J59" s="132"/>
      <c r="K59" s="132">
        <v>0</v>
      </c>
      <c r="L59" s="111"/>
      <c r="M59" s="109"/>
      <c r="N59" s="110">
        <f t="shared" si="1"/>
        <v>0</v>
      </c>
    </row>
    <row r="60" spans="1:14">
      <c r="A60" s="109" t="s">
        <v>5</v>
      </c>
      <c r="B60" s="110">
        <v>0</v>
      </c>
      <c r="C60" s="111"/>
      <c r="D60" s="111"/>
      <c r="E60" s="111">
        <v>0</v>
      </c>
      <c r="F60" s="124"/>
      <c r="G60" s="124"/>
      <c r="H60" s="111">
        <v>0</v>
      </c>
      <c r="I60" s="111"/>
      <c r="J60" s="132"/>
      <c r="K60" s="132">
        <v>0</v>
      </c>
      <c r="L60" s="111"/>
      <c r="M60" s="109"/>
      <c r="N60" s="110">
        <f t="shared" si="1"/>
        <v>0</v>
      </c>
    </row>
    <row r="61" spans="1:14">
      <c r="A61" s="115" t="s">
        <v>730</v>
      </c>
      <c r="B61" s="110">
        <v>0</v>
      </c>
      <c r="C61" s="111"/>
      <c r="D61" s="111"/>
      <c r="E61" s="111">
        <v>0</v>
      </c>
      <c r="F61" s="124"/>
      <c r="G61" s="124"/>
      <c r="H61" s="111">
        <v>0</v>
      </c>
      <c r="I61" s="111"/>
      <c r="J61" s="132"/>
      <c r="K61" s="132">
        <v>0</v>
      </c>
      <c r="L61" s="111"/>
      <c r="M61" s="109"/>
      <c r="N61" s="110">
        <f t="shared" si="1"/>
        <v>0</v>
      </c>
    </row>
    <row r="62" spans="1:14">
      <c r="A62" s="112" t="s">
        <v>52</v>
      </c>
      <c r="B62" s="110">
        <v>0</v>
      </c>
      <c r="C62" s="111"/>
      <c r="D62" s="111"/>
      <c r="E62" s="111">
        <v>0</v>
      </c>
      <c r="F62" s="124"/>
      <c r="G62" s="124"/>
      <c r="H62" s="111">
        <v>0</v>
      </c>
      <c r="I62" s="111"/>
      <c r="J62" s="132"/>
      <c r="K62" s="132">
        <v>0</v>
      </c>
      <c r="L62" s="111"/>
      <c r="M62" s="109"/>
      <c r="N62" s="110">
        <f t="shared" si="1"/>
        <v>0</v>
      </c>
    </row>
    <row r="63" spans="1:14">
      <c r="A63" s="118" t="s">
        <v>510</v>
      </c>
      <c r="B63" s="110">
        <v>0</v>
      </c>
      <c r="C63" s="111"/>
      <c r="D63" s="111"/>
      <c r="E63" s="111">
        <v>0</v>
      </c>
      <c r="F63" s="124"/>
      <c r="G63" s="124"/>
      <c r="H63" s="111">
        <v>0</v>
      </c>
      <c r="I63" s="111"/>
      <c r="J63" s="132"/>
      <c r="K63" s="132">
        <v>0</v>
      </c>
      <c r="L63" s="111"/>
      <c r="M63" s="109"/>
      <c r="N63" s="110">
        <f t="shared" si="1"/>
        <v>0</v>
      </c>
    </row>
    <row r="64" spans="1:14">
      <c r="A64" s="109" t="s">
        <v>6</v>
      </c>
      <c r="B64" s="110">
        <v>0</v>
      </c>
      <c r="C64" s="111"/>
      <c r="D64" s="111"/>
      <c r="E64" s="111">
        <v>0</v>
      </c>
      <c r="F64" s="124"/>
      <c r="G64" s="124"/>
      <c r="H64" s="111">
        <v>0</v>
      </c>
      <c r="I64" s="111"/>
      <c r="J64" s="132"/>
      <c r="K64" s="132">
        <v>0</v>
      </c>
      <c r="L64" s="111"/>
      <c r="M64" s="109"/>
      <c r="N64" s="110">
        <f t="shared" si="1"/>
        <v>0</v>
      </c>
    </row>
    <row r="65" spans="1:14">
      <c r="A65" s="112" t="s">
        <v>54</v>
      </c>
      <c r="B65" s="110">
        <v>0</v>
      </c>
      <c r="C65" s="111"/>
      <c r="D65" s="111"/>
      <c r="E65" s="111">
        <v>0</v>
      </c>
      <c r="F65" s="124"/>
      <c r="G65" s="124"/>
      <c r="H65" s="111">
        <v>0</v>
      </c>
      <c r="I65" s="111"/>
      <c r="J65" s="132"/>
      <c r="K65" s="132">
        <v>0</v>
      </c>
      <c r="L65" s="111"/>
      <c r="M65" s="109"/>
      <c r="N65" s="110">
        <f t="shared" si="1"/>
        <v>0</v>
      </c>
    </row>
    <row r="66" spans="1:14">
      <c r="A66" s="112" t="s">
        <v>55</v>
      </c>
      <c r="B66" s="110">
        <v>0</v>
      </c>
      <c r="C66" s="111"/>
      <c r="D66" s="111"/>
      <c r="E66" s="111">
        <v>0</v>
      </c>
      <c r="F66" s="124"/>
      <c r="G66" s="124"/>
      <c r="H66" s="111">
        <v>0</v>
      </c>
      <c r="I66" s="111"/>
      <c r="J66" s="132"/>
      <c r="K66" s="132">
        <v>0</v>
      </c>
      <c r="L66" s="111"/>
      <c r="M66" s="109"/>
      <c r="N66" s="110">
        <f t="shared" ref="N66:N97" si="2">B66+E66+H66+K66</f>
        <v>0</v>
      </c>
    </row>
    <row r="67" spans="1:14">
      <c r="A67" s="112" t="s">
        <v>56</v>
      </c>
      <c r="B67" s="110">
        <v>0</v>
      </c>
      <c r="C67" s="111"/>
      <c r="D67" s="111"/>
      <c r="E67" s="111">
        <v>0</v>
      </c>
      <c r="F67" s="124"/>
      <c r="G67" s="124"/>
      <c r="H67" s="111">
        <v>0</v>
      </c>
      <c r="I67" s="111"/>
      <c r="J67" s="132"/>
      <c r="K67" s="132">
        <v>0</v>
      </c>
      <c r="L67" s="111"/>
      <c r="M67" s="109"/>
      <c r="N67" s="110">
        <f t="shared" si="2"/>
        <v>0</v>
      </c>
    </row>
    <row r="68" spans="1:14">
      <c r="A68" s="112" t="s">
        <v>57</v>
      </c>
      <c r="B68" s="110">
        <v>0</v>
      </c>
      <c r="C68" s="111"/>
      <c r="D68" s="111"/>
      <c r="E68" s="111">
        <v>0</v>
      </c>
      <c r="F68" s="124"/>
      <c r="G68" s="124"/>
      <c r="H68" s="111">
        <v>0</v>
      </c>
      <c r="I68" s="111"/>
      <c r="J68" s="132"/>
      <c r="K68" s="132">
        <v>0</v>
      </c>
      <c r="L68" s="111"/>
      <c r="M68" s="109"/>
      <c r="N68" s="110">
        <f t="shared" si="2"/>
        <v>0</v>
      </c>
    </row>
    <row r="69" spans="1:14">
      <c r="A69" s="112" t="s">
        <v>58</v>
      </c>
      <c r="B69" s="110">
        <v>0</v>
      </c>
      <c r="C69" s="111"/>
      <c r="D69" s="111"/>
      <c r="E69" s="111">
        <v>0</v>
      </c>
      <c r="F69" s="124"/>
      <c r="G69" s="124"/>
      <c r="H69" s="111">
        <v>0</v>
      </c>
      <c r="I69" s="111"/>
      <c r="J69" s="132"/>
      <c r="K69" s="132">
        <v>0</v>
      </c>
      <c r="L69" s="111"/>
      <c r="M69" s="109"/>
      <c r="N69" s="110">
        <f t="shared" si="2"/>
        <v>0</v>
      </c>
    </row>
    <row r="70" spans="1:14">
      <c r="A70" s="118" t="s">
        <v>483</v>
      </c>
      <c r="B70" s="110">
        <v>0</v>
      </c>
      <c r="C70" s="111"/>
      <c r="D70" s="111"/>
      <c r="E70" s="111">
        <v>0</v>
      </c>
      <c r="F70" s="124"/>
      <c r="G70" s="124"/>
      <c r="H70" s="111">
        <v>0</v>
      </c>
      <c r="I70" s="111"/>
      <c r="J70" s="132"/>
      <c r="K70" s="132">
        <v>0</v>
      </c>
      <c r="L70" s="111"/>
      <c r="M70" s="109"/>
      <c r="N70" s="110">
        <f t="shared" si="2"/>
        <v>0</v>
      </c>
    </row>
    <row r="71" spans="1:14">
      <c r="A71" s="109" t="s">
        <v>88</v>
      </c>
      <c r="B71" s="110">
        <v>0</v>
      </c>
      <c r="C71" s="111"/>
      <c r="D71" s="111"/>
      <c r="E71" s="111">
        <v>0</v>
      </c>
      <c r="F71" s="124"/>
      <c r="G71" s="124"/>
      <c r="H71" s="111">
        <v>0</v>
      </c>
      <c r="I71" s="111"/>
      <c r="J71" s="132"/>
      <c r="K71" s="132">
        <v>0</v>
      </c>
      <c r="L71" s="111"/>
      <c r="M71" s="109"/>
      <c r="N71" s="110">
        <f t="shared" si="2"/>
        <v>0</v>
      </c>
    </row>
    <row r="72" spans="1:14">
      <c r="A72" s="112" t="s">
        <v>59</v>
      </c>
      <c r="B72" s="110">
        <v>0</v>
      </c>
      <c r="C72" s="111"/>
      <c r="D72" s="111"/>
      <c r="E72" s="111">
        <v>0</v>
      </c>
      <c r="F72" s="124"/>
      <c r="G72" s="124"/>
      <c r="H72" s="111">
        <v>0</v>
      </c>
      <c r="I72" s="111"/>
      <c r="J72" s="132"/>
      <c r="K72" s="132">
        <v>0</v>
      </c>
      <c r="L72" s="111"/>
      <c r="M72" s="109"/>
      <c r="N72" s="110">
        <f t="shared" si="2"/>
        <v>0</v>
      </c>
    </row>
    <row r="73" spans="1:14">
      <c r="A73" s="109" t="s">
        <v>11</v>
      </c>
      <c r="B73" s="110">
        <v>0</v>
      </c>
      <c r="C73" s="111"/>
      <c r="D73" s="111"/>
      <c r="E73" s="111">
        <v>0</v>
      </c>
      <c r="F73" s="124"/>
      <c r="G73" s="124"/>
      <c r="H73" s="111">
        <v>0</v>
      </c>
      <c r="I73" s="111"/>
      <c r="J73" s="132"/>
      <c r="K73" s="132">
        <v>0</v>
      </c>
      <c r="L73" s="111"/>
      <c r="M73" s="109"/>
      <c r="N73" s="110">
        <f t="shared" si="2"/>
        <v>0</v>
      </c>
    </row>
    <row r="74" spans="1:14">
      <c r="A74" s="112" t="s">
        <v>60</v>
      </c>
      <c r="B74" s="110">
        <v>0</v>
      </c>
      <c r="C74" s="111"/>
      <c r="D74" s="111"/>
      <c r="E74" s="111">
        <v>0</v>
      </c>
      <c r="F74" s="124"/>
      <c r="G74" s="124"/>
      <c r="H74" s="111">
        <v>0</v>
      </c>
      <c r="I74" s="111"/>
      <c r="J74" s="132"/>
      <c r="K74" s="132">
        <v>0</v>
      </c>
      <c r="L74" s="111"/>
      <c r="M74" s="109"/>
      <c r="N74" s="110">
        <f t="shared" si="2"/>
        <v>0</v>
      </c>
    </row>
    <row r="75" spans="1:14">
      <c r="A75" s="112" t="s">
        <v>61</v>
      </c>
      <c r="B75" s="110">
        <v>0</v>
      </c>
      <c r="C75" s="111"/>
      <c r="D75" s="111"/>
      <c r="E75" s="111">
        <v>0</v>
      </c>
      <c r="F75" s="124"/>
      <c r="G75" s="124"/>
      <c r="H75" s="111">
        <v>0</v>
      </c>
      <c r="I75" s="111"/>
      <c r="J75" s="132"/>
      <c r="K75" s="132">
        <v>0</v>
      </c>
      <c r="L75" s="111"/>
      <c r="M75" s="109"/>
      <c r="N75" s="110">
        <f t="shared" si="2"/>
        <v>0</v>
      </c>
    </row>
    <row r="76" spans="1:14">
      <c r="A76" s="112" t="s">
        <v>62</v>
      </c>
      <c r="B76" s="110">
        <v>0</v>
      </c>
      <c r="C76" s="111"/>
      <c r="D76" s="111"/>
      <c r="E76" s="111">
        <v>0</v>
      </c>
      <c r="F76" s="124"/>
      <c r="G76" s="124"/>
      <c r="H76" s="111">
        <v>0</v>
      </c>
      <c r="I76" s="111"/>
      <c r="J76" s="132"/>
      <c r="K76" s="132">
        <v>0</v>
      </c>
      <c r="L76" s="111"/>
      <c r="M76" s="109"/>
      <c r="N76" s="110">
        <f t="shared" si="2"/>
        <v>0</v>
      </c>
    </row>
    <row r="77" spans="1:14">
      <c r="A77" s="109" t="s">
        <v>13</v>
      </c>
      <c r="B77" s="110">
        <v>0</v>
      </c>
      <c r="C77" s="111"/>
      <c r="D77" s="111"/>
      <c r="E77" s="111">
        <v>0</v>
      </c>
      <c r="F77" s="124"/>
      <c r="G77" s="124"/>
      <c r="H77" s="111">
        <v>0</v>
      </c>
      <c r="I77" s="111"/>
      <c r="J77" s="132"/>
      <c r="K77" s="132">
        <v>0</v>
      </c>
      <c r="L77" s="111"/>
      <c r="M77" s="109"/>
      <c r="N77" s="110">
        <f t="shared" si="2"/>
        <v>0</v>
      </c>
    </row>
    <row r="78" spans="1:14">
      <c r="A78" s="112" t="s">
        <v>64</v>
      </c>
      <c r="B78" s="110">
        <v>0</v>
      </c>
      <c r="C78" s="111"/>
      <c r="D78" s="111"/>
      <c r="E78" s="111">
        <v>0</v>
      </c>
      <c r="F78" s="124"/>
      <c r="G78" s="124"/>
      <c r="H78" s="111">
        <v>0</v>
      </c>
      <c r="I78" s="111"/>
      <c r="J78" s="132"/>
      <c r="K78" s="132">
        <v>0</v>
      </c>
      <c r="L78" s="111"/>
      <c r="M78" s="109"/>
      <c r="N78" s="110">
        <f t="shared" si="2"/>
        <v>0</v>
      </c>
    </row>
    <row r="79" spans="1:14">
      <c r="A79" s="109" t="s">
        <v>517</v>
      </c>
      <c r="B79" s="110">
        <v>0</v>
      </c>
      <c r="C79" s="111"/>
      <c r="D79" s="111"/>
      <c r="E79" s="111">
        <v>0</v>
      </c>
      <c r="F79" s="124"/>
      <c r="G79" s="124"/>
      <c r="H79" s="111">
        <v>0</v>
      </c>
      <c r="I79" s="111"/>
      <c r="J79" s="132"/>
      <c r="K79" s="132">
        <v>0</v>
      </c>
      <c r="L79" s="111"/>
      <c r="M79" s="109"/>
      <c r="N79" s="110">
        <f t="shared" si="2"/>
        <v>0</v>
      </c>
    </row>
    <row r="80" spans="1:14">
      <c r="A80" s="109" t="s">
        <v>17</v>
      </c>
      <c r="B80" s="110">
        <v>0</v>
      </c>
      <c r="C80" s="111"/>
      <c r="D80" s="111"/>
      <c r="E80" s="111">
        <v>0</v>
      </c>
      <c r="F80" s="124"/>
      <c r="G80" s="124"/>
      <c r="H80" s="111">
        <v>0</v>
      </c>
      <c r="I80" s="111"/>
      <c r="J80" s="132"/>
      <c r="K80" s="132">
        <v>0</v>
      </c>
      <c r="L80" s="111"/>
      <c r="M80" s="109"/>
      <c r="N80" s="110">
        <f t="shared" si="2"/>
        <v>0</v>
      </c>
    </row>
    <row r="81" spans="1:14">
      <c r="A81" s="112" t="s">
        <v>87</v>
      </c>
      <c r="B81" s="110">
        <v>0</v>
      </c>
      <c r="C81" s="111"/>
      <c r="D81" s="111"/>
      <c r="E81" s="111">
        <v>0</v>
      </c>
      <c r="F81" s="124"/>
      <c r="G81" s="124"/>
      <c r="H81" s="111">
        <v>0</v>
      </c>
      <c r="I81" s="111"/>
      <c r="J81" s="132"/>
      <c r="K81" s="132">
        <v>0</v>
      </c>
      <c r="L81" s="111"/>
      <c r="M81" s="109"/>
      <c r="N81" s="110">
        <f t="shared" si="2"/>
        <v>0</v>
      </c>
    </row>
    <row r="82" spans="1:14">
      <c r="A82" s="112" t="s">
        <v>65</v>
      </c>
      <c r="B82" s="110">
        <v>0</v>
      </c>
      <c r="C82" s="111"/>
      <c r="D82" s="111"/>
      <c r="E82" s="111">
        <v>0</v>
      </c>
      <c r="F82" s="124"/>
      <c r="G82" s="124"/>
      <c r="H82" s="111">
        <v>0</v>
      </c>
      <c r="I82" s="111"/>
      <c r="J82" s="132"/>
      <c r="K82" s="132">
        <v>0</v>
      </c>
      <c r="L82" s="111"/>
      <c r="M82" s="109"/>
      <c r="N82" s="110">
        <f t="shared" si="2"/>
        <v>0</v>
      </c>
    </row>
    <row r="83" spans="1:14">
      <c r="A83" s="109" t="s">
        <v>20</v>
      </c>
      <c r="B83" s="110">
        <v>0</v>
      </c>
      <c r="C83" s="111"/>
      <c r="D83" s="111"/>
      <c r="E83" s="111">
        <v>0</v>
      </c>
      <c r="F83" s="124"/>
      <c r="G83" s="124"/>
      <c r="H83" s="111">
        <v>0</v>
      </c>
      <c r="I83" s="111"/>
      <c r="J83" s="132"/>
      <c r="K83" s="132">
        <v>0</v>
      </c>
      <c r="L83" s="111"/>
      <c r="M83" s="109"/>
      <c r="N83" s="110">
        <f t="shared" si="2"/>
        <v>0</v>
      </c>
    </row>
    <row r="84" spans="1:14">
      <c r="A84" s="112" t="s">
        <v>66</v>
      </c>
      <c r="B84" s="110">
        <v>0</v>
      </c>
      <c r="C84" s="111"/>
      <c r="D84" s="111"/>
      <c r="E84" s="111">
        <v>0</v>
      </c>
      <c r="F84" s="124"/>
      <c r="G84" s="124"/>
      <c r="H84" s="111">
        <v>0</v>
      </c>
      <c r="I84" s="111"/>
      <c r="J84" s="132"/>
      <c r="K84" s="132">
        <v>0</v>
      </c>
      <c r="L84" s="111"/>
      <c r="M84" s="109"/>
      <c r="N84" s="110">
        <f t="shared" si="2"/>
        <v>0</v>
      </c>
    </row>
    <row r="85" spans="1:14">
      <c r="A85" s="112" t="s">
        <v>67</v>
      </c>
      <c r="B85" s="110">
        <v>0</v>
      </c>
      <c r="C85" s="111"/>
      <c r="D85" s="111"/>
      <c r="E85" s="111">
        <v>0</v>
      </c>
      <c r="F85" s="124"/>
      <c r="G85" s="124"/>
      <c r="H85" s="111">
        <v>0</v>
      </c>
      <c r="I85" s="111"/>
      <c r="J85" s="132"/>
      <c r="K85" s="132">
        <v>0</v>
      </c>
      <c r="L85" s="111"/>
      <c r="M85" s="109"/>
      <c r="N85" s="110">
        <f t="shared" si="2"/>
        <v>0</v>
      </c>
    </row>
    <row r="86" spans="1:14">
      <c r="A86" s="109" t="s">
        <v>21</v>
      </c>
      <c r="B86" s="110">
        <v>0</v>
      </c>
      <c r="C86" s="111"/>
      <c r="D86" s="111"/>
      <c r="E86" s="111">
        <v>0</v>
      </c>
      <c r="F86" s="124"/>
      <c r="G86" s="124"/>
      <c r="H86" s="111">
        <v>0</v>
      </c>
      <c r="I86" s="111"/>
      <c r="J86" s="132"/>
      <c r="K86" s="132">
        <v>0</v>
      </c>
      <c r="L86" s="111"/>
      <c r="M86" s="109"/>
      <c r="N86" s="110">
        <f t="shared" si="2"/>
        <v>0</v>
      </c>
    </row>
    <row r="87" spans="1:14">
      <c r="A87" s="109" t="s">
        <v>520</v>
      </c>
      <c r="B87" s="110">
        <v>0</v>
      </c>
      <c r="C87" s="111"/>
      <c r="D87" s="111"/>
      <c r="E87" s="111"/>
      <c r="F87" s="124"/>
      <c r="G87" s="124"/>
      <c r="H87" s="111">
        <v>0</v>
      </c>
      <c r="I87" s="111"/>
      <c r="J87" s="132"/>
      <c r="K87" s="132">
        <v>0</v>
      </c>
      <c r="L87" s="111"/>
      <c r="M87" s="109"/>
      <c r="N87" s="110">
        <f t="shared" si="2"/>
        <v>0</v>
      </c>
    </row>
    <row r="88" spans="1:14">
      <c r="A88" s="112" t="s">
        <v>68</v>
      </c>
      <c r="B88" s="110">
        <v>0</v>
      </c>
      <c r="C88" s="111"/>
      <c r="D88" s="111"/>
      <c r="E88" s="111">
        <v>0</v>
      </c>
      <c r="F88" s="124"/>
      <c r="G88" s="124"/>
      <c r="H88" s="111">
        <v>0</v>
      </c>
      <c r="I88" s="111"/>
      <c r="J88" s="132"/>
      <c r="K88" s="132">
        <v>0</v>
      </c>
      <c r="L88" s="111"/>
      <c r="M88" s="109"/>
      <c r="N88" s="110">
        <f t="shared" si="2"/>
        <v>0</v>
      </c>
    </row>
    <row r="89" spans="1:14">
      <c r="A89" s="112" t="s">
        <v>69</v>
      </c>
      <c r="B89" s="110">
        <v>0</v>
      </c>
      <c r="C89" s="111"/>
      <c r="D89" s="111"/>
      <c r="E89" s="111">
        <v>0</v>
      </c>
      <c r="F89" s="124"/>
      <c r="G89" s="124"/>
      <c r="H89" s="111">
        <v>0</v>
      </c>
      <c r="I89" s="111"/>
      <c r="J89" s="132"/>
      <c r="K89" s="132">
        <v>0</v>
      </c>
      <c r="L89" s="111"/>
      <c r="M89" s="109"/>
      <c r="N89" s="110">
        <f t="shared" si="2"/>
        <v>0</v>
      </c>
    </row>
    <row r="90" spans="1:14">
      <c r="A90" s="120" t="s">
        <v>511</v>
      </c>
      <c r="B90" s="110">
        <v>0</v>
      </c>
      <c r="C90" s="111"/>
      <c r="D90" s="111"/>
      <c r="E90" s="111">
        <v>0</v>
      </c>
      <c r="F90" s="124"/>
      <c r="G90" s="124"/>
      <c r="H90" s="111">
        <v>0</v>
      </c>
      <c r="I90" s="111"/>
      <c r="J90" s="132"/>
      <c r="K90" s="132">
        <v>0</v>
      </c>
      <c r="L90" s="111"/>
      <c r="M90" s="109"/>
      <c r="N90" s="110">
        <f t="shared" si="2"/>
        <v>0</v>
      </c>
    </row>
    <row r="91" spans="1:14">
      <c r="A91" s="109" t="s">
        <v>41</v>
      </c>
      <c r="B91" s="110">
        <v>0</v>
      </c>
      <c r="C91" s="111"/>
      <c r="D91" s="111"/>
      <c r="E91" s="111">
        <v>0</v>
      </c>
      <c r="F91" s="124"/>
      <c r="G91" s="124"/>
      <c r="H91" s="111">
        <v>0</v>
      </c>
      <c r="I91" s="111"/>
      <c r="J91" s="132"/>
      <c r="K91" s="132">
        <v>0</v>
      </c>
      <c r="L91" s="111"/>
      <c r="M91" s="109"/>
      <c r="N91" s="110">
        <f t="shared" si="2"/>
        <v>0</v>
      </c>
    </row>
    <row r="92" spans="1:14">
      <c r="A92" s="112" t="s">
        <v>70</v>
      </c>
      <c r="B92" s="110">
        <v>0</v>
      </c>
      <c r="C92" s="111"/>
      <c r="D92" s="111"/>
      <c r="E92" s="111">
        <v>0</v>
      </c>
      <c r="F92" s="124"/>
      <c r="G92" s="124"/>
      <c r="H92" s="111">
        <v>0</v>
      </c>
      <c r="I92" s="111"/>
      <c r="J92" s="132"/>
      <c r="K92" s="132">
        <v>0</v>
      </c>
      <c r="L92" s="111"/>
      <c r="M92" s="109"/>
      <c r="N92" s="110">
        <f t="shared" si="2"/>
        <v>0</v>
      </c>
    </row>
    <row r="93" spans="1:14">
      <c r="A93" s="116" t="s">
        <v>672</v>
      </c>
      <c r="B93" s="110">
        <v>0</v>
      </c>
      <c r="C93" s="111"/>
      <c r="D93" s="111"/>
      <c r="E93" s="111">
        <v>0</v>
      </c>
      <c r="F93" s="124"/>
      <c r="G93" s="124"/>
      <c r="H93" s="111">
        <v>0</v>
      </c>
      <c r="I93" s="123"/>
      <c r="J93" s="134"/>
      <c r="K93" s="132">
        <v>0</v>
      </c>
      <c r="L93" s="111"/>
      <c r="M93" s="109"/>
      <c r="N93" s="110">
        <f t="shared" si="2"/>
        <v>0</v>
      </c>
    </row>
    <row r="94" spans="1:14">
      <c r="A94" s="121" t="s">
        <v>71</v>
      </c>
      <c r="B94" s="110">
        <v>0</v>
      </c>
      <c r="C94" s="111"/>
      <c r="D94" s="111"/>
      <c r="E94" s="111">
        <v>0</v>
      </c>
      <c r="F94" s="124"/>
      <c r="G94" s="124"/>
      <c r="H94" s="111">
        <v>0</v>
      </c>
      <c r="I94" s="111"/>
      <c r="J94" s="132"/>
      <c r="K94" s="132">
        <v>0</v>
      </c>
      <c r="L94" s="111"/>
      <c r="M94" s="109"/>
      <c r="N94" s="110">
        <f t="shared" si="2"/>
        <v>0</v>
      </c>
    </row>
    <row r="95" spans="1:14">
      <c r="A95" s="122" t="s">
        <v>519</v>
      </c>
      <c r="B95" s="110">
        <v>0</v>
      </c>
      <c r="C95" s="111"/>
      <c r="D95" s="111"/>
      <c r="E95" s="111">
        <v>0</v>
      </c>
      <c r="F95" s="124"/>
      <c r="G95" s="124"/>
      <c r="H95" s="111">
        <v>0</v>
      </c>
      <c r="I95" s="111"/>
      <c r="J95" s="132"/>
      <c r="K95" s="132">
        <v>0</v>
      </c>
      <c r="L95" s="111"/>
      <c r="M95" s="109"/>
      <c r="N95" s="110">
        <f t="shared" si="2"/>
        <v>0</v>
      </c>
    </row>
    <row r="96" spans="1:14">
      <c r="A96" s="121" t="s">
        <v>72</v>
      </c>
      <c r="B96" s="110">
        <v>0</v>
      </c>
      <c r="C96" s="111"/>
      <c r="D96" s="111"/>
      <c r="E96" s="111">
        <v>0</v>
      </c>
      <c r="F96" s="124"/>
      <c r="G96" s="124"/>
      <c r="H96" s="111">
        <v>0</v>
      </c>
      <c r="I96" s="111"/>
      <c r="J96" s="132"/>
      <c r="K96" s="132">
        <v>0</v>
      </c>
      <c r="L96" s="111"/>
      <c r="M96" s="109"/>
      <c r="N96" s="110">
        <f t="shared" si="2"/>
        <v>0</v>
      </c>
    </row>
    <row r="97" spans="1:14">
      <c r="A97" s="122" t="s">
        <v>468</v>
      </c>
      <c r="B97" s="110">
        <v>0</v>
      </c>
      <c r="C97" s="111"/>
      <c r="D97" s="111"/>
      <c r="E97" s="111">
        <v>0</v>
      </c>
      <c r="F97" s="124"/>
      <c r="G97" s="124"/>
      <c r="H97" s="111">
        <v>0</v>
      </c>
      <c r="I97" s="111"/>
      <c r="J97" s="132"/>
      <c r="K97" s="132">
        <v>0</v>
      </c>
      <c r="L97" s="111"/>
      <c r="M97" s="109"/>
      <c r="N97" s="110">
        <f t="shared" si="2"/>
        <v>0</v>
      </c>
    </row>
    <row r="98" spans="1:14">
      <c r="A98" s="112" t="s">
        <v>260</v>
      </c>
      <c r="B98" s="110">
        <v>0</v>
      </c>
      <c r="C98" s="111"/>
      <c r="D98" s="111"/>
      <c r="E98" s="111">
        <v>0</v>
      </c>
      <c r="F98" s="124"/>
      <c r="G98" s="124"/>
      <c r="H98" s="111">
        <v>0</v>
      </c>
      <c r="I98" s="111"/>
      <c r="J98" s="132"/>
      <c r="K98" s="132">
        <v>0</v>
      </c>
      <c r="L98" s="111"/>
      <c r="M98" s="109"/>
      <c r="N98" s="110">
        <f t="shared" ref="N98:N112" si="3">B98+E98+H98+K98</f>
        <v>0</v>
      </c>
    </row>
    <row r="99" spans="1:14">
      <c r="A99" s="112" t="s">
        <v>75</v>
      </c>
      <c r="B99" s="110">
        <v>0</v>
      </c>
      <c r="C99" s="111"/>
      <c r="D99" s="111"/>
      <c r="E99" s="111">
        <v>0</v>
      </c>
      <c r="F99" s="124"/>
      <c r="G99" s="124"/>
      <c r="H99" s="111">
        <v>0</v>
      </c>
      <c r="I99" s="111"/>
      <c r="J99" s="132"/>
      <c r="K99" s="132">
        <v>0</v>
      </c>
      <c r="L99" s="111"/>
      <c r="M99" s="109"/>
      <c r="N99" s="110">
        <f t="shared" si="3"/>
        <v>0</v>
      </c>
    </row>
    <row r="100" spans="1:14">
      <c r="A100" s="112" t="s">
        <v>76</v>
      </c>
      <c r="B100" s="110">
        <v>0</v>
      </c>
      <c r="C100" s="111"/>
      <c r="D100" s="111"/>
      <c r="E100" s="111">
        <v>0</v>
      </c>
      <c r="F100" s="124"/>
      <c r="G100" s="124"/>
      <c r="H100" s="111">
        <v>0</v>
      </c>
      <c r="I100" s="111"/>
      <c r="J100" s="132"/>
      <c r="K100" s="132">
        <v>0</v>
      </c>
      <c r="L100" s="111"/>
      <c r="M100" s="109"/>
      <c r="N100" s="110">
        <f t="shared" si="3"/>
        <v>0</v>
      </c>
    </row>
    <row r="101" spans="1:14">
      <c r="A101" s="118" t="s">
        <v>530</v>
      </c>
      <c r="B101" s="110">
        <v>0</v>
      </c>
      <c r="C101" s="111"/>
      <c r="D101" s="111"/>
      <c r="E101" s="111">
        <v>0</v>
      </c>
      <c r="F101" s="125"/>
      <c r="G101" s="125"/>
      <c r="H101" s="111">
        <v>0</v>
      </c>
      <c r="I101" s="111"/>
      <c r="J101" s="132"/>
      <c r="K101" s="132">
        <v>0</v>
      </c>
      <c r="L101" s="111"/>
      <c r="M101" s="109"/>
      <c r="N101" s="110">
        <f t="shared" si="3"/>
        <v>0</v>
      </c>
    </row>
    <row r="102" spans="1:14">
      <c r="A102" s="112" t="s">
        <v>78</v>
      </c>
      <c r="B102" s="110">
        <v>0</v>
      </c>
      <c r="C102" s="111"/>
      <c r="D102" s="111"/>
      <c r="E102" s="111">
        <v>0</v>
      </c>
      <c r="F102" s="124"/>
      <c r="G102" s="124"/>
      <c r="H102" s="111">
        <v>0</v>
      </c>
      <c r="I102" s="111"/>
      <c r="J102" s="132"/>
      <c r="K102" s="132">
        <v>0</v>
      </c>
      <c r="L102" s="111"/>
      <c r="M102" s="109"/>
      <c r="N102" s="110">
        <f t="shared" si="3"/>
        <v>0</v>
      </c>
    </row>
    <row r="103" spans="1:14">
      <c r="A103" s="112" t="s">
        <v>80</v>
      </c>
      <c r="B103" s="110">
        <v>0</v>
      </c>
      <c r="C103" s="111"/>
      <c r="D103" s="111"/>
      <c r="E103" s="111">
        <v>0</v>
      </c>
      <c r="F103" s="124"/>
      <c r="G103" s="124"/>
      <c r="H103" s="111">
        <v>0</v>
      </c>
      <c r="I103" s="111"/>
      <c r="J103" s="132"/>
      <c r="K103" s="132">
        <v>0</v>
      </c>
      <c r="L103" s="111"/>
      <c r="M103" s="109"/>
      <c r="N103" s="110">
        <f t="shared" si="3"/>
        <v>0</v>
      </c>
    </row>
    <row r="104" spans="1:14">
      <c r="A104" s="112" t="s">
        <v>82</v>
      </c>
      <c r="B104" s="110">
        <v>0</v>
      </c>
      <c r="C104" s="111"/>
      <c r="D104" s="111"/>
      <c r="E104" s="111">
        <v>0</v>
      </c>
      <c r="F104" s="124"/>
      <c r="G104" s="124"/>
      <c r="H104" s="111">
        <v>0</v>
      </c>
      <c r="I104" s="111"/>
      <c r="J104" s="132"/>
      <c r="K104" s="132">
        <v>0</v>
      </c>
      <c r="L104" s="111"/>
      <c r="M104" s="109"/>
      <c r="N104" s="110">
        <f t="shared" si="3"/>
        <v>0</v>
      </c>
    </row>
    <row r="105" spans="1:14">
      <c r="A105" s="112" t="s">
        <v>83</v>
      </c>
      <c r="B105" s="110">
        <v>0</v>
      </c>
      <c r="C105" s="111"/>
      <c r="D105" s="111"/>
      <c r="E105" s="111">
        <v>0</v>
      </c>
      <c r="F105" s="124"/>
      <c r="G105" s="124"/>
      <c r="H105" s="111">
        <v>0</v>
      </c>
      <c r="I105" s="111"/>
      <c r="J105" s="132"/>
      <c r="K105" s="132">
        <v>0</v>
      </c>
      <c r="L105" s="111"/>
      <c r="M105" s="109"/>
      <c r="N105" s="110">
        <f t="shared" si="3"/>
        <v>0</v>
      </c>
    </row>
    <row r="106" spans="1:14">
      <c r="A106" s="118" t="s">
        <v>600</v>
      </c>
      <c r="B106" s="110">
        <v>0</v>
      </c>
      <c r="C106" s="111"/>
      <c r="D106" s="111"/>
      <c r="E106" s="111">
        <v>0</v>
      </c>
      <c r="F106" s="124"/>
      <c r="G106" s="124"/>
      <c r="H106" s="111">
        <v>0</v>
      </c>
      <c r="I106" s="111"/>
      <c r="J106" s="132"/>
      <c r="K106" s="132">
        <v>0</v>
      </c>
      <c r="L106" s="111"/>
      <c r="M106" s="109"/>
      <c r="N106" s="110">
        <f t="shared" si="3"/>
        <v>0</v>
      </c>
    </row>
    <row r="107" spans="1:14">
      <c r="A107" s="112" t="s">
        <v>266</v>
      </c>
      <c r="B107" s="110">
        <v>0</v>
      </c>
      <c r="C107" s="111"/>
      <c r="D107" s="111"/>
      <c r="E107" s="111">
        <v>0</v>
      </c>
      <c r="F107" s="124"/>
      <c r="G107" s="124"/>
      <c r="H107" s="111">
        <v>0</v>
      </c>
      <c r="I107" s="111"/>
      <c r="J107" s="132"/>
      <c r="K107" s="132">
        <v>0</v>
      </c>
      <c r="L107" s="111"/>
      <c r="M107" s="109"/>
      <c r="N107" s="110">
        <f t="shared" si="3"/>
        <v>0</v>
      </c>
    </row>
    <row r="108" spans="1:14">
      <c r="A108" s="112" t="s">
        <v>84</v>
      </c>
      <c r="B108" s="110">
        <v>0</v>
      </c>
      <c r="C108" s="111"/>
      <c r="D108" s="111"/>
      <c r="E108" s="111">
        <v>0</v>
      </c>
      <c r="F108" s="124"/>
      <c r="G108" s="124"/>
      <c r="H108" s="111">
        <v>0</v>
      </c>
      <c r="I108" s="111"/>
      <c r="J108" s="132"/>
      <c r="K108" s="132">
        <v>0</v>
      </c>
      <c r="L108" s="111"/>
      <c r="M108" s="109"/>
      <c r="N108" s="110">
        <f t="shared" si="3"/>
        <v>0</v>
      </c>
    </row>
    <row r="109" spans="1:14">
      <c r="A109" s="112" t="s">
        <v>85</v>
      </c>
      <c r="B109" s="110">
        <v>0</v>
      </c>
      <c r="C109" s="111"/>
      <c r="D109" s="111"/>
      <c r="E109" s="111">
        <v>0</v>
      </c>
      <c r="F109" s="124"/>
      <c r="G109" s="124"/>
      <c r="H109" s="111">
        <v>0</v>
      </c>
      <c r="I109" s="111"/>
      <c r="J109" s="132"/>
      <c r="K109" s="132">
        <v>0</v>
      </c>
      <c r="L109" s="111"/>
      <c r="M109" s="109"/>
      <c r="N109" s="110">
        <f t="shared" si="3"/>
        <v>0</v>
      </c>
    </row>
    <row r="110" spans="1:14">
      <c r="A110" s="109" t="s">
        <v>36</v>
      </c>
      <c r="B110" s="110">
        <v>0</v>
      </c>
      <c r="C110" s="111"/>
      <c r="D110" s="111"/>
      <c r="E110" s="111">
        <v>0</v>
      </c>
      <c r="F110" s="124"/>
      <c r="G110" s="124"/>
      <c r="H110" s="111">
        <v>0</v>
      </c>
      <c r="I110" s="111"/>
      <c r="J110" s="132"/>
      <c r="K110" s="132">
        <v>0</v>
      </c>
      <c r="L110" s="111"/>
      <c r="M110" s="109"/>
      <c r="N110" s="110">
        <f t="shared" si="3"/>
        <v>0</v>
      </c>
    </row>
    <row r="111" spans="1:14">
      <c r="A111" s="109" t="s">
        <v>305</v>
      </c>
      <c r="B111" s="110">
        <v>0</v>
      </c>
      <c r="C111" s="111"/>
      <c r="D111" s="111"/>
      <c r="E111" s="111">
        <v>0</v>
      </c>
      <c r="F111" s="124"/>
      <c r="G111" s="124"/>
      <c r="H111" s="111">
        <v>0</v>
      </c>
      <c r="I111" s="111"/>
      <c r="J111" s="132"/>
      <c r="K111" s="132">
        <v>0</v>
      </c>
      <c r="L111" s="111"/>
      <c r="M111" s="109"/>
      <c r="N111" s="110">
        <f t="shared" si="3"/>
        <v>0</v>
      </c>
    </row>
    <row r="112" spans="1:14">
      <c r="A112" s="112" t="s">
        <v>86</v>
      </c>
      <c r="B112" s="110">
        <v>0</v>
      </c>
      <c r="C112" s="111"/>
      <c r="D112" s="111"/>
      <c r="E112" s="111">
        <v>0</v>
      </c>
      <c r="F112" s="124"/>
      <c r="G112" s="124"/>
      <c r="H112" s="111">
        <v>0</v>
      </c>
      <c r="I112" s="111"/>
      <c r="J112" s="132"/>
      <c r="K112" s="132">
        <v>0</v>
      </c>
      <c r="L112" s="111"/>
      <c r="M112" s="109"/>
      <c r="N112" s="110">
        <f t="shared" si="3"/>
        <v>0</v>
      </c>
    </row>
  </sheetData>
  <sortState ref="A1:N112">
    <sortCondition descending="1" ref="N1:N112"/>
  </sortState>
  <pageMargins left="0.7" right="0.7" top="0.75" bottom="0.75" header="0.3" footer="0.3"/>
  <pageSetup scale="78" fitToHeight="4" orientation="portrait" r:id="rId1"/>
  <headerFooter>
    <oddHeader>&amp;CDGA Majors List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6"/>
  <sheetViews>
    <sheetView topLeftCell="A85" workbookViewId="0">
      <selection activeCell="D103" sqref="D103"/>
    </sheetView>
  </sheetViews>
  <sheetFormatPr defaultRowHeight="12.75"/>
  <cols>
    <col min="1" max="1" width="10" customWidth="1"/>
    <col min="2" max="2" width="16.42578125" customWidth="1"/>
    <col min="3" max="3" width="6.140625" customWidth="1"/>
    <col min="4" max="4" width="16.42578125" customWidth="1"/>
    <col min="5" max="5" width="6.140625" customWidth="1"/>
    <col min="6" max="6" width="16.42578125" customWidth="1"/>
    <col min="7" max="7" width="6.140625" customWidth="1"/>
    <col min="8" max="8" width="16.42578125" customWidth="1"/>
    <col min="9" max="9" width="6.140625" customWidth="1"/>
    <col min="10" max="10" width="16.42578125" customWidth="1"/>
    <col min="11" max="11" width="6.140625" customWidth="1"/>
    <col min="12" max="12" width="16.42578125" customWidth="1"/>
    <col min="13" max="13" width="6.140625" customWidth="1"/>
    <col min="14" max="14" width="16.42578125" customWidth="1"/>
    <col min="15" max="15" width="6.140625" customWidth="1"/>
  </cols>
  <sheetData>
    <row r="1" spans="1:15" ht="15.75">
      <c r="A1" s="19"/>
      <c r="B1" s="19"/>
      <c r="C1" s="19"/>
      <c r="E1" s="19"/>
      <c r="F1" s="20" t="s">
        <v>157</v>
      </c>
      <c r="G1" s="19"/>
      <c r="H1" s="19"/>
      <c r="I1" s="19"/>
      <c r="J1" s="19"/>
      <c r="K1" s="19"/>
      <c r="L1" s="19"/>
      <c r="M1" s="19"/>
      <c r="N1" s="19"/>
      <c r="O1" s="19"/>
    </row>
    <row r="2" spans="1:15" ht="15.7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15.75">
      <c r="A3" s="156" t="s">
        <v>92</v>
      </c>
      <c r="B3" s="157" t="s">
        <v>158</v>
      </c>
      <c r="C3" s="158"/>
      <c r="D3" s="157" t="s">
        <v>159</v>
      </c>
      <c r="E3" s="158"/>
      <c r="F3" s="157" t="s">
        <v>160</v>
      </c>
      <c r="G3" s="158"/>
      <c r="H3" s="157" t="s">
        <v>161</v>
      </c>
      <c r="I3" s="158"/>
      <c r="J3" s="157" t="s">
        <v>162</v>
      </c>
      <c r="K3" s="158"/>
      <c r="L3" s="157" t="s">
        <v>163</v>
      </c>
      <c r="M3" s="158"/>
      <c r="N3" s="157" t="s">
        <v>164</v>
      </c>
      <c r="O3" s="158"/>
    </row>
    <row r="4" spans="1:15">
      <c r="A4" s="21"/>
      <c r="B4" s="22"/>
      <c r="C4" s="23"/>
      <c r="D4" s="22"/>
      <c r="E4" s="23"/>
      <c r="F4" s="24"/>
      <c r="G4" s="23"/>
      <c r="H4" s="24"/>
      <c r="I4" s="23"/>
      <c r="J4" s="25"/>
      <c r="K4" s="23"/>
      <c r="L4" s="25"/>
      <c r="M4" s="23"/>
      <c r="N4" s="25"/>
      <c r="O4" s="23"/>
    </row>
    <row r="5" spans="1:15">
      <c r="A5" s="159" t="s">
        <v>165</v>
      </c>
      <c r="B5" s="160" t="s">
        <v>16</v>
      </c>
      <c r="C5" s="161">
        <v>67</v>
      </c>
      <c r="D5" s="160" t="s">
        <v>63</v>
      </c>
      <c r="E5" s="161">
        <v>71</v>
      </c>
      <c r="F5" s="162" t="s">
        <v>50</v>
      </c>
      <c r="G5" s="161">
        <v>67</v>
      </c>
      <c r="H5" s="162" t="s">
        <v>64</v>
      </c>
      <c r="I5" s="161">
        <v>67</v>
      </c>
      <c r="J5" s="143"/>
      <c r="K5" s="143"/>
      <c r="L5" s="143"/>
      <c r="M5" s="143"/>
      <c r="N5" s="163" t="s">
        <v>16</v>
      </c>
      <c r="O5" s="164">
        <v>76</v>
      </c>
    </row>
    <row r="6" spans="1:15">
      <c r="A6" s="159" t="s">
        <v>166</v>
      </c>
      <c r="B6" s="160" t="s">
        <v>167</v>
      </c>
      <c r="C6" s="161">
        <v>69</v>
      </c>
      <c r="D6" s="160" t="s">
        <v>168</v>
      </c>
      <c r="E6" s="161">
        <v>72</v>
      </c>
      <c r="F6" s="162" t="s">
        <v>169</v>
      </c>
      <c r="G6" s="161">
        <v>65</v>
      </c>
      <c r="H6" s="162" t="s">
        <v>170</v>
      </c>
      <c r="I6" s="161">
        <v>65</v>
      </c>
      <c r="J6" s="143"/>
      <c r="K6" s="143"/>
      <c r="L6" s="143"/>
      <c r="M6" s="143"/>
      <c r="N6" s="163" t="s">
        <v>169</v>
      </c>
      <c r="O6" s="161">
        <v>72</v>
      </c>
    </row>
    <row r="7" spans="1:15">
      <c r="A7" s="159" t="s">
        <v>171</v>
      </c>
      <c r="B7" s="160" t="s">
        <v>172</v>
      </c>
      <c r="C7" s="161">
        <v>71</v>
      </c>
      <c r="D7" s="160" t="s">
        <v>173</v>
      </c>
      <c r="E7" s="161">
        <v>67</v>
      </c>
      <c r="F7" s="162" t="s">
        <v>174</v>
      </c>
      <c r="G7" s="161">
        <v>64</v>
      </c>
      <c r="H7" s="162" t="s">
        <v>175</v>
      </c>
      <c r="I7" s="161">
        <v>66</v>
      </c>
      <c r="J7" s="143"/>
      <c r="K7" s="143"/>
      <c r="L7" s="143"/>
      <c r="M7" s="143"/>
      <c r="N7" s="163" t="s">
        <v>172</v>
      </c>
      <c r="O7" s="161">
        <v>73</v>
      </c>
    </row>
    <row r="8" spans="1:15">
      <c r="A8" s="159" t="s">
        <v>176</v>
      </c>
      <c r="B8" s="160" t="s">
        <v>172</v>
      </c>
      <c r="C8" s="161">
        <v>64</v>
      </c>
      <c r="D8" s="160" t="s">
        <v>177</v>
      </c>
      <c r="E8" s="161">
        <v>71</v>
      </c>
      <c r="F8" s="162" t="s">
        <v>178</v>
      </c>
      <c r="G8" s="161">
        <v>64</v>
      </c>
      <c r="H8" s="162" t="s">
        <v>179</v>
      </c>
      <c r="I8" s="161">
        <v>67</v>
      </c>
      <c r="J8" s="143"/>
      <c r="K8" s="143"/>
      <c r="L8" s="143"/>
      <c r="M8" s="143"/>
      <c r="N8" s="163" t="s">
        <v>180</v>
      </c>
      <c r="O8" s="164">
        <v>76</v>
      </c>
    </row>
    <row r="9" spans="1:15">
      <c r="A9" s="159" t="s">
        <v>181</v>
      </c>
      <c r="B9" s="160" t="s">
        <v>182</v>
      </c>
      <c r="C9" s="161">
        <v>70</v>
      </c>
      <c r="D9" s="160" t="s">
        <v>183</v>
      </c>
      <c r="E9" s="161">
        <v>68</v>
      </c>
      <c r="F9" s="162" t="s">
        <v>178</v>
      </c>
      <c r="G9" s="161">
        <v>68</v>
      </c>
      <c r="H9" s="162" t="s">
        <v>184</v>
      </c>
      <c r="I9" s="161">
        <v>67</v>
      </c>
      <c r="J9" s="143"/>
      <c r="K9" s="143"/>
      <c r="L9" s="143"/>
      <c r="M9" s="143"/>
      <c r="N9" s="163" t="s">
        <v>182</v>
      </c>
      <c r="O9" s="165" t="s">
        <v>185</v>
      </c>
    </row>
    <row r="10" spans="1:15">
      <c r="A10" s="159" t="s">
        <v>186</v>
      </c>
      <c r="B10" s="160" t="s">
        <v>187</v>
      </c>
      <c r="C10" s="161">
        <v>69</v>
      </c>
      <c r="D10" s="160" t="s">
        <v>179</v>
      </c>
      <c r="E10" s="161">
        <v>64</v>
      </c>
      <c r="F10" s="162" t="s">
        <v>188</v>
      </c>
      <c r="G10" s="161">
        <v>64</v>
      </c>
      <c r="H10" s="162" t="s">
        <v>177</v>
      </c>
      <c r="I10" s="161">
        <v>63</v>
      </c>
      <c r="J10" s="143"/>
      <c r="K10" s="143"/>
      <c r="L10" s="143"/>
      <c r="M10" s="143"/>
      <c r="N10" s="163" t="s">
        <v>180</v>
      </c>
      <c r="O10" s="161">
        <v>71</v>
      </c>
    </row>
    <row r="11" spans="1:15">
      <c r="A11" s="159" t="s">
        <v>97</v>
      </c>
      <c r="B11" s="163" t="s">
        <v>189</v>
      </c>
      <c r="C11" s="161">
        <v>69</v>
      </c>
      <c r="D11" s="163" t="s">
        <v>190</v>
      </c>
      <c r="E11" s="161">
        <v>67</v>
      </c>
      <c r="F11" s="163" t="s">
        <v>191</v>
      </c>
      <c r="G11" s="161">
        <v>64</v>
      </c>
      <c r="H11" s="163" t="s">
        <v>177</v>
      </c>
      <c r="I11" s="161">
        <v>67</v>
      </c>
      <c r="J11" s="143"/>
      <c r="K11" s="143"/>
      <c r="L11" s="143"/>
      <c r="M11" s="143"/>
      <c r="N11" s="163" t="s">
        <v>187</v>
      </c>
      <c r="O11" s="165" t="s">
        <v>192</v>
      </c>
    </row>
    <row r="12" spans="1:15">
      <c r="A12" s="159" t="s">
        <v>99</v>
      </c>
      <c r="B12" s="160" t="s">
        <v>193</v>
      </c>
      <c r="C12" s="161">
        <v>61</v>
      </c>
      <c r="D12" s="160" t="s">
        <v>194</v>
      </c>
      <c r="E12" s="161">
        <v>66</v>
      </c>
      <c r="F12" s="162" t="s">
        <v>187</v>
      </c>
      <c r="G12" s="161">
        <v>66</v>
      </c>
      <c r="H12" s="162" t="s">
        <v>173</v>
      </c>
      <c r="I12" s="161">
        <v>68</v>
      </c>
      <c r="J12" s="143"/>
      <c r="K12" s="143"/>
      <c r="L12" s="143"/>
      <c r="M12" s="143"/>
      <c r="N12" s="163" t="s">
        <v>195</v>
      </c>
      <c r="O12" s="161">
        <v>69</v>
      </c>
    </row>
    <row r="13" spans="1:15">
      <c r="A13" s="143"/>
      <c r="B13" s="143"/>
      <c r="C13" s="143"/>
      <c r="D13" s="163" t="s">
        <v>196</v>
      </c>
      <c r="E13" s="161">
        <v>66</v>
      </c>
      <c r="F13" s="143"/>
      <c r="G13" s="143"/>
      <c r="H13" s="163" t="s">
        <v>197</v>
      </c>
      <c r="I13" s="161">
        <v>68</v>
      </c>
      <c r="J13" s="143"/>
      <c r="K13" s="143"/>
      <c r="L13" s="143"/>
      <c r="M13" s="143"/>
      <c r="N13" s="143"/>
      <c r="O13" s="143"/>
    </row>
    <row r="14" spans="1:15">
      <c r="A14" s="159" t="s">
        <v>101</v>
      </c>
      <c r="B14" s="163" t="s">
        <v>170</v>
      </c>
      <c r="C14" s="161">
        <v>65</v>
      </c>
      <c r="D14" s="163" t="s">
        <v>198</v>
      </c>
      <c r="E14" s="161">
        <v>65</v>
      </c>
      <c r="F14" s="163" t="s">
        <v>187</v>
      </c>
      <c r="G14" s="161">
        <v>66</v>
      </c>
      <c r="H14" s="163" t="s">
        <v>199</v>
      </c>
      <c r="I14" s="161">
        <v>70</v>
      </c>
      <c r="J14" s="143"/>
      <c r="K14" s="143"/>
      <c r="L14" s="143"/>
      <c r="M14" s="143"/>
      <c r="N14" s="163" t="s">
        <v>174</v>
      </c>
      <c r="O14" s="161">
        <v>66</v>
      </c>
    </row>
    <row r="15" spans="1:15">
      <c r="A15" s="143"/>
      <c r="B15" s="143"/>
      <c r="C15" s="143"/>
      <c r="D15" s="143"/>
      <c r="E15" s="143"/>
      <c r="F15" s="143"/>
      <c r="G15" s="143"/>
      <c r="H15" s="163" t="s">
        <v>200</v>
      </c>
      <c r="I15" s="161">
        <v>70</v>
      </c>
      <c r="J15" s="143"/>
      <c r="K15" s="143"/>
      <c r="L15" s="143"/>
      <c r="M15" s="143"/>
      <c r="N15" s="143"/>
      <c r="O15" s="143"/>
    </row>
    <row r="16" spans="1:15">
      <c r="A16" s="143"/>
      <c r="B16" s="143"/>
      <c r="C16" s="143"/>
      <c r="D16" s="143"/>
      <c r="E16" s="143"/>
      <c r="F16" s="143"/>
      <c r="G16" s="143"/>
      <c r="H16" s="163" t="s">
        <v>201</v>
      </c>
      <c r="I16" s="161">
        <v>70</v>
      </c>
      <c r="J16" s="143"/>
      <c r="K16" s="143"/>
      <c r="L16" s="143"/>
      <c r="M16" s="143"/>
      <c r="N16" s="143"/>
      <c r="O16" s="143"/>
    </row>
    <row r="17" spans="1:17">
      <c r="A17" s="159" t="s">
        <v>103</v>
      </c>
      <c r="B17" s="163" t="s">
        <v>191</v>
      </c>
      <c r="C17" s="161">
        <v>69</v>
      </c>
      <c r="D17" s="163" t="s">
        <v>190</v>
      </c>
      <c r="E17" s="161">
        <v>69</v>
      </c>
      <c r="F17" s="163" t="s">
        <v>202</v>
      </c>
      <c r="G17" s="161">
        <v>67</v>
      </c>
      <c r="H17" s="163" t="s">
        <v>203</v>
      </c>
      <c r="I17" s="161">
        <v>71</v>
      </c>
      <c r="J17" s="163" t="s">
        <v>178</v>
      </c>
      <c r="K17" s="161">
        <v>293</v>
      </c>
      <c r="L17" s="143"/>
      <c r="M17" s="143"/>
      <c r="N17" s="163" t="s">
        <v>187</v>
      </c>
      <c r="O17" s="161">
        <v>69</v>
      </c>
    </row>
    <row r="18" spans="1:17">
      <c r="A18" s="143"/>
      <c r="B18" s="143"/>
      <c r="C18" s="143"/>
      <c r="D18" s="143"/>
      <c r="E18" s="143"/>
      <c r="F18" s="163" t="s">
        <v>204</v>
      </c>
      <c r="G18" s="161">
        <v>67</v>
      </c>
      <c r="H18" s="143"/>
      <c r="I18" s="143"/>
      <c r="J18" s="143"/>
      <c r="K18" s="143"/>
      <c r="L18" s="143"/>
      <c r="M18" s="143"/>
      <c r="N18" s="143"/>
      <c r="O18" s="143"/>
    </row>
    <row r="19" spans="1:17">
      <c r="A19" s="143"/>
      <c r="B19" s="143"/>
      <c r="C19" s="143"/>
      <c r="D19" s="143"/>
      <c r="E19" s="143"/>
      <c r="F19" s="163" t="s">
        <v>205</v>
      </c>
      <c r="G19" s="161">
        <v>67</v>
      </c>
      <c r="H19" s="143"/>
      <c r="I19" s="143"/>
      <c r="J19" s="143"/>
      <c r="K19" s="143"/>
      <c r="L19" s="143"/>
      <c r="M19" s="143"/>
      <c r="N19" s="143"/>
      <c r="O19" s="143"/>
    </row>
    <row r="20" spans="1:17">
      <c r="A20" s="159" t="s">
        <v>104</v>
      </c>
      <c r="B20" s="163" t="s">
        <v>191</v>
      </c>
      <c r="C20" s="161">
        <v>62</v>
      </c>
      <c r="D20" s="163" t="s">
        <v>198</v>
      </c>
      <c r="E20" s="161">
        <v>63</v>
      </c>
      <c r="F20" s="163" t="s">
        <v>206</v>
      </c>
      <c r="G20" s="161">
        <v>65</v>
      </c>
      <c r="H20" s="163" t="s">
        <v>207</v>
      </c>
      <c r="I20" s="161">
        <v>63</v>
      </c>
      <c r="J20" s="163" t="s">
        <v>182</v>
      </c>
      <c r="K20" s="161">
        <v>278</v>
      </c>
      <c r="L20" s="143"/>
      <c r="M20" s="143"/>
      <c r="N20" s="163" t="s">
        <v>189</v>
      </c>
      <c r="O20" s="161">
        <v>71</v>
      </c>
    </row>
    <row r="21" spans="1:17">
      <c r="A21" s="159" t="s">
        <v>108</v>
      </c>
      <c r="B21" s="163" t="s">
        <v>8</v>
      </c>
      <c r="C21" s="161">
        <v>70</v>
      </c>
      <c r="D21" s="163" t="s">
        <v>33</v>
      </c>
      <c r="E21" s="161">
        <v>60</v>
      </c>
      <c r="F21" s="163" t="s">
        <v>73</v>
      </c>
      <c r="G21" s="161">
        <v>69</v>
      </c>
      <c r="H21" s="163" t="s">
        <v>208</v>
      </c>
      <c r="I21" s="161">
        <v>71</v>
      </c>
      <c r="J21" s="163" t="s">
        <v>209</v>
      </c>
      <c r="K21" s="161">
        <v>290</v>
      </c>
      <c r="L21" s="163" t="s">
        <v>43</v>
      </c>
      <c r="M21" s="161">
        <v>2</v>
      </c>
      <c r="N21" s="163" t="s">
        <v>182</v>
      </c>
      <c r="O21" s="161">
        <v>70</v>
      </c>
      <c r="P21" s="166"/>
      <c r="Q21" s="167"/>
    </row>
    <row r="22" spans="1:17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63" t="s">
        <v>63</v>
      </c>
      <c r="M22" s="161">
        <v>2</v>
      </c>
      <c r="N22" s="143"/>
      <c r="O22" s="143"/>
    </row>
    <row r="23" spans="1:17">
      <c r="A23" s="143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63" t="s">
        <v>23</v>
      </c>
      <c r="M23" s="161">
        <v>2</v>
      </c>
      <c r="N23" s="143"/>
      <c r="O23" s="143"/>
    </row>
    <row r="24" spans="1:17">
      <c r="A24" s="159" t="s">
        <v>111</v>
      </c>
      <c r="B24" s="163" t="s">
        <v>194</v>
      </c>
      <c r="C24" s="161">
        <v>66</v>
      </c>
      <c r="D24" s="163" t="s">
        <v>207</v>
      </c>
      <c r="E24" s="161">
        <v>64</v>
      </c>
      <c r="F24" s="163" t="s">
        <v>206</v>
      </c>
      <c r="G24" s="161">
        <v>61</v>
      </c>
      <c r="H24" s="163" t="s">
        <v>210</v>
      </c>
      <c r="I24" s="161">
        <v>66</v>
      </c>
      <c r="J24" s="163" t="s">
        <v>169</v>
      </c>
      <c r="K24" s="161">
        <v>282</v>
      </c>
      <c r="L24" s="163" t="s">
        <v>53</v>
      </c>
      <c r="M24" s="161">
        <v>2</v>
      </c>
      <c r="N24" s="163" t="s">
        <v>211</v>
      </c>
      <c r="O24" s="161">
        <v>70</v>
      </c>
      <c r="P24" s="166"/>
      <c r="Q24" s="167"/>
    </row>
    <row r="25" spans="1:17">
      <c r="A25" s="143"/>
      <c r="B25" s="143"/>
      <c r="C25" s="143"/>
      <c r="D25" s="163" t="s">
        <v>170</v>
      </c>
      <c r="E25" s="161">
        <v>64</v>
      </c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68"/>
    </row>
    <row r="26" spans="1:17">
      <c r="A26" s="159" t="s">
        <v>113</v>
      </c>
      <c r="B26" s="163" t="s">
        <v>23</v>
      </c>
      <c r="C26" s="161">
        <v>66</v>
      </c>
      <c r="D26" s="163" t="s">
        <v>9</v>
      </c>
      <c r="E26" s="161">
        <v>67</v>
      </c>
      <c r="F26" s="163" t="s">
        <v>212</v>
      </c>
      <c r="G26" s="161">
        <v>63</v>
      </c>
      <c r="H26" s="163" t="s">
        <v>200</v>
      </c>
      <c r="I26" s="161">
        <v>66</v>
      </c>
      <c r="J26" s="163" t="s">
        <v>187</v>
      </c>
      <c r="K26" s="161">
        <v>286</v>
      </c>
      <c r="L26" s="163" t="s">
        <v>112</v>
      </c>
      <c r="M26" s="161">
        <v>2</v>
      </c>
      <c r="N26" s="163" t="s">
        <v>174</v>
      </c>
      <c r="O26" s="161">
        <v>67</v>
      </c>
      <c r="P26" s="166"/>
      <c r="Q26" s="167"/>
    </row>
    <row r="27" spans="1:17">
      <c r="A27" s="143"/>
      <c r="B27" s="163" t="s">
        <v>33</v>
      </c>
      <c r="C27" s="161">
        <v>66</v>
      </c>
      <c r="D27" s="163" t="s">
        <v>180</v>
      </c>
      <c r="E27" s="161">
        <v>67</v>
      </c>
      <c r="F27" s="163" t="s">
        <v>213</v>
      </c>
      <c r="G27" s="161">
        <v>63</v>
      </c>
      <c r="H27" s="143"/>
      <c r="I27" s="143"/>
      <c r="J27" s="143"/>
      <c r="K27" s="143"/>
      <c r="L27" s="163" t="s">
        <v>16</v>
      </c>
      <c r="M27" s="161">
        <v>2</v>
      </c>
      <c r="N27" s="143"/>
      <c r="O27" s="143"/>
      <c r="P27" s="168"/>
    </row>
    <row r="28" spans="1:17">
      <c r="A28" s="159" t="s">
        <v>115</v>
      </c>
      <c r="B28" s="163" t="s">
        <v>191</v>
      </c>
      <c r="C28" s="161">
        <v>69</v>
      </c>
      <c r="D28" s="163" t="s">
        <v>53</v>
      </c>
      <c r="E28" s="161">
        <v>64</v>
      </c>
      <c r="F28" s="163" t="s">
        <v>214</v>
      </c>
      <c r="G28" s="161">
        <v>69</v>
      </c>
      <c r="H28" s="163" t="s">
        <v>215</v>
      </c>
      <c r="I28" s="161">
        <v>66</v>
      </c>
      <c r="J28" s="163" t="s">
        <v>169</v>
      </c>
      <c r="K28" s="161">
        <v>289</v>
      </c>
      <c r="L28" s="163" t="s">
        <v>4</v>
      </c>
      <c r="M28" s="161">
        <v>2</v>
      </c>
      <c r="N28" s="163" t="s">
        <v>216</v>
      </c>
      <c r="O28" s="161">
        <v>67</v>
      </c>
      <c r="P28" s="166"/>
      <c r="Q28" s="167"/>
    </row>
    <row r="29" spans="1:17">
      <c r="A29" s="143"/>
      <c r="B29" s="143"/>
      <c r="C29" s="143"/>
      <c r="D29" s="143"/>
      <c r="E29" s="143"/>
      <c r="F29" s="163" t="s">
        <v>210</v>
      </c>
      <c r="G29" s="161">
        <v>69</v>
      </c>
      <c r="H29" s="143"/>
      <c r="I29" s="143"/>
      <c r="J29" s="143"/>
      <c r="K29" s="143"/>
      <c r="L29" s="163" t="s">
        <v>8</v>
      </c>
      <c r="M29" s="161">
        <v>2</v>
      </c>
      <c r="N29" s="143"/>
      <c r="O29" s="143"/>
      <c r="P29" s="168"/>
    </row>
    <row r="30" spans="1:17">
      <c r="A30" s="159" t="s">
        <v>117</v>
      </c>
      <c r="B30" s="163" t="s">
        <v>191</v>
      </c>
      <c r="C30" s="161">
        <v>65</v>
      </c>
      <c r="D30" s="163" t="s">
        <v>198</v>
      </c>
      <c r="E30" s="161">
        <v>67</v>
      </c>
      <c r="F30" s="163" t="s">
        <v>54</v>
      </c>
      <c r="G30" s="161">
        <v>66</v>
      </c>
      <c r="H30" s="163" t="s">
        <v>217</v>
      </c>
      <c r="I30" s="161">
        <v>64</v>
      </c>
      <c r="J30" s="163" t="s">
        <v>169</v>
      </c>
      <c r="K30" s="161">
        <v>281</v>
      </c>
      <c r="L30" s="163" t="s">
        <v>16</v>
      </c>
      <c r="M30" s="161">
        <v>3</v>
      </c>
      <c r="N30" s="163" t="s">
        <v>189</v>
      </c>
      <c r="O30" s="161">
        <v>71</v>
      </c>
      <c r="P30" s="166"/>
      <c r="Q30" s="167"/>
    </row>
    <row r="31" spans="1:17">
      <c r="A31" s="159" t="s">
        <v>120</v>
      </c>
      <c r="B31" s="163" t="s">
        <v>216</v>
      </c>
      <c r="C31" s="161">
        <v>65</v>
      </c>
      <c r="D31" s="163" t="s">
        <v>203</v>
      </c>
      <c r="E31" s="161">
        <v>65</v>
      </c>
      <c r="F31" s="163" t="s">
        <v>217</v>
      </c>
      <c r="G31" s="161">
        <v>65</v>
      </c>
      <c r="H31" s="163" t="s">
        <v>23</v>
      </c>
      <c r="I31" s="161">
        <v>65</v>
      </c>
      <c r="J31" s="163" t="s">
        <v>218</v>
      </c>
      <c r="K31" s="161">
        <v>279</v>
      </c>
      <c r="L31" s="163" t="s">
        <v>2</v>
      </c>
      <c r="M31" s="161">
        <v>3</v>
      </c>
      <c r="N31" s="163" t="s">
        <v>169</v>
      </c>
      <c r="O31" s="161">
        <v>73</v>
      </c>
      <c r="P31" s="166"/>
      <c r="Q31" s="167"/>
    </row>
    <row r="32" spans="1:17">
      <c r="A32" s="159" t="s">
        <v>123</v>
      </c>
      <c r="B32" s="163" t="s">
        <v>219</v>
      </c>
      <c r="C32" s="161">
        <v>67</v>
      </c>
      <c r="D32" s="163" t="s">
        <v>220</v>
      </c>
      <c r="E32" s="161">
        <v>65</v>
      </c>
      <c r="F32" s="163" t="s">
        <v>207</v>
      </c>
      <c r="G32" s="161">
        <v>68</v>
      </c>
      <c r="H32" s="163" t="s">
        <v>217</v>
      </c>
      <c r="I32" s="161">
        <v>67</v>
      </c>
      <c r="J32" s="163" t="s">
        <v>191</v>
      </c>
      <c r="K32" s="161">
        <v>278</v>
      </c>
      <c r="L32" s="169"/>
      <c r="M32" s="143"/>
      <c r="N32" s="163" t="s">
        <v>182</v>
      </c>
      <c r="O32" s="161">
        <v>71</v>
      </c>
      <c r="P32" s="170"/>
      <c r="Q32" s="72"/>
    </row>
    <row r="33" spans="1:17">
      <c r="A33" s="143"/>
      <c r="B33" s="143"/>
      <c r="C33" s="143"/>
      <c r="D33" s="143"/>
      <c r="E33" s="143"/>
      <c r="F33" s="143"/>
      <c r="G33" s="143"/>
      <c r="H33" s="163" t="s">
        <v>194</v>
      </c>
      <c r="I33" s="161">
        <v>67</v>
      </c>
      <c r="J33" s="143"/>
      <c r="K33" s="143"/>
      <c r="L33" s="143"/>
      <c r="M33" s="143"/>
      <c r="N33" s="163" t="s">
        <v>180</v>
      </c>
      <c r="O33" s="161">
        <v>71</v>
      </c>
      <c r="P33" s="168"/>
    </row>
    <row r="34" spans="1:17">
      <c r="A34" s="159" t="s">
        <v>126</v>
      </c>
      <c r="B34" s="163" t="s">
        <v>221</v>
      </c>
      <c r="C34" s="161">
        <v>68</v>
      </c>
      <c r="D34" s="163" t="s">
        <v>222</v>
      </c>
      <c r="E34" s="161">
        <v>60</v>
      </c>
      <c r="F34" s="163" t="s">
        <v>16</v>
      </c>
      <c r="G34" s="161">
        <v>64</v>
      </c>
      <c r="H34" s="163" t="s">
        <v>223</v>
      </c>
      <c r="I34" s="161">
        <v>59</v>
      </c>
      <c r="J34" s="163" t="s">
        <v>555</v>
      </c>
      <c r="K34" s="161">
        <v>272</v>
      </c>
      <c r="L34" s="163" t="s">
        <v>51</v>
      </c>
      <c r="M34" s="161">
        <v>3</v>
      </c>
      <c r="N34" s="163" t="s">
        <v>178</v>
      </c>
      <c r="O34" s="161">
        <v>71</v>
      </c>
      <c r="P34" s="170"/>
      <c r="Q34" s="171"/>
    </row>
    <row r="35" spans="1:17">
      <c r="A35" s="159" t="s">
        <v>129</v>
      </c>
      <c r="B35" s="163" t="s">
        <v>224</v>
      </c>
      <c r="C35" s="161">
        <v>65</v>
      </c>
      <c r="D35" s="163" t="s">
        <v>184</v>
      </c>
      <c r="E35" s="161">
        <v>68</v>
      </c>
      <c r="F35" s="163" t="s">
        <v>225</v>
      </c>
      <c r="G35" s="161">
        <v>64</v>
      </c>
      <c r="H35" s="163" t="s">
        <v>226</v>
      </c>
      <c r="I35" s="161">
        <v>66</v>
      </c>
      <c r="J35" s="163" t="s">
        <v>182</v>
      </c>
      <c r="K35" s="161">
        <v>285</v>
      </c>
      <c r="L35" s="169"/>
      <c r="M35" s="143"/>
      <c r="N35" s="163" t="s">
        <v>598</v>
      </c>
      <c r="O35" s="161">
        <v>72</v>
      </c>
      <c r="P35" s="170"/>
      <c r="Q35" s="72"/>
    </row>
    <row r="36" spans="1:17">
      <c r="A36" s="143"/>
      <c r="B36" s="143"/>
      <c r="C36" s="143"/>
      <c r="D36" s="143"/>
      <c r="E36" s="143"/>
      <c r="F36" s="163" t="s">
        <v>227</v>
      </c>
      <c r="G36" s="161">
        <v>64</v>
      </c>
      <c r="H36" s="143"/>
      <c r="I36" s="143"/>
      <c r="J36" s="143"/>
      <c r="K36" s="143"/>
      <c r="L36" s="143"/>
      <c r="M36" s="143"/>
      <c r="N36" s="143"/>
      <c r="O36" s="143"/>
      <c r="P36" s="168"/>
    </row>
    <row r="37" spans="1:17">
      <c r="A37" s="143"/>
      <c r="B37" s="143"/>
      <c r="C37" s="143"/>
      <c r="D37" s="143"/>
      <c r="E37" s="143"/>
      <c r="F37" s="163" t="s">
        <v>228</v>
      </c>
      <c r="G37" s="161">
        <v>64</v>
      </c>
      <c r="H37" s="143"/>
      <c r="I37" s="143"/>
      <c r="J37" s="143"/>
      <c r="K37" s="143"/>
      <c r="L37" s="143"/>
      <c r="M37" s="143"/>
      <c r="N37" s="143"/>
      <c r="O37" s="143"/>
      <c r="P37" s="168"/>
    </row>
    <row r="38" spans="1:17">
      <c r="A38" s="163" t="s">
        <v>133</v>
      </c>
      <c r="B38" s="163" t="s">
        <v>31</v>
      </c>
      <c r="C38" s="161">
        <v>69</v>
      </c>
      <c r="D38" s="163" t="s">
        <v>36</v>
      </c>
      <c r="E38" s="161">
        <v>68</v>
      </c>
      <c r="F38" s="163" t="s">
        <v>37</v>
      </c>
      <c r="G38" s="161">
        <v>69</v>
      </c>
      <c r="H38" s="163" t="s">
        <v>51</v>
      </c>
      <c r="I38" s="161">
        <v>65</v>
      </c>
      <c r="J38" s="163" t="s">
        <v>8</v>
      </c>
      <c r="K38" s="161">
        <v>282</v>
      </c>
      <c r="L38" s="163" t="s">
        <v>88</v>
      </c>
      <c r="M38" s="161">
        <v>3</v>
      </c>
      <c r="N38" s="163" t="s">
        <v>51</v>
      </c>
      <c r="O38" s="161">
        <v>66</v>
      </c>
      <c r="P38" s="166"/>
      <c r="Q38" s="167"/>
    </row>
    <row r="39" spans="1:17">
      <c r="A39" s="163" t="s">
        <v>137</v>
      </c>
      <c r="B39" s="163" t="s">
        <v>31</v>
      </c>
      <c r="C39" s="161">
        <v>66</v>
      </c>
      <c r="D39" s="163" t="s">
        <v>22</v>
      </c>
      <c r="E39" s="161">
        <v>59</v>
      </c>
      <c r="F39" s="163" t="s">
        <v>155</v>
      </c>
      <c r="G39" s="161">
        <v>63</v>
      </c>
      <c r="H39" s="163" t="s">
        <v>29</v>
      </c>
      <c r="I39" s="161">
        <v>63</v>
      </c>
      <c r="J39" s="163" t="s">
        <v>229</v>
      </c>
      <c r="K39" s="161">
        <v>277</v>
      </c>
      <c r="L39" s="163" t="s">
        <v>8</v>
      </c>
      <c r="M39" s="161">
        <v>3</v>
      </c>
      <c r="N39" s="163" t="s">
        <v>31</v>
      </c>
      <c r="O39" s="161">
        <v>75</v>
      </c>
      <c r="P39" s="170"/>
      <c r="Q39" s="171"/>
    </row>
    <row r="40" spans="1:17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63" t="s">
        <v>23</v>
      </c>
      <c r="M40" s="161">
        <v>3</v>
      </c>
      <c r="N40" s="143"/>
      <c r="O40" s="143"/>
    </row>
    <row r="41" spans="1:17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63" t="s">
        <v>24</v>
      </c>
      <c r="M41" s="161">
        <v>3</v>
      </c>
      <c r="N41" s="143"/>
      <c r="O41" s="143"/>
    </row>
    <row r="42" spans="1:17">
      <c r="A42" s="163" t="s">
        <v>142</v>
      </c>
      <c r="B42" s="163" t="s">
        <v>138</v>
      </c>
      <c r="C42" s="161">
        <v>67</v>
      </c>
      <c r="D42" s="163" t="s">
        <v>88</v>
      </c>
      <c r="E42" s="161">
        <v>56</v>
      </c>
      <c r="F42" s="163" t="s">
        <v>22</v>
      </c>
      <c r="G42" s="161">
        <v>60</v>
      </c>
      <c r="H42" s="163" t="s">
        <v>24</v>
      </c>
      <c r="I42" s="161">
        <v>64</v>
      </c>
      <c r="J42" s="163" t="s">
        <v>230</v>
      </c>
      <c r="K42" s="161">
        <v>277</v>
      </c>
      <c r="L42" s="163" t="s">
        <v>23</v>
      </c>
      <c r="M42" s="161">
        <v>3</v>
      </c>
      <c r="N42" s="163" t="s">
        <v>33</v>
      </c>
      <c r="O42" s="163" t="s">
        <v>185</v>
      </c>
    </row>
    <row r="43" spans="1:17">
      <c r="A43" s="143"/>
      <c r="B43" s="143"/>
      <c r="C43" s="143"/>
      <c r="D43" s="143"/>
      <c r="E43" s="143"/>
      <c r="F43" s="163" t="s">
        <v>33</v>
      </c>
      <c r="G43" s="161">
        <v>60</v>
      </c>
      <c r="H43" s="143"/>
      <c r="I43" s="143"/>
      <c r="J43" s="143"/>
      <c r="K43" s="143"/>
      <c r="L43" s="163" t="s">
        <v>155</v>
      </c>
      <c r="M43" s="161">
        <v>3</v>
      </c>
      <c r="N43" s="143"/>
      <c r="O43" s="143"/>
    </row>
    <row r="44" spans="1:17">
      <c r="A44" s="172" t="s">
        <v>231</v>
      </c>
      <c r="B44" s="143" t="s">
        <v>29</v>
      </c>
      <c r="C44" s="143">
        <v>65</v>
      </c>
      <c r="D44" s="143" t="s">
        <v>1</v>
      </c>
      <c r="E44" s="143">
        <v>63</v>
      </c>
      <c r="F44" s="163" t="s">
        <v>61</v>
      </c>
      <c r="G44" s="161">
        <v>64</v>
      </c>
      <c r="H44" s="143" t="s">
        <v>17</v>
      </c>
      <c r="I44" s="143">
        <v>64</v>
      </c>
      <c r="J44" s="143" t="s">
        <v>88</v>
      </c>
      <c r="K44" s="143">
        <v>276</v>
      </c>
      <c r="L44" s="163" t="s">
        <v>4</v>
      </c>
      <c r="M44" s="161">
        <v>3</v>
      </c>
      <c r="N44" s="143" t="s">
        <v>23</v>
      </c>
      <c r="O44" s="143">
        <v>70</v>
      </c>
      <c r="P44" s="173"/>
      <c r="Q44" s="173"/>
    </row>
    <row r="45" spans="1:17">
      <c r="A45" s="172"/>
      <c r="B45" s="143"/>
      <c r="C45" s="143"/>
      <c r="D45" s="143"/>
      <c r="E45" s="143"/>
      <c r="F45" s="163"/>
      <c r="G45" s="161"/>
      <c r="H45" s="143"/>
      <c r="I45" s="143"/>
      <c r="J45" s="143" t="s">
        <v>9</v>
      </c>
      <c r="K45" s="143">
        <v>276</v>
      </c>
      <c r="L45" s="143" t="s">
        <v>23</v>
      </c>
      <c r="M45" s="143">
        <v>3</v>
      </c>
      <c r="N45" s="143"/>
      <c r="O45" s="143"/>
    </row>
    <row r="46" spans="1:17">
      <c r="A46" s="172"/>
      <c r="B46" s="143"/>
      <c r="C46" s="143"/>
      <c r="D46" s="143"/>
      <c r="E46" s="143"/>
      <c r="F46" s="163"/>
      <c r="G46" s="161"/>
      <c r="H46" s="143"/>
      <c r="I46" s="143"/>
      <c r="J46" s="143"/>
      <c r="K46" s="143"/>
      <c r="L46" s="143" t="s">
        <v>112</v>
      </c>
      <c r="M46" s="143">
        <v>3</v>
      </c>
      <c r="N46" s="143"/>
      <c r="O46" s="143"/>
    </row>
    <row r="47" spans="1:17">
      <c r="A47" s="172" t="s">
        <v>232</v>
      </c>
      <c r="B47" s="143" t="s">
        <v>24</v>
      </c>
      <c r="C47" s="143">
        <v>65</v>
      </c>
      <c r="D47" s="143" t="s">
        <v>112</v>
      </c>
      <c r="E47" s="143">
        <v>63</v>
      </c>
      <c r="F47" s="143" t="s">
        <v>22</v>
      </c>
      <c r="G47" s="143">
        <v>67</v>
      </c>
      <c r="H47" s="143" t="s">
        <v>9</v>
      </c>
      <c r="I47" s="143">
        <v>65</v>
      </c>
      <c r="J47" s="143" t="s">
        <v>23</v>
      </c>
      <c r="K47" s="143">
        <v>280</v>
      </c>
      <c r="L47" s="169"/>
      <c r="M47" s="143"/>
      <c r="N47" s="143" t="s">
        <v>155</v>
      </c>
      <c r="O47" s="143">
        <v>70</v>
      </c>
    </row>
    <row r="48" spans="1:17">
      <c r="A48" s="172"/>
      <c r="B48" s="143"/>
      <c r="C48" s="143"/>
      <c r="D48" s="143"/>
      <c r="E48" s="143"/>
      <c r="F48" s="163"/>
      <c r="G48" s="161"/>
      <c r="H48" s="143" t="s">
        <v>155</v>
      </c>
      <c r="I48" s="143">
        <v>65</v>
      </c>
      <c r="J48" s="143"/>
      <c r="K48" s="143"/>
      <c r="L48" s="143"/>
      <c r="M48" s="143"/>
      <c r="N48" s="143"/>
      <c r="O48" s="143"/>
    </row>
    <row r="49" spans="1:17">
      <c r="A49" s="174">
        <v>1997</v>
      </c>
      <c r="B49" s="143" t="s">
        <v>2</v>
      </c>
      <c r="C49" s="143">
        <v>68</v>
      </c>
      <c r="D49" s="143" t="s">
        <v>3</v>
      </c>
      <c r="E49" s="143">
        <v>64</v>
      </c>
      <c r="F49" s="163" t="s">
        <v>233</v>
      </c>
      <c r="G49" s="161">
        <v>60</v>
      </c>
      <c r="H49" s="143" t="s">
        <v>18</v>
      </c>
      <c r="I49" s="143">
        <v>63</v>
      </c>
      <c r="J49" s="143" t="s">
        <v>4</v>
      </c>
      <c r="K49" s="143">
        <v>281</v>
      </c>
      <c r="L49" s="143" t="s">
        <v>106</v>
      </c>
      <c r="M49" s="143">
        <v>3</v>
      </c>
      <c r="N49" s="143" t="s">
        <v>233</v>
      </c>
      <c r="O49" s="143" t="s">
        <v>234</v>
      </c>
    </row>
    <row r="50" spans="1:17">
      <c r="A50" s="174"/>
      <c r="B50" s="143"/>
      <c r="C50" s="143"/>
      <c r="D50" s="143"/>
      <c r="E50" s="143"/>
      <c r="F50" s="163"/>
      <c r="G50" s="161"/>
      <c r="H50" s="143" t="s">
        <v>30</v>
      </c>
      <c r="I50" s="143">
        <v>63</v>
      </c>
      <c r="J50" s="143" t="s">
        <v>235</v>
      </c>
      <c r="K50" s="143" t="s">
        <v>235</v>
      </c>
      <c r="L50" s="143"/>
      <c r="M50" s="143"/>
      <c r="N50" s="143"/>
      <c r="O50" s="143"/>
    </row>
    <row r="51" spans="1:17">
      <c r="A51" s="174" t="s">
        <v>248</v>
      </c>
      <c r="B51" s="143" t="s">
        <v>216</v>
      </c>
      <c r="C51" s="143">
        <v>69</v>
      </c>
      <c r="D51" s="143" t="s">
        <v>7</v>
      </c>
      <c r="E51" s="143">
        <v>67</v>
      </c>
      <c r="F51" s="163" t="s">
        <v>213</v>
      </c>
      <c r="G51" s="161">
        <v>64</v>
      </c>
      <c r="H51" s="143" t="s">
        <v>25</v>
      </c>
      <c r="I51" s="143">
        <v>63</v>
      </c>
      <c r="J51" s="143" t="s">
        <v>23</v>
      </c>
      <c r="K51" s="143" t="s">
        <v>235</v>
      </c>
      <c r="L51" s="143" t="s">
        <v>9</v>
      </c>
      <c r="M51" s="143">
        <v>3</v>
      </c>
      <c r="N51" s="143" t="s">
        <v>9</v>
      </c>
      <c r="O51" s="143">
        <v>73</v>
      </c>
    </row>
    <row r="52" spans="1:17">
      <c r="A52" s="174"/>
      <c r="B52" s="143" t="s">
        <v>106</v>
      </c>
      <c r="C52" s="143"/>
      <c r="D52" s="143"/>
      <c r="E52" s="143"/>
      <c r="F52" s="163"/>
      <c r="G52" s="161"/>
      <c r="H52" s="143" t="s">
        <v>235</v>
      </c>
      <c r="I52" s="143" t="s">
        <v>235</v>
      </c>
      <c r="J52" s="143" t="s">
        <v>235</v>
      </c>
      <c r="K52" s="143" t="s">
        <v>235</v>
      </c>
      <c r="L52" s="143"/>
      <c r="M52" s="143"/>
      <c r="N52" s="143"/>
      <c r="O52" s="143"/>
    </row>
    <row r="53" spans="1:17">
      <c r="A53" s="174"/>
      <c r="B53" s="143"/>
      <c r="C53" s="143"/>
      <c r="D53" s="143"/>
      <c r="E53" s="143"/>
      <c r="F53" s="163"/>
      <c r="G53" s="161"/>
      <c r="H53" s="143" t="s">
        <v>235</v>
      </c>
      <c r="I53" s="143" t="s">
        <v>235</v>
      </c>
      <c r="J53" s="143" t="s">
        <v>235</v>
      </c>
      <c r="K53" s="143" t="s">
        <v>235</v>
      </c>
      <c r="L53" s="143"/>
      <c r="M53" s="143"/>
      <c r="N53" s="143"/>
      <c r="O53" s="143"/>
    </row>
    <row r="54" spans="1:17">
      <c r="A54" s="174">
        <v>1999</v>
      </c>
      <c r="B54" s="143" t="s">
        <v>21</v>
      </c>
      <c r="C54" s="143">
        <v>66</v>
      </c>
      <c r="D54" s="143" t="s">
        <v>3</v>
      </c>
      <c r="E54" s="143">
        <v>66</v>
      </c>
      <c r="F54" s="163" t="s">
        <v>11</v>
      </c>
      <c r="G54" s="161">
        <v>64</v>
      </c>
      <c r="H54" s="143" t="s">
        <v>32</v>
      </c>
      <c r="I54" s="143">
        <v>65</v>
      </c>
      <c r="J54" s="143" t="s">
        <v>24</v>
      </c>
      <c r="K54" s="143">
        <v>284</v>
      </c>
      <c r="L54" s="143" t="s">
        <v>18</v>
      </c>
      <c r="M54" s="143">
        <v>3</v>
      </c>
      <c r="N54" s="143" t="s">
        <v>138</v>
      </c>
      <c r="O54" s="143">
        <v>71</v>
      </c>
      <c r="P54" s="173"/>
      <c r="Q54" s="173"/>
    </row>
    <row r="55" spans="1:17">
      <c r="A55" s="174"/>
      <c r="B55" s="143" t="s">
        <v>235</v>
      </c>
      <c r="C55" s="143"/>
      <c r="D55" s="143"/>
      <c r="E55" s="143"/>
      <c r="F55" s="163" t="s">
        <v>254</v>
      </c>
      <c r="G55" s="161"/>
      <c r="H55" s="143" t="s">
        <v>235</v>
      </c>
      <c r="I55" s="143" t="s">
        <v>235</v>
      </c>
      <c r="J55" s="143" t="s">
        <v>138</v>
      </c>
      <c r="K55" s="143">
        <v>284</v>
      </c>
      <c r="L55" s="143"/>
      <c r="M55" s="143"/>
      <c r="N55" s="143"/>
      <c r="O55" s="143"/>
    </row>
    <row r="56" spans="1:17">
      <c r="A56" s="174" t="s">
        <v>255</v>
      </c>
      <c r="B56" s="143" t="s">
        <v>22</v>
      </c>
      <c r="C56" s="143">
        <v>68</v>
      </c>
      <c r="D56" s="143" t="s">
        <v>5</v>
      </c>
      <c r="E56" s="143">
        <v>62</v>
      </c>
      <c r="F56" s="163" t="s">
        <v>106</v>
      </c>
      <c r="G56" s="161">
        <v>71</v>
      </c>
      <c r="H56" s="143" t="s">
        <v>17</v>
      </c>
      <c r="I56" s="143">
        <v>63</v>
      </c>
      <c r="J56" s="143" t="s">
        <v>144</v>
      </c>
      <c r="K56" s="143">
        <v>289</v>
      </c>
      <c r="L56" s="143" t="s">
        <v>23</v>
      </c>
      <c r="M56" s="143">
        <v>3</v>
      </c>
      <c r="N56" s="143" t="s">
        <v>174</v>
      </c>
      <c r="O56" s="143">
        <v>69</v>
      </c>
      <c r="P56" s="173"/>
      <c r="Q56" s="173"/>
    </row>
    <row r="57" spans="1:17">
      <c r="A57" s="174"/>
      <c r="B57" s="143" t="s">
        <v>235</v>
      </c>
      <c r="C57" s="143"/>
      <c r="D57" s="143"/>
      <c r="E57" s="143"/>
      <c r="F57" s="163" t="s">
        <v>213</v>
      </c>
      <c r="G57" s="161"/>
      <c r="H57" s="143" t="s">
        <v>235</v>
      </c>
      <c r="I57" s="143" t="s">
        <v>235</v>
      </c>
      <c r="J57" s="143"/>
      <c r="K57" s="143"/>
      <c r="L57" s="143" t="s">
        <v>254</v>
      </c>
      <c r="M57" s="143">
        <v>3</v>
      </c>
      <c r="N57" s="143"/>
      <c r="O57" s="143"/>
    </row>
    <row r="58" spans="1:17">
      <c r="A58" s="174" t="s">
        <v>263</v>
      </c>
      <c r="B58" s="143" t="s">
        <v>2</v>
      </c>
      <c r="C58" s="143">
        <v>68</v>
      </c>
      <c r="D58" s="143" t="s">
        <v>11</v>
      </c>
      <c r="E58" s="143">
        <v>67</v>
      </c>
      <c r="F58" s="163" t="s">
        <v>3</v>
      </c>
      <c r="G58" s="161">
        <v>70</v>
      </c>
      <c r="H58" s="143" t="s">
        <v>13</v>
      </c>
      <c r="I58" s="143">
        <v>64</v>
      </c>
      <c r="J58" s="143" t="s">
        <v>31</v>
      </c>
      <c r="K58" s="143" t="s">
        <v>235</v>
      </c>
      <c r="L58" s="169" t="s">
        <v>235</v>
      </c>
      <c r="M58" s="143" t="s">
        <v>235</v>
      </c>
      <c r="N58" s="143" t="s">
        <v>144</v>
      </c>
      <c r="O58" s="143" t="s">
        <v>264</v>
      </c>
    </row>
    <row r="59" spans="1:17">
      <c r="A59" s="174"/>
      <c r="B59" s="143" t="s">
        <v>224</v>
      </c>
      <c r="C59" s="143"/>
      <c r="D59" s="143"/>
      <c r="E59" s="143"/>
      <c r="F59" s="163"/>
      <c r="G59" s="161"/>
      <c r="H59" s="143" t="s">
        <v>144</v>
      </c>
      <c r="I59" s="143" t="s">
        <v>235</v>
      </c>
      <c r="J59" s="143"/>
      <c r="K59" s="143"/>
      <c r="L59" s="143" t="s">
        <v>235</v>
      </c>
      <c r="M59" s="143" t="s">
        <v>235</v>
      </c>
      <c r="N59" s="143"/>
      <c r="O59" s="143"/>
    </row>
    <row r="60" spans="1:17">
      <c r="A60" s="174">
        <v>2002</v>
      </c>
      <c r="B60" s="143" t="s">
        <v>22</v>
      </c>
      <c r="C60" s="143">
        <v>66</v>
      </c>
      <c r="D60" s="143" t="s">
        <v>17</v>
      </c>
      <c r="E60" s="143">
        <v>64</v>
      </c>
      <c r="F60" s="163" t="s">
        <v>1</v>
      </c>
      <c r="G60" s="161">
        <v>63</v>
      </c>
      <c r="H60" s="143" t="s">
        <v>2</v>
      </c>
      <c r="I60" s="143">
        <v>66</v>
      </c>
      <c r="J60" s="143" t="s">
        <v>230</v>
      </c>
      <c r="K60" s="143">
        <v>280</v>
      </c>
      <c r="L60" s="143" t="s">
        <v>24</v>
      </c>
      <c r="M60" s="143">
        <v>3</v>
      </c>
      <c r="N60" s="143" t="s">
        <v>1</v>
      </c>
      <c r="O60" s="143">
        <v>71</v>
      </c>
      <c r="P60" s="173"/>
      <c r="Q60" s="173"/>
    </row>
    <row r="61" spans="1:17">
      <c r="A61" s="174"/>
      <c r="B61" s="143"/>
      <c r="C61" s="143"/>
      <c r="D61" s="143"/>
      <c r="E61" s="143"/>
      <c r="F61" s="163"/>
      <c r="G61" s="161"/>
      <c r="H61" s="143"/>
      <c r="I61" s="143"/>
      <c r="J61" s="143"/>
      <c r="K61" s="143"/>
      <c r="L61" s="143" t="s">
        <v>235</v>
      </c>
      <c r="M61" s="143" t="s">
        <v>235</v>
      </c>
      <c r="N61" s="143" t="s">
        <v>556</v>
      </c>
      <c r="O61" s="143"/>
    </row>
    <row r="62" spans="1:17">
      <c r="A62" s="174">
        <v>2003</v>
      </c>
      <c r="B62" s="143" t="s">
        <v>0</v>
      </c>
      <c r="C62" s="143">
        <v>67</v>
      </c>
      <c r="D62" s="143" t="s">
        <v>256</v>
      </c>
      <c r="E62" s="143">
        <v>69</v>
      </c>
      <c r="F62" s="163" t="s">
        <v>253</v>
      </c>
      <c r="G62" s="161">
        <v>62</v>
      </c>
      <c r="H62" s="143" t="s">
        <v>259</v>
      </c>
      <c r="I62" s="143">
        <v>64</v>
      </c>
      <c r="J62" s="143" t="s">
        <v>106</v>
      </c>
      <c r="K62" s="143">
        <v>287</v>
      </c>
      <c r="L62" s="169"/>
      <c r="M62" s="143"/>
      <c r="N62" s="143" t="s">
        <v>258</v>
      </c>
      <c r="O62" s="143" t="s">
        <v>289</v>
      </c>
    </row>
    <row r="63" spans="1:17">
      <c r="A63" s="174"/>
      <c r="B63" s="143"/>
      <c r="C63" s="143"/>
      <c r="D63" s="143" t="s">
        <v>258</v>
      </c>
      <c r="E63" s="143"/>
      <c r="F63" s="163"/>
      <c r="G63" s="161"/>
      <c r="H63" s="143"/>
      <c r="I63" s="143"/>
      <c r="J63" s="143"/>
      <c r="K63" s="143"/>
      <c r="L63" s="143" t="s">
        <v>235</v>
      </c>
      <c r="M63" s="143" t="s">
        <v>235</v>
      </c>
      <c r="N63" s="175" t="s">
        <v>556</v>
      </c>
      <c r="O63" s="143"/>
    </row>
    <row r="64" spans="1:17">
      <c r="A64" s="174" t="s">
        <v>458</v>
      </c>
      <c r="B64" s="143" t="s">
        <v>260</v>
      </c>
      <c r="C64" s="143">
        <v>65</v>
      </c>
      <c r="D64" s="143" t="s">
        <v>257</v>
      </c>
      <c r="E64" s="143">
        <v>67</v>
      </c>
      <c r="F64" s="163" t="s">
        <v>31</v>
      </c>
      <c r="G64" s="161">
        <v>65</v>
      </c>
      <c r="H64" s="143" t="s">
        <v>23</v>
      </c>
      <c r="I64" s="143">
        <v>63</v>
      </c>
      <c r="J64" s="143" t="s">
        <v>230</v>
      </c>
      <c r="K64" s="143">
        <v>293</v>
      </c>
      <c r="L64" s="169"/>
      <c r="M64" s="143"/>
      <c r="N64" s="143" t="s">
        <v>257</v>
      </c>
      <c r="O64" s="143">
        <v>72</v>
      </c>
    </row>
    <row r="65" spans="1:17">
      <c r="A65" s="174"/>
      <c r="B65" s="143"/>
      <c r="C65" s="143"/>
      <c r="D65" s="143"/>
      <c r="E65" s="143"/>
      <c r="F65" s="163" t="s">
        <v>265</v>
      </c>
      <c r="G65" s="161"/>
      <c r="H65" s="143"/>
      <c r="I65" s="143"/>
      <c r="J65" s="143"/>
      <c r="K65" s="143"/>
      <c r="L65" s="143" t="s">
        <v>235</v>
      </c>
      <c r="M65" s="143" t="s">
        <v>235</v>
      </c>
      <c r="N65" s="143" t="s">
        <v>556</v>
      </c>
      <c r="O65" s="143"/>
    </row>
    <row r="66" spans="1:17">
      <c r="A66" s="174" t="s">
        <v>467</v>
      </c>
      <c r="B66" s="143" t="s">
        <v>18</v>
      </c>
      <c r="C66" s="143">
        <v>65</v>
      </c>
      <c r="D66" s="143" t="s">
        <v>11</v>
      </c>
      <c r="E66" s="143">
        <v>55</v>
      </c>
      <c r="F66" s="163" t="s">
        <v>32</v>
      </c>
      <c r="G66" s="161">
        <v>63</v>
      </c>
      <c r="H66" s="143" t="s">
        <v>25</v>
      </c>
      <c r="I66" s="143">
        <v>61</v>
      </c>
      <c r="J66" s="143" t="s">
        <v>106</v>
      </c>
      <c r="K66" s="143">
        <v>276</v>
      </c>
      <c r="L66" s="143" t="s">
        <v>24</v>
      </c>
      <c r="M66" s="143">
        <v>3</v>
      </c>
      <c r="N66" s="143" t="s">
        <v>32</v>
      </c>
      <c r="O66" s="143">
        <v>59</v>
      </c>
      <c r="P66" s="173"/>
      <c r="Q66" s="173"/>
    </row>
    <row r="67" spans="1:17">
      <c r="A67" s="174"/>
      <c r="B67" s="143"/>
      <c r="C67" s="143"/>
      <c r="D67" s="143"/>
      <c r="E67" s="143"/>
      <c r="F67" s="163"/>
      <c r="G67" s="161"/>
      <c r="H67" s="143"/>
      <c r="I67" s="143"/>
      <c r="J67" s="143"/>
      <c r="K67" s="143"/>
      <c r="L67" s="143" t="s">
        <v>235</v>
      </c>
      <c r="M67" s="143" t="s">
        <v>235</v>
      </c>
      <c r="N67" s="143" t="s">
        <v>731</v>
      </c>
      <c r="O67" s="143"/>
    </row>
    <row r="68" spans="1:17">
      <c r="A68" s="174" t="s">
        <v>482</v>
      </c>
      <c r="B68" s="143" t="s">
        <v>216</v>
      </c>
      <c r="C68" s="143">
        <v>66</v>
      </c>
      <c r="D68" s="143" t="s">
        <v>31</v>
      </c>
      <c r="E68" s="143">
        <v>66</v>
      </c>
      <c r="F68" s="163" t="s">
        <v>2</v>
      </c>
      <c r="G68" s="161">
        <v>65</v>
      </c>
      <c r="H68" s="143" t="s">
        <v>254</v>
      </c>
      <c r="I68" s="143">
        <v>57</v>
      </c>
      <c r="J68" s="143" t="s">
        <v>23</v>
      </c>
      <c r="K68" s="143">
        <v>281</v>
      </c>
      <c r="L68" s="169"/>
      <c r="M68" s="143"/>
      <c r="N68" s="143" t="s">
        <v>254</v>
      </c>
      <c r="O68" s="143">
        <v>78</v>
      </c>
    </row>
    <row r="69" spans="1:17">
      <c r="A69" s="174"/>
      <c r="B69" s="143"/>
      <c r="C69" s="143"/>
      <c r="D69" s="143" t="s">
        <v>32</v>
      </c>
      <c r="E69" s="143"/>
      <c r="F69" s="163"/>
      <c r="G69" s="161"/>
      <c r="H69" s="143"/>
      <c r="I69" s="143"/>
      <c r="J69" s="143" t="s">
        <v>25</v>
      </c>
      <c r="K69" s="143"/>
      <c r="L69" s="143" t="s">
        <v>235</v>
      </c>
      <c r="M69" s="143" t="s">
        <v>235</v>
      </c>
      <c r="N69" s="143" t="s">
        <v>732</v>
      </c>
      <c r="O69" s="143"/>
    </row>
    <row r="70" spans="1:17">
      <c r="A70" s="174"/>
      <c r="B70" s="143"/>
      <c r="C70" s="143"/>
      <c r="D70" s="143"/>
      <c r="E70" s="143"/>
      <c r="F70" s="163"/>
      <c r="G70" s="161"/>
      <c r="H70" s="143"/>
      <c r="I70" s="143"/>
      <c r="J70" s="143"/>
      <c r="K70" s="143"/>
      <c r="L70" s="143" t="s">
        <v>235</v>
      </c>
      <c r="M70" s="143" t="s">
        <v>235</v>
      </c>
      <c r="N70" s="143"/>
      <c r="O70" s="143"/>
    </row>
    <row r="71" spans="1:17">
      <c r="A71" s="174" t="s">
        <v>484</v>
      </c>
      <c r="B71" s="143" t="s">
        <v>5</v>
      </c>
      <c r="C71" s="143">
        <v>65</v>
      </c>
      <c r="D71" s="143" t="s">
        <v>4</v>
      </c>
      <c r="E71" s="143">
        <v>62</v>
      </c>
      <c r="F71" s="163" t="s">
        <v>233</v>
      </c>
      <c r="G71" s="161">
        <v>68</v>
      </c>
      <c r="H71" s="143" t="s">
        <v>305</v>
      </c>
      <c r="I71" s="143">
        <v>67</v>
      </c>
      <c r="J71" s="143" t="s">
        <v>259</v>
      </c>
      <c r="K71" s="143">
        <v>282</v>
      </c>
      <c r="L71" s="169"/>
      <c r="M71" s="143"/>
      <c r="N71" s="143" t="s">
        <v>216</v>
      </c>
      <c r="O71" s="143" t="s">
        <v>289</v>
      </c>
    </row>
    <row r="72" spans="1:17">
      <c r="A72" s="174"/>
      <c r="B72" s="143" t="s">
        <v>23</v>
      </c>
      <c r="C72" s="143"/>
      <c r="D72" s="143"/>
      <c r="E72" s="143"/>
      <c r="F72" s="163"/>
      <c r="G72" s="161"/>
      <c r="H72" s="143"/>
      <c r="I72" s="143"/>
      <c r="J72" s="143"/>
      <c r="K72" s="143"/>
      <c r="L72" s="143" t="s">
        <v>235</v>
      </c>
      <c r="M72" s="143" t="s">
        <v>235</v>
      </c>
      <c r="N72" s="143" t="s">
        <v>556</v>
      </c>
      <c r="O72" s="143"/>
    </row>
    <row r="73" spans="1:17">
      <c r="A73" s="174"/>
      <c r="B73" s="143"/>
      <c r="C73" s="143"/>
      <c r="D73" s="143"/>
      <c r="E73" s="143"/>
      <c r="F73" s="163"/>
      <c r="G73" s="161"/>
      <c r="H73" s="143"/>
      <c r="I73" s="143"/>
      <c r="J73" s="143"/>
      <c r="K73" s="143"/>
      <c r="L73" s="143"/>
      <c r="M73" s="143"/>
      <c r="N73" s="143"/>
      <c r="O73" s="143"/>
    </row>
    <row r="74" spans="1:17">
      <c r="A74" s="174" t="s">
        <v>503</v>
      </c>
      <c r="B74" s="143" t="s">
        <v>513</v>
      </c>
      <c r="C74" s="143">
        <v>64</v>
      </c>
      <c r="D74" s="143" t="s">
        <v>0</v>
      </c>
      <c r="E74" s="143">
        <v>64</v>
      </c>
      <c r="F74" s="163" t="s">
        <v>5</v>
      </c>
      <c r="G74" s="161">
        <v>65</v>
      </c>
      <c r="H74" s="143" t="s">
        <v>254</v>
      </c>
      <c r="I74" s="143">
        <v>67</v>
      </c>
      <c r="J74" s="143" t="s">
        <v>483</v>
      </c>
      <c r="K74" s="143">
        <v>276</v>
      </c>
      <c r="L74" s="143" t="s">
        <v>4</v>
      </c>
      <c r="M74" s="143">
        <v>3</v>
      </c>
      <c r="N74" s="143" t="s">
        <v>0</v>
      </c>
      <c r="O74" s="143">
        <v>68</v>
      </c>
    </row>
    <row r="75" spans="1:17">
      <c r="A75" s="174"/>
      <c r="B75" s="143"/>
      <c r="C75" s="143"/>
      <c r="D75" s="143"/>
      <c r="E75" s="143"/>
      <c r="F75" s="163" t="s">
        <v>23</v>
      </c>
      <c r="G75" s="161">
        <v>65</v>
      </c>
      <c r="H75" s="143"/>
      <c r="I75" s="143"/>
      <c r="J75" s="143"/>
      <c r="K75" s="143"/>
      <c r="L75" s="143" t="s">
        <v>18</v>
      </c>
      <c r="M75" s="143">
        <v>3</v>
      </c>
      <c r="N75" s="143" t="s">
        <v>732</v>
      </c>
      <c r="O75" s="143"/>
    </row>
    <row r="76" spans="1:17">
      <c r="A76" s="174"/>
      <c r="B76" s="143"/>
      <c r="C76" s="143"/>
      <c r="D76" s="143"/>
      <c r="E76" s="143"/>
      <c r="F76" s="163"/>
      <c r="G76" s="161"/>
      <c r="H76" s="143"/>
      <c r="I76" s="143"/>
      <c r="J76" s="143"/>
      <c r="K76" s="143"/>
      <c r="L76" s="143" t="s">
        <v>24</v>
      </c>
      <c r="M76" s="143">
        <v>3</v>
      </c>
      <c r="N76" s="143"/>
      <c r="O76" s="143"/>
    </row>
    <row r="77" spans="1:17">
      <c r="A77" s="174"/>
      <c r="B77" s="143"/>
      <c r="C77" s="143"/>
      <c r="D77" s="143"/>
      <c r="E77" s="143"/>
      <c r="H77" s="143"/>
      <c r="I77" s="143"/>
      <c r="J77" s="143"/>
      <c r="K77" s="143"/>
      <c r="L77" s="143" t="s">
        <v>258</v>
      </c>
      <c r="M77" s="143">
        <v>3</v>
      </c>
      <c r="N77" s="143"/>
      <c r="O77" s="143"/>
    </row>
    <row r="78" spans="1:17">
      <c r="A78" s="174"/>
      <c r="B78" s="143"/>
      <c r="C78" s="143"/>
      <c r="D78" s="143"/>
      <c r="E78" s="143"/>
      <c r="F78" s="163"/>
      <c r="G78" s="161"/>
      <c r="H78" s="143"/>
      <c r="I78" s="143"/>
      <c r="J78" s="143"/>
      <c r="K78" s="143"/>
      <c r="L78" s="143"/>
      <c r="M78" s="143"/>
      <c r="N78" s="143"/>
      <c r="O78" s="143"/>
    </row>
    <row r="79" spans="1:17">
      <c r="A79" s="174" t="s">
        <v>514</v>
      </c>
      <c r="B79" s="143" t="s">
        <v>144</v>
      </c>
      <c r="C79" s="143">
        <v>64</v>
      </c>
      <c r="D79" s="143" t="s">
        <v>0</v>
      </c>
      <c r="E79" s="143">
        <v>64</v>
      </c>
      <c r="F79" s="176" t="s">
        <v>5</v>
      </c>
      <c r="G79" s="161">
        <v>65</v>
      </c>
      <c r="H79" s="143" t="s">
        <v>257</v>
      </c>
      <c r="I79" s="143">
        <v>66</v>
      </c>
      <c r="J79" s="143" t="s">
        <v>23</v>
      </c>
      <c r="K79" s="143">
        <v>285</v>
      </c>
      <c r="L79" s="143" t="s">
        <v>12</v>
      </c>
      <c r="M79" s="143">
        <v>3</v>
      </c>
      <c r="N79" s="143" t="s">
        <v>257</v>
      </c>
      <c r="O79" s="143">
        <v>71</v>
      </c>
      <c r="P79" s="173"/>
      <c r="Q79" s="173"/>
    </row>
    <row r="80" spans="1:17">
      <c r="A80" s="174"/>
      <c r="B80" s="143"/>
      <c r="C80" s="143"/>
      <c r="D80" s="143" t="s">
        <v>25</v>
      </c>
      <c r="E80" s="143">
        <v>64</v>
      </c>
      <c r="F80" s="163"/>
      <c r="G80" s="161"/>
      <c r="H80" s="143" t="s">
        <v>233</v>
      </c>
      <c r="I80" s="143">
        <v>66</v>
      </c>
      <c r="J80" s="143"/>
      <c r="K80" s="143"/>
      <c r="L80" s="143" t="s">
        <v>265</v>
      </c>
      <c r="M80" s="143">
        <v>3</v>
      </c>
      <c r="N80" s="143"/>
      <c r="O80" s="143"/>
    </row>
    <row r="81" spans="1:15">
      <c r="A81" s="174"/>
      <c r="B81" s="143"/>
      <c r="C81" s="143"/>
      <c r="D81" s="143"/>
      <c r="E81" s="143"/>
      <c r="F81" s="163"/>
      <c r="G81" s="161"/>
      <c r="H81" s="143"/>
      <c r="I81" s="143"/>
      <c r="J81" s="143"/>
      <c r="K81" s="143"/>
      <c r="L81" s="143"/>
      <c r="M81" s="143"/>
      <c r="N81" s="143"/>
      <c r="O81" s="143"/>
    </row>
    <row r="82" spans="1:15">
      <c r="A82" s="174">
        <v>2010</v>
      </c>
      <c r="B82" s="177" t="s">
        <v>513</v>
      </c>
      <c r="C82" s="143">
        <v>61</v>
      </c>
      <c r="D82" s="177" t="s">
        <v>233</v>
      </c>
      <c r="E82" s="143">
        <v>62</v>
      </c>
      <c r="F82" s="163" t="s">
        <v>0</v>
      </c>
      <c r="G82" s="161">
        <v>62</v>
      </c>
      <c r="H82" s="177" t="s">
        <v>468</v>
      </c>
      <c r="I82" s="143">
        <v>68</v>
      </c>
      <c r="J82" s="177" t="s">
        <v>519</v>
      </c>
      <c r="K82" s="143">
        <v>286</v>
      </c>
      <c r="L82" s="177" t="s">
        <v>265</v>
      </c>
      <c r="M82" s="143">
        <v>3</v>
      </c>
      <c r="N82" s="177" t="s">
        <v>0</v>
      </c>
      <c r="O82" s="143">
        <v>70</v>
      </c>
    </row>
    <row r="83" spans="1:15">
      <c r="A83" s="174"/>
      <c r="B83" s="177"/>
      <c r="C83" s="143"/>
      <c r="D83" s="177"/>
      <c r="E83" s="143"/>
      <c r="F83" s="176"/>
      <c r="G83" s="161"/>
      <c r="H83" s="177"/>
      <c r="I83" s="143"/>
      <c r="J83" s="177"/>
      <c r="K83" s="143"/>
      <c r="L83" s="177"/>
      <c r="M83" s="143"/>
      <c r="N83" s="143" t="s">
        <v>557</v>
      </c>
      <c r="O83" s="143"/>
    </row>
    <row r="84" spans="1:15" ht="15.75">
      <c r="A84" s="174"/>
      <c r="B84" s="143"/>
      <c r="C84" s="143"/>
      <c r="D84" s="143"/>
      <c r="E84" s="143"/>
      <c r="F84" s="163"/>
      <c r="G84" s="161"/>
      <c r="H84" s="143"/>
      <c r="I84" s="143"/>
      <c r="J84" s="143"/>
      <c r="K84" s="143"/>
      <c r="L84" s="178" t="s">
        <v>558</v>
      </c>
      <c r="M84" s="143"/>
      <c r="N84" s="143"/>
      <c r="O84" s="143"/>
    </row>
    <row r="85" spans="1:15">
      <c r="A85" s="174">
        <v>2011</v>
      </c>
      <c r="B85" s="143" t="s">
        <v>519</v>
      </c>
      <c r="C85" s="143">
        <v>62</v>
      </c>
      <c r="D85" s="143" t="s">
        <v>23</v>
      </c>
      <c r="E85" s="143">
        <v>65</v>
      </c>
      <c r="F85" s="163" t="s">
        <v>254</v>
      </c>
      <c r="G85" s="161">
        <v>65</v>
      </c>
      <c r="H85" s="143" t="s">
        <v>259</v>
      </c>
      <c r="I85" s="143">
        <v>66</v>
      </c>
      <c r="J85" s="143" t="s">
        <v>0</v>
      </c>
      <c r="K85" s="143">
        <v>273</v>
      </c>
      <c r="L85" s="143" t="s">
        <v>559</v>
      </c>
      <c r="M85" s="143">
        <v>24</v>
      </c>
      <c r="N85" s="143" t="s">
        <v>560</v>
      </c>
      <c r="O85" s="179" t="s">
        <v>264</v>
      </c>
    </row>
    <row r="86" spans="1:15">
      <c r="A86" s="174"/>
      <c r="B86" s="143"/>
      <c r="C86" s="143"/>
      <c r="D86" s="143"/>
      <c r="E86" s="143"/>
      <c r="F86" s="163"/>
      <c r="G86" s="161"/>
      <c r="H86" s="143"/>
      <c r="I86" s="143"/>
      <c r="J86" s="143"/>
      <c r="K86" s="143"/>
      <c r="L86" s="143" t="s">
        <v>4</v>
      </c>
      <c r="M86" s="143">
        <v>23</v>
      </c>
      <c r="N86" s="143" t="s">
        <v>557</v>
      </c>
      <c r="O86" s="143"/>
    </row>
    <row r="87" spans="1:15">
      <c r="A87" s="180"/>
      <c r="B87" s="181"/>
      <c r="C87" s="181"/>
      <c r="D87" s="181"/>
      <c r="E87" s="181"/>
      <c r="F87" s="182"/>
      <c r="G87" s="183"/>
      <c r="H87" s="181"/>
      <c r="I87" s="181"/>
      <c r="J87" s="181"/>
      <c r="K87" s="181"/>
      <c r="L87" s="181" t="s">
        <v>305</v>
      </c>
      <c r="M87" s="181">
        <v>15</v>
      </c>
      <c r="N87" s="181"/>
      <c r="O87" s="181"/>
    </row>
    <row r="88" spans="1:15">
      <c r="A88" s="184">
        <v>2012</v>
      </c>
      <c r="B88" s="185" t="s">
        <v>599</v>
      </c>
      <c r="C88" s="185">
        <v>66</v>
      </c>
      <c r="D88" s="185" t="s">
        <v>510</v>
      </c>
      <c r="E88" s="185">
        <v>66</v>
      </c>
      <c r="F88" s="186" t="s">
        <v>18</v>
      </c>
      <c r="G88" s="187">
        <v>65</v>
      </c>
      <c r="H88" s="185" t="s">
        <v>519</v>
      </c>
      <c r="I88" s="185">
        <v>61</v>
      </c>
      <c r="J88" s="185" t="s">
        <v>23</v>
      </c>
      <c r="K88" s="185">
        <v>275</v>
      </c>
      <c r="L88" s="188" t="s">
        <v>559</v>
      </c>
      <c r="M88" s="188">
        <v>30</v>
      </c>
      <c r="N88" s="188" t="s">
        <v>23</v>
      </c>
      <c r="O88" s="185">
        <v>71</v>
      </c>
    </row>
    <row r="89" spans="1:15">
      <c r="A89" s="184"/>
      <c r="B89" s="185"/>
      <c r="C89" s="185"/>
      <c r="D89" s="185" t="s">
        <v>316</v>
      </c>
      <c r="E89" s="185">
        <v>66</v>
      </c>
      <c r="F89" s="186"/>
      <c r="G89" s="187"/>
      <c r="H89" s="185"/>
      <c r="I89" s="185"/>
      <c r="J89" s="185"/>
      <c r="K89" s="185"/>
      <c r="L89" s="185"/>
      <c r="M89" s="185"/>
      <c r="N89" s="188" t="s">
        <v>597</v>
      </c>
      <c r="O89" s="185"/>
    </row>
    <row r="90" spans="1:15">
      <c r="A90" s="184"/>
      <c r="B90" s="185"/>
      <c r="C90" s="185"/>
      <c r="D90" s="188" t="s">
        <v>511</v>
      </c>
      <c r="E90" s="188">
        <v>66</v>
      </c>
      <c r="F90" s="186"/>
      <c r="G90" s="187"/>
      <c r="H90" s="185"/>
      <c r="I90" s="185"/>
      <c r="J90" s="185"/>
      <c r="K90" s="185"/>
      <c r="L90" s="185"/>
      <c r="M90" s="185"/>
      <c r="N90" s="185"/>
      <c r="O90" s="185"/>
    </row>
    <row r="91" spans="1:15">
      <c r="A91" s="184">
        <v>2013</v>
      </c>
      <c r="B91" s="185" t="s">
        <v>520</v>
      </c>
      <c r="C91" s="185">
        <v>64</v>
      </c>
      <c r="D91" s="185" t="s">
        <v>511</v>
      </c>
      <c r="E91" s="185">
        <v>66</v>
      </c>
      <c r="F91" s="186" t="s">
        <v>11</v>
      </c>
      <c r="G91" s="187">
        <v>54</v>
      </c>
      <c r="H91" s="185" t="s">
        <v>7</v>
      </c>
      <c r="I91" s="185">
        <v>65</v>
      </c>
      <c r="J91" s="185" t="s">
        <v>519</v>
      </c>
      <c r="K91" s="185">
        <v>275</v>
      </c>
      <c r="L91" s="188" t="s">
        <v>559</v>
      </c>
      <c r="M91" s="188">
        <v>19</v>
      </c>
      <c r="N91" s="188" t="s">
        <v>7</v>
      </c>
      <c r="O91" s="189" t="s">
        <v>677</v>
      </c>
    </row>
    <row r="92" spans="1:15">
      <c r="A92" s="184"/>
      <c r="B92" s="185"/>
      <c r="C92" s="185"/>
      <c r="D92" s="185"/>
      <c r="E92" s="185"/>
      <c r="F92" s="186"/>
      <c r="G92" s="187"/>
      <c r="H92" s="185"/>
      <c r="I92" s="185"/>
      <c r="J92" s="185"/>
      <c r="K92" s="185"/>
      <c r="L92" s="185" t="s">
        <v>510</v>
      </c>
      <c r="M92" s="185">
        <v>13</v>
      </c>
      <c r="N92" s="188" t="s">
        <v>733</v>
      </c>
      <c r="O92" s="185"/>
    </row>
    <row r="93" spans="1:15">
      <c r="A93" s="184"/>
      <c r="B93" s="185"/>
      <c r="C93" s="185"/>
      <c r="D93" s="188"/>
      <c r="E93" s="188"/>
      <c r="F93" s="186"/>
      <c r="G93" s="187"/>
      <c r="H93" s="185"/>
      <c r="I93" s="185"/>
      <c r="J93" s="185"/>
      <c r="K93" s="185"/>
      <c r="L93" s="185" t="s">
        <v>532</v>
      </c>
      <c r="M93" s="185">
        <v>12</v>
      </c>
      <c r="N93" s="185"/>
      <c r="O93" s="185"/>
    </row>
    <row r="94" spans="1:15">
      <c r="A94" s="184"/>
      <c r="B94" s="185"/>
      <c r="C94" s="185"/>
      <c r="D94" s="188"/>
      <c r="E94" s="188"/>
      <c r="F94" s="186"/>
      <c r="G94" s="187"/>
      <c r="H94" s="185"/>
      <c r="I94" s="185"/>
      <c r="J94" s="185"/>
      <c r="K94" s="185"/>
      <c r="L94" s="185"/>
      <c r="M94" s="185"/>
      <c r="N94" s="185"/>
      <c r="O94" s="185"/>
    </row>
    <row r="95" spans="1:15">
      <c r="A95" s="184">
        <v>2014</v>
      </c>
      <c r="B95" s="185" t="s">
        <v>0</v>
      </c>
      <c r="C95" s="185">
        <v>63</v>
      </c>
      <c r="D95" s="188" t="s">
        <v>513</v>
      </c>
      <c r="E95" s="188">
        <v>62</v>
      </c>
      <c r="F95" s="186" t="s">
        <v>18</v>
      </c>
      <c r="G95" s="187">
        <v>66</v>
      </c>
      <c r="H95" s="185" t="s">
        <v>520</v>
      </c>
      <c r="I95" s="185">
        <v>65</v>
      </c>
      <c r="J95" s="185" t="s">
        <v>23</v>
      </c>
      <c r="K95" s="185">
        <v>278</v>
      </c>
      <c r="L95" s="185" t="s">
        <v>672</v>
      </c>
      <c r="M95" s="185">
        <v>21</v>
      </c>
      <c r="N95" s="185" t="s">
        <v>734</v>
      </c>
      <c r="O95" s="185">
        <v>78</v>
      </c>
    </row>
    <row r="96" spans="1:15">
      <c r="A96" s="184"/>
      <c r="B96" s="185"/>
      <c r="C96" s="185"/>
      <c r="D96" s="188"/>
      <c r="E96" s="188"/>
      <c r="F96" s="186"/>
      <c r="G96" s="187"/>
      <c r="H96" s="185"/>
      <c r="I96" s="185"/>
      <c r="J96" s="185"/>
      <c r="K96" s="185"/>
      <c r="L96" s="185" t="s">
        <v>32</v>
      </c>
      <c r="M96" s="185">
        <v>16</v>
      </c>
      <c r="N96" s="185" t="s">
        <v>733</v>
      </c>
      <c r="O96" s="185"/>
    </row>
    <row r="97" spans="1:15">
      <c r="A97" s="184"/>
      <c r="B97" s="185"/>
      <c r="C97" s="185"/>
      <c r="D97" s="188"/>
      <c r="E97" s="188"/>
      <c r="F97" s="186"/>
      <c r="G97" s="187"/>
      <c r="H97" s="185"/>
      <c r="I97" s="185"/>
      <c r="J97" s="185"/>
      <c r="K97" s="185"/>
      <c r="L97" s="185" t="s">
        <v>265</v>
      </c>
      <c r="M97" s="185">
        <v>10.5</v>
      </c>
      <c r="N97" s="185"/>
      <c r="O97" s="185"/>
    </row>
    <row r="98" spans="1:15">
      <c r="A98" s="184"/>
      <c r="B98" s="185"/>
      <c r="C98" s="185"/>
      <c r="D98" s="188"/>
      <c r="E98" s="188"/>
      <c r="F98" s="186"/>
      <c r="G98" s="187"/>
      <c r="H98" s="185"/>
      <c r="I98" s="185"/>
      <c r="J98" s="185"/>
      <c r="K98" s="185"/>
      <c r="L98" s="185"/>
      <c r="M98" s="185"/>
      <c r="N98" s="185"/>
      <c r="O98" s="185"/>
    </row>
    <row r="99" spans="1:15">
      <c r="A99" s="184">
        <v>2015</v>
      </c>
      <c r="B99" s="185" t="s">
        <v>25</v>
      </c>
      <c r="C99" s="185">
        <v>64</v>
      </c>
      <c r="D99" s="188" t="s">
        <v>808</v>
      </c>
      <c r="E99" s="188">
        <v>63</v>
      </c>
      <c r="F99" s="186" t="s">
        <v>265</v>
      </c>
      <c r="G99" s="187">
        <v>60</v>
      </c>
      <c r="H99" s="185" t="s">
        <v>511</v>
      </c>
      <c r="I99" s="185">
        <v>64</v>
      </c>
      <c r="J99" s="185" t="s">
        <v>0</v>
      </c>
      <c r="K99" s="185">
        <v>268</v>
      </c>
      <c r="L99" s="185" t="s">
        <v>18</v>
      </c>
      <c r="M99" s="185">
        <v>17</v>
      </c>
      <c r="N99" s="185" t="s">
        <v>23</v>
      </c>
      <c r="O99" s="185">
        <v>71</v>
      </c>
    </row>
    <row r="100" spans="1:15">
      <c r="A100" s="184"/>
      <c r="B100" s="185" t="s">
        <v>807</v>
      </c>
      <c r="C100" s="185"/>
      <c r="D100" s="188" t="s">
        <v>731</v>
      </c>
      <c r="E100" s="188"/>
      <c r="F100" s="186" t="s">
        <v>809</v>
      </c>
      <c r="G100" s="187"/>
      <c r="H100" s="185" t="s">
        <v>810</v>
      </c>
      <c r="I100" s="185"/>
      <c r="J100" s="185"/>
      <c r="K100" s="185"/>
      <c r="L100" s="185" t="s">
        <v>560</v>
      </c>
      <c r="M100" s="185">
        <v>14.5</v>
      </c>
      <c r="N100" s="185" t="s">
        <v>733</v>
      </c>
      <c r="O100" s="185"/>
    </row>
    <row r="101" spans="1:15">
      <c r="A101" s="184"/>
      <c r="B101" s="185"/>
      <c r="C101" s="185"/>
      <c r="D101" s="188"/>
      <c r="E101" s="188"/>
      <c r="F101" s="186"/>
      <c r="G101" s="187"/>
      <c r="H101" s="185"/>
      <c r="I101" s="185"/>
      <c r="J101" s="185"/>
      <c r="K101" s="185"/>
      <c r="L101" s="185" t="s">
        <v>23</v>
      </c>
      <c r="M101" s="185">
        <v>10</v>
      </c>
      <c r="N101" s="185"/>
      <c r="O101" s="185"/>
    </row>
    <row r="102" spans="1:15">
      <c r="A102" s="184"/>
      <c r="B102" s="185"/>
      <c r="C102" s="185"/>
      <c r="D102" s="188"/>
      <c r="E102" s="188"/>
      <c r="F102" s="186"/>
      <c r="G102" s="187"/>
      <c r="H102" s="185"/>
      <c r="I102" s="185"/>
      <c r="J102" s="185"/>
      <c r="K102" s="185"/>
      <c r="L102" s="185"/>
      <c r="M102" s="185"/>
      <c r="N102" s="185"/>
      <c r="O102" s="185"/>
    </row>
    <row r="103" spans="1:15">
      <c r="A103" s="184">
        <v>2016</v>
      </c>
      <c r="B103" s="185" t="s">
        <v>513</v>
      </c>
      <c r="C103" s="185">
        <v>67</v>
      </c>
      <c r="D103" s="188" t="s">
        <v>23</v>
      </c>
      <c r="E103" s="188">
        <v>62</v>
      </c>
      <c r="F103" s="186" t="s">
        <v>265</v>
      </c>
      <c r="G103" s="187">
        <v>65</v>
      </c>
      <c r="H103" s="185" t="s">
        <v>789</v>
      </c>
      <c r="I103" s="185">
        <v>66</v>
      </c>
      <c r="J103" s="185" t="s">
        <v>259</v>
      </c>
      <c r="K103" s="185">
        <v>287</v>
      </c>
      <c r="L103" s="185" t="s">
        <v>560</v>
      </c>
      <c r="M103" s="185">
        <v>14</v>
      </c>
      <c r="N103" s="185" t="s">
        <v>31</v>
      </c>
      <c r="O103" s="189" t="s">
        <v>289</v>
      </c>
    </row>
    <row r="104" spans="1:15">
      <c r="A104" s="184"/>
      <c r="B104" s="185" t="s">
        <v>807</v>
      </c>
      <c r="C104" s="185"/>
      <c r="D104" s="188" t="s">
        <v>810</v>
      </c>
      <c r="E104" s="188"/>
      <c r="F104" s="186" t="s">
        <v>731</v>
      </c>
      <c r="G104" s="187"/>
      <c r="H104" s="185" t="s">
        <v>809</v>
      </c>
      <c r="I104" s="185"/>
      <c r="J104" s="185" t="s">
        <v>31</v>
      </c>
      <c r="K104" s="185"/>
      <c r="L104" s="185"/>
      <c r="M104" s="185"/>
      <c r="N104" s="185" t="s">
        <v>733</v>
      </c>
      <c r="O104" s="185"/>
    </row>
    <row r="105" spans="1:15">
      <c r="A105" s="184"/>
      <c r="B105" s="185"/>
      <c r="C105" s="185"/>
      <c r="D105" s="188"/>
      <c r="E105" s="188"/>
      <c r="F105" s="186"/>
      <c r="G105" s="187"/>
      <c r="H105" s="185"/>
      <c r="I105" s="185"/>
      <c r="J105" s="185" t="s">
        <v>0</v>
      </c>
      <c r="K105" s="185"/>
      <c r="L105" s="185"/>
      <c r="M105" s="185"/>
      <c r="N105" s="185"/>
      <c r="O105" s="185"/>
    </row>
    <row r="106" spans="1:15">
      <c r="A106" s="184"/>
      <c r="B106" s="185"/>
      <c r="C106" s="185"/>
      <c r="D106" s="188"/>
      <c r="E106" s="188"/>
      <c r="F106" s="186"/>
      <c r="G106" s="187"/>
      <c r="H106" s="185"/>
      <c r="I106" s="185"/>
      <c r="J106" s="185"/>
      <c r="K106" s="185"/>
      <c r="L106" s="185"/>
      <c r="M106" s="185"/>
      <c r="N106" s="185"/>
      <c r="O106" s="185"/>
    </row>
    <row r="107" spans="1:15">
      <c r="A107" s="277" t="s">
        <v>987</v>
      </c>
      <c r="B107" s="217" t="s">
        <v>511</v>
      </c>
      <c r="C107" s="185">
        <v>63</v>
      </c>
      <c r="D107" s="278" t="s">
        <v>351</v>
      </c>
      <c r="E107" s="188">
        <v>57</v>
      </c>
      <c r="F107" s="279" t="s">
        <v>12</v>
      </c>
      <c r="G107" s="187">
        <v>64</v>
      </c>
      <c r="H107" s="217" t="s">
        <v>599</v>
      </c>
      <c r="I107" s="185">
        <v>65</v>
      </c>
      <c r="J107" s="217" t="s">
        <v>468</v>
      </c>
      <c r="K107" s="185">
        <v>276</v>
      </c>
      <c r="L107" s="217" t="s">
        <v>25</v>
      </c>
      <c r="M107" s="185">
        <v>12</v>
      </c>
      <c r="N107" s="217" t="s">
        <v>34</v>
      </c>
      <c r="O107" s="189">
        <v>69</v>
      </c>
    </row>
    <row r="108" spans="1:15">
      <c r="A108" s="184"/>
      <c r="B108" s="185" t="s">
        <v>807</v>
      </c>
      <c r="C108" s="185"/>
      <c r="D108" s="188" t="s">
        <v>810</v>
      </c>
      <c r="E108" s="188"/>
      <c r="F108" s="279" t="s">
        <v>23</v>
      </c>
      <c r="G108" s="187"/>
      <c r="H108" s="185" t="s">
        <v>809</v>
      </c>
      <c r="I108" s="185"/>
      <c r="J108" s="185"/>
      <c r="K108" s="185"/>
      <c r="L108" s="217" t="s">
        <v>672</v>
      </c>
      <c r="M108" s="185">
        <v>8</v>
      </c>
      <c r="N108" s="217" t="s">
        <v>988</v>
      </c>
      <c r="O108" s="185"/>
    </row>
    <row r="109" spans="1:15">
      <c r="A109" s="184"/>
      <c r="B109" s="185"/>
      <c r="C109" s="185"/>
      <c r="D109" s="188"/>
      <c r="E109" s="188"/>
      <c r="F109" s="186" t="s">
        <v>731</v>
      </c>
      <c r="G109" s="187"/>
      <c r="H109" s="185"/>
      <c r="I109" s="185"/>
      <c r="J109" s="185"/>
      <c r="K109" s="185"/>
      <c r="L109" s="185"/>
      <c r="M109" s="185"/>
      <c r="N109" s="185"/>
      <c r="O109" s="185"/>
    </row>
    <row r="110" spans="1:15">
      <c r="A110" s="239"/>
      <c r="B110" s="11"/>
      <c r="C110" s="11"/>
      <c r="D110" s="32"/>
      <c r="E110" s="32"/>
      <c r="F110" s="240"/>
      <c r="G110" s="241"/>
      <c r="H110" s="11"/>
      <c r="I110" s="11"/>
      <c r="J110" s="11"/>
      <c r="K110" s="11"/>
      <c r="L110" s="11"/>
      <c r="M110" s="11"/>
      <c r="N110" s="11"/>
      <c r="O110" s="11"/>
    </row>
    <row r="112" spans="1:15">
      <c r="A112" s="190" t="s">
        <v>236</v>
      </c>
      <c r="B112" s="191"/>
      <c r="C112" s="191"/>
      <c r="D112" s="191"/>
      <c r="E112" s="191"/>
      <c r="F112" s="192" t="s">
        <v>23</v>
      </c>
      <c r="G112" s="193">
        <v>24</v>
      </c>
      <c r="H112" s="194"/>
      <c r="O112">
        <f>COUNTA(O5:O107)</f>
        <v>47</v>
      </c>
    </row>
    <row r="113" spans="1:10">
      <c r="A113" s="190" t="s">
        <v>561</v>
      </c>
      <c r="B113" s="191"/>
      <c r="C113" s="191"/>
      <c r="D113" s="191"/>
      <c r="E113" s="191"/>
      <c r="F113" s="192" t="s">
        <v>562</v>
      </c>
      <c r="G113" s="193">
        <v>9</v>
      </c>
      <c r="H113" s="194"/>
    </row>
    <row r="114" spans="1:10" ht="25.5">
      <c r="A114" s="190" t="s">
        <v>237</v>
      </c>
      <c r="B114" s="191"/>
      <c r="C114" s="191"/>
      <c r="D114" s="191"/>
      <c r="E114" s="191"/>
      <c r="F114" s="192" t="s">
        <v>23</v>
      </c>
      <c r="G114" s="193">
        <v>6</v>
      </c>
      <c r="H114" s="195" t="s">
        <v>811</v>
      </c>
    </row>
    <row r="115" spans="1:10">
      <c r="A115" s="26" t="s">
        <v>238</v>
      </c>
      <c r="F115" s="196" t="s">
        <v>11</v>
      </c>
      <c r="G115" s="27">
        <v>54</v>
      </c>
      <c r="H115" s="195">
        <v>2013</v>
      </c>
    </row>
    <row r="116" spans="1:10">
      <c r="A116" s="197" t="s">
        <v>239</v>
      </c>
      <c r="B116" s="198"/>
      <c r="C116" s="198"/>
      <c r="D116" s="198"/>
      <c r="E116" s="198"/>
      <c r="F116" s="199" t="s">
        <v>32</v>
      </c>
      <c r="G116" s="200">
        <v>59</v>
      </c>
      <c r="H116" s="195">
        <v>2005</v>
      </c>
    </row>
    <row r="117" spans="1:10">
      <c r="A117" s="190" t="s">
        <v>240</v>
      </c>
      <c r="B117" s="191"/>
      <c r="C117" s="191"/>
      <c r="D117" s="191"/>
      <c r="E117" s="191"/>
      <c r="F117" s="192" t="s">
        <v>43</v>
      </c>
      <c r="G117" s="193">
        <v>72</v>
      </c>
      <c r="H117" s="195" t="s">
        <v>166</v>
      </c>
    </row>
    <row r="118" spans="1:10">
      <c r="A118" s="197" t="s">
        <v>241</v>
      </c>
      <c r="B118" s="198"/>
      <c r="C118" s="198"/>
      <c r="D118" s="198"/>
      <c r="E118" s="198"/>
      <c r="F118" s="199" t="s">
        <v>735</v>
      </c>
      <c r="G118" s="200">
        <v>78</v>
      </c>
      <c r="H118" s="195" t="s">
        <v>736</v>
      </c>
    </row>
    <row r="119" spans="1:10">
      <c r="A119" s="190" t="s">
        <v>242</v>
      </c>
      <c r="B119" s="191"/>
      <c r="C119" s="191"/>
      <c r="D119" s="191"/>
      <c r="E119" s="191"/>
      <c r="F119" s="192" t="s">
        <v>53</v>
      </c>
      <c r="G119" s="193">
        <v>5</v>
      </c>
      <c r="H119" s="195" t="s">
        <v>243</v>
      </c>
    </row>
    <row r="120" spans="1:10" ht="25.5">
      <c r="A120" s="197" t="s">
        <v>244</v>
      </c>
      <c r="B120" s="198"/>
      <c r="C120" s="198"/>
      <c r="D120" s="198"/>
      <c r="E120" s="198"/>
      <c r="F120" s="201" t="s">
        <v>23</v>
      </c>
      <c r="G120" s="27">
        <v>7</v>
      </c>
      <c r="H120" s="195" t="s">
        <v>737</v>
      </c>
    </row>
    <row r="121" spans="1:10">
      <c r="A121" s="243" t="s">
        <v>245</v>
      </c>
      <c r="B121" s="244"/>
      <c r="C121" s="244"/>
      <c r="D121" s="249"/>
      <c r="E121" s="253" t="s">
        <v>758</v>
      </c>
      <c r="F121" s="245" t="s">
        <v>0</v>
      </c>
      <c r="G121" s="246">
        <v>268</v>
      </c>
      <c r="H121" s="247">
        <v>2015</v>
      </c>
    </row>
    <row r="122" spans="1:10">
      <c r="A122" s="252"/>
      <c r="B122" s="251"/>
      <c r="C122" s="251"/>
      <c r="D122" s="251"/>
      <c r="E122" s="253" t="s">
        <v>759</v>
      </c>
      <c r="F122" s="245" t="s">
        <v>559</v>
      </c>
      <c r="G122" s="246">
        <v>272</v>
      </c>
      <c r="H122" s="247" t="s">
        <v>126</v>
      </c>
    </row>
    <row r="123" spans="1:10">
      <c r="A123" s="243" t="s">
        <v>563</v>
      </c>
      <c r="B123" s="244"/>
      <c r="C123" s="249"/>
      <c r="D123" s="251"/>
      <c r="E123" s="250"/>
      <c r="F123" s="245" t="s">
        <v>564</v>
      </c>
      <c r="G123" s="248">
        <v>293</v>
      </c>
      <c r="H123" s="247" t="s">
        <v>565</v>
      </c>
    </row>
    <row r="124" spans="1:10">
      <c r="A124" s="243" t="s">
        <v>738</v>
      </c>
      <c r="B124" s="244"/>
      <c r="C124" s="249"/>
      <c r="D124" s="251"/>
      <c r="E124" s="250"/>
      <c r="F124" s="245" t="s">
        <v>559</v>
      </c>
      <c r="G124" s="248">
        <v>24</v>
      </c>
      <c r="H124" s="247">
        <v>2011</v>
      </c>
      <c r="J124" t="s">
        <v>739</v>
      </c>
    </row>
    <row r="125" spans="1:10">
      <c r="A125" s="243" t="s">
        <v>740</v>
      </c>
      <c r="B125" s="244"/>
      <c r="C125" s="249"/>
      <c r="D125" s="251"/>
      <c r="E125" s="250"/>
      <c r="F125" s="245" t="s">
        <v>559</v>
      </c>
      <c r="G125" s="248">
        <v>30</v>
      </c>
      <c r="H125" s="247">
        <v>2012</v>
      </c>
    </row>
    <row r="126" spans="1:10">
      <c r="A126" s="243" t="s">
        <v>741</v>
      </c>
      <c r="B126" s="244"/>
      <c r="C126" s="249"/>
      <c r="D126" s="251"/>
      <c r="E126" s="253" t="s">
        <v>758</v>
      </c>
      <c r="F126" s="245" t="s">
        <v>18</v>
      </c>
      <c r="G126" s="248">
        <v>17</v>
      </c>
      <c r="H126" s="247">
        <v>2015</v>
      </c>
      <c r="J126" t="s">
        <v>742</v>
      </c>
    </row>
    <row r="127" spans="1:10">
      <c r="A127" s="252"/>
      <c r="B127" s="251"/>
      <c r="C127" s="251"/>
      <c r="D127" s="251"/>
      <c r="E127" s="253" t="s">
        <v>759</v>
      </c>
      <c r="F127" s="245" t="s">
        <v>559</v>
      </c>
      <c r="G127" s="248">
        <v>19</v>
      </c>
      <c r="H127" s="247">
        <v>2013</v>
      </c>
    </row>
    <row r="128" spans="1:10">
      <c r="A128" s="243" t="s">
        <v>743</v>
      </c>
      <c r="B128" s="244"/>
      <c r="C128" s="249"/>
      <c r="D128" s="251"/>
      <c r="E128" s="250"/>
      <c r="F128" s="245" t="s">
        <v>672</v>
      </c>
      <c r="G128" s="248">
        <v>21</v>
      </c>
      <c r="H128" s="247">
        <v>2014</v>
      </c>
    </row>
    <row r="129" spans="1:12">
      <c r="A129" s="243" t="s">
        <v>744</v>
      </c>
      <c r="B129" s="244"/>
      <c r="C129" s="249"/>
      <c r="D129" s="251"/>
      <c r="E129" s="253" t="s">
        <v>758</v>
      </c>
      <c r="F129" s="245" t="s">
        <v>23</v>
      </c>
      <c r="G129" s="248">
        <v>10</v>
      </c>
      <c r="H129" s="247">
        <v>2015</v>
      </c>
    </row>
    <row r="130" spans="1:12">
      <c r="A130" s="252"/>
      <c r="B130" s="251"/>
      <c r="C130" s="251"/>
      <c r="D130" s="251"/>
      <c r="E130" s="253" t="s">
        <v>759</v>
      </c>
      <c r="F130" s="245" t="s">
        <v>265</v>
      </c>
      <c r="G130" s="248">
        <v>10.5</v>
      </c>
      <c r="H130" s="247">
        <v>2014</v>
      </c>
    </row>
    <row r="131" spans="1:12">
      <c r="A131" s="242" t="s">
        <v>246</v>
      </c>
      <c r="B131" s="11"/>
      <c r="C131" s="11"/>
      <c r="D131" s="11"/>
      <c r="E131" s="11"/>
      <c r="H131" s="242" t="s">
        <v>989</v>
      </c>
      <c r="I131" s="198"/>
      <c r="J131" s="198"/>
      <c r="K131" s="198"/>
      <c r="L131" s="202"/>
    </row>
    <row r="132" spans="1:12">
      <c r="A132" s="29"/>
      <c r="B132" s="30" t="s">
        <v>247</v>
      </c>
      <c r="D132" s="50" t="s">
        <v>728</v>
      </c>
      <c r="G132" s="31"/>
      <c r="H132" s="50" t="s">
        <v>980</v>
      </c>
      <c r="J132" s="30"/>
      <c r="L132" s="31"/>
    </row>
    <row r="133" spans="1:12">
      <c r="A133" s="29"/>
      <c r="B133" s="60" t="s">
        <v>509</v>
      </c>
      <c r="D133" s="50" t="s">
        <v>790</v>
      </c>
      <c r="G133" s="12"/>
      <c r="H133" s="99"/>
      <c r="J133" s="30" t="s">
        <v>235</v>
      </c>
      <c r="L133" s="31"/>
    </row>
    <row r="134" spans="1:12">
      <c r="A134" s="29"/>
      <c r="B134" s="203" t="s">
        <v>600</v>
      </c>
      <c r="D134" s="60" t="s">
        <v>812</v>
      </c>
      <c r="G134" s="31"/>
      <c r="H134" s="59"/>
      <c r="J134" s="30"/>
      <c r="L134" s="31"/>
    </row>
    <row r="135" spans="1:12">
      <c r="A135" s="29"/>
      <c r="B135" s="96" t="s">
        <v>814</v>
      </c>
      <c r="C135" s="11"/>
      <c r="G135" s="31"/>
      <c r="I135" s="11"/>
      <c r="J135" s="11"/>
      <c r="K135" s="11"/>
      <c r="L135" s="12"/>
    </row>
    <row r="136" spans="1:12">
      <c r="A136" s="25"/>
      <c r="B136" s="66"/>
      <c r="C136" s="28"/>
      <c r="D136" s="16"/>
      <c r="E136" s="28"/>
      <c r="F136" s="28"/>
      <c r="G136" s="23"/>
      <c r="H136" s="67"/>
      <c r="I136" s="16"/>
      <c r="J136" s="16"/>
      <c r="K136" s="16"/>
      <c r="L136" s="17"/>
    </row>
  </sheetData>
  <phoneticPr fontId="0" type="noConversion"/>
  <pageMargins left="0.75" right="0.75" top="1" bottom="1" header="0.5" footer="0.5"/>
  <pageSetup scale="56" fitToHeight="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4"/>
  <sheetViews>
    <sheetView topLeftCell="A43" workbookViewId="0">
      <selection activeCell="E47" sqref="E47"/>
    </sheetView>
  </sheetViews>
  <sheetFormatPr defaultRowHeight="12.75"/>
  <cols>
    <col min="1" max="1" width="14.28515625" customWidth="1"/>
    <col min="2" max="2" width="11.5703125" style="43" customWidth="1"/>
    <col min="3" max="3" width="11.7109375" style="43" customWidth="1"/>
    <col min="4" max="4" width="5.85546875" customWidth="1"/>
    <col min="5" max="7" width="5.42578125" customWidth="1"/>
    <col min="8" max="8" width="5.5703125" customWidth="1"/>
    <col min="9" max="9" width="5.140625" customWidth="1"/>
    <col min="10" max="11" width="4.85546875" customWidth="1"/>
    <col min="12" max="14" width="5.28515625" customWidth="1"/>
    <col min="15" max="27" width="5" bestFit="1" customWidth="1"/>
  </cols>
  <sheetData>
    <row r="1" spans="1:27" ht="15.75">
      <c r="A1" s="1" t="s">
        <v>89</v>
      </c>
      <c r="B1" s="79" t="s">
        <v>39</v>
      </c>
      <c r="C1" s="2" t="s">
        <v>40</v>
      </c>
      <c r="G1" s="1" t="s">
        <v>90</v>
      </c>
    </row>
    <row r="2" spans="1:27">
      <c r="A2" s="204" t="s">
        <v>42</v>
      </c>
      <c r="B2" s="80">
        <f t="shared" ref="B2:B63" si="0">COUNTA(D2:AA2)</f>
        <v>0</v>
      </c>
      <c r="C2" s="205">
        <v>0</v>
      </c>
      <c r="D2" s="206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11"/>
      <c r="W2" s="11"/>
      <c r="X2" s="11"/>
      <c r="Y2" s="11"/>
      <c r="Z2" s="11"/>
      <c r="AA2" s="11"/>
    </row>
    <row r="3" spans="1:27">
      <c r="A3" s="81" t="s">
        <v>0</v>
      </c>
      <c r="B3" s="80">
        <f t="shared" si="0"/>
        <v>8</v>
      </c>
      <c r="C3" s="82">
        <v>2</v>
      </c>
      <c r="D3" s="10">
        <v>2003</v>
      </c>
      <c r="E3" s="150">
        <v>2008</v>
      </c>
      <c r="F3" s="32">
        <v>2009</v>
      </c>
      <c r="G3" s="150">
        <v>2010</v>
      </c>
      <c r="H3" s="10">
        <v>2011</v>
      </c>
      <c r="I3" s="207">
        <v>2014</v>
      </c>
      <c r="J3" s="207">
        <v>2015</v>
      </c>
      <c r="K3" s="207">
        <v>2016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>
      <c r="A4" s="76" t="s">
        <v>43</v>
      </c>
      <c r="B4" s="80">
        <f t="shared" si="0"/>
        <v>3</v>
      </c>
      <c r="C4" s="82">
        <v>0</v>
      </c>
      <c r="D4" s="10">
        <v>1973</v>
      </c>
      <c r="E4" s="11">
        <v>1983</v>
      </c>
      <c r="F4" s="11">
        <v>1988</v>
      </c>
      <c r="G4" s="3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>
      <c r="A5" s="10" t="s">
        <v>1</v>
      </c>
      <c r="B5" s="80">
        <f t="shared" si="0"/>
        <v>2</v>
      </c>
      <c r="C5" s="82">
        <v>1</v>
      </c>
      <c r="D5" s="10">
        <v>1995</v>
      </c>
      <c r="E5" s="208">
        <v>2002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>
      <c r="A6" s="76" t="s">
        <v>44</v>
      </c>
      <c r="B6" s="80">
        <f t="shared" si="0"/>
        <v>0</v>
      </c>
      <c r="C6" s="82">
        <v>0</v>
      </c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>
      <c r="A7" s="76" t="s">
        <v>45</v>
      </c>
      <c r="B7" s="80">
        <f t="shared" si="0"/>
        <v>0</v>
      </c>
      <c r="C7" s="82">
        <v>0</v>
      </c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>
      <c r="A8" s="76" t="s">
        <v>46</v>
      </c>
      <c r="B8" s="80">
        <f t="shared" si="0"/>
        <v>1</v>
      </c>
      <c r="C8" s="82">
        <v>0</v>
      </c>
      <c r="D8" s="10">
        <v>1986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>
      <c r="A9" s="76" t="s">
        <v>256</v>
      </c>
      <c r="B9" s="80">
        <f t="shared" si="0"/>
        <v>1</v>
      </c>
      <c r="C9" s="82">
        <v>0</v>
      </c>
      <c r="D9" s="10">
        <v>2003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>
      <c r="A10" s="76" t="s">
        <v>47</v>
      </c>
      <c r="B10" s="80">
        <f t="shared" si="0"/>
        <v>0</v>
      </c>
      <c r="C10" s="82">
        <v>0</v>
      </c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>
      <c r="A11" s="76" t="s">
        <v>48</v>
      </c>
      <c r="B11" s="80">
        <f t="shared" si="0"/>
        <v>0</v>
      </c>
      <c r="C11" s="82">
        <v>0</v>
      </c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>
      <c r="A12" s="10" t="s">
        <v>2</v>
      </c>
      <c r="B12" s="80">
        <f t="shared" si="0"/>
        <v>7</v>
      </c>
      <c r="C12" s="82">
        <v>0</v>
      </c>
      <c r="D12" s="10">
        <v>1988</v>
      </c>
      <c r="E12" s="11">
        <v>1989</v>
      </c>
      <c r="F12" s="11">
        <v>1990</v>
      </c>
      <c r="G12" s="11">
        <v>1997</v>
      </c>
      <c r="H12" s="32">
        <v>2001</v>
      </c>
      <c r="I12" s="32">
        <v>2002</v>
      </c>
      <c r="J12" s="32">
        <v>2006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>
      <c r="A13" s="61" t="s">
        <v>509</v>
      </c>
      <c r="B13" s="80">
        <f t="shared" si="0"/>
        <v>0</v>
      </c>
      <c r="C13" s="82">
        <v>0</v>
      </c>
      <c r="D13" s="10"/>
      <c r="E13" s="11"/>
      <c r="F13" s="11"/>
      <c r="G13" s="11"/>
      <c r="H13" s="32"/>
      <c r="I13" s="32"/>
      <c r="J13" s="32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>
      <c r="A14" s="83" t="s">
        <v>513</v>
      </c>
      <c r="B14" s="80">
        <f t="shared" si="0"/>
        <v>7</v>
      </c>
      <c r="C14" s="82">
        <v>1</v>
      </c>
      <c r="D14" s="10">
        <v>1997</v>
      </c>
      <c r="E14" s="11">
        <v>1999</v>
      </c>
      <c r="F14" s="32">
        <v>2001</v>
      </c>
      <c r="G14" s="32">
        <v>2008</v>
      </c>
      <c r="H14" s="32">
        <v>2010</v>
      </c>
      <c r="I14" s="209">
        <v>2014</v>
      </c>
      <c r="J14" s="32">
        <v>2016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>
      <c r="A15" s="76" t="s">
        <v>49</v>
      </c>
      <c r="B15" s="80">
        <f t="shared" si="0"/>
        <v>3</v>
      </c>
      <c r="C15" s="82">
        <v>1</v>
      </c>
      <c r="D15" s="208">
        <v>1974</v>
      </c>
      <c r="E15" s="11">
        <v>1975</v>
      </c>
      <c r="F15" s="11">
        <v>1983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>
      <c r="A16" s="10" t="s">
        <v>4</v>
      </c>
      <c r="B16" s="80">
        <f t="shared" si="0"/>
        <v>10</v>
      </c>
      <c r="C16" s="82">
        <v>2</v>
      </c>
      <c r="D16" s="208">
        <v>1986</v>
      </c>
      <c r="E16" s="11">
        <v>1988</v>
      </c>
      <c r="F16" s="11">
        <v>1991</v>
      </c>
      <c r="G16" s="11">
        <v>1995</v>
      </c>
      <c r="H16" s="11">
        <v>1997</v>
      </c>
      <c r="I16" s="11">
        <v>1998</v>
      </c>
      <c r="J16" s="32">
        <v>2006</v>
      </c>
      <c r="K16" s="210">
        <v>2007</v>
      </c>
      <c r="L16" s="32">
        <v>2008</v>
      </c>
      <c r="M16" s="32">
        <v>2011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>
      <c r="A17" s="76" t="s">
        <v>50</v>
      </c>
      <c r="B17" s="80">
        <f t="shared" si="0"/>
        <v>2</v>
      </c>
      <c r="C17" s="82">
        <v>0</v>
      </c>
      <c r="D17" s="10">
        <v>1972</v>
      </c>
      <c r="E17" s="11">
        <v>1974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>
      <c r="A18" s="76" t="s">
        <v>51</v>
      </c>
      <c r="B18" s="80">
        <f t="shared" si="0"/>
        <v>2</v>
      </c>
      <c r="C18" s="82">
        <v>1</v>
      </c>
      <c r="D18" s="10">
        <v>1990</v>
      </c>
      <c r="E18" s="208">
        <v>1992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>
      <c r="A19" s="84" t="s">
        <v>531</v>
      </c>
      <c r="B19" s="80">
        <f t="shared" si="0"/>
        <v>0</v>
      </c>
      <c r="C19" s="82">
        <v>0</v>
      </c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>
      <c r="A20" s="10" t="s">
        <v>518</v>
      </c>
      <c r="B20" s="80">
        <f t="shared" si="0"/>
        <v>0</v>
      </c>
      <c r="C20" s="82">
        <v>0</v>
      </c>
      <c r="D20" s="13"/>
      <c r="E20" s="11"/>
      <c r="F20" s="14"/>
      <c r="G20" s="11"/>
      <c r="H20" s="11"/>
      <c r="I20" s="14"/>
      <c r="J20" s="11"/>
      <c r="K20" s="11"/>
      <c r="L20" s="11"/>
      <c r="M20" s="14"/>
      <c r="N20" s="46"/>
      <c r="O20" s="46"/>
      <c r="P20" s="46"/>
      <c r="Q20" s="51"/>
      <c r="R20" s="51"/>
      <c r="S20" s="51"/>
      <c r="T20" s="51"/>
      <c r="U20" s="11"/>
      <c r="V20" s="11"/>
      <c r="W20" s="11"/>
      <c r="X20" s="11"/>
      <c r="Y20" s="11"/>
      <c r="Z20" s="11"/>
      <c r="AA20" s="11"/>
    </row>
    <row r="21" spans="1:27">
      <c r="A21" s="29" t="s">
        <v>5</v>
      </c>
      <c r="B21" s="80">
        <f t="shared" si="0"/>
        <v>4</v>
      </c>
      <c r="C21" s="82">
        <v>0</v>
      </c>
      <c r="D21" s="10">
        <v>2000</v>
      </c>
      <c r="E21" s="32">
        <v>2007</v>
      </c>
      <c r="F21" s="32">
        <v>2008</v>
      </c>
      <c r="G21" s="32">
        <v>2009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>
      <c r="A22" s="94" t="s">
        <v>728</v>
      </c>
      <c r="B22" s="80">
        <f t="shared" si="0"/>
        <v>0</v>
      </c>
      <c r="C22" s="254">
        <v>0</v>
      </c>
      <c r="D22" s="10"/>
      <c r="E22" s="32"/>
      <c r="F22" s="32"/>
      <c r="G22" s="32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>
      <c r="A23" s="75" t="s">
        <v>52</v>
      </c>
      <c r="B23" s="80">
        <f t="shared" si="0"/>
        <v>0</v>
      </c>
      <c r="C23" s="82">
        <v>0</v>
      </c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>
      <c r="A24" s="77" t="s">
        <v>510</v>
      </c>
      <c r="B24" s="80">
        <f t="shared" si="0"/>
        <v>2</v>
      </c>
      <c r="C24" s="82">
        <v>0</v>
      </c>
      <c r="D24" s="10">
        <v>2012</v>
      </c>
      <c r="E24" s="11">
        <v>2013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>
      <c r="A25" s="85" t="s">
        <v>532</v>
      </c>
      <c r="B25" s="80">
        <f t="shared" si="0"/>
        <v>1</v>
      </c>
      <c r="C25" s="82">
        <v>0</v>
      </c>
      <c r="D25" s="10">
        <v>2013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>
      <c r="A26" s="10" t="s">
        <v>6</v>
      </c>
      <c r="B26" s="80">
        <f t="shared" si="0"/>
        <v>0</v>
      </c>
      <c r="C26" s="82">
        <v>0</v>
      </c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>
      <c r="A27" s="76" t="s">
        <v>53</v>
      </c>
      <c r="B27" s="80">
        <f t="shared" si="0"/>
        <v>8</v>
      </c>
      <c r="C27" s="82">
        <v>2</v>
      </c>
      <c r="D27" s="10">
        <v>1977</v>
      </c>
      <c r="E27" s="14">
        <v>1978</v>
      </c>
      <c r="F27" s="11">
        <v>1979</v>
      </c>
      <c r="G27" s="11">
        <v>1980</v>
      </c>
      <c r="H27" s="14">
        <v>1981</v>
      </c>
      <c r="I27" s="11">
        <v>1984</v>
      </c>
      <c r="J27" s="11">
        <v>1985</v>
      </c>
      <c r="K27" s="11">
        <v>1986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>
      <c r="A28" s="76" t="s">
        <v>54</v>
      </c>
      <c r="B28" s="80">
        <f t="shared" si="0"/>
        <v>1</v>
      </c>
      <c r="C28" s="82">
        <v>0</v>
      </c>
      <c r="D28" s="10">
        <v>1987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>
      <c r="A29" s="10" t="s">
        <v>7</v>
      </c>
      <c r="B29" s="80">
        <f t="shared" si="0"/>
        <v>4</v>
      </c>
      <c r="C29" s="82">
        <v>1</v>
      </c>
      <c r="D29" s="10">
        <v>1991</v>
      </c>
      <c r="E29" s="11">
        <v>1998</v>
      </c>
      <c r="F29" s="32">
        <v>2001</v>
      </c>
      <c r="G29" s="209">
        <v>2013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>
      <c r="A30" s="76" t="s">
        <v>55</v>
      </c>
      <c r="B30" s="80">
        <f t="shared" si="0"/>
        <v>0</v>
      </c>
      <c r="C30" s="82">
        <v>0</v>
      </c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>
      <c r="A31" s="76" t="s">
        <v>56</v>
      </c>
      <c r="B31" s="80">
        <f t="shared" si="0"/>
        <v>1</v>
      </c>
      <c r="C31" s="82">
        <v>0</v>
      </c>
      <c r="D31" s="10">
        <v>1976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>
      <c r="A32" s="76" t="s">
        <v>57</v>
      </c>
      <c r="B32" s="80">
        <f t="shared" si="0"/>
        <v>0</v>
      </c>
      <c r="C32" s="82">
        <v>0</v>
      </c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>
      <c r="A33" s="76" t="s">
        <v>58</v>
      </c>
      <c r="B33" s="80">
        <f t="shared" si="0"/>
        <v>0</v>
      </c>
      <c r="C33" s="82">
        <v>0</v>
      </c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>
      <c r="A34" s="77" t="s">
        <v>483</v>
      </c>
      <c r="B34" s="80">
        <f t="shared" si="0"/>
        <v>1</v>
      </c>
      <c r="C34" s="82">
        <v>0</v>
      </c>
      <c r="D34" s="10">
        <v>2008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>
      <c r="A35" s="10" t="s">
        <v>8</v>
      </c>
      <c r="B35" s="80">
        <f t="shared" si="0"/>
        <v>5</v>
      </c>
      <c r="C35" s="82">
        <v>0</v>
      </c>
      <c r="D35" s="10">
        <v>1983</v>
      </c>
      <c r="E35" s="11">
        <v>1986</v>
      </c>
      <c r="F35" s="11">
        <v>1991</v>
      </c>
      <c r="G35" s="11">
        <v>1992</v>
      </c>
      <c r="H35" s="11">
        <v>1993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>
      <c r="A36" s="10" t="s">
        <v>9</v>
      </c>
      <c r="B36" s="80">
        <f t="shared" si="0"/>
        <v>7</v>
      </c>
      <c r="C36" s="82">
        <v>1</v>
      </c>
      <c r="D36" s="10">
        <v>1979</v>
      </c>
      <c r="E36" s="11">
        <v>1980</v>
      </c>
      <c r="F36" s="11">
        <v>1981</v>
      </c>
      <c r="G36" s="11">
        <v>1985</v>
      </c>
      <c r="H36" s="11">
        <v>1995</v>
      </c>
      <c r="I36" s="11">
        <v>1996</v>
      </c>
      <c r="J36" s="14">
        <v>1998</v>
      </c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>
      <c r="A37" s="61" t="s">
        <v>789</v>
      </c>
      <c r="B37" s="80">
        <f t="shared" si="0"/>
        <v>1</v>
      </c>
      <c r="C37" s="254">
        <v>0</v>
      </c>
      <c r="D37" s="10">
        <v>2016</v>
      </c>
      <c r="E37" s="11"/>
      <c r="F37" s="11"/>
      <c r="G37" s="11"/>
      <c r="H37" s="11"/>
      <c r="I37" s="11"/>
      <c r="J37" s="14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>
      <c r="A38" s="10" t="s">
        <v>10</v>
      </c>
      <c r="B38" s="80">
        <f t="shared" si="0"/>
        <v>2</v>
      </c>
      <c r="C38" s="82">
        <v>2</v>
      </c>
      <c r="D38" s="211">
        <v>2004</v>
      </c>
      <c r="E38" s="55">
        <v>2009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>
      <c r="A39" s="10" t="s">
        <v>88</v>
      </c>
      <c r="B39" s="80">
        <f t="shared" si="0"/>
        <v>6</v>
      </c>
      <c r="C39" s="82">
        <v>0</v>
      </c>
      <c r="D39" s="10">
        <v>1987</v>
      </c>
      <c r="E39" s="11">
        <v>1988</v>
      </c>
      <c r="F39" s="11">
        <v>1989</v>
      </c>
      <c r="G39" s="11">
        <v>1992</v>
      </c>
      <c r="H39" s="11">
        <v>1994</v>
      </c>
      <c r="I39" s="11">
        <v>1995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>
      <c r="A40" s="76" t="s">
        <v>59</v>
      </c>
      <c r="B40" s="80">
        <f t="shared" si="0"/>
        <v>1</v>
      </c>
      <c r="C40" s="82">
        <v>0</v>
      </c>
      <c r="D40" s="10">
        <v>1991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>
      <c r="A41" s="10" t="s">
        <v>11</v>
      </c>
      <c r="B41" s="80">
        <f t="shared" si="0"/>
        <v>4</v>
      </c>
      <c r="C41" s="82">
        <v>0</v>
      </c>
      <c r="D41" s="10">
        <v>1999</v>
      </c>
      <c r="E41" s="32">
        <v>2001</v>
      </c>
      <c r="F41" s="32">
        <v>2005</v>
      </c>
      <c r="G41" s="32">
        <v>2013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>
      <c r="A42" s="76" t="s">
        <v>60</v>
      </c>
      <c r="B42" s="80">
        <f t="shared" si="0"/>
        <v>0</v>
      </c>
      <c r="C42" s="82">
        <v>0</v>
      </c>
      <c r="D42" s="10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>
      <c r="A43" s="76" t="s">
        <v>61</v>
      </c>
      <c r="B43" s="80">
        <f t="shared" si="0"/>
        <v>1</v>
      </c>
      <c r="C43" s="82">
        <v>0</v>
      </c>
      <c r="D43" s="10">
        <v>1995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>
      <c r="A44" s="76" t="s">
        <v>62</v>
      </c>
      <c r="B44" s="80">
        <f t="shared" si="0"/>
        <v>0</v>
      </c>
      <c r="C44" s="82">
        <v>0</v>
      </c>
      <c r="D44" s="10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>
      <c r="A45" s="76" t="s">
        <v>63</v>
      </c>
      <c r="B45" s="80">
        <f t="shared" si="0"/>
        <v>8</v>
      </c>
      <c r="C45" s="82">
        <v>2</v>
      </c>
      <c r="D45" s="10">
        <v>1972</v>
      </c>
      <c r="E45" s="14">
        <v>1973</v>
      </c>
      <c r="F45" s="11">
        <v>1981</v>
      </c>
      <c r="G45" s="11">
        <v>1983</v>
      </c>
      <c r="H45" s="11">
        <v>1984</v>
      </c>
      <c r="I45" s="11">
        <v>1986</v>
      </c>
      <c r="J45" s="11">
        <v>1987</v>
      </c>
      <c r="K45" s="14">
        <v>1988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>
      <c r="A46" s="10" t="s">
        <v>12</v>
      </c>
      <c r="B46" s="80">
        <f t="shared" si="0"/>
        <v>2</v>
      </c>
      <c r="C46" s="82">
        <v>0</v>
      </c>
      <c r="D46" s="10">
        <v>2009</v>
      </c>
      <c r="E46" s="11">
        <v>2017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>
      <c r="A47" s="10" t="s">
        <v>13</v>
      </c>
      <c r="B47" s="80">
        <f t="shared" si="0"/>
        <v>2</v>
      </c>
      <c r="C47" s="82">
        <v>0</v>
      </c>
      <c r="D47" s="10">
        <v>1985</v>
      </c>
      <c r="E47" s="11">
        <v>2001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>
      <c r="A48" s="10" t="s">
        <v>14</v>
      </c>
      <c r="B48" s="80">
        <f t="shared" si="0"/>
        <v>0</v>
      </c>
      <c r="C48" s="82">
        <v>0</v>
      </c>
      <c r="D48" s="10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>
      <c r="A49" s="10" t="s">
        <v>15</v>
      </c>
      <c r="B49" s="80">
        <f t="shared" si="0"/>
        <v>9</v>
      </c>
      <c r="C49" s="82">
        <v>0</v>
      </c>
      <c r="D49" s="10">
        <v>1976</v>
      </c>
      <c r="E49" s="11">
        <v>1981</v>
      </c>
      <c r="F49" s="11">
        <v>1983</v>
      </c>
      <c r="G49" s="11">
        <v>1991</v>
      </c>
      <c r="H49" s="11">
        <v>1997</v>
      </c>
      <c r="I49" s="11">
        <v>1998</v>
      </c>
      <c r="J49" s="11">
        <v>2000</v>
      </c>
      <c r="K49" s="32">
        <v>2003</v>
      </c>
      <c r="L49" s="32">
        <v>2005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>
      <c r="A50" s="76" t="s">
        <v>64</v>
      </c>
      <c r="B50" s="80">
        <f t="shared" si="0"/>
        <v>2</v>
      </c>
      <c r="C50" s="82">
        <v>0</v>
      </c>
      <c r="D50" s="10">
        <v>1972</v>
      </c>
      <c r="E50" s="11">
        <v>1977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>
      <c r="A51" s="10" t="s">
        <v>16</v>
      </c>
      <c r="B51" s="80">
        <f t="shared" si="0"/>
        <v>10</v>
      </c>
      <c r="C51" s="82">
        <v>2</v>
      </c>
      <c r="D51" s="13">
        <v>1972</v>
      </c>
      <c r="E51" s="11">
        <v>1975</v>
      </c>
      <c r="F51" s="11">
        <v>1976</v>
      </c>
      <c r="G51" s="11">
        <v>1981</v>
      </c>
      <c r="H51" s="11">
        <v>1982</v>
      </c>
      <c r="I51" s="11">
        <v>1984</v>
      </c>
      <c r="J51" s="11">
        <v>1985</v>
      </c>
      <c r="K51" s="11">
        <v>1987</v>
      </c>
      <c r="L51" s="11">
        <v>1989</v>
      </c>
      <c r="M51" s="14">
        <v>1990</v>
      </c>
      <c r="N51" s="14"/>
      <c r="O51" s="14"/>
      <c r="P51" s="14"/>
      <c r="Q51" s="14"/>
      <c r="R51" s="14"/>
      <c r="S51" s="14"/>
      <c r="T51" s="14"/>
      <c r="U51" s="11"/>
      <c r="V51" s="11"/>
      <c r="W51" s="11"/>
      <c r="X51" s="11"/>
      <c r="Y51" s="11"/>
      <c r="Z51" s="11"/>
      <c r="AA51" s="11"/>
    </row>
    <row r="52" spans="1:27">
      <c r="A52" s="10" t="s">
        <v>517</v>
      </c>
      <c r="B52" s="80">
        <f t="shared" si="0"/>
        <v>0</v>
      </c>
      <c r="C52" s="82">
        <v>0</v>
      </c>
      <c r="D52" s="13"/>
      <c r="E52" s="11"/>
      <c r="F52" s="14"/>
      <c r="G52" s="11"/>
      <c r="H52" s="11"/>
      <c r="I52" s="14"/>
      <c r="J52" s="11"/>
      <c r="K52" s="11"/>
      <c r="L52" s="11"/>
      <c r="M52" s="14"/>
      <c r="N52" s="46"/>
      <c r="O52" s="46"/>
      <c r="P52" s="46"/>
      <c r="Q52" s="51"/>
      <c r="R52" s="51"/>
      <c r="S52" s="51"/>
      <c r="T52" s="51"/>
      <c r="U52" s="11"/>
      <c r="V52" s="11"/>
      <c r="W52" s="11"/>
      <c r="X52" s="11"/>
      <c r="Y52" s="11"/>
      <c r="Z52" s="11"/>
      <c r="AA52" s="11"/>
    </row>
    <row r="53" spans="1:27">
      <c r="A53" s="10" t="s">
        <v>17</v>
      </c>
      <c r="B53" s="80">
        <f t="shared" si="0"/>
        <v>3</v>
      </c>
      <c r="C53" s="82">
        <v>0</v>
      </c>
      <c r="D53" s="10">
        <v>1995</v>
      </c>
      <c r="E53" s="11">
        <v>2000</v>
      </c>
      <c r="F53" s="32">
        <v>2002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>
      <c r="A54" s="76" t="s">
        <v>87</v>
      </c>
      <c r="B54" s="80">
        <f t="shared" si="0"/>
        <v>0</v>
      </c>
      <c r="C54" s="82">
        <v>0</v>
      </c>
      <c r="D54" s="10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>
      <c r="A55" s="76" t="s">
        <v>65</v>
      </c>
      <c r="B55" s="80">
        <f t="shared" si="0"/>
        <v>0</v>
      </c>
      <c r="C55" s="82">
        <v>0</v>
      </c>
      <c r="D55" s="10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>
      <c r="A56" s="10" t="s">
        <v>18</v>
      </c>
      <c r="B56" s="80">
        <f t="shared" si="0"/>
        <v>7</v>
      </c>
      <c r="C56" s="82">
        <v>0</v>
      </c>
      <c r="D56" s="10">
        <v>1997</v>
      </c>
      <c r="E56" s="11">
        <v>1999</v>
      </c>
      <c r="F56" s="32">
        <v>2005</v>
      </c>
      <c r="G56" s="32">
        <v>2008</v>
      </c>
      <c r="H56" s="32">
        <v>2012</v>
      </c>
      <c r="I56" s="32">
        <v>2014</v>
      </c>
      <c r="J56" s="32">
        <v>2015</v>
      </c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>
      <c r="A57" s="10" t="s">
        <v>19</v>
      </c>
      <c r="B57" s="80">
        <f t="shared" si="0"/>
        <v>1</v>
      </c>
      <c r="C57" s="82">
        <v>0</v>
      </c>
      <c r="D57" s="10">
        <v>1990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>
      <c r="A58" s="10" t="s">
        <v>20</v>
      </c>
      <c r="B58" s="80">
        <f t="shared" si="0"/>
        <v>0</v>
      </c>
      <c r="C58" s="82">
        <v>0</v>
      </c>
      <c r="D58" s="10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>
      <c r="A59" s="76" t="s">
        <v>66</v>
      </c>
      <c r="B59" s="80">
        <f t="shared" si="0"/>
        <v>0</v>
      </c>
      <c r="C59" s="82">
        <v>0</v>
      </c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>
      <c r="A60" s="76" t="s">
        <v>253</v>
      </c>
      <c r="B60" s="80">
        <f t="shared" si="0"/>
        <v>1</v>
      </c>
      <c r="C60" s="82">
        <v>0</v>
      </c>
      <c r="D60" s="10">
        <v>2003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>
      <c r="A61" s="76" t="s">
        <v>67</v>
      </c>
      <c r="B61" s="80">
        <f t="shared" si="0"/>
        <v>0</v>
      </c>
      <c r="C61" s="80">
        <v>0</v>
      </c>
      <c r="D61" s="10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>
      <c r="A62" s="10" t="s">
        <v>21</v>
      </c>
      <c r="B62" s="80">
        <f t="shared" si="0"/>
        <v>1</v>
      </c>
      <c r="C62" s="80">
        <v>0</v>
      </c>
      <c r="D62" s="10">
        <v>1999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>
      <c r="A63" s="11" t="s">
        <v>22</v>
      </c>
      <c r="B63" s="80">
        <f t="shared" si="0"/>
        <v>8</v>
      </c>
      <c r="C63" s="82">
        <v>3</v>
      </c>
      <c r="D63" s="10">
        <v>1974</v>
      </c>
      <c r="E63" s="14">
        <v>1980</v>
      </c>
      <c r="F63" s="14">
        <v>1985</v>
      </c>
      <c r="G63" s="11">
        <v>1993</v>
      </c>
      <c r="H63" s="11">
        <v>1994</v>
      </c>
      <c r="I63" s="11">
        <v>1996</v>
      </c>
      <c r="J63" s="14">
        <v>2000</v>
      </c>
      <c r="K63" s="32">
        <v>2002</v>
      </c>
      <c r="L63" s="32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>
      <c r="A64" s="11" t="s">
        <v>23</v>
      </c>
      <c r="B64" s="80">
        <f>COUNTA(D64:AA64)</f>
        <v>24</v>
      </c>
      <c r="C64" s="82">
        <v>6</v>
      </c>
      <c r="D64" s="13">
        <v>1976</v>
      </c>
      <c r="E64" s="11">
        <v>1982</v>
      </c>
      <c r="F64" s="14">
        <v>1983</v>
      </c>
      <c r="G64" s="11">
        <v>1985</v>
      </c>
      <c r="H64" s="11">
        <v>1988</v>
      </c>
      <c r="I64" s="14" t="s">
        <v>568</v>
      </c>
      <c r="J64" s="11">
        <v>1991</v>
      </c>
      <c r="K64" s="11">
        <v>1993</v>
      </c>
      <c r="L64" s="11">
        <v>1994</v>
      </c>
      <c r="M64" s="14">
        <v>1995</v>
      </c>
      <c r="N64" s="46">
        <v>1996</v>
      </c>
      <c r="O64" s="46">
        <v>1998</v>
      </c>
      <c r="P64" s="46">
        <v>2000</v>
      </c>
      <c r="Q64" s="51">
        <v>2004</v>
      </c>
      <c r="R64" s="51">
        <v>2006</v>
      </c>
      <c r="S64" s="51">
        <v>2007</v>
      </c>
      <c r="T64" s="51">
        <v>2008</v>
      </c>
      <c r="U64" s="11">
        <v>2009</v>
      </c>
      <c r="V64" s="32">
        <v>2011</v>
      </c>
      <c r="W64" s="209">
        <v>2012</v>
      </c>
      <c r="X64" s="32">
        <v>2014</v>
      </c>
      <c r="Y64" s="209">
        <v>2015</v>
      </c>
      <c r="Z64" s="32">
        <v>2016</v>
      </c>
      <c r="AA64" s="51">
        <v>2017</v>
      </c>
    </row>
    <row r="65" spans="1:27">
      <c r="A65" s="11" t="s">
        <v>520</v>
      </c>
      <c r="B65" s="80">
        <f t="shared" ref="B65:B113" si="1">COUNTA(D65:AA65)</f>
        <v>2</v>
      </c>
      <c r="C65" s="82">
        <v>0</v>
      </c>
      <c r="D65" s="212">
        <v>2013</v>
      </c>
      <c r="E65" s="11">
        <v>2014</v>
      </c>
      <c r="F65" s="14"/>
      <c r="G65" s="11"/>
      <c r="H65" s="11"/>
      <c r="I65" s="14"/>
      <c r="J65" s="11"/>
      <c r="K65" s="11"/>
      <c r="L65" s="11"/>
      <c r="M65" s="14"/>
      <c r="N65" s="46"/>
      <c r="O65" s="46"/>
      <c r="P65" s="46"/>
      <c r="Q65" s="51"/>
      <c r="R65" s="51"/>
      <c r="S65" s="51"/>
      <c r="T65" s="51"/>
      <c r="U65" s="11"/>
      <c r="V65" s="11"/>
      <c r="W65" s="11"/>
      <c r="X65" s="11"/>
      <c r="Y65" s="11"/>
      <c r="Z65" s="11"/>
      <c r="AA65" s="11"/>
    </row>
    <row r="66" spans="1:27">
      <c r="A66" s="10" t="s">
        <v>24</v>
      </c>
      <c r="B66" s="80">
        <f t="shared" si="1"/>
        <v>7</v>
      </c>
      <c r="C66" s="82">
        <v>0</v>
      </c>
      <c r="D66" s="10">
        <v>1993</v>
      </c>
      <c r="E66" s="11">
        <v>1994</v>
      </c>
      <c r="F66" s="11">
        <v>1996</v>
      </c>
      <c r="G66" s="11">
        <v>1999</v>
      </c>
      <c r="H66" s="32">
        <v>2002</v>
      </c>
      <c r="I66" s="32">
        <v>2005</v>
      </c>
      <c r="J66" s="32">
        <v>2008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>
      <c r="A67" s="76" t="s">
        <v>68</v>
      </c>
      <c r="B67" s="80">
        <f t="shared" si="1"/>
        <v>0</v>
      </c>
      <c r="C67" s="82">
        <v>0</v>
      </c>
      <c r="D67" s="10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>
      <c r="A68" s="10" t="s">
        <v>25</v>
      </c>
      <c r="B68" s="80">
        <f t="shared" si="1"/>
        <v>6</v>
      </c>
      <c r="C68" s="82">
        <v>0</v>
      </c>
      <c r="D68" s="10">
        <v>1998</v>
      </c>
      <c r="E68" s="32">
        <v>2005</v>
      </c>
      <c r="F68" s="32">
        <v>2006</v>
      </c>
      <c r="G68" s="32">
        <v>2009</v>
      </c>
      <c r="H68" s="32">
        <v>2015</v>
      </c>
      <c r="I68" s="32">
        <v>2017</v>
      </c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>
      <c r="A69" s="76" t="s">
        <v>69</v>
      </c>
      <c r="B69" s="80">
        <f t="shared" si="1"/>
        <v>0</v>
      </c>
      <c r="C69" s="82">
        <v>0</v>
      </c>
      <c r="D69" s="10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>
      <c r="A70" s="10" t="s">
        <v>26</v>
      </c>
      <c r="B70" s="80">
        <f t="shared" si="1"/>
        <v>9</v>
      </c>
      <c r="C70" s="82">
        <v>2</v>
      </c>
      <c r="D70" s="10">
        <v>1990</v>
      </c>
      <c r="E70" s="11">
        <v>2000</v>
      </c>
      <c r="F70" s="210">
        <v>2001</v>
      </c>
      <c r="G70" s="32">
        <v>2009</v>
      </c>
      <c r="H70" s="209">
        <v>2011</v>
      </c>
      <c r="I70" s="32">
        <v>2012</v>
      </c>
      <c r="J70" s="32">
        <v>2013</v>
      </c>
      <c r="K70" s="32">
        <v>2015</v>
      </c>
      <c r="L70" s="32">
        <v>2016</v>
      </c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>
      <c r="A71" s="10" t="s">
        <v>27</v>
      </c>
      <c r="B71" s="80">
        <f t="shared" si="1"/>
        <v>5</v>
      </c>
      <c r="C71" s="82">
        <v>1</v>
      </c>
      <c r="D71" s="10">
        <v>1999</v>
      </c>
      <c r="E71" s="11">
        <v>2000</v>
      </c>
      <c r="F71" s="210">
        <v>2006</v>
      </c>
      <c r="G71" s="32">
        <v>2008</v>
      </c>
      <c r="H71" s="32">
        <v>2011</v>
      </c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>
      <c r="A72" s="10" t="s">
        <v>28</v>
      </c>
      <c r="B72" s="80">
        <f t="shared" si="1"/>
        <v>3</v>
      </c>
      <c r="C72" s="82">
        <v>1</v>
      </c>
      <c r="D72" s="10">
        <v>1993</v>
      </c>
      <c r="E72" s="11">
        <v>1994</v>
      </c>
      <c r="F72" s="150">
        <v>1996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>
      <c r="A73" s="86" t="s">
        <v>511</v>
      </c>
      <c r="B73" s="80">
        <f t="shared" si="1"/>
        <v>4</v>
      </c>
      <c r="C73" s="82">
        <v>0</v>
      </c>
      <c r="D73" s="10">
        <v>2012</v>
      </c>
      <c r="E73" s="32">
        <v>2013</v>
      </c>
      <c r="F73" s="11">
        <v>2015</v>
      </c>
      <c r="G73" s="32">
        <v>2017</v>
      </c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>
      <c r="A74" s="10" t="s">
        <v>41</v>
      </c>
      <c r="B74" s="80">
        <f t="shared" si="1"/>
        <v>0</v>
      </c>
      <c r="C74" s="82">
        <v>0</v>
      </c>
      <c r="D74" s="10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>
      <c r="A75" s="10" t="s">
        <v>258</v>
      </c>
      <c r="B75" s="80">
        <f t="shared" si="1"/>
        <v>2</v>
      </c>
      <c r="C75" s="82">
        <v>1</v>
      </c>
      <c r="D75" s="208">
        <v>2003</v>
      </c>
      <c r="E75" s="32">
        <v>2008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>
      <c r="A76" s="10" t="s">
        <v>29</v>
      </c>
      <c r="B76" s="80">
        <f t="shared" si="1"/>
        <v>9</v>
      </c>
      <c r="C76" s="82">
        <v>2</v>
      </c>
      <c r="D76" s="10">
        <v>1978</v>
      </c>
      <c r="E76" s="11">
        <v>1980</v>
      </c>
      <c r="F76" s="208">
        <v>1982</v>
      </c>
      <c r="G76" s="11">
        <v>1985</v>
      </c>
      <c r="H76" s="208">
        <v>1987</v>
      </c>
      <c r="I76" s="11">
        <v>1993</v>
      </c>
      <c r="J76" s="11">
        <v>1995</v>
      </c>
      <c r="K76" s="11">
        <v>1998</v>
      </c>
      <c r="L76" s="11">
        <v>2000</v>
      </c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>
      <c r="A77" s="10" t="s">
        <v>30</v>
      </c>
      <c r="B77" s="80">
        <f t="shared" si="1"/>
        <v>5</v>
      </c>
      <c r="C77" s="82">
        <v>0</v>
      </c>
      <c r="D77" s="10">
        <v>1973</v>
      </c>
      <c r="E77" s="11">
        <v>1980</v>
      </c>
      <c r="F77" s="11">
        <v>1984</v>
      </c>
      <c r="G77" s="11">
        <v>1986</v>
      </c>
      <c r="H77" s="11">
        <v>1997</v>
      </c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>
      <c r="A78" s="76" t="s">
        <v>70</v>
      </c>
      <c r="B78" s="80">
        <f t="shared" si="1"/>
        <v>3</v>
      </c>
      <c r="C78" s="82">
        <v>0</v>
      </c>
      <c r="D78" s="10">
        <v>1975</v>
      </c>
      <c r="E78" s="11">
        <v>1977</v>
      </c>
      <c r="F78" s="11">
        <v>1978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>
      <c r="A79" s="10" t="s">
        <v>31</v>
      </c>
      <c r="B79" s="80">
        <f t="shared" si="1"/>
        <v>6</v>
      </c>
      <c r="C79" s="82">
        <v>2</v>
      </c>
      <c r="D79" s="10">
        <v>1992</v>
      </c>
      <c r="E79" s="208">
        <v>1993</v>
      </c>
      <c r="F79" s="32">
        <v>2001</v>
      </c>
      <c r="G79" s="32">
        <v>2004</v>
      </c>
      <c r="H79" s="32">
        <v>2006</v>
      </c>
      <c r="I79" s="280">
        <v>2016</v>
      </c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>
      <c r="A80" s="81" t="s">
        <v>265</v>
      </c>
      <c r="B80" s="80">
        <f t="shared" si="1"/>
        <v>6</v>
      </c>
      <c r="C80" s="82">
        <v>0</v>
      </c>
      <c r="D80" s="10">
        <v>2004</v>
      </c>
      <c r="E80" s="46">
        <v>2009</v>
      </c>
      <c r="F80" s="51">
        <v>2010</v>
      </c>
      <c r="G80" s="207">
        <v>2014</v>
      </c>
      <c r="H80" s="207">
        <v>2015</v>
      </c>
      <c r="I80" s="207">
        <v>2016</v>
      </c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>
      <c r="A81" s="81" t="s">
        <v>672</v>
      </c>
      <c r="B81" s="80">
        <f t="shared" si="1"/>
        <v>2</v>
      </c>
      <c r="C81" s="82">
        <v>0</v>
      </c>
      <c r="D81" s="10">
        <v>2014</v>
      </c>
      <c r="E81" s="51">
        <v>2017</v>
      </c>
      <c r="F81" s="5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>
      <c r="A82" s="87" t="s">
        <v>71</v>
      </c>
      <c r="B82" s="80">
        <f t="shared" si="1"/>
        <v>0</v>
      </c>
      <c r="C82" s="82">
        <v>0</v>
      </c>
      <c r="D82" s="10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>
      <c r="A83" s="88" t="s">
        <v>519</v>
      </c>
      <c r="B83" s="80">
        <f t="shared" si="1"/>
        <v>3</v>
      </c>
      <c r="C83" s="82">
        <v>0</v>
      </c>
      <c r="D83" s="10">
        <v>2010</v>
      </c>
      <c r="E83" s="32">
        <v>2011</v>
      </c>
      <c r="F83" s="32">
        <v>2013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>
      <c r="A84" s="87" t="s">
        <v>259</v>
      </c>
      <c r="B84" s="80">
        <f t="shared" si="1"/>
        <v>4</v>
      </c>
      <c r="C84" s="82">
        <v>0</v>
      </c>
      <c r="D84" s="10">
        <v>2003</v>
      </c>
      <c r="E84" s="32">
        <v>2007</v>
      </c>
      <c r="F84" s="32">
        <v>2011</v>
      </c>
      <c r="G84" s="32">
        <v>2016</v>
      </c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>
      <c r="A85" s="87" t="s">
        <v>72</v>
      </c>
      <c r="B85" s="80">
        <f t="shared" si="1"/>
        <v>0</v>
      </c>
      <c r="C85" s="82">
        <v>0</v>
      </c>
      <c r="D85" s="10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>
      <c r="A86" s="87" t="s">
        <v>73</v>
      </c>
      <c r="B86" s="80">
        <f t="shared" si="1"/>
        <v>2</v>
      </c>
      <c r="C86" s="82">
        <v>0</v>
      </c>
      <c r="D86" s="81">
        <v>1981</v>
      </c>
      <c r="E86" s="10">
        <v>1983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>
      <c r="A87" s="88" t="s">
        <v>468</v>
      </c>
      <c r="B87" s="80">
        <f t="shared" si="1"/>
        <v>2</v>
      </c>
      <c r="C87" s="82">
        <v>0</v>
      </c>
      <c r="D87" s="10">
        <v>2010</v>
      </c>
      <c r="E87" s="32">
        <v>2017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>
      <c r="A88" s="76" t="s">
        <v>74</v>
      </c>
      <c r="B88" s="80">
        <f t="shared" si="1"/>
        <v>2</v>
      </c>
      <c r="C88" s="82">
        <v>1</v>
      </c>
      <c r="D88" s="10">
        <v>1974</v>
      </c>
      <c r="E88" s="208">
        <v>1979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>
      <c r="A89" s="76" t="s">
        <v>260</v>
      </c>
      <c r="B89" s="80">
        <f t="shared" si="1"/>
        <v>1</v>
      </c>
      <c r="C89" s="82">
        <v>0</v>
      </c>
      <c r="D89" s="10">
        <v>2004</v>
      </c>
      <c r="E89" s="14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>
      <c r="A90" s="76" t="s">
        <v>75</v>
      </c>
      <c r="B90" s="80">
        <f t="shared" si="1"/>
        <v>0</v>
      </c>
      <c r="C90" s="82">
        <v>0</v>
      </c>
      <c r="D90" s="10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>
      <c r="A91" s="76" t="s">
        <v>76</v>
      </c>
      <c r="B91" s="80">
        <f t="shared" si="1"/>
        <v>0</v>
      </c>
      <c r="C91" s="82">
        <v>0</v>
      </c>
      <c r="D91" s="10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>
      <c r="A92" s="10" t="s">
        <v>32</v>
      </c>
      <c r="B92" s="80">
        <f t="shared" si="1"/>
        <v>4</v>
      </c>
      <c r="C92" s="82">
        <v>1</v>
      </c>
      <c r="D92" s="10">
        <v>1999</v>
      </c>
      <c r="E92" s="208">
        <v>2005</v>
      </c>
      <c r="F92" s="32">
        <v>2006</v>
      </c>
      <c r="G92" s="11">
        <v>2014</v>
      </c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>
      <c r="A93" s="76" t="s">
        <v>77</v>
      </c>
      <c r="B93" s="80">
        <f t="shared" si="1"/>
        <v>2</v>
      </c>
      <c r="C93" s="82">
        <v>0</v>
      </c>
      <c r="D93" s="10">
        <v>2012</v>
      </c>
      <c r="E93" s="11">
        <v>2017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>
      <c r="A94" s="77" t="s">
        <v>812</v>
      </c>
      <c r="B94" s="80">
        <f t="shared" si="1"/>
        <v>0</v>
      </c>
      <c r="C94" s="254">
        <v>0</v>
      </c>
      <c r="D94" s="10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>
      <c r="A95" s="10" t="s">
        <v>33</v>
      </c>
      <c r="B95" s="80">
        <f t="shared" si="1"/>
        <v>10</v>
      </c>
      <c r="C95" s="82">
        <v>1</v>
      </c>
      <c r="D95" s="10">
        <v>1978</v>
      </c>
      <c r="E95" s="11">
        <v>1980</v>
      </c>
      <c r="F95" s="11">
        <v>1981</v>
      </c>
      <c r="G95" s="11">
        <v>1982</v>
      </c>
      <c r="H95" s="11">
        <v>1983</v>
      </c>
      <c r="I95" s="11">
        <v>1985</v>
      </c>
      <c r="J95" s="11">
        <v>1986</v>
      </c>
      <c r="K95" s="11">
        <v>1987</v>
      </c>
      <c r="L95" s="11">
        <v>1989</v>
      </c>
      <c r="M95" s="208">
        <v>1994</v>
      </c>
      <c r="N95" s="14"/>
      <c r="O95" s="14"/>
      <c r="P95" s="14"/>
      <c r="Q95" s="14"/>
      <c r="R95" s="14"/>
      <c r="S95" s="14"/>
      <c r="T95" s="14"/>
      <c r="U95" s="11"/>
      <c r="V95" s="11"/>
      <c r="W95" s="11"/>
      <c r="X95" s="11"/>
      <c r="Y95" s="11"/>
      <c r="Z95" s="11"/>
      <c r="AA95" s="11"/>
    </row>
    <row r="96" spans="1:27">
      <c r="A96" s="76" t="s">
        <v>78</v>
      </c>
      <c r="B96" s="80">
        <f t="shared" si="1"/>
        <v>1</v>
      </c>
      <c r="C96" s="82">
        <v>0</v>
      </c>
      <c r="D96" s="10">
        <v>1973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>
      <c r="A97" s="76" t="s">
        <v>79</v>
      </c>
      <c r="B97" s="80">
        <f t="shared" si="1"/>
        <v>1</v>
      </c>
      <c r="C97" s="82">
        <v>0</v>
      </c>
      <c r="D97" s="10">
        <v>1979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>
      <c r="A98" s="76" t="s">
        <v>80</v>
      </c>
      <c r="B98" s="80">
        <f t="shared" si="1"/>
        <v>0</v>
      </c>
      <c r="C98" s="82">
        <v>0</v>
      </c>
      <c r="D98" s="10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>
      <c r="A99" s="81" t="s">
        <v>34</v>
      </c>
      <c r="B99" s="80">
        <f t="shared" si="1"/>
        <v>5</v>
      </c>
      <c r="C99" s="82">
        <v>2</v>
      </c>
      <c r="D99" s="13">
        <v>1997</v>
      </c>
      <c r="E99" s="11">
        <v>2007</v>
      </c>
      <c r="F99" s="32">
        <v>2009</v>
      </c>
      <c r="G99" s="32">
        <v>2010</v>
      </c>
      <c r="H99" s="280">
        <v>2017</v>
      </c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>
      <c r="A100" s="10" t="s">
        <v>35</v>
      </c>
      <c r="B100" s="80">
        <f t="shared" si="1"/>
        <v>9</v>
      </c>
      <c r="C100" s="82">
        <v>2</v>
      </c>
      <c r="D100" s="10">
        <v>1982</v>
      </c>
      <c r="E100" s="14">
        <v>1984</v>
      </c>
      <c r="F100" s="11">
        <v>1985</v>
      </c>
      <c r="G100" s="11">
        <v>1990</v>
      </c>
      <c r="H100" s="14">
        <v>1991</v>
      </c>
      <c r="I100" s="11">
        <v>1993</v>
      </c>
      <c r="J100" s="11">
        <v>1995</v>
      </c>
      <c r="K100" s="11">
        <v>1996</v>
      </c>
      <c r="L100" s="32">
        <v>2015</v>
      </c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>
      <c r="A101" s="76" t="s">
        <v>81</v>
      </c>
      <c r="B101" s="80">
        <f t="shared" si="1"/>
        <v>6</v>
      </c>
      <c r="C101" s="82">
        <v>3</v>
      </c>
      <c r="D101" s="13">
        <v>1975</v>
      </c>
      <c r="E101" s="14">
        <v>1977</v>
      </c>
      <c r="F101" s="11">
        <v>1979</v>
      </c>
      <c r="G101" s="11">
        <v>1984</v>
      </c>
      <c r="H101" s="11">
        <v>1985</v>
      </c>
      <c r="I101" s="14" t="s">
        <v>568</v>
      </c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>
      <c r="A102" s="76" t="s">
        <v>82</v>
      </c>
      <c r="B102" s="80">
        <f t="shared" si="1"/>
        <v>3</v>
      </c>
      <c r="C102" s="82">
        <v>0</v>
      </c>
      <c r="D102" s="10">
        <v>1979</v>
      </c>
      <c r="E102" s="11">
        <v>1984</v>
      </c>
      <c r="F102" s="11">
        <v>1986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>
      <c r="A103" s="76" t="s">
        <v>83</v>
      </c>
      <c r="B103" s="80">
        <f t="shared" si="1"/>
        <v>0</v>
      </c>
      <c r="C103" s="82">
        <v>0</v>
      </c>
      <c r="D103" s="10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>
      <c r="A104" s="76" t="s">
        <v>600</v>
      </c>
      <c r="B104" s="80">
        <f t="shared" si="1"/>
        <v>0</v>
      </c>
      <c r="C104" s="82">
        <v>0</v>
      </c>
      <c r="D104" s="10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>
      <c r="A105" s="76" t="s">
        <v>266</v>
      </c>
      <c r="B105" s="80">
        <f t="shared" si="1"/>
        <v>0</v>
      </c>
      <c r="C105" s="82">
        <v>0</v>
      </c>
      <c r="D105" s="10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>
      <c r="A106" s="76" t="s">
        <v>84</v>
      </c>
      <c r="B106" s="80">
        <f t="shared" si="1"/>
        <v>0</v>
      </c>
      <c r="C106" s="82">
        <v>0</v>
      </c>
      <c r="D106" s="10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>
      <c r="A107" s="76" t="s">
        <v>85</v>
      </c>
      <c r="B107" s="80">
        <f t="shared" si="1"/>
        <v>0</v>
      </c>
      <c r="C107" s="82">
        <v>0</v>
      </c>
      <c r="D107" s="10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>
      <c r="A108" s="10" t="s">
        <v>36</v>
      </c>
      <c r="B108" s="80">
        <f t="shared" si="1"/>
        <v>1</v>
      </c>
      <c r="C108" s="82">
        <v>0</v>
      </c>
      <c r="D108" s="10">
        <v>1992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>
      <c r="A109" s="10" t="s">
        <v>305</v>
      </c>
      <c r="B109" s="80">
        <f t="shared" si="1"/>
        <v>2</v>
      </c>
      <c r="C109" s="82">
        <v>0</v>
      </c>
      <c r="D109" s="10">
        <v>2007</v>
      </c>
      <c r="E109" s="32">
        <v>2011</v>
      </c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>
      <c r="A110" s="10" t="s">
        <v>37</v>
      </c>
      <c r="B110" s="80">
        <f t="shared" si="1"/>
        <v>3</v>
      </c>
      <c r="C110" s="82">
        <v>1</v>
      </c>
      <c r="D110" s="10">
        <v>1992</v>
      </c>
      <c r="E110" s="11">
        <v>1994</v>
      </c>
      <c r="F110" s="208">
        <v>1999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>
      <c r="A111" s="10" t="s">
        <v>38</v>
      </c>
      <c r="B111" s="80">
        <f t="shared" si="1"/>
        <v>4</v>
      </c>
      <c r="C111" s="82">
        <v>0</v>
      </c>
      <c r="D111" s="10">
        <v>1994</v>
      </c>
      <c r="E111" s="11">
        <v>2002</v>
      </c>
      <c r="F111" s="32">
        <v>2004</v>
      </c>
      <c r="G111" s="32">
        <v>2012</v>
      </c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>
      <c r="A112" s="61" t="s">
        <v>790</v>
      </c>
      <c r="B112" s="80">
        <f t="shared" si="1"/>
        <v>0</v>
      </c>
      <c r="C112" s="254">
        <v>0</v>
      </c>
      <c r="D112" s="10"/>
      <c r="E112" s="11"/>
      <c r="F112" s="32"/>
      <c r="G112" s="32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>
      <c r="A113" s="89" t="s">
        <v>86</v>
      </c>
      <c r="B113" s="90">
        <f t="shared" si="1"/>
        <v>0</v>
      </c>
      <c r="C113" s="91">
        <v>0</v>
      </c>
      <c r="D113" s="15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1"/>
      <c r="W113" s="11"/>
      <c r="X113" s="11"/>
      <c r="Y113" s="11"/>
      <c r="Z113" s="11"/>
      <c r="AA113" s="11"/>
    </row>
    <row r="114" spans="1:27">
      <c r="A114" s="11"/>
      <c r="C114" s="80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</row>
  </sheetData>
  <phoneticPr fontId="0" type="noConversion"/>
  <pageMargins left="0.75" right="0.75" top="1" bottom="1" header="0.5" footer="0.5"/>
  <pageSetup scale="66" fitToHeight="2" orientation="landscape" horizontalDpi="300" verticalDpi="300" r:id="rId1"/>
  <headerFooter alignWithMargins="0">
    <oddHeader xml:space="preserve">&amp;C&amp;"Arial,Bold"&amp;14World Series History&amp;"Arial,Regular"&amp;10
</oddHeader>
    <oddFooter>&amp;L&amp;F&amp;C&amp;P&amp;R&amp;D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18"/>
  <sheetViews>
    <sheetView workbookViewId="0">
      <selection activeCell="F115" sqref="F115"/>
    </sheetView>
  </sheetViews>
  <sheetFormatPr defaultRowHeight="12.75"/>
  <cols>
    <col min="1" max="1" width="15" customWidth="1"/>
    <col min="2" max="2" width="4.85546875" style="43" customWidth="1"/>
    <col min="3" max="3" width="6.5703125" style="43" customWidth="1"/>
    <col min="4" max="10" width="6.85546875" style="102" customWidth="1"/>
    <col min="11" max="11" width="5.140625" style="102" customWidth="1"/>
    <col min="12" max="15" width="5.140625" style="43" customWidth="1"/>
    <col min="16" max="24" width="5.140625" customWidth="1"/>
    <col min="25" max="27" width="5.140625" style="43" customWidth="1"/>
    <col min="28" max="50" width="5.140625" customWidth="1"/>
  </cols>
  <sheetData>
    <row r="1" spans="1:50">
      <c r="A1" s="33" t="s">
        <v>569</v>
      </c>
      <c r="B1" s="34"/>
      <c r="C1" s="34" t="s">
        <v>570</v>
      </c>
      <c r="D1" s="34" t="s">
        <v>40</v>
      </c>
      <c r="E1" s="270">
        <v>2017</v>
      </c>
      <c r="F1" s="235">
        <v>2016</v>
      </c>
      <c r="G1" s="235">
        <v>2015</v>
      </c>
      <c r="H1" s="34">
        <v>2014</v>
      </c>
      <c r="I1" s="34">
        <v>2013</v>
      </c>
      <c r="J1" s="34">
        <v>2012</v>
      </c>
      <c r="K1" s="34">
        <v>2011</v>
      </c>
      <c r="L1" s="34">
        <v>2010</v>
      </c>
      <c r="M1" s="34">
        <v>2009</v>
      </c>
      <c r="N1" s="34">
        <v>2008</v>
      </c>
      <c r="O1" s="34">
        <v>2007</v>
      </c>
      <c r="P1" s="33">
        <v>2006</v>
      </c>
      <c r="Q1" s="33">
        <v>2005</v>
      </c>
      <c r="R1" s="33">
        <v>2004</v>
      </c>
      <c r="S1" s="33">
        <v>2003</v>
      </c>
      <c r="T1" s="33">
        <v>2002</v>
      </c>
      <c r="U1" s="33">
        <v>2001</v>
      </c>
      <c r="V1" s="33">
        <v>2000</v>
      </c>
      <c r="W1" s="33">
        <v>1999</v>
      </c>
      <c r="X1" s="33">
        <v>1998</v>
      </c>
      <c r="Y1" s="34">
        <v>1997</v>
      </c>
      <c r="Z1" s="34">
        <v>1996</v>
      </c>
      <c r="AA1" s="34">
        <v>1995</v>
      </c>
      <c r="AB1" s="33">
        <v>1994</v>
      </c>
      <c r="AC1" s="33">
        <v>1993</v>
      </c>
      <c r="AD1" s="33">
        <v>1992</v>
      </c>
      <c r="AE1" s="33">
        <v>1991</v>
      </c>
      <c r="AF1" s="33">
        <v>1990</v>
      </c>
      <c r="AG1" s="33">
        <v>1989</v>
      </c>
      <c r="AH1" s="33">
        <v>1988</v>
      </c>
      <c r="AI1" s="33">
        <v>1987</v>
      </c>
      <c r="AJ1" s="33">
        <v>1986</v>
      </c>
      <c r="AK1" s="33">
        <v>1985</v>
      </c>
      <c r="AL1" s="33">
        <v>1984</v>
      </c>
      <c r="AM1" s="33">
        <v>1983</v>
      </c>
      <c r="AN1" s="33">
        <v>1982</v>
      </c>
      <c r="AO1" s="33">
        <v>1981</v>
      </c>
      <c r="AP1" s="33">
        <v>1980</v>
      </c>
      <c r="AQ1" s="33">
        <v>1979</v>
      </c>
      <c r="AR1" s="33">
        <v>1978</v>
      </c>
      <c r="AS1" s="33">
        <v>1977</v>
      </c>
      <c r="AT1" s="33">
        <v>1976</v>
      </c>
      <c r="AU1" s="33">
        <v>1975</v>
      </c>
      <c r="AV1" s="33">
        <v>1974</v>
      </c>
      <c r="AW1" s="33">
        <v>1973</v>
      </c>
      <c r="AX1" s="33">
        <v>1972</v>
      </c>
    </row>
    <row r="2" spans="1:50">
      <c r="A2" s="75" t="s">
        <v>42</v>
      </c>
      <c r="B2" s="80" t="s">
        <v>571</v>
      </c>
      <c r="C2" s="43">
        <f>COUNTA(E2:AX2)</f>
        <v>0</v>
      </c>
      <c r="D2" s="92">
        <f>COUNTIF(E2:AX2,"W")</f>
        <v>0</v>
      </c>
      <c r="E2" s="92"/>
      <c r="F2" s="92"/>
      <c r="G2" s="92"/>
      <c r="H2" s="92"/>
      <c r="I2" s="92"/>
      <c r="J2" s="92"/>
      <c r="K2" s="92"/>
    </row>
    <row r="3" spans="1:50">
      <c r="A3" s="32" t="s">
        <v>0</v>
      </c>
      <c r="B3" s="73" t="s">
        <v>572</v>
      </c>
      <c r="C3" s="43">
        <f t="shared" ref="C3:C67" si="0">COUNTA(E3:AX3)</f>
        <v>8</v>
      </c>
      <c r="D3" s="92">
        <f t="shared" ref="D3:D66" si="1">COUNTIF(E3:AX3,"W")</f>
        <v>2</v>
      </c>
      <c r="E3" s="92"/>
      <c r="F3" s="255" t="s">
        <v>570</v>
      </c>
      <c r="G3" s="255" t="s">
        <v>570</v>
      </c>
      <c r="H3" s="92" t="s">
        <v>570</v>
      </c>
      <c r="I3" s="92"/>
      <c r="J3" s="92"/>
      <c r="K3" s="80" t="s">
        <v>570</v>
      </c>
      <c r="L3" s="73" t="s">
        <v>573</v>
      </c>
      <c r="M3" s="92" t="s">
        <v>570</v>
      </c>
      <c r="N3" s="43" t="s">
        <v>573</v>
      </c>
      <c r="S3" t="s">
        <v>570</v>
      </c>
    </row>
    <row r="4" spans="1:50">
      <c r="A4" s="93" t="s">
        <v>43</v>
      </c>
      <c r="B4" s="73" t="s">
        <v>571</v>
      </c>
      <c r="C4" s="43">
        <f t="shared" si="0"/>
        <v>3</v>
      </c>
      <c r="D4" s="92">
        <f t="shared" si="1"/>
        <v>0</v>
      </c>
      <c r="E4" s="92"/>
      <c r="F4" s="92"/>
      <c r="G4" s="92"/>
      <c r="H4" s="92"/>
      <c r="I4" s="92"/>
      <c r="J4" s="92"/>
      <c r="K4" s="92"/>
      <c r="AH4" t="s">
        <v>570</v>
      </c>
      <c r="AM4" t="s">
        <v>570</v>
      </c>
      <c r="AW4" t="s">
        <v>570</v>
      </c>
    </row>
    <row r="5" spans="1:50">
      <c r="A5" s="32" t="s">
        <v>1</v>
      </c>
      <c r="B5" s="73" t="s">
        <v>571</v>
      </c>
      <c r="C5" s="43">
        <f t="shared" si="0"/>
        <v>2</v>
      </c>
      <c r="D5" s="92">
        <f t="shared" si="1"/>
        <v>1</v>
      </c>
      <c r="E5" s="92"/>
      <c r="F5" s="92"/>
      <c r="G5" s="92"/>
      <c r="H5" s="92"/>
      <c r="I5" s="92"/>
      <c r="J5" s="92"/>
      <c r="K5" s="92"/>
      <c r="T5" t="s">
        <v>573</v>
      </c>
      <c r="AA5" s="43" t="s">
        <v>570</v>
      </c>
    </row>
    <row r="6" spans="1:50">
      <c r="A6" s="93" t="s">
        <v>44</v>
      </c>
      <c r="B6" s="73" t="s">
        <v>571</v>
      </c>
      <c r="C6" s="43">
        <f t="shared" si="0"/>
        <v>0</v>
      </c>
      <c r="D6" s="92">
        <f t="shared" si="1"/>
        <v>0</v>
      </c>
      <c r="E6" s="92"/>
      <c r="F6" s="92"/>
      <c r="G6" s="92"/>
      <c r="H6" s="92"/>
      <c r="I6" s="92"/>
      <c r="J6" s="92"/>
      <c r="K6" s="92"/>
    </row>
    <row r="7" spans="1:50">
      <c r="A7" s="93" t="s">
        <v>45</v>
      </c>
      <c r="B7" s="73" t="s">
        <v>571</v>
      </c>
      <c r="C7" s="43">
        <f t="shared" si="0"/>
        <v>0</v>
      </c>
      <c r="D7" s="92">
        <f t="shared" si="1"/>
        <v>0</v>
      </c>
      <c r="E7" s="92"/>
      <c r="F7" s="92"/>
      <c r="G7" s="92"/>
      <c r="H7" s="92"/>
      <c r="I7" s="92"/>
      <c r="J7" s="92"/>
      <c r="K7" s="92"/>
    </row>
    <row r="8" spans="1:50">
      <c r="A8" s="93" t="s">
        <v>46</v>
      </c>
      <c r="B8" s="73" t="s">
        <v>571</v>
      </c>
      <c r="C8" s="43">
        <f t="shared" si="0"/>
        <v>1</v>
      </c>
      <c r="D8" s="92">
        <f t="shared" si="1"/>
        <v>0</v>
      </c>
      <c r="E8" s="92"/>
      <c r="F8" s="92"/>
      <c r="G8" s="92"/>
      <c r="H8" s="92"/>
      <c r="I8" s="92"/>
      <c r="J8" s="92"/>
      <c r="K8" s="92"/>
      <c r="AJ8" t="s">
        <v>570</v>
      </c>
    </row>
    <row r="9" spans="1:50">
      <c r="A9" s="93" t="s">
        <v>256</v>
      </c>
      <c r="B9" s="73" t="s">
        <v>571</v>
      </c>
      <c r="C9" s="43">
        <f t="shared" si="0"/>
        <v>1</v>
      </c>
      <c r="D9" s="92">
        <f t="shared" si="1"/>
        <v>0</v>
      </c>
      <c r="E9" s="92"/>
      <c r="F9" s="92"/>
      <c r="G9" s="92"/>
      <c r="H9" s="92"/>
      <c r="I9" s="92"/>
      <c r="J9" s="92"/>
      <c r="K9" s="92"/>
      <c r="S9" t="s">
        <v>570</v>
      </c>
    </row>
    <row r="10" spans="1:50">
      <c r="A10" s="93" t="s">
        <v>47</v>
      </c>
      <c r="B10" s="73" t="s">
        <v>571</v>
      </c>
      <c r="C10" s="43">
        <f t="shared" si="0"/>
        <v>0</v>
      </c>
      <c r="D10" s="92">
        <f t="shared" si="1"/>
        <v>0</v>
      </c>
      <c r="E10" s="92"/>
      <c r="F10" s="92"/>
      <c r="G10" s="92"/>
      <c r="H10" s="92"/>
      <c r="I10" s="92"/>
      <c r="J10" s="92"/>
      <c r="K10" s="92"/>
    </row>
    <row r="11" spans="1:50">
      <c r="A11" s="93" t="s">
        <v>48</v>
      </c>
      <c r="B11" s="73" t="s">
        <v>571</v>
      </c>
      <c r="C11" s="43">
        <f t="shared" si="0"/>
        <v>0</v>
      </c>
      <c r="D11" s="92">
        <f t="shared" si="1"/>
        <v>0</v>
      </c>
      <c r="E11" s="92"/>
      <c r="F11" s="92"/>
      <c r="G11" s="92"/>
      <c r="H11" s="92"/>
      <c r="I11" s="92"/>
      <c r="J11" s="92"/>
      <c r="K11" s="92"/>
    </row>
    <row r="12" spans="1:50">
      <c r="A12" s="32" t="s">
        <v>2</v>
      </c>
      <c r="B12" s="73" t="s">
        <v>572</v>
      </c>
      <c r="C12" s="43">
        <f t="shared" si="0"/>
        <v>7</v>
      </c>
      <c r="D12" s="92">
        <f t="shared" si="1"/>
        <v>0</v>
      </c>
      <c r="E12" s="92"/>
      <c r="F12" s="92"/>
      <c r="G12" s="92"/>
      <c r="H12" s="92"/>
      <c r="I12" s="92"/>
      <c r="J12" s="92"/>
      <c r="K12" s="92"/>
      <c r="P12" t="s">
        <v>570</v>
      </c>
      <c r="T12" t="s">
        <v>570</v>
      </c>
      <c r="U12" t="s">
        <v>570</v>
      </c>
      <c r="Y12" s="43" t="s">
        <v>570</v>
      </c>
      <c r="AF12" t="s">
        <v>570</v>
      </c>
      <c r="AG12" t="s">
        <v>570</v>
      </c>
      <c r="AH12" t="s">
        <v>570</v>
      </c>
    </row>
    <row r="13" spans="1:50">
      <c r="A13" s="51" t="s">
        <v>509</v>
      </c>
      <c r="B13" s="73" t="s">
        <v>572</v>
      </c>
      <c r="C13" s="43">
        <f t="shared" si="0"/>
        <v>0</v>
      </c>
      <c r="D13" s="92">
        <f t="shared" si="1"/>
        <v>0</v>
      </c>
      <c r="E13" s="92"/>
      <c r="F13" s="92"/>
      <c r="G13" s="92"/>
      <c r="H13" s="92"/>
      <c r="I13" s="92"/>
      <c r="J13" s="92"/>
      <c r="K13" s="92"/>
    </row>
    <row r="14" spans="1:50">
      <c r="A14" s="51" t="s">
        <v>513</v>
      </c>
      <c r="B14" s="73" t="s">
        <v>572</v>
      </c>
      <c r="C14" s="43">
        <f t="shared" si="0"/>
        <v>7</v>
      </c>
      <c r="D14" s="92">
        <f t="shared" si="1"/>
        <v>1</v>
      </c>
      <c r="E14" s="92"/>
      <c r="F14" s="255" t="s">
        <v>570</v>
      </c>
      <c r="G14" s="92"/>
      <c r="H14" s="92" t="s">
        <v>573</v>
      </c>
      <c r="I14" s="92"/>
      <c r="J14" s="92"/>
      <c r="K14" s="92"/>
      <c r="L14" s="43" t="s">
        <v>570</v>
      </c>
      <c r="N14" s="43" t="s">
        <v>570</v>
      </c>
      <c r="U14" t="s">
        <v>570</v>
      </c>
      <c r="W14" t="s">
        <v>570</v>
      </c>
      <c r="Y14" s="43" t="s">
        <v>570</v>
      </c>
    </row>
    <row r="15" spans="1:50">
      <c r="A15" s="75" t="s">
        <v>49</v>
      </c>
      <c r="B15" s="80" t="s">
        <v>571</v>
      </c>
      <c r="C15" s="43">
        <f t="shared" si="0"/>
        <v>3</v>
      </c>
      <c r="D15" s="92">
        <f t="shared" si="1"/>
        <v>1</v>
      </c>
      <c r="E15" s="92"/>
      <c r="F15" s="92"/>
      <c r="G15" s="92"/>
      <c r="H15" s="92"/>
      <c r="I15" s="92"/>
      <c r="J15" s="92"/>
      <c r="K15" s="92"/>
      <c r="S15" s="11"/>
      <c r="T15" s="11"/>
      <c r="U15" s="11"/>
      <c r="V15" s="11"/>
      <c r="W15" s="11"/>
      <c r="X15" s="32"/>
      <c r="Y15" s="73"/>
      <c r="Z15" s="73"/>
      <c r="AM15" t="s">
        <v>570</v>
      </c>
      <c r="AU15" t="s">
        <v>570</v>
      </c>
      <c r="AV15" t="s">
        <v>573</v>
      </c>
    </row>
    <row r="16" spans="1:50">
      <c r="A16" s="11" t="s">
        <v>4</v>
      </c>
      <c r="B16" s="80" t="s">
        <v>572</v>
      </c>
      <c r="C16" s="43">
        <f t="shared" si="0"/>
        <v>10</v>
      </c>
      <c r="D16" s="92">
        <f t="shared" si="1"/>
        <v>2</v>
      </c>
      <c r="E16" s="92"/>
      <c r="F16" s="92"/>
      <c r="G16" s="92"/>
      <c r="H16" s="92"/>
      <c r="I16" s="92"/>
      <c r="J16" s="92"/>
      <c r="K16" s="92" t="s">
        <v>570</v>
      </c>
      <c r="N16" s="43" t="s">
        <v>570</v>
      </c>
      <c r="O16" s="43" t="s">
        <v>573</v>
      </c>
      <c r="P16" t="s">
        <v>570</v>
      </c>
      <c r="S16" s="11"/>
      <c r="T16" s="11"/>
      <c r="U16" s="11"/>
      <c r="V16" s="32"/>
      <c r="W16" s="32"/>
      <c r="X16" s="32" t="s">
        <v>570</v>
      </c>
      <c r="Y16" s="43" t="s">
        <v>570</v>
      </c>
      <c r="AA16" s="43" t="s">
        <v>570</v>
      </c>
      <c r="AE16" t="s">
        <v>570</v>
      </c>
      <c r="AH16" t="s">
        <v>570</v>
      </c>
      <c r="AJ16" t="s">
        <v>573</v>
      </c>
    </row>
    <row r="17" spans="1:50">
      <c r="A17" s="75" t="s">
        <v>50</v>
      </c>
      <c r="B17" s="80" t="s">
        <v>571</v>
      </c>
      <c r="C17" s="43">
        <f t="shared" si="0"/>
        <v>2</v>
      </c>
      <c r="D17" s="92">
        <f t="shared" si="1"/>
        <v>0</v>
      </c>
      <c r="E17" s="92"/>
      <c r="F17" s="92"/>
      <c r="G17" s="92"/>
      <c r="H17" s="92"/>
      <c r="I17" s="92"/>
      <c r="J17" s="92"/>
      <c r="K17" s="92"/>
      <c r="AV17" t="s">
        <v>570</v>
      </c>
      <c r="AX17" t="s">
        <v>570</v>
      </c>
    </row>
    <row r="18" spans="1:50">
      <c r="A18" s="75" t="s">
        <v>566</v>
      </c>
      <c r="B18" s="255" t="s">
        <v>571</v>
      </c>
      <c r="C18" s="43">
        <f t="shared" si="0"/>
        <v>0</v>
      </c>
      <c r="D18" s="92">
        <f t="shared" si="1"/>
        <v>0</v>
      </c>
      <c r="E18" s="92"/>
      <c r="F18" s="92"/>
      <c r="G18" s="92"/>
      <c r="H18" s="92"/>
      <c r="I18" s="92"/>
      <c r="J18" s="92"/>
      <c r="K18" s="92"/>
    </row>
    <row r="19" spans="1:50">
      <c r="A19" s="75" t="s">
        <v>51</v>
      </c>
      <c r="B19" s="80" t="s">
        <v>571</v>
      </c>
      <c r="C19" s="43">
        <f t="shared" si="0"/>
        <v>2</v>
      </c>
      <c r="D19" s="92">
        <f t="shared" si="1"/>
        <v>1</v>
      </c>
      <c r="E19" s="92"/>
      <c r="F19" s="92"/>
      <c r="G19" s="92"/>
      <c r="H19" s="92"/>
      <c r="I19" s="92"/>
      <c r="J19" s="92"/>
      <c r="K19" s="92"/>
      <c r="AD19" t="s">
        <v>573</v>
      </c>
      <c r="AF19" t="s">
        <v>570</v>
      </c>
    </row>
    <row r="20" spans="1:50">
      <c r="A20" s="94" t="s">
        <v>531</v>
      </c>
      <c r="B20" s="73" t="s">
        <v>571</v>
      </c>
      <c r="C20" s="43">
        <f t="shared" si="0"/>
        <v>0</v>
      </c>
      <c r="D20" s="92">
        <f t="shared" si="1"/>
        <v>0</v>
      </c>
      <c r="E20" s="92"/>
      <c r="F20" s="92"/>
      <c r="G20" s="92"/>
      <c r="H20" s="92"/>
      <c r="I20" s="92"/>
      <c r="J20" s="92"/>
      <c r="K20" s="92"/>
    </row>
    <row r="21" spans="1:50">
      <c r="A21" s="11" t="s">
        <v>518</v>
      </c>
      <c r="B21" s="80" t="s">
        <v>571</v>
      </c>
      <c r="C21" s="43">
        <f t="shared" si="0"/>
        <v>0</v>
      </c>
      <c r="D21" s="92">
        <f t="shared" si="1"/>
        <v>0</v>
      </c>
      <c r="E21" s="92"/>
      <c r="F21" s="92"/>
      <c r="G21" s="92"/>
      <c r="H21" s="92"/>
      <c r="I21" s="92"/>
      <c r="J21" s="92"/>
      <c r="K21" s="92"/>
    </row>
    <row r="22" spans="1:50">
      <c r="A22" s="11" t="s">
        <v>5</v>
      </c>
      <c r="B22" s="80" t="s">
        <v>572</v>
      </c>
      <c r="C22" s="43">
        <f t="shared" si="0"/>
        <v>4</v>
      </c>
      <c r="D22" s="92">
        <f t="shared" si="1"/>
        <v>0</v>
      </c>
      <c r="E22" s="92"/>
      <c r="F22" s="92"/>
      <c r="G22" s="92"/>
      <c r="H22" s="92"/>
      <c r="I22" s="92"/>
      <c r="J22" s="92"/>
      <c r="K22" s="92"/>
      <c r="M22" s="43" t="s">
        <v>570</v>
      </c>
      <c r="N22" s="43" t="s">
        <v>570</v>
      </c>
      <c r="O22" s="43" t="s">
        <v>570</v>
      </c>
      <c r="V22" t="s">
        <v>570</v>
      </c>
    </row>
    <row r="23" spans="1:50">
      <c r="A23" s="94" t="s">
        <v>728</v>
      </c>
      <c r="B23" s="255" t="s">
        <v>572</v>
      </c>
      <c r="C23" s="43">
        <f t="shared" si="0"/>
        <v>0</v>
      </c>
      <c r="D23" s="92">
        <f t="shared" si="1"/>
        <v>0</v>
      </c>
      <c r="E23" s="92"/>
      <c r="F23" s="92"/>
      <c r="G23" s="92"/>
      <c r="H23" s="92"/>
      <c r="I23" s="92"/>
      <c r="J23" s="92"/>
      <c r="K23" s="92"/>
    </row>
    <row r="24" spans="1:50">
      <c r="A24" s="75" t="s">
        <v>52</v>
      </c>
      <c r="B24" s="80" t="s">
        <v>571</v>
      </c>
      <c r="C24" s="43">
        <f t="shared" si="0"/>
        <v>0</v>
      </c>
      <c r="D24" s="92">
        <f t="shared" si="1"/>
        <v>0</v>
      </c>
      <c r="E24" s="92"/>
      <c r="F24" s="92"/>
      <c r="G24" s="92"/>
      <c r="H24" s="92"/>
      <c r="I24" s="92"/>
      <c r="J24" s="92"/>
      <c r="K24" s="92"/>
      <c r="AD24" s="14"/>
      <c r="AE24" s="11"/>
      <c r="AF24" s="11"/>
      <c r="AG24" s="11"/>
      <c r="AH24" s="11"/>
      <c r="AI24" s="11"/>
      <c r="AJ24" s="32"/>
      <c r="AK24" s="74"/>
      <c r="AL24" s="32"/>
    </row>
    <row r="25" spans="1:50">
      <c r="A25" s="95" t="s">
        <v>510</v>
      </c>
      <c r="B25" s="80" t="s">
        <v>572</v>
      </c>
      <c r="C25" s="43">
        <f t="shared" si="0"/>
        <v>2</v>
      </c>
      <c r="D25" s="92">
        <f t="shared" si="1"/>
        <v>0</v>
      </c>
      <c r="E25" s="92"/>
      <c r="F25" s="92"/>
      <c r="G25" s="92"/>
      <c r="H25" s="92"/>
      <c r="I25" s="92" t="s">
        <v>570</v>
      </c>
      <c r="J25" s="92" t="s">
        <v>570</v>
      </c>
      <c r="K25" s="92"/>
    </row>
    <row r="26" spans="1:50">
      <c r="A26" s="96" t="s">
        <v>532</v>
      </c>
      <c r="B26" s="97" t="s">
        <v>572</v>
      </c>
      <c r="C26" s="43">
        <f t="shared" si="0"/>
        <v>1</v>
      </c>
      <c r="D26" s="92">
        <f t="shared" si="1"/>
        <v>0</v>
      </c>
      <c r="E26" s="92"/>
      <c r="F26" s="92"/>
      <c r="G26" s="92"/>
      <c r="H26" s="92"/>
      <c r="I26" s="92" t="s">
        <v>570</v>
      </c>
      <c r="J26" s="92"/>
      <c r="K26" s="92"/>
    </row>
    <row r="27" spans="1:50">
      <c r="A27" s="11" t="s">
        <v>6</v>
      </c>
      <c r="B27" s="80" t="s">
        <v>571</v>
      </c>
      <c r="C27" s="43">
        <f t="shared" si="0"/>
        <v>0</v>
      </c>
      <c r="D27" s="92">
        <f t="shared" si="1"/>
        <v>0</v>
      </c>
      <c r="E27" s="92"/>
      <c r="F27" s="92"/>
      <c r="G27" s="92"/>
      <c r="H27" s="92"/>
      <c r="I27" s="92"/>
      <c r="J27" s="92"/>
      <c r="K27" s="92"/>
    </row>
    <row r="28" spans="1:50">
      <c r="A28" s="75" t="s">
        <v>53</v>
      </c>
      <c r="B28" s="255" t="s">
        <v>813</v>
      </c>
      <c r="C28" s="43">
        <f t="shared" si="0"/>
        <v>8</v>
      </c>
      <c r="D28" s="92">
        <f t="shared" si="1"/>
        <v>2</v>
      </c>
      <c r="E28" s="92"/>
      <c r="F28" s="92"/>
      <c r="G28" s="92"/>
      <c r="H28" s="92"/>
      <c r="I28" s="92"/>
      <c r="J28" s="92"/>
      <c r="K28" s="92"/>
      <c r="AJ28" t="s">
        <v>570</v>
      </c>
      <c r="AK28" t="s">
        <v>570</v>
      </c>
      <c r="AL28" t="s">
        <v>570</v>
      </c>
      <c r="AO28" t="s">
        <v>573</v>
      </c>
      <c r="AP28" t="s">
        <v>570</v>
      </c>
      <c r="AQ28" t="s">
        <v>570</v>
      </c>
      <c r="AR28" t="s">
        <v>573</v>
      </c>
      <c r="AS28" t="s">
        <v>570</v>
      </c>
    </row>
    <row r="29" spans="1:50">
      <c r="A29" s="75" t="s">
        <v>54</v>
      </c>
      <c r="B29" s="80" t="s">
        <v>571</v>
      </c>
      <c r="C29" s="43">
        <f t="shared" si="0"/>
        <v>1</v>
      </c>
      <c r="D29" s="92">
        <f t="shared" si="1"/>
        <v>0</v>
      </c>
      <c r="E29" s="92"/>
      <c r="F29" s="92"/>
      <c r="G29" s="92"/>
      <c r="H29" s="92"/>
      <c r="I29" s="92"/>
      <c r="J29" s="92"/>
      <c r="K29" s="92"/>
      <c r="AI29" t="s">
        <v>570</v>
      </c>
    </row>
    <row r="30" spans="1:50">
      <c r="A30" s="11" t="s">
        <v>7</v>
      </c>
      <c r="B30" s="80" t="s">
        <v>572</v>
      </c>
      <c r="C30" s="43">
        <f t="shared" si="0"/>
        <v>4</v>
      </c>
      <c r="D30" s="92">
        <f t="shared" si="1"/>
        <v>1</v>
      </c>
      <c r="E30" s="92"/>
      <c r="F30" s="92"/>
      <c r="G30" s="92"/>
      <c r="H30" s="92"/>
      <c r="I30" s="92" t="s">
        <v>573</v>
      </c>
      <c r="J30" s="92"/>
      <c r="K30" s="92"/>
      <c r="U30" t="s">
        <v>570</v>
      </c>
      <c r="X30" t="s">
        <v>570</v>
      </c>
      <c r="AE30" t="s">
        <v>570</v>
      </c>
    </row>
    <row r="31" spans="1:50">
      <c r="A31" s="75" t="s">
        <v>55</v>
      </c>
      <c r="B31" s="80" t="s">
        <v>571</v>
      </c>
      <c r="C31" s="43">
        <f t="shared" si="0"/>
        <v>0</v>
      </c>
      <c r="D31" s="92">
        <f t="shared" si="1"/>
        <v>0</v>
      </c>
      <c r="E31" s="92"/>
      <c r="F31" s="92"/>
      <c r="G31" s="92"/>
      <c r="H31" s="92"/>
      <c r="I31" s="92"/>
      <c r="J31" s="92"/>
      <c r="K31" s="92"/>
    </row>
    <row r="32" spans="1:50">
      <c r="A32" s="75" t="s">
        <v>56</v>
      </c>
      <c r="B32" s="80" t="s">
        <v>571</v>
      </c>
      <c r="C32" s="43">
        <f t="shared" si="0"/>
        <v>1</v>
      </c>
      <c r="D32" s="92">
        <f t="shared" si="1"/>
        <v>0</v>
      </c>
      <c r="E32" s="92"/>
      <c r="F32" s="92"/>
      <c r="G32" s="92"/>
      <c r="H32" s="92"/>
      <c r="I32" s="92"/>
      <c r="J32" s="92"/>
      <c r="K32" s="92"/>
      <c r="AT32" t="s">
        <v>570</v>
      </c>
    </row>
    <row r="33" spans="1:50">
      <c r="A33" s="75" t="s">
        <v>57</v>
      </c>
      <c r="B33" s="80" t="s">
        <v>571</v>
      </c>
      <c r="C33" s="43">
        <f t="shared" si="0"/>
        <v>0</v>
      </c>
      <c r="D33" s="92">
        <f t="shared" si="1"/>
        <v>0</v>
      </c>
      <c r="E33" s="92"/>
      <c r="F33" s="92"/>
      <c r="G33" s="92"/>
      <c r="H33" s="92"/>
      <c r="I33" s="92"/>
      <c r="J33" s="92"/>
      <c r="K33" s="92"/>
    </row>
    <row r="34" spans="1:50">
      <c r="A34" s="75" t="s">
        <v>58</v>
      </c>
      <c r="B34" s="80" t="s">
        <v>571</v>
      </c>
      <c r="C34" s="43">
        <f t="shared" si="0"/>
        <v>0</v>
      </c>
      <c r="D34" s="92">
        <f t="shared" si="1"/>
        <v>0</v>
      </c>
      <c r="E34" s="92"/>
      <c r="F34" s="92"/>
      <c r="G34" s="92"/>
      <c r="H34" s="92"/>
      <c r="I34" s="92"/>
      <c r="J34" s="92"/>
      <c r="K34" s="92"/>
    </row>
    <row r="35" spans="1:50">
      <c r="A35" s="95" t="s">
        <v>483</v>
      </c>
      <c r="B35" s="80" t="s">
        <v>571</v>
      </c>
      <c r="C35" s="43">
        <f t="shared" si="0"/>
        <v>1</v>
      </c>
      <c r="D35" s="92">
        <f t="shared" si="1"/>
        <v>0</v>
      </c>
      <c r="E35" s="92"/>
      <c r="F35" s="92"/>
      <c r="G35" s="92"/>
      <c r="H35" s="92"/>
      <c r="I35" s="92"/>
      <c r="J35" s="92"/>
      <c r="K35" s="92"/>
      <c r="N35" s="43" t="s">
        <v>570</v>
      </c>
    </row>
    <row r="36" spans="1:50">
      <c r="A36" s="11" t="s">
        <v>8</v>
      </c>
      <c r="B36" s="80" t="s">
        <v>571</v>
      </c>
      <c r="C36" s="43">
        <f t="shared" si="0"/>
        <v>5</v>
      </c>
      <c r="D36" s="92">
        <f t="shared" si="1"/>
        <v>0</v>
      </c>
      <c r="E36" s="92"/>
      <c r="F36" s="92"/>
      <c r="G36" s="92"/>
      <c r="H36" s="92"/>
      <c r="I36" s="92"/>
      <c r="J36" s="92"/>
      <c r="K36" s="92"/>
      <c r="AC36" t="s">
        <v>570</v>
      </c>
      <c r="AD36" t="s">
        <v>570</v>
      </c>
      <c r="AE36" t="s">
        <v>570</v>
      </c>
      <c r="AJ36" t="s">
        <v>570</v>
      </c>
      <c r="AM36" t="s">
        <v>570</v>
      </c>
    </row>
    <row r="37" spans="1:50">
      <c r="A37" s="11" t="s">
        <v>9</v>
      </c>
      <c r="B37" s="255" t="s">
        <v>813</v>
      </c>
      <c r="C37" s="43">
        <f t="shared" si="0"/>
        <v>7</v>
      </c>
      <c r="D37" s="92">
        <f t="shared" si="1"/>
        <v>1</v>
      </c>
      <c r="E37" s="92"/>
      <c r="F37" s="92"/>
      <c r="G37" s="92"/>
      <c r="H37" s="92"/>
      <c r="I37" s="92"/>
      <c r="J37" s="92"/>
      <c r="K37" s="92"/>
      <c r="X37" t="s">
        <v>573</v>
      </c>
      <c r="Z37" s="43" t="s">
        <v>570</v>
      </c>
      <c r="AA37" s="43" t="s">
        <v>570</v>
      </c>
      <c r="AK37" t="s">
        <v>570</v>
      </c>
      <c r="AO37" t="s">
        <v>570</v>
      </c>
      <c r="AP37" t="s">
        <v>570</v>
      </c>
      <c r="AQ37" t="s">
        <v>570</v>
      </c>
    </row>
    <row r="38" spans="1:50">
      <c r="A38" s="99" t="s">
        <v>789</v>
      </c>
      <c r="B38" s="255" t="s">
        <v>572</v>
      </c>
      <c r="C38" s="43">
        <f t="shared" si="0"/>
        <v>1</v>
      </c>
      <c r="D38" s="92">
        <f t="shared" si="1"/>
        <v>0</v>
      </c>
      <c r="E38" s="92"/>
      <c r="F38" s="255" t="s">
        <v>570</v>
      </c>
      <c r="G38" s="92"/>
      <c r="H38" s="92"/>
      <c r="I38" s="92"/>
      <c r="J38" s="92"/>
      <c r="K38" s="92"/>
    </row>
    <row r="39" spans="1:50">
      <c r="A39" s="11" t="s">
        <v>10</v>
      </c>
      <c r="B39" s="80" t="s">
        <v>572</v>
      </c>
      <c r="C39" s="43">
        <f t="shared" si="0"/>
        <v>2</v>
      </c>
      <c r="D39" s="92">
        <f t="shared" si="1"/>
        <v>2</v>
      </c>
      <c r="E39" s="92"/>
      <c r="F39" s="92"/>
      <c r="G39" s="92"/>
      <c r="H39" s="92"/>
      <c r="I39" s="92"/>
      <c r="J39" s="92"/>
      <c r="K39" s="92"/>
      <c r="M39" s="43" t="s">
        <v>573</v>
      </c>
      <c r="R39" t="s">
        <v>573</v>
      </c>
    </row>
    <row r="40" spans="1:50">
      <c r="A40" s="11" t="s">
        <v>88</v>
      </c>
      <c r="B40" s="80" t="s">
        <v>571</v>
      </c>
      <c r="C40" s="43">
        <f t="shared" si="0"/>
        <v>6</v>
      </c>
      <c r="D40" s="92">
        <f t="shared" si="1"/>
        <v>0</v>
      </c>
      <c r="E40" s="92"/>
      <c r="F40" s="92"/>
      <c r="G40" s="92"/>
      <c r="H40" s="92"/>
      <c r="I40" s="92"/>
      <c r="J40" s="92"/>
      <c r="K40" s="92"/>
      <c r="AA40" s="43" t="s">
        <v>570</v>
      </c>
      <c r="AB40" t="s">
        <v>570</v>
      </c>
      <c r="AD40" t="s">
        <v>570</v>
      </c>
      <c r="AG40" t="s">
        <v>570</v>
      </c>
      <c r="AH40" t="s">
        <v>570</v>
      </c>
      <c r="AI40" t="s">
        <v>570</v>
      </c>
    </row>
    <row r="41" spans="1:50">
      <c r="A41" s="75" t="s">
        <v>59</v>
      </c>
      <c r="B41" s="80" t="s">
        <v>571</v>
      </c>
      <c r="C41" s="43">
        <f t="shared" si="0"/>
        <v>1</v>
      </c>
      <c r="D41" s="92">
        <f t="shared" si="1"/>
        <v>0</v>
      </c>
      <c r="E41" s="92"/>
      <c r="F41" s="92"/>
      <c r="G41" s="92"/>
      <c r="H41" s="92"/>
      <c r="I41" s="92"/>
      <c r="J41" s="92"/>
      <c r="K41" s="92"/>
      <c r="AE41" t="s">
        <v>570</v>
      </c>
    </row>
    <row r="42" spans="1:50">
      <c r="A42" s="11" t="s">
        <v>11</v>
      </c>
      <c r="B42" s="80" t="s">
        <v>572</v>
      </c>
      <c r="C42" s="43">
        <f t="shared" si="0"/>
        <v>4</v>
      </c>
      <c r="D42" s="92">
        <f t="shared" si="1"/>
        <v>0</v>
      </c>
      <c r="E42" s="92"/>
      <c r="F42" s="92"/>
      <c r="G42" s="92"/>
      <c r="H42" s="92"/>
      <c r="I42" s="92" t="s">
        <v>570</v>
      </c>
      <c r="J42" s="92"/>
      <c r="K42" s="92"/>
      <c r="Q42" t="s">
        <v>570</v>
      </c>
      <c r="U42" t="s">
        <v>570</v>
      </c>
      <c r="W42" t="s">
        <v>570</v>
      </c>
    </row>
    <row r="43" spans="1:50">
      <c r="A43" s="75" t="s">
        <v>60</v>
      </c>
      <c r="B43" s="80" t="s">
        <v>571</v>
      </c>
      <c r="C43" s="43">
        <f t="shared" si="0"/>
        <v>0</v>
      </c>
      <c r="D43" s="92">
        <f t="shared" si="1"/>
        <v>0</v>
      </c>
      <c r="E43" s="92"/>
      <c r="F43" s="92"/>
      <c r="G43" s="92"/>
      <c r="H43" s="92"/>
      <c r="I43" s="92"/>
      <c r="J43" s="92"/>
      <c r="K43" s="92"/>
    </row>
    <row r="44" spans="1:50">
      <c r="A44" s="75" t="s">
        <v>61</v>
      </c>
      <c r="B44" s="80" t="s">
        <v>571</v>
      </c>
      <c r="C44" s="43">
        <f t="shared" si="0"/>
        <v>1</v>
      </c>
      <c r="D44" s="92">
        <f t="shared" si="1"/>
        <v>0</v>
      </c>
      <c r="E44" s="92"/>
      <c r="F44" s="92"/>
      <c r="G44" s="92"/>
      <c r="H44" s="92"/>
      <c r="I44" s="92"/>
      <c r="J44" s="92"/>
      <c r="K44" s="92"/>
      <c r="AA44" s="43" t="s">
        <v>570</v>
      </c>
    </row>
    <row r="45" spans="1:50">
      <c r="A45" s="75" t="s">
        <v>567</v>
      </c>
      <c r="B45" s="80" t="s">
        <v>571</v>
      </c>
      <c r="C45" s="43">
        <f t="shared" si="0"/>
        <v>0</v>
      </c>
      <c r="D45" s="92">
        <f t="shared" si="1"/>
        <v>0</v>
      </c>
      <c r="E45" s="92"/>
      <c r="F45" s="92"/>
      <c r="G45" s="92"/>
      <c r="H45" s="92"/>
      <c r="I45" s="92"/>
      <c r="J45" s="92"/>
      <c r="K45" s="92"/>
    </row>
    <row r="46" spans="1:50">
      <c r="A46" s="75" t="s">
        <v>62</v>
      </c>
      <c r="B46" s="80" t="s">
        <v>571</v>
      </c>
      <c r="C46" s="43">
        <f t="shared" si="0"/>
        <v>0</v>
      </c>
      <c r="D46" s="92">
        <f t="shared" si="1"/>
        <v>0</v>
      </c>
      <c r="E46" s="92"/>
      <c r="F46" s="92"/>
      <c r="G46" s="92"/>
      <c r="H46" s="92"/>
      <c r="I46" s="92"/>
      <c r="J46" s="92"/>
      <c r="K46" s="92"/>
    </row>
    <row r="47" spans="1:50">
      <c r="A47" s="75" t="s">
        <v>63</v>
      </c>
      <c r="B47" s="255" t="s">
        <v>813</v>
      </c>
      <c r="C47" s="43">
        <f t="shared" si="0"/>
        <v>8</v>
      </c>
      <c r="D47" s="92">
        <f t="shared" si="1"/>
        <v>2</v>
      </c>
      <c r="E47" s="92"/>
      <c r="F47" s="92"/>
      <c r="G47" s="92"/>
      <c r="H47" s="92"/>
      <c r="I47" s="92"/>
      <c r="J47" s="92"/>
      <c r="K47" s="92"/>
      <c r="AH47" t="s">
        <v>573</v>
      </c>
      <c r="AI47" t="s">
        <v>570</v>
      </c>
      <c r="AJ47" t="s">
        <v>570</v>
      </c>
      <c r="AL47" t="s">
        <v>570</v>
      </c>
      <c r="AM47" t="s">
        <v>570</v>
      </c>
      <c r="AO47" t="s">
        <v>570</v>
      </c>
      <c r="AW47" t="s">
        <v>573</v>
      </c>
      <c r="AX47" t="s">
        <v>570</v>
      </c>
    </row>
    <row r="48" spans="1:50">
      <c r="A48" s="11" t="s">
        <v>12</v>
      </c>
      <c r="B48" s="80" t="s">
        <v>572</v>
      </c>
      <c r="C48" s="43">
        <f t="shared" si="0"/>
        <v>2</v>
      </c>
      <c r="D48" s="92">
        <f t="shared" si="1"/>
        <v>0</v>
      </c>
      <c r="E48" s="255" t="s">
        <v>570</v>
      </c>
      <c r="F48" s="92"/>
      <c r="G48" s="92"/>
      <c r="H48" s="92"/>
      <c r="I48" s="92"/>
      <c r="J48" s="92"/>
      <c r="K48" s="92"/>
      <c r="M48" s="43" t="s">
        <v>570</v>
      </c>
    </row>
    <row r="49" spans="1:50">
      <c r="A49" s="11" t="s">
        <v>13</v>
      </c>
      <c r="B49" s="80" t="s">
        <v>571</v>
      </c>
      <c r="C49" s="43">
        <f t="shared" si="0"/>
        <v>2</v>
      </c>
      <c r="D49" s="92">
        <f t="shared" si="1"/>
        <v>0</v>
      </c>
      <c r="E49" s="92"/>
      <c r="F49" s="92"/>
      <c r="G49" s="92"/>
      <c r="H49" s="92"/>
      <c r="I49" s="92"/>
      <c r="J49" s="92"/>
      <c r="K49" s="92"/>
      <c r="U49" t="s">
        <v>570</v>
      </c>
      <c r="AK49" t="s">
        <v>570</v>
      </c>
    </row>
    <row r="50" spans="1:50">
      <c r="A50" s="94" t="s">
        <v>980</v>
      </c>
      <c r="B50" s="255" t="s">
        <v>572</v>
      </c>
      <c r="C50" s="43">
        <f t="shared" ref="C50" si="2">COUNTA(E50:AX50)</f>
        <v>0</v>
      </c>
      <c r="D50" s="92">
        <f t="shared" si="1"/>
        <v>0</v>
      </c>
      <c r="E50" s="92"/>
      <c r="F50" s="92"/>
      <c r="G50" s="92"/>
      <c r="H50" s="92"/>
      <c r="I50" s="92"/>
      <c r="J50" s="92"/>
      <c r="K50" s="92"/>
    </row>
    <row r="51" spans="1:50">
      <c r="A51" s="11" t="s">
        <v>14</v>
      </c>
      <c r="B51" s="80" t="s">
        <v>572</v>
      </c>
      <c r="C51" s="43">
        <f t="shared" si="0"/>
        <v>0</v>
      </c>
      <c r="D51" s="92">
        <f t="shared" si="1"/>
        <v>0</v>
      </c>
      <c r="E51" s="92"/>
      <c r="F51" s="92"/>
      <c r="G51" s="92"/>
      <c r="H51" s="92"/>
      <c r="I51" s="92"/>
      <c r="J51" s="92"/>
      <c r="K51" s="92"/>
    </row>
    <row r="52" spans="1:50">
      <c r="A52" s="11" t="s">
        <v>15</v>
      </c>
      <c r="B52" s="255" t="s">
        <v>813</v>
      </c>
      <c r="C52" s="43">
        <f t="shared" si="0"/>
        <v>9</v>
      </c>
      <c r="D52" s="92">
        <f t="shared" si="1"/>
        <v>0</v>
      </c>
      <c r="E52" s="92"/>
      <c r="F52" s="92"/>
      <c r="G52" s="92"/>
      <c r="H52" s="92"/>
      <c r="I52" s="92"/>
      <c r="J52" s="92"/>
      <c r="K52" s="92"/>
      <c r="Q52" t="s">
        <v>570</v>
      </c>
      <c r="S52" t="s">
        <v>570</v>
      </c>
      <c r="T52" t="s">
        <v>570</v>
      </c>
      <c r="X52" t="s">
        <v>570</v>
      </c>
      <c r="Y52" s="43" t="s">
        <v>570</v>
      </c>
      <c r="AE52" t="s">
        <v>570</v>
      </c>
      <c r="AM52" t="s">
        <v>570</v>
      </c>
      <c r="AO52" t="s">
        <v>570</v>
      </c>
      <c r="AT52" t="s">
        <v>570</v>
      </c>
    </row>
    <row r="53" spans="1:50">
      <c r="A53" s="75" t="s">
        <v>64</v>
      </c>
      <c r="B53" s="80" t="s">
        <v>571</v>
      </c>
      <c r="C53" s="43">
        <f t="shared" si="0"/>
        <v>2</v>
      </c>
      <c r="D53" s="92">
        <f t="shared" si="1"/>
        <v>0</v>
      </c>
      <c r="E53" s="92"/>
      <c r="F53" s="92"/>
      <c r="G53" s="92"/>
      <c r="H53" s="92"/>
      <c r="I53" s="92"/>
      <c r="J53" s="92"/>
      <c r="K53" s="92"/>
      <c r="AS53" t="s">
        <v>570</v>
      </c>
      <c r="AX53" t="s">
        <v>570</v>
      </c>
    </row>
    <row r="54" spans="1:50">
      <c r="A54" s="11" t="s">
        <v>16</v>
      </c>
      <c r="B54" s="255" t="s">
        <v>813</v>
      </c>
      <c r="C54" s="43">
        <f t="shared" si="0"/>
        <v>10</v>
      </c>
      <c r="D54" s="92">
        <f t="shared" si="1"/>
        <v>2</v>
      </c>
      <c r="E54" s="92"/>
      <c r="F54" s="92"/>
      <c r="G54" s="92"/>
      <c r="H54" s="92"/>
      <c r="I54" s="92"/>
      <c r="J54" s="92"/>
      <c r="K54" s="92"/>
      <c r="AF54" t="s">
        <v>573</v>
      </c>
      <c r="AG54" t="s">
        <v>570</v>
      </c>
      <c r="AI54" t="s">
        <v>570</v>
      </c>
      <c r="AK54" t="s">
        <v>570</v>
      </c>
      <c r="AL54" t="s">
        <v>570</v>
      </c>
      <c r="AN54" t="s">
        <v>570</v>
      </c>
      <c r="AO54" t="s">
        <v>570</v>
      </c>
      <c r="AT54" t="s">
        <v>570</v>
      </c>
      <c r="AU54" t="s">
        <v>570</v>
      </c>
      <c r="AX54" t="s">
        <v>573</v>
      </c>
    </row>
    <row r="55" spans="1:50">
      <c r="A55" s="11" t="s">
        <v>517</v>
      </c>
      <c r="B55" s="80" t="s">
        <v>571</v>
      </c>
      <c r="C55" s="43">
        <f t="shared" si="0"/>
        <v>0</v>
      </c>
      <c r="D55" s="92">
        <f t="shared" si="1"/>
        <v>0</v>
      </c>
      <c r="E55" s="92"/>
      <c r="F55" s="92"/>
      <c r="G55" s="92"/>
      <c r="H55" s="92"/>
      <c r="I55" s="92"/>
      <c r="J55" s="92"/>
      <c r="K55" s="92"/>
    </row>
    <row r="56" spans="1:50">
      <c r="A56" s="11" t="s">
        <v>17</v>
      </c>
      <c r="B56" s="255" t="s">
        <v>813</v>
      </c>
      <c r="C56" s="43">
        <f t="shared" si="0"/>
        <v>3</v>
      </c>
      <c r="D56" s="92">
        <f t="shared" si="1"/>
        <v>0</v>
      </c>
      <c r="E56" s="92"/>
      <c r="F56" s="92"/>
      <c r="G56" s="92"/>
      <c r="H56" s="92"/>
      <c r="I56" s="92"/>
      <c r="J56" s="92"/>
      <c r="K56" s="92"/>
      <c r="T56" t="s">
        <v>570</v>
      </c>
      <c r="V56" t="s">
        <v>570</v>
      </c>
      <c r="AA56" s="43" t="s">
        <v>570</v>
      </c>
    </row>
    <row r="57" spans="1:50">
      <c r="A57" s="75" t="s">
        <v>87</v>
      </c>
      <c r="B57" s="80" t="s">
        <v>571</v>
      </c>
      <c r="C57" s="43">
        <f t="shared" si="0"/>
        <v>0</v>
      </c>
      <c r="D57" s="92">
        <f t="shared" si="1"/>
        <v>0</v>
      </c>
      <c r="E57" s="92"/>
      <c r="F57" s="92"/>
      <c r="G57" s="92"/>
      <c r="H57" s="92"/>
      <c r="I57" s="92"/>
      <c r="J57" s="92"/>
      <c r="K57" s="92"/>
    </row>
    <row r="58" spans="1:50">
      <c r="A58" s="75" t="s">
        <v>65</v>
      </c>
      <c r="B58" s="80" t="s">
        <v>571</v>
      </c>
      <c r="C58" s="43">
        <f t="shared" si="0"/>
        <v>0</v>
      </c>
      <c r="D58" s="92">
        <f t="shared" si="1"/>
        <v>0</v>
      </c>
      <c r="E58" s="92"/>
      <c r="F58" s="92"/>
      <c r="G58" s="92"/>
      <c r="H58" s="92"/>
      <c r="I58" s="92"/>
      <c r="J58" s="92"/>
      <c r="K58" s="92"/>
    </row>
    <row r="59" spans="1:50">
      <c r="A59" s="11" t="s">
        <v>18</v>
      </c>
      <c r="B59" s="80" t="s">
        <v>572</v>
      </c>
      <c r="C59" s="43">
        <f t="shared" si="0"/>
        <v>7</v>
      </c>
      <c r="D59" s="92">
        <f t="shared" si="1"/>
        <v>0</v>
      </c>
      <c r="E59" s="92"/>
      <c r="F59" s="92"/>
      <c r="G59" s="255" t="s">
        <v>570</v>
      </c>
      <c r="H59" s="92" t="s">
        <v>570</v>
      </c>
      <c r="I59" s="92"/>
      <c r="J59" s="92" t="s">
        <v>570</v>
      </c>
      <c r="K59" s="92"/>
      <c r="N59" s="43" t="s">
        <v>570</v>
      </c>
      <c r="Q59" t="s">
        <v>570</v>
      </c>
      <c r="W59" t="s">
        <v>570</v>
      </c>
      <c r="Y59" s="43" t="s">
        <v>570</v>
      </c>
    </row>
    <row r="60" spans="1:50">
      <c r="A60" s="11" t="s">
        <v>19</v>
      </c>
      <c r="B60" s="80" t="s">
        <v>571</v>
      </c>
      <c r="C60" s="43">
        <f t="shared" si="0"/>
        <v>1</v>
      </c>
      <c r="D60" s="92">
        <f t="shared" si="1"/>
        <v>0</v>
      </c>
      <c r="E60" s="92"/>
      <c r="F60" s="92"/>
      <c r="G60" s="92"/>
      <c r="H60" s="92"/>
      <c r="I60" s="92"/>
      <c r="J60" s="92"/>
      <c r="K60" s="92"/>
      <c r="AF60" t="s">
        <v>570</v>
      </c>
    </row>
    <row r="61" spans="1:50">
      <c r="A61" s="11" t="s">
        <v>20</v>
      </c>
      <c r="B61" s="80" t="s">
        <v>571</v>
      </c>
      <c r="C61" s="43">
        <f t="shared" si="0"/>
        <v>0</v>
      </c>
      <c r="D61" s="92">
        <f t="shared" si="1"/>
        <v>0</v>
      </c>
      <c r="E61" s="92"/>
      <c r="F61" s="92"/>
      <c r="G61" s="92"/>
      <c r="H61" s="92"/>
      <c r="I61" s="92"/>
      <c r="J61" s="92"/>
      <c r="K61" s="92"/>
    </row>
    <row r="62" spans="1:50">
      <c r="A62" s="207" t="s">
        <v>814</v>
      </c>
      <c r="B62" s="255" t="s">
        <v>572</v>
      </c>
      <c r="C62" s="43">
        <f t="shared" si="0"/>
        <v>0</v>
      </c>
      <c r="D62" s="92">
        <f t="shared" si="1"/>
        <v>0</v>
      </c>
      <c r="E62" s="92"/>
      <c r="F62" s="92"/>
      <c r="G62" s="92"/>
      <c r="H62" s="92"/>
      <c r="I62" s="92"/>
      <c r="J62" s="92"/>
      <c r="K62" s="92"/>
    </row>
    <row r="63" spans="1:50">
      <c r="A63" s="75" t="s">
        <v>66</v>
      </c>
      <c r="B63" s="80" t="s">
        <v>571</v>
      </c>
      <c r="C63" s="43">
        <f t="shared" si="0"/>
        <v>0</v>
      </c>
      <c r="D63" s="92">
        <f t="shared" si="1"/>
        <v>0</v>
      </c>
      <c r="E63" s="92"/>
      <c r="F63" s="92"/>
      <c r="G63" s="92"/>
      <c r="H63" s="92"/>
      <c r="I63" s="92"/>
      <c r="J63" s="92"/>
      <c r="K63" s="92"/>
    </row>
    <row r="64" spans="1:50">
      <c r="A64" s="75" t="s">
        <v>253</v>
      </c>
      <c r="B64" s="80" t="s">
        <v>571</v>
      </c>
      <c r="C64" s="43">
        <f t="shared" si="0"/>
        <v>1</v>
      </c>
      <c r="D64" s="92">
        <f t="shared" si="1"/>
        <v>0</v>
      </c>
      <c r="E64" s="92"/>
      <c r="F64" s="92"/>
      <c r="G64" s="92"/>
      <c r="H64" s="92"/>
      <c r="I64" s="92"/>
      <c r="J64" s="92"/>
      <c r="K64" s="92"/>
      <c r="S64" t="s">
        <v>570</v>
      </c>
    </row>
    <row r="65" spans="1:48">
      <c r="A65" s="75" t="s">
        <v>67</v>
      </c>
      <c r="B65" s="80" t="s">
        <v>571</v>
      </c>
      <c r="C65" s="43">
        <f t="shared" si="0"/>
        <v>0</v>
      </c>
      <c r="D65" s="92">
        <f t="shared" si="1"/>
        <v>0</v>
      </c>
      <c r="E65" s="92"/>
      <c r="F65" s="92"/>
      <c r="G65" s="92"/>
      <c r="H65" s="92"/>
      <c r="I65" s="92"/>
      <c r="J65" s="92"/>
      <c r="K65" s="92"/>
    </row>
    <row r="66" spans="1:48">
      <c r="A66" s="11" t="s">
        <v>21</v>
      </c>
      <c r="B66" s="80" t="s">
        <v>571</v>
      </c>
      <c r="C66" s="43">
        <f t="shared" si="0"/>
        <v>1</v>
      </c>
      <c r="D66" s="92">
        <f t="shared" si="1"/>
        <v>0</v>
      </c>
      <c r="E66" s="92"/>
      <c r="F66" s="92"/>
      <c r="G66" s="92"/>
      <c r="H66" s="92"/>
      <c r="I66" s="92"/>
      <c r="J66" s="92"/>
      <c r="K66" s="92"/>
      <c r="W66" t="s">
        <v>570</v>
      </c>
    </row>
    <row r="67" spans="1:48">
      <c r="A67" s="11" t="s">
        <v>22</v>
      </c>
      <c r="B67" s="255" t="s">
        <v>813</v>
      </c>
      <c r="C67" s="43">
        <f t="shared" si="0"/>
        <v>8</v>
      </c>
      <c r="D67" s="92">
        <f t="shared" ref="D67:D117" si="3">COUNTIF(E67:AX67,"W")</f>
        <v>3</v>
      </c>
      <c r="E67" s="92"/>
      <c r="F67" s="92"/>
      <c r="G67" s="92"/>
      <c r="H67" s="92"/>
      <c r="I67" s="92"/>
      <c r="J67" s="92"/>
      <c r="K67" s="92"/>
      <c r="T67" t="s">
        <v>570</v>
      </c>
      <c r="V67" t="s">
        <v>573</v>
      </c>
      <c r="Z67" s="43" t="s">
        <v>570</v>
      </c>
      <c r="AB67" t="s">
        <v>570</v>
      </c>
      <c r="AC67" t="s">
        <v>570</v>
      </c>
      <c r="AK67" t="s">
        <v>573</v>
      </c>
      <c r="AP67" t="s">
        <v>573</v>
      </c>
      <c r="AV67" t="s">
        <v>570</v>
      </c>
    </row>
    <row r="68" spans="1:48">
      <c r="A68" s="11" t="s">
        <v>23</v>
      </c>
      <c r="B68" s="80" t="s">
        <v>572</v>
      </c>
      <c r="C68" s="43">
        <f t="shared" ref="C68:C117" si="4">COUNTA(E68:AX68)</f>
        <v>24</v>
      </c>
      <c r="D68" s="92">
        <f t="shared" si="3"/>
        <v>6</v>
      </c>
      <c r="E68" s="255" t="s">
        <v>570</v>
      </c>
      <c r="F68" s="255" t="s">
        <v>570</v>
      </c>
      <c r="G68" s="255" t="s">
        <v>573</v>
      </c>
      <c r="H68" s="92" t="s">
        <v>570</v>
      </c>
      <c r="I68" s="92"/>
      <c r="J68" s="92" t="s">
        <v>573</v>
      </c>
      <c r="K68" s="80" t="s">
        <v>570</v>
      </c>
      <c r="M68" s="43" t="s">
        <v>570</v>
      </c>
      <c r="N68" s="43" t="s">
        <v>570</v>
      </c>
      <c r="O68" s="43" t="s">
        <v>570</v>
      </c>
      <c r="P68" t="s">
        <v>570</v>
      </c>
      <c r="R68" t="s">
        <v>570</v>
      </c>
      <c r="V68" t="s">
        <v>570</v>
      </c>
      <c r="X68" t="s">
        <v>570</v>
      </c>
      <c r="Z68" s="43" t="s">
        <v>570</v>
      </c>
      <c r="AA68" s="43" t="s">
        <v>573</v>
      </c>
      <c r="AB68" t="s">
        <v>570</v>
      </c>
      <c r="AC68" t="s">
        <v>570</v>
      </c>
      <c r="AE68" t="s">
        <v>570</v>
      </c>
      <c r="AG68" t="s">
        <v>573</v>
      </c>
      <c r="AH68" t="s">
        <v>570</v>
      </c>
      <c r="AK68" t="s">
        <v>570</v>
      </c>
      <c r="AM68" t="s">
        <v>573</v>
      </c>
      <c r="AN68" t="s">
        <v>570</v>
      </c>
      <c r="AT68" t="s">
        <v>573</v>
      </c>
    </row>
    <row r="69" spans="1:48">
      <c r="A69" s="11" t="s">
        <v>520</v>
      </c>
      <c r="B69" s="255" t="s">
        <v>572</v>
      </c>
      <c r="C69" s="43">
        <f t="shared" si="4"/>
        <v>2</v>
      </c>
      <c r="D69" s="92">
        <f t="shared" si="3"/>
        <v>0</v>
      </c>
      <c r="E69" s="92"/>
      <c r="F69" s="92"/>
      <c r="G69" s="92"/>
      <c r="H69" s="92" t="s">
        <v>570</v>
      </c>
      <c r="I69" s="92" t="s">
        <v>570</v>
      </c>
      <c r="J69" s="92"/>
      <c r="K69" s="92"/>
    </row>
    <row r="70" spans="1:48">
      <c r="A70" s="11" t="s">
        <v>24</v>
      </c>
      <c r="B70" s="255" t="s">
        <v>813</v>
      </c>
      <c r="C70" s="43">
        <f t="shared" si="4"/>
        <v>7</v>
      </c>
      <c r="D70" s="92">
        <f t="shared" si="3"/>
        <v>0</v>
      </c>
      <c r="E70" s="92"/>
      <c r="F70" s="92"/>
      <c r="G70" s="92"/>
      <c r="H70" s="92"/>
      <c r="I70" s="92"/>
      <c r="J70" s="92"/>
      <c r="K70" s="92"/>
      <c r="N70" s="43" t="s">
        <v>570</v>
      </c>
      <c r="Q70" t="s">
        <v>570</v>
      </c>
      <c r="T70" t="s">
        <v>570</v>
      </c>
      <c r="W70" t="s">
        <v>570</v>
      </c>
      <c r="Z70" s="43" t="s">
        <v>570</v>
      </c>
      <c r="AB70" t="s">
        <v>570</v>
      </c>
      <c r="AC70" t="s">
        <v>570</v>
      </c>
    </row>
    <row r="71" spans="1:48">
      <c r="A71" s="75" t="s">
        <v>68</v>
      </c>
      <c r="B71" s="80" t="s">
        <v>571</v>
      </c>
      <c r="C71" s="43">
        <f t="shared" si="4"/>
        <v>0</v>
      </c>
      <c r="D71" s="92">
        <f t="shared" si="3"/>
        <v>0</v>
      </c>
      <c r="E71" s="92"/>
      <c r="F71" s="92"/>
      <c r="G71" s="92"/>
      <c r="H71" s="92"/>
      <c r="I71" s="92"/>
      <c r="J71" s="92"/>
      <c r="K71" s="92"/>
    </row>
    <row r="72" spans="1:48">
      <c r="A72" s="11" t="s">
        <v>25</v>
      </c>
      <c r="B72" s="80" t="s">
        <v>572</v>
      </c>
      <c r="C72" s="43">
        <f t="shared" si="4"/>
        <v>6</v>
      </c>
      <c r="D72" s="92">
        <f t="shared" si="3"/>
        <v>0</v>
      </c>
      <c r="E72" s="255" t="s">
        <v>570</v>
      </c>
      <c r="F72" s="92"/>
      <c r="G72" s="255" t="s">
        <v>570</v>
      </c>
      <c r="H72" s="92"/>
      <c r="I72" s="92"/>
      <c r="J72" s="92"/>
      <c r="K72" s="92"/>
      <c r="M72" s="43" t="s">
        <v>570</v>
      </c>
      <c r="P72" t="s">
        <v>570</v>
      </c>
      <c r="Q72" t="s">
        <v>570</v>
      </c>
      <c r="X72" t="s">
        <v>570</v>
      </c>
    </row>
    <row r="73" spans="1:48">
      <c r="A73" s="75" t="s">
        <v>69</v>
      </c>
      <c r="B73" s="80" t="s">
        <v>571</v>
      </c>
      <c r="C73" s="43">
        <f t="shared" si="4"/>
        <v>0</v>
      </c>
      <c r="D73" s="92">
        <f t="shared" si="3"/>
        <v>0</v>
      </c>
      <c r="E73" s="92"/>
      <c r="F73" s="92"/>
      <c r="G73" s="92"/>
      <c r="H73" s="92"/>
      <c r="I73" s="92"/>
      <c r="J73" s="92"/>
      <c r="K73" s="92"/>
    </row>
    <row r="74" spans="1:48">
      <c r="A74" s="11" t="s">
        <v>26</v>
      </c>
      <c r="B74" s="80" t="s">
        <v>572</v>
      </c>
      <c r="C74" s="43">
        <f t="shared" si="4"/>
        <v>9</v>
      </c>
      <c r="D74" s="92">
        <f t="shared" si="3"/>
        <v>2</v>
      </c>
      <c r="E74" s="92"/>
      <c r="F74" s="255" t="s">
        <v>570</v>
      </c>
      <c r="G74" s="255" t="s">
        <v>570</v>
      </c>
      <c r="H74" s="92"/>
      <c r="I74" s="92" t="s">
        <v>570</v>
      </c>
      <c r="J74" s="92" t="s">
        <v>570</v>
      </c>
      <c r="K74" s="92" t="s">
        <v>573</v>
      </c>
      <c r="M74" s="43" t="s">
        <v>570</v>
      </c>
      <c r="U74" t="s">
        <v>573</v>
      </c>
      <c r="V74" t="s">
        <v>570</v>
      </c>
      <c r="AF74" t="s">
        <v>570</v>
      </c>
    </row>
    <row r="75" spans="1:48">
      <c r="A75" s="11" t="s">
        <v>27</v>
      </c>
      <c r="B75" s="80" t="s">
        <v>571</v>
      </c>
      <c r="C75" s="43">
        <f t="shared" si="4"/>
        <v>5</v>
      </c>
      <c r="D75" s="92">
        <f t="shared" si="3"/>
        <v>1</v>
      </c>
      <c r="E75" s="92"/>
      <c r="F75" s="92"/>
      <c r="G75" s="92"/>
      <c r="H75" s="92"/>
      <c r="I75" s="92"/>
      <c r="J75" s="92"/>
      <c r="K75" s="80" t="s">
        <v>570</v>
      </c>
      <c r="N75" s="43" t="s">
        <v>570</v>
      </c>
      <c r="P75" t="s">
        <v>573</v>
      </c>
      <c r="V75" t="s">
        <v>570</v>
      </c>
      <c r="W75" t="s">
        <v>570</v>
      </c>
    </row>
    <row r="76" spans="1:48">
      <c r="A76" s="11" t="s">
        <v>28</v>
      </c>
      <c r="B76" s="80" t="s">
        <v>571</v>
      </c>
      <c r="C76" s="43">
        <f t="shared" si="4"/>
        <v>3</v>
      </c>
      <c r="D76" s="92">
        <f t="shared" si="3"/>
        <v>1</v>
      </c>
      <c r="E76" s="92"/>
      <c r="F76" s="92"/>
      <c r="G76" s="92"/>
      <c r="H76" s="92"/>
      <c r="I76" s="92"/>
      <c r="J76" s="92"/>
      <c r="K76" s="92"/>
      <c r="Z76" s="43" t="s">
        <v>573</v>
      </c>
      <c r="AB76" t="s">
        <v>570</v>
      </c>
      <c r="AC76" t="s">
        <v>570</v>
      </c>
    </row>
    <row r="77" spans="1:48">
      <c r="A77" s="86" t="s">
        <v>511</v>
      </c>
      <c r="B77" s="98" t="s">
        <v>572</v>
      </c>
      <c r="C77" s="43">
        <f t="shared" si="4"/>
        <v>4</v>
      </c>
      <c r="D77" s="92">
        <f t="shared" si="3"/>
        <v>0</v>
      </c>
      <c r="E77" s="255" t="s">
        <v>570</v>
      </c>
      <c r="F77" s="92"/>
      <c r="G77" s="255" t="s">
        <v>570</v>
      </c>
      <c r="H77" s="92"/>
      <c r="I77" s="92" t="s">
        <v>570</v>
      </c>
      <c r="J77" s="92" t="s">
        <v>570</v>
      </c>
      <c r="K77" s="92"/>
    </row>
    <row r="78" spans="1:48">
      <c r="A78" s="11" t="s">
        <v>41</v>
      </c>
      <c r="B78" s="80" t="s">
        <v>571</v>
      </c>
      <c r="C78" s="43">
        <f t="shared" si="4"/>
        <v>0</v>
      </c>
      <c r="D78" s="92">
        <f t="shared" si="3"/>
        <v>0</v>
      </c>
      <c r="E78" s="92"/>
      <c r="F78" s="92"/>
      <c r="G78" s="92"/>
      <c r="H78" s="92"/>
      <c r="I78" s="92"/>
      <c r="J78" s="92"/>
      <c r="K78" s="92"/>
    </row>
    <row r="79" spans="1:48">
      <c r="A79" s="11" t="s">
        <v>258</v>
      </c>
      <c r="B79" s="80" t="s">
        <v>572</v>
      </c>
      <c r="C79" s="43">
        <f t="shared" si="4"/>
        <v>2</v>
      </c>
      <c r="D79" s="92">
        <f t="shared" si="3"/>
        <v>1</v>
      </c>
      <c r="E79" s="92"/>
      <c r="F79" s="92"/>
      <c r="G79" s="92"/>
      <c r="H79" s="92"/>
      <c r="I79" s="92"/>
      <c r="J79" s="92"/>
      <c r="K79" s="92"/>
      <c r="N79" s="43" t="s">
        <v>570</v>
      </c>
      <c r="S79" t="s">
        <v>573</v>
      </c>
    </row>
    <row r="80" spans="1:48">
      <c r="A80" s="11" t="s">
        <v>29</v>
      </c>
      <c r="B80" s="80" t="s">
        <v>571</v>
      </c>
      <c r="C80" s="43">
        <f t="shared" si="4"/>
        <v>9</v>
      </c>
      <c r="D80" s="92">
        <f t="shared" si="3"/>
        <v>2</v>
      </c>
      <c r="E80" s="92"/>
      <c r="F80" s="92"/>
      <c r="G80" s="92"/>
      <c r="H80" s="92"/>
      <c r="I80" s="92"/>
      <c r="J80" s="92"/>
      <c r="K80" s="92"/>
      <c r="V80" t="s">
        <v>570</v>
      </c>
      <c r="X80" t="s">
        <v>570</v>
      </c>
      <c r="AA80" s="43" t="s">
        <v>570</v>
      </c>
      <c r="AC80" t="s">
        <v>570</v>
      </c>
      <c r="AI80" t="s">
        <v>573</v>
      </c>
      <c r="AK80" t="s">
        <v>570</v>
      </c>
      <c r="AN80" t="s">
        <v>573</v>
      </c>
      <c r="AP80" t="s">
        <v>570</v>
      </c>
      <c r="AR80" t="s">
        <v>570</v>
      </c>
    </row>
    <row r="81" spans="1:49">
      <c r="A81" s="11" t="s">
        <v>30</v>
      </c>
      <c r="B81" s="255" t="s">
        <v>813</v>
      </c>
      <c r="C81" s="43">
        <f t="shared" si="4"/>
        <v>5</v>
      </c>
      <c r="D81" s="92">
        <f t="shared" si="3"/>
        <v>0</v>
      </c>
      <c r="E81" s="92"/>
      <c r="F81" s="92"/>
      <c r="G81" s="92"/>
      <c r="H81" s="92"/>
      <c r="I81" s="92"/>
      <c r="J81" s="92"/>
      <c r="K81" s="92"/>
      <c r="Y81" s="43" t="s">
        <v>570</v>
      </c>
      <c r="AJ81" t="s">
        <v>570</v>
      </c>
      <c r="AL81" t="s">
        <v>570</v>
      </c>
      <c r="AP81" t="s">
        <v>570</v>
      </c>
      <c r="AW81" t="s">
        <v>570</v>
      </c>
    </row>
    <row r="82" spans="1:49">
      <c r="A82" s="75" t="s">
        <v>70</v>
      </c>
      <c r="B82" s="80" t="s">
        <v>571</v>
      </c>
      <c r="C82" s="43">
        <f t="shared" si="4"/>
        <v>3</v>
      </c>
      <c r="D82" s="92">
        <f t="shared" si="3"/>
        <v>0</v>
      </c>
      <c r="E82" s="92"/>
      <c r="F82" s="92"/>
      <c r="G82" s="92"/>
      <c r="H82" s="92"/>
      <c r="I82" s="92"/>
      <c r="J82" s="92"/>
      <c r="K82" s="92"/>
      <c r="AR82" t="s">
        <v>570</v>
      </c>
      <c r="AS82" t="s">
        <v>570</v>
      </c>
      <c r="AU82" t="s">
        <v>570</v>
      </c>
    </row>
    <row r="83" spans="1:49">
      <c r="A83" s="11" t="s">
        <v>31</v>
      </c>
      <c r="B83" s="80" t="s">
        <v>572</v>
      </c>
      <c r="C83" s="43">
        <f t="shared" si="4"/>
        <v>6</v>
      </c>
      <c r="D83" s="92">
        <f t="shared" si="3"/>
        <v>2</v>
      </c>
      <c r="E83" s="92"/>
      <c r="F83" s="255" t="s">
        <v>573</v>
      </c>
      <c r="G83" s="92"/>
      <c r="H83" s="92"/>
      <c r="I83" s="92"/>
      <c r="J83" s="92"/>
      <c r="K83" s="92"/>
      <c r="P83" t="s">
        <v>570</v>
      </c>
      <c r="R83" t="s">
        <v>570</v>
      </c>
      <c r="U83" t="s">
        <v>570</v>
      </c>
      <c r="AC83" t="s">
        <v>573</v>
      </c>
      <c r="AD83" t="s">
        <v>570</v>
      </c>
    </row>
    <row r="84" spans="1:49">
      <c r="A84" s="32" t="s">
        <v>265</v>
      </c>
      <c r="B84" s="73" t="s">
        <v>572</v>
      </c>
      <c r="C84" s="43">
        <f t="shared" si="4"/>
        <v>6</v>
      </c>
      <c r="D84" s="92">
        <f t="shared" si="3"/>
        <v>0</v>
      </c>
      <c r="E84" s="92"/>
      <c r="F84" s="255" t="s">
        <v>570</v>
      </c>
      <c r="G84" s="255" t="s">
        <v>570</v>
      </c>
      <c r="H84" s="92" t="s">
        <v>570</v>
      </c>
      <c r="I84" s="92"/>
      <c r="J84" s="92"/>
      <c r="K84" s="92"/>
      <c r="L84" s="43" t="s">
        <v>570</v>
      </c>
      <c r="M84" s="43" t="s">
        <v>570</v>
      </c>
      <c r="R84" t="s">
        <v>570</v>
      </c>
    </row>
    <row r="85" spans="1:49">
      <c r="A85" s="32" t="s">
        <v>672</v>
      </c>
      <c r="B85" s="73" t="s">
        <v>572</v>
      </c>
      <c r="C85" s="43">
        <f t="shared" si="4"/>
        <v>2</v>
      </c>
      <c r="D85" s="92">
        <f t="shared" si="3"/>
        <v>0</v>
      </c>
      <c r="E85" s="255" t="s">
        <v>570</v>
      </c>
      <c r="F85" s="92"/>
      <c r="G85" s="92"/>
      <c r="H85" s="92" t="s">
        <v>570</v>
      </c>
      <c r="I85" s="92"/>
      <c r="J85" s="92"/>
      <c r="K85" s="92"/>
    </row>
    <row r="86" spans="1:49">
      <c r="A86" s="75" t="s">
        <v>71</v>
      </c>
      <c r="B86" s="80" t="s">
        <v>571</v>
      </c>
      <c r="C86" s="43">
        <f t="shared" si="4"/>
        <v>0</v>
      </c>
      <c r="D86" s="92">
        <f t="shared" si="3"/>
        <v>0</v>
      </c>
      <c r="E86" s="92"/>
      <c r="F86" s="92"/>
      <c r="G86" s="92"/>
      <c r="H86" s="92"/>
      <c r="I86" s="92"/>
      <c r="J86" s="92"/>
      <c r="K86" s="92"/>
    </row>
    <row r="87" spans="1:49">
      <c r="A87" s="99" t="s">
        <v>519</v>
      </c>
      <c r="B87" s="73" t="s">
        <v>572</v>
      </c>
      <c r="C87" s="43">
        <f t="shared" si="4"/>
        <v>4</v>
      </c>
      <c r="D87" s="92">
        <f t="shared" si="3"/>
        <v>0</v>
      </c>
      <c r="E87" s="92"/>
      <c r="F87" s="92"/>
      <c r="G87" s="92"/>
      <c r="H87" s="92"/>
      <c r="I87" s="92" t="s">
        <v>570</v>
      </c>
      <c r="J87" s="92" t="s">
        <v>570</v>
      </c>
      <c r="K87" s="80" t="s">
        <v>570</v>
      </c>
      <c r="L87" s="43" t="s">
        <v>570</v>
      </c>
    </row>
    <row r="88" spans="1:49">
      <c r="A88" s="93" t="s">
        <v>259</v>
      </c>
      <c r="B88" s="73" t="s">
        <v>572</v>
      </c>
      <c r="C88" s="43">
        <f t="shared" si="4"/>
        <v>4</v>
      </c>
      <c r="D88" s="92">
        <f t="shared" si="3"/>
        <v>0</v>
      </c>
      <c r="E88" s="92"/>
      <c r="F88" s="255" t="s">
        <v>570</v>
      </c>
      <c r="G88" s="92"/>
      <c r="H88" s="92"/>
      <c r="I88" s="92"/>
      <c r="J88" s="92"/>
      <c r="K88" s="80" t="s">
        <v>570</v>
      </c>
      <c r="O88" s="43" t="s">
        <v>570</v>
      </c>
      <c r="S88" t="s">
        <v>570</v>
      </c>
    </row>
    <row r="89" spans="1:49">
      <c r="A89" s="93" t="s">
        <v>72</v>
      </c>
      <c r="B89" s="73" t="s">
        <v>571</v>
      </c>
      <c r="C89" s="43">
        <f t="shared" si="4"/>
        <v>0</v>
      </c>
      <c r="D89" s="92">
        <f t="shared" si="3"/>
        <v>0</v>
      </c>
      <c r="E89" s="92"/>
      <c r="F89" s="92"/>
      <c r="G89" s="92"/>
      <c r="H89" s="92"/>
      <c r="I89" s="92"/>
      <c r="J89" s="92"/>
      <c r="K89" s="92"/>
    </row>
    <row r="90" spans="1:49">
      <c r="A90" s="93" t="s">
        <v>73</v>
      </c>
      <c r="B90" s="73" t="s">
        <v>571</v>
      </c>
      <c r="C90" s="43">
        <f t="shared" si="4"/>
        <v>2</v>
      </c>
      <c r="D90" s="92">
        <f t="shared" si="3"/>
        <v>0</v>
      </c>
      <c r="E90" s="92"/>
      <c r="F90" s="92"/>
      <c r="G90" s="92"/>
      <c r="H90" s="92"/>
      <c r="I90" s="92"/>
      <c r="J90" s="92"/>
      <c r="K90" s="92"/>
      <c r="AM90" t="s">
        <v>570</v>
      </c>
      <c r="AO90" t="s">
        <v>570</v>
      </c>
    </row>
    <row r="91" spans="1:49">
      <c r="A91" s="99" t="s">
        <v>468</v>
      </c>
      <c r="B91" s="73" t="s">
        <v>572</v>
      </c>
      <c r="C91" s="43">
        <f t="shared" si="4"/>
        <v>2</v>
      </c>
      <c r="D91" s="92">
        <f t="shared" si="3"/>
        <v>0</v>
      </c>
      <c r="E91" s="255" t="s">
        <v>570</v>
      </c>
      <c r="F91" s="92"/>
      <c r="G91" s="92"/>
      <c r="H91" s="92"/>
      <c r="I91" s="92"/>
      <c r="J91" s="92"/>
      <c r="K91" s="92"/>
      <c r="L91" s="43" t="s">
        <v>570</v>
      </c>
    </row>
    <row r="92" spans="1:49">
      <c r="A92" s="93" t="s">
        <v>74</v>
      </c>
      <c r="B92" s="73" t="s">
        <v>571</v>
      </c>
      <c r="C92" s="43">
        <f t="shared" si="4"/>
        <v>2</v>
      </c>
      <c r="D92" s="92">
        <f t="shared" si="3"/>
        <v>1</v>
      </c>
      <c r="E92" s="92"/>
      <c r="F92" s="92"/>
      <c r="G92" s="92"/>
      <c r="H92" s="92"/>
      <c r="I92" s="92"/>
      <c r="J92" s="92"/>
      <c r="K92" s="92"/>
      <c r="AQ92" t="s">
        <v>573</v>
      </c>
      <c r="AV92" t="s">
        <v>570</v>
      </c>
    </row>
    <row r="93" spans="1:49">
      <c r="A93" s="93" t="s">
        <v>260</v>
      </c>
      <c r="B93" s="73" t="s">
        <v>571</v>
      </c>
      <c r="C93" s="43">
        <f t="shared" si="4"/>
        <v>1</v>
      </c>
      <c r="D93" s="92">
        <f t="shared" si="3"/>
        <v>0</v>
      </c>
      <c r="E93" s="92"/>
      <c r="F93" s="92"/>
      <c r="G93" s="92"/>
      <c r="H93" s="92"/>
      <c r="I93" s="92"/>
      <c r="J93" s="92"/>
      <c r="K93" s="92"/>
      <c r="R93" t="s">
        <v>570</v>
      </c>
    </row>
    <row r="94" spans="1:49">
      <c r="A94" s="93" t="s">
        <v>75</v>
      </c>
      <c r="B94" s="73" t="s">
        <v>571</v>
      </c>
      <c r="C94" s="43">
        <f t="shared" si="4"/>
        <v>0</v>
      </c>
      <c r="D94" s="92">
        <f t="shared" si="3"/>
        <v>0</v>
      </c>
      <c r="E94" s="92"/>
      <c r="F94" s="92"/>
      <c r="G94" s="92"/>
      <c r="H94" s="92"/>
      <c r="I94" s="92"/>
      <c r="J94" s="92"/>
      <c r="K94" s="92"/>
    </row>
    <row r="95" spans="1:49">
      <c r="A95" s="93" t="s">
        <v>76</v>
      </c>
      <c r="B95" s="73" t="s">
        <v>571</v>
      </c>
      <c r="C95" s="43">
        <f t="shared" si="4"/>
        <v>0</v>
      </c>
      <c r="D95" s="92">
        <f t="shared" si="3"/>
        <v>0</v>
      </c>
      <c r="E95" s="92"/>
      <c r="F95" s="92"/>
      <c r="G95" s="92"/>
      <c r="H95" s="92"/>
      <c r="I95" s="92"/>
      <c r="J95" s="92"/>
      <c r="K95" s="92"/>
    </row>
    <row r="96" spans="1:49">
      <c r="A96" s="32" t="s">
        <v>32</v>
      </c>
      <c r="B96" s="256" t="s">
        <v>813</v>
      </c>
      <c r="C96" s="43">
        <f t="shared" si="4"/>
        <v>4</v>
      </c>
      <c r="D96" s="92">
        <f t="shared" si="3"/>
        <v>1</v>
      </c>
      <c r="E96" s="92"/>
      <c r="F96" s="92"/>
      <c r="G96" s="92"/>
      <c r="H96" s="92" t="s">
        <v>570</v>
      </c>
      <c r="I96" s="92"/>
      <c r="J96" s="92"/>
      <c r="K96" s="92"/>
      <c r="P96" t="s">
        <v>570</v>
      </c>
      <c r="Q96" t="s">
        <v>573</v>
      </c>
      <c r="W96" t="s">
        <v>570</v>
      </c>
    </row>
    <row r="97" spans="1:49">
      <c r="A97" s="93" t="s">
        <v>77</v>
      </c>
      <c r="B97" s="73" t="s">
        <v>572</v>
      </c>
      <c r="C97" s="43">
        <f t="shared" si="4"/>
        <v>2</v>
      </c>
      <c r="D97" s="92">
        <f t="shared" si="3"/>
        <v>0</v>
      </c>
      <c r="E97" s="255" t="s">
        <v>570</v>
      </c>
      <c r="F97" s="92"/>
      <c r="G97" s="92"/>
      <c r="H97" s="92"/>
      <c r="I97" s="92"/>
      <c r="J97" s="92" t="s">
        <v>570</v>
      </c>
      <c r="K97" s="92"/>
    </row>
    <row r="98" spans="1:49">
      <c r="A98" s="99" t="s">
        <v>812</v>
      </c>
      <c r="B98" s="256" t="s">
        <v>572</v>
      </c>
      <c r="C98" s="43">
        <f t="shared" si="4"/>
        <v>0</v>
      </c>
      <c r="D98" s="92">
        <f t="shared" si="3"/>
        <v>0</v>
      </c>
      <c r="E98" s="92"/>
      <c r="F98" s="92"/>
      <c r="G98" s="92"/>
      <c r="H98" s="92"/>
      <c r="I98" s="92"/>
      <c r="J98" s="92"/>
      <c r="K98" s="92"/>
    </row>
    <row r="99" spans="1:49">
      <c r="A99" s="32" t="s">
        <v>33</v>
      </c>
      <c r="B99" s="256" t="s">
        <v>813</v>
      </c>
      <c r="C99" s="43">
        <f t="shared" si="4"/>
        <v>10</v>
      </c>
      <c r="D99" s="92">
        <f t="shared" si="3"/>
        <v>1</v>
      </c>
      <c r="E99" s="92"/>
      <c r="F99" s="92"/>
      <c r="G99" s="92"/>
      <c r="H99" s="92"/>
      <c r="I99" s="92"/>
      <c r="J99" s="92"/>
      <c r="K99" s="92"/>
      <c r="AB99" t="s">
        <v>573</v>
      </c>
      <c r="AG99" t="s">
        <v>570</v>
      </c>
      <c r="AI99" t="s">
        <v>570</v>
      </c>
      <c r="AJ99" t="s">
        <v>570</v>
      </c>
      <c r="AK99" t="s">
        <v>570</v>
      </c>
      <c r="AM99" t="s">
        <v>570</v>
      </c>
      <c r="AN99" t="s">
        <v>570</v>
      </c>
      <c r="AO99" t="s">
        <v>570</v>
      </c>
      <c r="AP99" t="s">
        <v>570</v>
      </c>
      <c r="AR99" t="s">
        <v>570</v>
      </c>
    </row>
    <row r="100" spans="1:49">
      <c r="A100" s="93" t="s">
        <v>78</v>
      </c>
      <c r="B100" s="73" t="s">
        <v>571</v>
      </c>
      <c r="C100" s="43">
        <f t="shared" si="4"/>
        <v>1</v>
      </c>
      <c r="D100" s="92">
        <f t="shared" si="3"/>
        <v>0</v>
      </c>
      <c r="E100" s="92"/>
      <c r="F100" s="92"/>
      <c r="G100" s="92"/>
      <c r="H100" s="92"/>
      <c r="I100" s="92"/>
      <c r="J100" s="92"/>
      <c r="K100" s="92"/>
      <c r="AW100" t="s">
        <v>570</v>
      </c>
    </row>
    <row r="101" spans="1:49">
      <c r="A101" s="93" t="s">
        <v>79</v>
      </c>
      <c r="B101" s="73" t="s">
        <v>571</v>
      </c>
      <c r="C101" s="43">
        <f t="shared" si="4"/>
        <v>1</v>
      </c>
      <c r="D101" s="92">
        <f t="shared" si="3"/>
        <v>0</v>
      </c>
      <c r="E101" s="92"/>
      <c r="F101" s="92"/>
      <c r="G101" s="92"/>
      <c r="H101" s="92"/>
      <c r="I101" s="92"/>
      <c r="J101" s="92"/>
      <c r="K101" s="92"/>
      <c r="AQ101" t="s">
        <v>570</v>
      </c>
    </row>
    <row r="102" spans="1:49">
      <c r="A102" s="93" t="s">
        <v>80</v>
      </c>
      <c r="B102" s="73" t="s">
        <v>571</v>
      </c>
      <c r="C102" s="43">
        <f t="shared" si="4"/>
        <v>0</v>
      </c>
      <c r="D102" s="92">
        <f t="shared" si="3"/>
        <v>0</v>
      </c>
      <c r="E102" s="92"/>
      <c r="F102" s="92"/>
      <c r="G102" s="92"/>
      <c r="H102" s="92"/>
      <c r="I102" s="92"/>
      <c r="J102" s="92"/>
      <c r="K102" s="92"/>
    </row>
    <row r="103" spans="1:49">
      <c r="A103" s="32" t="s">
        <v>34</v>
      </c>
      <c r="B103" s="73" t="s">
        <v>572</v>
      </c>
      <c r="C103" s="43">
        <f t="shared" si="4"/>
        <v>5</v>
      </c>
      <c r="D103" s="92">
        <f t="shared" si="3"/>
        <v>2</v>
      </c>
      <c r="E103" s="255" t="s">
        <v>573</v>
      </c>
      <c r="F103" s="92"/>
      <c r="G103" s="92"/>
      <c r="H103" s="92"/>
      <c r="I103" s="92"/>
      <c r="J103" s="92"/>
      <c r="K103" s="92"/>
      <c r="L103" s="43" t="s">
        <v>570</v>
      </c>
      <c r="M103" s="43" t="s">
        <v>570</v>
      </c>
      <c r="O103" s="43" t="s">
        <v>570</v>
      </c>
      <c r="Y103" s="43" t="s">
        <v>573</v>
      </c>
    </row>
    <row r="104" spans="1:49">
      <c r="A104" s="11" t="s">
        <v>35</v>
      </c>
      <c r="B104" s="80" t="s">
        <v>572</v>
      </c>
      <c r="C104" s="43">
        <f t="shared" si="4"/>
        <v>9</v>
      </c>
      <c r="D104" s="92">
        <f t="shared" si="3"/>
        <v>2</v>
      </c>
      <c r="E104" s="92"/>
      <c r="F104" s="92"/>
      <c r="G104" s="255" t="s">
        <v>570</v>
      </c>
      <c r="H104" s="92"/>
      <c r="I104" s="92"/>
      <c r="J104" s="92"/>
      <c r="K104" s="92"/>
      <c r="Z104" s="43" t="s">
        <v>570</v>
      </c>
      <c r="AA104" s="43" t="s">
        <v>570</v>
      </c>
      <c r="AC104" t="s">
        <v>570</v>
      </c>
      <c r="AE104" t="s">
        <v>573</v>
      </c>
      <c r="AF104" t="s">
        <v>570</v>
      </c>
      <c r="AK104" t="s">
        <v>570</v>
      </c>
      <c r="AL104" t="s">
        <v>573</v>
      </c>
      <c r="AN104" t="s">
        <v>570</v>
      </c>
    </row>
    <row r="105" spans="1:49">
      <c r="A105" s="75" t="s">
        <v>81</v>
      </c>
      <c r="B105" s="80" t="s">
        <v>571</v>
      </c>
      <c r="C105" s="43">
        <f t="shared" si="4"/>
        <v>6</v>
      </c>
      <c r="D105" s="92">
        <f t="shared" si="3"/>
        <v>3</v>
      </c>
      <c r="E105" s="92"/>
      <c r="F105" s="92"/>
      <c r="G105" s="92"/>
      <c r="H105" s="92"/>
      <c r="I105" s="92"/>
      <c r="J105" s="92"/>
      <c r="K105" s="92"/>
      <c r="AG105" t="s">
        <v>573</v>
      </c>
      <c r="AK105" t="s">
        <v>570</v>
      </c>
      <c r="AL105" t="s">
        <v>570</v>
      </c>
      <c r="AQ105" t="s">
        <v>570</v>
      </c>
      <c r="AS105" t="s">
        <v>573</v>
      </c>
      <c r="AU105" t="s">
        <v>573</v>
      </c>
    </row>
    <row r="106" spans="1:49">
      <c r="A106" s="75" t="s">
        <v>82</v>
      </c>
      <c r="B106" s="80" t="s">
        <v>571</v>
      </c>
      <c r="C106" s="43">
        <f t="shared" si="4"/>
        <v>3</v>
      </c>
      <c r="D106" s="92">
        <f t="shared" si="3"/>
        <v>0</v>
      </c>
      <c r="E106" s="92"/>
      <c r="F106" s="92"/>
      <c r="G106" s="92"/>
      <c r="H106" s="92"/>
      <c r="I106" s="92"/>
      <c r="J106" s="92"/>
      <c r="K106" s="92"/>
      <c r="AJ106" t="s">
        <v>570</v>
      </c>
      <c r="AL106" t="s">
        <v>570</v>
      </c>
      <c r="AQ106" t="s">
        <v>570</v>
      </c>
    </row>
    <row r="107" spans="1:49">
      <c r="A107" s="75" t="s">
        <v>83</v>
      </c>
      <c r="B107" s="80" t="s">
        <v>571</v>
      </c>
      <c r="C107" s="43">
        <f t="shared" si="4"/>
        <v>0</v>
      </c>
      <c r="D107" s="92">
        <f t="shared" si="3"/>
        <v>0</v>
      </c>
      <c r="E107" s="92"/>
      <c r="F107" s="92"/>
      <c r="G107" s="92"/>
      <c r="H107" s="92"/>
      <c r="I107" s="92"/>
      <c r="J107" s="92"/>
      <c r="K107" s="92"/>
    </row>
    <row r="108" spans="1:49">
      <c r="A108" s="75" t="s">
        <v>600</v>
      </c>
      <c r="B108" s="80" t="s">
        <v>572</v>
      </c>
      <c r="C108" s="43">
        <f t="shared" si="4"/>
        <v>0</v>
      </c>
      <c r="D108" s="92">
        <f t="shared" si="3"/>
        <v>0</v>
      </c>
      <c r="E108" s="92"/>
      <c r="F108" s="92"/>
      <c r="G108" s="92"/>
      <c r="H108" s="92"/>
      <c r="I108" s="92"/>
      <c r="J108" s="92"/>
      <c r="K108" s="92"/>
    </row>
    <row r="109" spans="1:49">
      <c r="A109" s="75" t="s">
        <v>266</v>
      </c>
      <c r="B109" s="80" t="s">
        <v>571</v>
      </c>
      <c r="C109" s="43">
        <f t="shared" si="4"/>
        <v>0</v>
      </c>
      <c r="D109" s="92">
        <f t="shared" si="3"/>
        <v>0</v>
      </c>
      <c r="E109" s="92"/>
      <c r="F109" s="92"/>
      <c r="G109" s="92"/>
      <c r="H109" s="92"/>
      <c r="I109" s="92"/>
      <c r="J109" s="92"/>
      <c r="K109" s="92"/>
    </row>
    <row r="110" spans="1:49">
      <c r="A110" s="75" t="s">
        <v>84</v>
      </c>
      <c r="B110" s="80" t="s">
        <v>571</v>
      </c>
      <c r="C110" s="43">
        <f t="shared" si="4"/>
        <v>0</v>
      </c>
      <c r="D110" s="92">
        <f t="shared" si="3"/>
        <v>0</v>
      </c>
      <c r="E110" s="92"/>
      <c r="F110" s="92"/>
      <c r="G110" s="92"/>
      <c r="H110" s="92"/>
      <c r="I110" s="92"/>
      <c r="J110" s="92"/>
      <c r="K110" s="92"/>
    </row>
    <row r="111" spans="1:49">
      <c r="A111" s="75" t="s">
        <v>85</v>
      </c>
      <c r="B111" s="80" t="s">
        <v>571</v>
      </c>
      <c r="C111" s="43">
        <f t="shared" si="4"/>
        <v>0</v>
      </c>
      <c r="D111" s="92">
        <f t="shared" si="3"/>
        <v>0</v>
      </c>
      <c r="E111" s="92"/>
      <c r="F111" s="92"/>
      <c r="G111" s="92"/>
      <c r="H111" s="92"/>
      <c r="I111" s="92"/>
      <c r="J111" s="92"/>
      <c r="K111" s="92"/>
    </row>
    <row r="112" spans="1:49">
      <c r="A112" s="11" t="s">
        <v>36</v>
      </c>
      <c r="B112" s="80" t="s">
        <v>571</v>
      </c>
      <c r="C112" s="43">
        <f t="shared" si="4"/>
        <v>1</v>
      </c>
      <c r="D112" s="92">
        <f t="shared" si="3"/>
        <v>0</v>
      </c>
      <c r="E112" s="92"/>
      <c r="F112" s="92"/>
      <c r="G112" s="92"/>
      <c r="H112" s="92"/>
      <c r="I112" s="92"/>
      <c r="J112" s="92"/>
      <c r="K112" s="92"/>
      <c r="AD112" t="s">
        <v>570</v>
      </c>
    </row>
    <row r="113" spans="1:50">
      <c r="A113" s="11" t="s">
        <v>305</v>
      </c>
      <c r="B113" s="80" t="s">
        <v>572</v>
      </c>
      <c r="C113" s="43">
        <f t="shared" si="4"/>
        <v>2</v>
      </c>
      <c r="D113" s="92">
        <f t="shared" si="3"/>
        <v>0</v>
      </c>
      <c r="E113" s="92"/>
      <c r="F113" s="92"/>
      <c r="G113" s="92"/>
      <c r="H113" s="92"/>
      <c r="I113" s="92"/>
      <c r="J113" s="92"/>
      <c r="K113" s="92" t="s">
        <v>570</v>
      </c>
      <c r="O113" s="43" t="s">
        <v>570</v>
      </c>
    </row>
    <row r="114" spans="1:50">
      <c r="A114" s="11" t="s">
        <v>37</v>
      </c>
      <c r="B114" s="80" t="s">
        <v>571</v>
      </c>
      <c r="C114" s="43">
        <f t="shared" si="4"/>
        <v>3</v>
      </c>
      <c r="D114" s="92">
        <f t="shared" si="3"/>
        <v>1</v>
      </c>
      <c r="E114" s="92"/>
      <c r="F114" s="92"/>
      <c r="G114" s="92"/>
      <c r="H114" s="92"/>
      <c r="I114" s="92"/>
      <c r="J114" s="92"/>
      <c r="K114" s="92"/>
      <c r="W114" t="s">
        <v>573</v>
      </c>
      <c r="AB114" t="s">
        <v>570</v>
      </c>
      <c r="AD114" t="s">
        <v>570</v>
      </c>
    </row>
    <row r="115" spans="1:50">
      <c r="A115" s="11" t="s">
        <v>38</v>
      </c>
      <c r="B115" s="80" t="s">
        <v>572</v>
      </c>
      <c r="C115" s="43">
        <f t="shared" si="4"/>
        <v>4</v>
      </c>
      <c r="D115" s="92">
        <f t="shared" si="3"/>
        <v>0</v>
      </c>
      <c r="E115" s="92"/>
      <c r="F115" s="92"/>
      <c r="G115" s="92"/>
      <c r="H115" s="92"/>
      <c r="I115" s="92"/>
      <c r="J115" s="92" t="s">
        <v>570</v>
      </c>
      <c r="K115" s="92"/>
      <c r="R115" t="s">
        <v>570</v>
      </c>
      <c r="T115" t="s">
        <v>570</v>
      </c>
      <c r="AB115" t="s">
        <v>570</v>
      </c>
    </row>
    <row r="116" spans="1:50">
      <c r="A116" s="207" t="s">
        <v>790</v>
      </c>
      <c r="B116" s="255" t="s">
        <v>572</v>
      </c>
      <c r="C116" s="43">
        <f t="shared" si="4"/>
        <v>0</v>
      </c>
      <c r="D116" s="92">
        <f t="shared" si="3"/>
        <v>0</v>
      </c>
      <c r="E116" s="92"/>
      <c r="F116" s="92"/>
      <c r="G116" s="92"/>
      <c r="H116" s="92"/>
      <c r="I116" s="92"/>
      <c r="J116" s="92"/>
      <c r="K116" s="92"/>
    </row>
    <row r="117" spans="1:50">
      <c r="A117" s="75" t="s">
        <v>86</v>
      </c>
      <c r="B117" s="80" t="s">
        <v>571</v>
      </c>
      <c r="C117" s="43">
        <f t="shared" si="4"/>
        <v>0</v>
      </c>
      <c r="D117" s="92">
        <f t="shared" si="3"/>
        <v>0</v>
      </c>
      <c r="E117" s="92"/>
      <c r="F117" s="92"/>
      <c r="G117" s="92"/>
      <c r="H117" s="92"/>
      <c r="I117" s="92"/>
      <c r="J117" s="92"/>
      <c r="K117" s="92"/>
    </row>
    <row r="118" spans="1:50">
      <c r="A118" s="100" t="s">
        <v>574</v>
      </c>
      <c r="B118" s="101">
        <f>COUNTIF(B2:B117,"A")</f>
        <v>38</v>
      </c>
      <c r="C118" s="34">
        <f>SUM(C2:C117)</f>
        <v>308</v>
      </c>
      <c r="D118" s="34">
        <f>SUM(D2:D117)</f>
        <v>47</v>
      </c>
      <c r="E118" s="270">
        <f t="shared" ref="E118:AX118" si="5">COUNTA(E2:E117)</f>
        <v>8</v>
      </c>
      <c r="F118" s="235">
        <f t="shared" si="5"/>
        <v>8</v>
      </c>
      <c r="G118" s="235">
        <f t="shared" si="5"/>
        <v>8</v>
      </c>
      <c r="H118" s="34">
        <f t="shared" si="5"/>
        <v>8</v>
      </c>
      <c r="I118" s="34">
        <f t="shared" si="5"/>
        <v>8</v>
      </c>
      <c r="J118" s="34">
        <f t="shared" si="5"/>
        <v>8</v>
      </c>
      <c r="K118" s="34">
        <f t="shared" si="5"/>
        <v>8</v>
      </c>
      <c r="L118" s="34">
        <f t="shared" si="5"/>
        <v>6</v>
      </c>
      <c r="M118" s="34">
        <f t="shared" si="5"/>
        <v>9</v>
      </c>
      <c r="N118" s="34">
        <f t="shared" si="5"/>
        <v>10</v>
      </c>
      <c r="O118" s="34">
        <f t="shared" si="5"/>
        <v>6</v>
      </c>
      <c r="P118" s="34">
        <f t="shared" si="5"/>
        <v>7</v>
      </c>
      <c r="Q118" s="34">
        <f t="shared" si="5"/>
        <v>6</v>
      </c>
      <c r="R118" s="34">
        <f t="shared" si="5"/>
        <v>6</v>
      </c>
      <c r="S118" s="34">
        <f t="shared" si="5"/>
        <v>6</v>
      </c>
      <c r="T118" s="34">
        <f t="shared" si="5"/>
        <v>7</v>
      </c>
      <c r="U118" s="34">
        <f t="shared" si="5"/>
        <v>7</v>
      </c>
      <c r="V118" s="34">
        <f t="shared" si="5"/>
        <v>7</v>
      </c>
      <c r="W118" s="34">
        <f t="shared" si="5"/>
        <v>8</v>
      </c>
      <c r="X118" s="34">
        <f t="shared" si="5"/>
        <v>7</v>
      </c>
      <c r="Y118" s="34">
        <f t="shared" si="5"/>
        <v>7</v>
      </c>
      <c r="Z118" s="34">
        <f t="shared" si="5"/>
        <v>6</v>
      </c>
      <c r="AA118" s="34">
        <f t="shared" si="5"/>
        <v>9</v>
      </c>
      <c r="AB118" s="34">
        <f t="shared" si="5"/>
        <v>8</v>
      </c>
      <c r="AC118" s="34">
        <f t="shared" si="5"/>
        <v>8</v>
      </c>
      <c r="AD118" s="34">
        <f t="shared" si="5"/>
        <v>6</v>
      </c>
      <c r="AE118" s="34">
        <f t="shared" si="5"/>
        <v>7</v>
      </c>
      <c r="AF118" s="34">
        <f t="shared" si="5"/>
        <v>6</v>
      </c>
      <c r="AG118" s="34">
        <f t="shared" si="5"/>
        <v>6</v>
      </c>
      <c r="AH118" s="34">
        <f t="shared" si="5"/>
        <v>6</v>
      </c>
      <c r="AI118" s="34">
        <f t="shared" si="5"/>
        <v>6</v>
      </c>
      <c r="AJ118" s="34">
        <f t="shared" si="5"/>
        <v>8</v>
      </c>
      <c r="AK118" s="34">
        <f t="shared" si="5"/>
        <v>10</v>
      </c>
      <c r="AL118" s="34">
        <f t="shared" si="5"/>
        <v>7</v>
      </c>
      <c r="AM118" s="34">
        <f t="shared" si="5"/>
        <v>8</v>
      </c>
      <c r="AN118" s="34">
        <f t="shared" si="5"/>
        <v>5</v>
      </c>
      <c r="AO118" s="34">
        <f t="shared" si="5"/>
        <v>7</v>
      </c>
      <c r="AP118" s="34">
        <f t="shared" si="5"/>
        <v>6</v>
      </c>
      <c r="AQ118" s="34">
        <f t="shared" si="5"/>
        <v>6</v>
      </c>
      <c r="AR118" s="34">
        <f t="shared" si="5"/>
        <v>4</v>
      </c>
      <c r="AS118" s="34">
        <f t="shared" si="5"/>
        <v>4</v>
      </c>
      <c r="AT118" s="34">
        <f t="shared" si="5"/>
        <v>4</v>
      </c>
      <c r="AU118" s="34">
        <f t="shared" si="5"/>
        <v>4</v>
      </c>
      <c r="AV118" s="34">
        <f t="shared" si="5"/>
        <v>4</v>
      </c>
      <c r="AW118" s="34">
        <f t="shared" si="5"/>
        <v>4</v>
      </c>
      <c r="AX118" s="34">
        <f t="shared" si="5"/>
        <v>4</v>
      </c>
    </row>
  </sheetData>
  <pageMargins left="0.7" right="0.7" top="0.75" bottom="0.75" header="0.3" footer="0.3"/>
  <pageSetup scale="44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5</vt:i4>
      </vt:variant>
    </vt:vector>
  </HeadingPairs>
  <TitlesOfParts>
    <vt:vector size="28" baseType="lpstr">
      <vt:lpstr>Active Mem Hist</vt:lpstr>
      <vt:lpstr>Top Ten Lists</vt:lpstr>
      <vt:lpstr>Former Mem Hist</vt:lpstr>
      <vt:lpstr>Hole In One</vt:lpstr>
      <vt:lpstr>Major List</vt:lpstr>
      <vt:lpstr>Major List Sort</vt:lpstr>
      <vt:lpstr>WS History</vt:lpstr>
      <vt:lpstr>WS Recap</vt:lpstr>
      <vt:lpstr>WS Recap by YR</vt:lpstr>
      <vt:lpstr>WS Money Dist</vt:lpstr>
      <vt:lpstr>MP History</vt:lpstr>
      <vt:lpstr>MP Recap</vt:lpstr>
      <vt:lpstr>Partners History</vt:lpstr>
      <vt:lpstr>Fall Classic History</vt:lpstr>
      <vt:lpstr>Fall Classic Summary</vt:lpstr>
      <vt:lpstr>Mini Spring Trip History</vt:lpstr>
      <vt:lpstr>MST Summary</vt:lpstr>
      <vt:lpstr>Money</vt:lpstr>
      <vt:lpstr>Vardon</vt:lpstr>
      <vt:lpstr>Most Improved</vt:lpstr>
      <vt:lpstr>Total Annual Rds</vt:lpstr>
      <vt:lpstr>InterClub</vt:lpstr>
      <vt:lpstr>InterClub recap</vt:lpstr>
      <vt:lpstr>'Former Mem Hist'!Print_Area</vt:lpstr>
      <vt:lpstr>Money!Print_Area</vt:lpstr>
      <vt:lpstr>'Total Annual Rds'!Print_Area</vt:lpstr>
      <vt:lpstr>Vardon!Print_Area</vt:lpstr>
      <vt:lpstr>'WS History'!Print_Area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Conway</dc:creator>
  <cp:lastModifiedBy>Douglas Conway</cp:lastModifiedBy>
  <cp:lastPrinted>2018-01-13T01:05:37Z</cp:lastPrinted>
  <dcterms:created xsi:type="dcterms:W3CDTF">1998-03-21T00:59:27Z</dcterms:created>
  <dcterms:modified xsi:type="dcterms:W3CDTF">2018-01-13T01:05:56Z</dcterms:modified>
</cp:coreProperties>
</file>