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200" windowHeight="12570" tabRatio="668"/>
  </bookViews>
  <sheets>
    <sheet name="FOKA HOA Annual Budget" sheetId="1" r:id="rId1"/>
    <sheet name="Expense Tracking" sheetId="2" r:id="rId2"/>
  </sheets>
  <definedNames>
    <definedName name="BudgetYear">'FOKA HOA Annual Budget'!$C$2</definedName>
    <definedName name="_xlnm.Print_Titles" localSheetId="0">'FOKA HOA Annual Budget'!$11:$11</definedName>
  </definedNames>
  <calcPr calcId="152511"/>
</workbook>
</file>

<file path=xl/calcChain.xml><?xml version="1.0" encoding="utf-8"?>
<calcChain xmlns="http://schemas.openxmlformats.org/spreadsheetml/2006/main">
  <c r="L14" i="2" l="1"/>
  <c r="M8" i="1"/>
  <c r="K10" i="2" l="1"/>
  <c r="L11" i="2"/>
  <c r="K11" i="2" l="1"/>
  <c r="J11" i="2" l="1"/>
  <c r="I14" i="2" l="1"/>
  <c r="I10" i="2" l="1"/>
  <c r="I11" i="2" l="1"/>
  <c r="H11" i="2" l="1"/>
  <c r="H8" i="1" l="1"/>
  <c r="G11" i="2" l="1"/>
  <c r="F11" i="2"/>
  <c r="E11" i="2"/>
  <c r="D11" i="2"/>
  <c r="C11" i="2"/>
  <c r="B11" i="2"/>
  <c r="G10" i="2"/>
  <c r="F10" i="2"/>
  <c r="E10" i="2"/>
  <c r="B10" i="2"/>
  <c r="E8" i="1"/>
  <c r="C8" i="1"/>
  <c r="P18" i="2" l="1"/>
  <c r="M18" i="2" l="1"/>
  <c r="L18" i="2"/>
  <c r="K18" i="2"/>
  <c r="J18" i="2"/>
  <c r="I18" i="2"/>
  <c r="H18" i="2"/>
  <c r="G18" i="2"/>
  <c r="F18" i="2"/>
  <c r="E18" i="2"/>
  <c r="D18" i="2"/>
  <c r="C18" i="2"/>
  <c r="B18" i="2"/>
  <c r="N17" i="2"/>
  <c r="Q17" i="2" s="1"/>
  <c r="N16" i="2"/>
  <c r="Q16" i="2" s="1"/>
  <c r="N15" i="2"/>
  <c r="Q15" i="2" s="1"/>
  <c r="N14" i="2"/>
  <c r="Q14" i="2" s="1"/>
  <c r="N13" i="2"/>
  <c r="Q13" i="2" s="1"/>
  <c r="N12" i="2"/>
  <c r="Q12" i="2" s="1"/>
  <c r="N11" i="2"/>
  <c r="Q11" i="2" s="1"/>
  <c r="N10" i="2"/>
  <c r="Q10" i="2" s="1"/>
  <c r="N9" i="2"/>
  <c r="Q9" i="2" s="1"/>
  <c r="N8" i="2"/>
  <c r="Q8" i="2" s="1"/>
  <c r="N7" i="2"/>
  <c r="Q7" i="2" s="1"/>
  <c r="N6" i="2"/>
  <c r="Q6" i="2" s="1"/>
  <c r="N5" i="2"/>
  <c r="Q5" i="2" s="1"/>
  <c r="Q18" i="2" l="1"/>
  <c r="N18" i="2"/>
  <c r="O12" i="1"/>
  <c r="O14" i="1"/>
  <c r="O15" i="1"/>
  <c r="O16" i="1"/>
  <c r="O17" i="1"/>
  <c r="O18" i="1"/>
  <c r="O19" i="1"/>
  <c r="O20" i="1"/>
  <c r="O21" i="1"/>
  <c r="O22" i="1"/>
  <c r="O23" i="1"/>
  <c r="O24" i="1"/>
  <c r="E25" i="1" l="1"/>
  <c r="G25" i="1"/>
  <c r="H25" i="1"/>
  <c r="I25" i="1"/>
  <c r="J25" i="1"/>
  <c r="K25" i="1"/>
  <c r="L25" i="1"/>
  <c r="F9" i="1"/>
  <c r="G9" i="1"/>
  <c r="I9" i="1"/>
  <c r="K9" i="1"/>
  <c r="M9" i="1"/>
  <c r="D9" i="1"/>
  <c r="F25" i="1"/>
  <c r="M25" i="1"/>
  <c r="N25" i="1"/>
  <c r="C25" i="1"/>
  <c r="O8" i="1"/>
  <c r="E9" i="1"/>
  <c r="H9" i="1"/>
  <c r="J9" i="1"/>
  <c r="L9" i="1"/>
  <c r="N9" i="1"/>
  <c r="C9" i="1"/>
  <c r="D25" i="1" l="1"/>
  <c r="O13" i="1"/>
  <c r="O9" i="1" l="1"/>
  <c r="O25" i="1"/>
  <c r="O5" i="1" l="1"/>
</calcChain>
</file>

<file path=xl/comments1.xml><?xml version="1.0" encoding="utf-8"?>
<comments xmlns="http://schemas.openxmlformats.org/spreadsheetml/2006/main">
  <authors>
    <author>Author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mid-year clean up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year-end clean up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front-end clean up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winterize the sprinkler system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open up the sprinkler system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are estimates to maintain the decorations for Easter, Derbym July 4, Halloween, Thanksgiving, and Xmas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mid-year clean up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year-end clean up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mid-year clean up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first weed and feed treatment of the season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pretty sure this is a double billing but will double check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winterize the sprinkler system</t>
        </r>
      </text>
    </comment>
    <comment ref="L1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5000 deposit on jack hurd and 300 to penrod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are estimates to maintain the decorations for Easter, Derbym July 4, Halloween, Thanksgiving, and Xmas</t>
        </r>
      </text>
    </comment>
  </commentList>
</comments>
</file>

<file path=xl/sharedStrings.xml><?xml version="1.0" encoding="utf-8"?>
<sst xmlns="http://schemas.openxmlformats.org/spreadsheetml/2006/main" count="98" uniqueCount="39">
  <si>
    <t>Income 1</t>
  </si>
  <si>
    <t>Monthly Cash</t>
  </si>
  <si>
    <t>TREND</t>
  </si>
  <si>
    <t>INCOME TYPE</t>
  </si>
  <si>
    <t>EXPENSES</t>
  </si>
  <si>
    <t>TOTAL EXPENSES</t>
  </si>
  <si>
    <t>TOTAL INCOME</t>
  </si>
  <si>
    <t>YTD TOTAL</t>
  </si>
  <si>
    <t>YEAR:</t>
  </si>
  <si>
    <t>Friends Of Kentucky Acres Home Owners Association</t>
  </si>
  <si>
    <t>Advertising</t>
  </si>
  <si>
    <t>Lawn Mowing</t>
  </si>
  <si>
    <t>Lanscaping</t>
  </si>
  <si>
    <t>P.O Box Rental</t>
  </si>
  <si>
    <t>Postage</t>
  </si>
  <si>
    <t>OC Water</t>
  </si>
  <si>
    <t>LG&amp;E</t>
  </si>
  <si>
    <t>Legal</t>
  </si>
  <si>
    <t>Miscelaneous</t>
  </si>
  <si>
    <t>Holiday Decorations</t>
  </si>
  <si>
    <t xml:space="preserve"> </t>
  </si>
  <si>
    <t>Website Hosting &amp; Admin</t>
  </si>
  <si>
    <t>Liability Insurance</t>
  </si>
  <si>
    <t>CASH AVAILABLE (month end)</t>
  </si>
  <si>
    <t>Budget</t>
  </si>
  <si>
    <t>Variance</t>
  </si>
  <si>
    <t>JUL '17</t>
  </si>
  <si>
    <t>AUG '17</t>
  </si>
  <si>
    <t>SEP '17</t>
  </si>
  <si>
    <t>OCT '17</t>
  </si>
  <si>
    <t>NOV '17</t>
  </si>
  <si>
    <t>DEC '17</t>
  </si>
  <si>
    <t>JAN '18</t>
  </si>
  <si>
    <t>FEB '18</t>
  </si>
  <si>
    <t>MAR '18</t>
  </si>
  <si>
    <t>APR '18</t>
  </si>
  <si>
    <t>MAY '18</t>
  </si>
  <si>
    <t>JUN '18</t>
  </si>
  <si>
    <t>July 2017 -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</si>
</sst>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7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Bookman Old Style"/>
      <family val="1"/>
      <scheme val="major"/>
    </font>
    <font>
      <b/>
      <sz val="22"/>
      <color theme="0" tint="-0.34998626667073579"/>
      <name val="Bookman Old Style"/>
      <family val="2"/>
      <scheme val="major"/>
    </font>
    <font>
      <b/>
      <sz val="14"/>
      <color theme="0" tint="-0.34998626667073579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34998626667073579"/>
      <name val="Arial"/>
      <scheme val="minor"/>
    </font>
    <font>
      <sz val="10"/>
      <name val="Arial"/>
      <family val="2"/>
      <scheme val="minor"/>
    </font>
    <font>
      <sz val="1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</cellStyleXfs>
  <cellXfs count="30">
    <xf numFmtId="0" fontId="0" fillId="0" borderId="0" xfId="0">
      <alignment vertical="center"/>
    </xf>
    <xf numFmtId="0" fontId="1" fillId="0" borderId="0" xfId="2" applyFill="1"/>
    <xf numFmtId="0" fontId="0" fillId="0" borderId="0" xfId="0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2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3" applyFont="1" applyFill="1" applyBorder="1" applyAlignment="1">
      <alignment horizontal="left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7" fontId="12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7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7" fontId="13" fillId="0" borderId="0" xfId="2" applyNumberFormat="1" applyFont="1" applyFill="1" applyBorder="1" applyAlignment="1">
      <alignment vertical="center"/>
    </xf>
    <xf numFmtId="7" fontId="14" fillId="0" borderId="0" xfId="0" applyNumberFormat="1" applyFont="1" applyFill="1" applyAlignment="1">
      <alignment vertical="center"/>
    </xf>
    <xf numFmtId="7" fontId="14" fillId="0" borderId="0" xfId="0" applyNumberFormat="1" applyFont="1" applyAlignment="1">
      <alignment vertical="center"/>
    </xf>
    <xf numFmtId="0" fontId="7" fillId="0" borderId="0" xfId="1" applyFill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8">
    <cellStyle name="20% - Accent1" xfId="2" builtinId="30"/>
    <cellStyle name="Heading 1" xfId="1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itle" xfId="3" builtinId="15" customBuiltin="1"/>
    <cellStyle name="Total" xfId="7" builtinId="25" customBuiltin="1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>
      <tableStyleElement type="wholeTable" dxfId="137"/>
      <tableStyleElement type="headerRow" dxfId="136"/>
      <tableStyleElement type="totalRow" dxfId="135"/>
      <tableStyleElement type="firstColumn" dxfId="134"/>
      <tableStyleElement type="firstHeaderCell" dxfId="133"/>
      <tableStyleElement type="firstTotalCell" dxfId="132"/>
    </tableStyle>
    <tableStyle name="Family Budget Cash Available 2" pivot="0" count="6">
      <tableStyleElement type="wholeTable" dxfId="131"/>
      <tableStyleElement type="headerRow" dxfId="130"/>
      <tableStyleElement type="totalRow" dxfId="129"/>
      <tableStyleElement type="firstColumn" dxfId="128"/>
      <tableStyleElement type="firstHeaderCell" dxfId="127"/>
      <tableStyleElement type="firstTotalCell" dxfId="126"/>
    </tableStyle>
    <tableStyle name="Family Budget Cash Available 3" pivot="0" count="6">
      <tableStyleElement type="wholeTable" dxfId="125"/>
      <tableStyleElement type="headerRow" dxfId="124"/>
      <tableStyleElement type="totalRow" dxfId="123"/>
      <tableStyleElement type="firstColumn" dxfId="122"/>
      <tableStyleElement type="firstHeaderCell" dxfId="121"/>
      <tableStyleElement type="firstTotalCell" dxfId="1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486835</xdr:colOff>
      <xdr:row>0</xdr:row>
      <xdr:rowOff>126996</xdr:rowOff>
    </xdr:from>
    <xdr:to>
      <xdr:col>15</xdr:col>
      <xdr:colOff>944030</xdr:colOff>
      <xdr:row>2</xdr:row>
      <xdr:rowOff>27195</xdr:rowOff>
    </xdr:to>
    <xdr:sp macro="" textlink="">
      <xdr:nvSpPr>
        <xdr:cNvPr id="2" name="Header Artwork" descr="Line drawing of tree and house" title="Budget Artwork"/>
        <xdr:cNvSpPr>
          <a:spLocks noChangeAspect="1" noEditPoints="1"/>
        </xdr:cNvSpPr>
      </xdr:nvSpPr>
      <xdr:spPr bwMode="auto">
        <a:xfrm>
          <a:off x="7768168" y="126996"/>
          <a:ext cx="5590112" cy="588116"/>
        </a:xfrm>
        <a:custGeom>
          <a:avLst/>
          <a:gdLst>
            <a:gd name="T0" fmla="*/ 1465 w 1650"/>
            <a:gd name="T1" fmla="*/ 151 h 173"/>
            <a:gd name="T2" fmla="*/ 1448 w 1650"/>
            <a:gd name="T3" fmla="*/ 156 h 173"/>
            <a:gd name="T4" fmla="*/ 1454 w 1650"/>
            <a:gd name="T5" fmla="*/ 139 h 173"/>
            <a:gd name="T6" fmla="*/ 1424 w 1650"/>
            <a:gd name="T7" fmla="*/ 164 h 173"/>
            <a:gd name="T8" fmla="*/ 1422 w 1650"/>
            <a:gd name="T9" fmla="*/ 105 h 173"/>
            <a:gd name="T10" fmla="*/ 1348 w 1650"/>
            <a:gd name="T11" fmla="*/ 39 h 173"/>
            <a:gd name="T12" fmla="*/ 1200 w 1650"/>
            <a:gd name="T13" fmla="*/ 80 h 173"/>
            <a:gd name="T14" fmla="*/ 1175 w 1650"/>
            <a:gd name="T15" fmla="*/ 116 h 173"/>
            <a:gd name="T16" fmla="*/ 1188 w 1650"/>
            <a:gd name="T17" fmla="*/ 165 h 173"/>
            <a:gd name="T18" fmla="*/ 1127 w 1650"/>
            <a:gd name="T19" fmla="*/ 153 h 173"/>
            <a:gd name="T20" fmla="*/ 1126 w 1650"/>
            <a:gd name="T21" fmla="*/ 136 h 173"/>
            <a:gd name="T22" fmla="*/ 1128 w 1650"/>
            <a:gd name="T23" fmla="*/ 127 h 173"/>
            <a:gd name="T24" fmla="*/ 1123 w 1650"/>
            <a:gd name="T25" fmla="*/ 110 h 173"/>
            <a:gd name="T26" fmla="*/ 1108 w 1650"/>
            <a:gd name="T27" fmla="*/ 85 h 173"/>
            <a:gd name="T28" fmla="*/ 1110 w 1650"/>
            <a:gd name="T29" fmla="*/ 72 h 173"/>
            <a:gd name="T30" fmla="*/ 1092 w 1650"/>
            <a:gd name="T31" fmla="*/ 38 h 173"/>
            <a:gd name="T32" fmla="*/ 1085 w 1650"/>
            <a:gd name="T33" fmla="*/ 32 h 173"/>
            <a:gd name="T34" fmla="*/ 1078 w 1650"/>
            <a:gd name="T35" fmla="*/ 12 h 173"/>
            <a:gd name="T36" fmla="*/ 1071 w 1650"/>
            <a:gd name="T37" fmla="*/ 13 h 173"/>
            <a:gd name="T38" fmla="*/ 1057 w 1650"/>
            <a:gd name="T39" fmla="*/ 36 h 173"/>
            <a:gd name="T40" fmla="*/ 1058 w 1650"/>
            <a:gd name="T41" fmla="*/ 44 h 173"/>
            <a:gd name="T42" fmla="*/ 1040 w 1650"/>
            <a:gd name="T43" fmla="*/ 72 h 173"/>
            <a:gd name="T44" fmla="*/ 1041 w 1650"/>
            <a:gd name="T45" fmla="*/ 80 h 173"/>
            <a:gd name="T46" fmla="*/ 1036 w 1650"/>
            <a:gd name="T47" fmla="*/ 100 h 173"/>
            <a:gd name="T48" fmla="*/ 1031 w 1650"/>
            <a:gd name="T49" fmla="*/ 106 h 173"/>
            <a:gd name="T50" fmla="*/ 1028 w 1650"/>
            <a:gd name="T51" fmla="*/ 133 h 173"/>
            <a:gd name="T52" fmla="*/ 1022 w 1650"/>
            <a:gd name="T53" fmla="*/ 149 h 173"/>
            <a:gd name="T54" fmla="*/ 534 w 1650"/>
            <a:gd name="T55" fmla="*/ 125 h 173"/>
            <a:gd name="T56" fmla="*/ 467 w 1650"/>
            <a:gd name="T57" fmla="*/ 128 h 173"/>
            <a:gd name="T58" fmla="*/ 1042 w 1650"/>
            <a:gd name="T59" fmla="*/ 148 h 173"/>
            <a:gd name="T60" fmla="*/ 1034 w 1650"/>
            <a:gd name="T61" fmla="*/ 134 h 173"/>
            <a:gd name="T62" fmla="*/ 1038 w 1650"/>
            <a:gd name="T63" fmla="*/ 107 h 173"/>
            <a:gd name="T64" fmla="*/ 1043 w 1650"/>
            <a:gd name="T65" fmla="*/ 102 h 173"/>
            <a:gd name="T66" fmla="*/ 1050 w 1650"/>
            <a:gd name="T67" fmla="*/ 80 h 173"/>
            <a:gd name="T68" fmla="*/ 1048 w 1650"/>
            <a:gd name="T69" fmla="*/ 71 h 173"/>
            <a:gd name="T70" fmla="*/ 1065 w 1650"/>
            <a:gd name="T71" fmla="*/ 44 h 173"/>
            <a:gd name="T72" fmla="*/ 1065 w 1650"/>
            <a:gd name="T73" fmla="*/ 36 h 173"/>
            <a:gd name="T74" fmla="*/ 1078 w 1650"/>
            <a:gd name="T75" fmla="*/ 25 h 173"/>
            <a:gd name="T76" fmla="*/ 1084 w 1650"/>
            <a:gd name="T77" fmla="*/ 38 h 173"/>
            <a:gd name="T78" fmla="*/ 1104 w 1650"/>
            <a:gd name="T79" fmla="*/ 75 h 173"/>
            <a:gd name="T80" fmla="*/ 1103 w 1650"/>
            <a:gd name="T81" fmla="*/ 87 h 173"/>
            <a:gd name="T82" fmla="*/ 1114 w 1650"/>
            <a:gd name="T83" fmla="*/ 117 h 173"/>
            <a:gd name="T84" fmla="*/ 1122 w 1650"/>
            <a:gd name="T85" fmla="*/ 128 h 173"/>
            <a:gd name="T86" fmla="*/ 1124 w 1650"/>
            <a:gd name="T87" fmla="*/ 147 h 173"/>
            <a:gd name="T88" fmla="*/ 1129 w 1650"/>
            <a:gd name="T89" fmla="*/ 169 h 173"/>
            <a:gd name="T90" fmla="*/ 1197 w 1650"/>
            <a:gd name="T91" fmla="*/ 169 h 173"/>
            <a:gd name="T92" fmla="*/ 1186 w 1650"/>
            <a:gd name="T93" fmla="*/ 108 h 173"/>
            <a:gd name="T94" fmla="*/ 1274 w 1650"/>
            <a:gd name="T95" fmla="*/ 21 h 173"/>
            <a:gd name="T96" fmla="*/ 1403 w 1650"/>
            <a:gd name="T97" fmla="*/ 102 h 173"/>
            <a:gd name="T98" fmla="*/ 1388 w 1650"/>
            <a:gd name="T99" fmla="*/ 118 h 173"/>
            <a:gd name="T100" fmla="*/ 1319 w 1650"/>
            <a:gd name="T101" fmla="*/ 162 h 173"/>
            <a:gd name="T102" fmla="*/ 1264 w 1650"/>
            <a:gd name="T103" fmla="*/ 170 h 173"/>
            <a:gd name="T104" fmla="*/ 1398 w 1650"/>
            <a:gd name="T105" fmla="*/ 170 h 173"/>
            <a:gd name="T106" fmla="*/ 1436 w 1650"/>
            <a:gd name="T107" fmla="*/ 157 h 173"/>
            <a:gd name="T108" fmla="*/ 1443 w 1650"/>
            <a:gd name="T109" fmla="*/ 163 h 173"/>
            <a:gd name="T110" fmla="*/ 1456 w 1650"/>
            <a:gd name="T111" fmla="*/ 166 h 173"/>
            <a:gd name="T112" fmla="*/ 1045 w 1650"/>
            <a:gd name="T113" fmla="*/ 74 h 173"/>
            <a:gd name="T114" fmla="*/ 1084 w 1650"/>
            <a:gd name="T115" fmla="*/ 30 h 173"/>
            <a:gd name="T116" fmla="*/ 1123 w 1650"/>
            <a:gd name="T117" fmla="*/ 130 h 173"/>
            <a:gd name="T118" fmla="*/ 1314 w 1650"/>
            <a:gd name="T119" fmla="*/ 165 h 1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650" h="173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  <a:ex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486835</xdr:colOff>
      <xdr:row>0</xdr:row>
      <xdr:rowOff>126996</xdr:rowOff>
    </xdr:from>
    <xdr:to>
      <xdr:col>14</xdr:col>
      <xdr:colOff>944030</xdr:colOff>
      <xdr:row>2</xdr:row>
      <xdr:rowOff>0</xdr:rowOff>
    </xdr:to>
    <xdr:sp macro="" textlink="">
      <xdr:nvSpPr>
        <xdr:cNvPr id="4" name="Header Artwork" descr="Line drawing of tree and house" title="Budget Artwork"/>
        <xdr:cNvSpPr>
          <a:spLocks noChangeAspect="1" noEditPoints="1"/>
        </xdr:cNvSpPr>
      </xdr:nvSpPr>
      <xdr:spPr bwMode="auto">
        <a:xfrm>
          <a:off x="7840135" y="126996"/>
          <a:ext cx="5572120" cy="585999"/>
        </a:xfrm>
        <a:custGeom>
          <a:avLst/>
          <a:gdLst>
            <a:gd name="T0" fmla="*/ 1465 w 1650"/>
            <a:gd name="T1" fmla="*/ 151 h 173"/>
            <a:gd name="T2" fmla="*/ 1448 w 1650"/>
            <a:gd name="T3" fmla="*/ 156 h 173"/>
            <a:gd name="T4" fmla="*/ 1454 w 1650"/>
            <a:gd name="T5" fmla="*/ 139 h 173"/>
            <a:gd name="T6" fmla="*/ 1424 w 1650"/>
            <a:gd name="T7" fmla="*/ 164 h 173"/>
            <a:gd name="T8" fmla="*/ 1422 w 1650"/>
            <a:gd name="T9" fmla="*/ 105 h 173"/>
            <a:gd name="T10" fmla="*/ 1348 w 1650"/>
            <a:gd name="T11" fmla="*/ 39 h 173"/>
            <a:gd name="T12" fmla="*/ 1200 w 1650"/>
            <a:gd name="T13" fmla="*/ 80 h 173"/>
            <a:gd name="T14" fmla="*/ 1175 w 1650"/>
            <a:gd name="T15" fmla="*/ 116 h 173"/>
            <a:gd name="T16" fmla="*/ 1188 w 1650"/>
            <a:gd name="T17" fmla="*/ 165 h 173"/>
            <a:gd name="T18" fmla="*/ 1127 w 1650"/>
            <a:gd name="T19" fmla="*/ 153 h 173"/>
            <a:gd name="T20" fmla="*/ 1126 w 1650"/>
            <a:gd name="T21" fmla="*/ 136 h 173"/>
            <a:gd name="T22" fmla="*/ 1128 w 1650"/>
            <a:gd name="T23" fmla="*/ 127 h 173"/>
            <a:gd name="T24" fmla="*/ 1123 w 1650"/>
            <a:gd name="T25" fmla="*/ 110 h 173"/>
            <a:gd name="T26" fmla="*/ 1108 w 1650"/>
            <a:gd name="T27" fmla="*/ 85 h 173"/>
            <a:gd name="T28" fmla="*/ 1110 w 1650"/>
            <a:gd name="T29" fmla="*/ 72 h 173"/>
            <a:gd name="T30" fmla="*/ 1092 w 1650"/>
            <a:gd name="T31" fmla="*/ 38 h 173"/>
            <a:gd name="T32" fmla="*/ 1085 w 1650"/>
            <a:gd name="T33" fmla="*/ 32 h 173"/>
            <a:gd name="T34" fmla="*/ 1078 w 1650"/>
            <a:gd name="T35" fmla="*/ 12 h 173"/>
            <a:gd name="T36" fmla="*/ 1071 w 1650"/>
            <a:gd name="T37" fmla="*/ 13 h 173"/>
            <a:gd name="T38" fmla="*/ 1057 w 1650"/>
            <a:gd name="T39" fmla="*/ 36 h 173"/>
            <a:gd name="T40" fmla="*/ 1058 w 1650"/>
            <a:gd name="T41" fmla="*/ 44 h 173"/>
            <a:gd name="T42" fmla="*/ 1040 w 1650"/>
            <a:gd name="T43" fmla="*/ 72 h 173"/>
            <a:gd name="T44" fmla="*/ 1041 w 1650"/>
            <a:gd name="T45" fmla="*/ 80 h 173"/>
            <a:gd name="T46" fmla="*/ 1036 w 1650"/>
            <a:gd name="T47" fmla="*/ 100 h 173"/>
            <a:gd name="T48" fmla="*/ 1031 w 1650"/>
            <a:gd name="T49" fmla="*/ 106 h 173"/>
            <a:gd name="T50" fmla="*/ 1028 w 1650"/>
            <a:gd name="T51" fmla="*/ 133 h 173"/>
            <a:gd name="T52" fmla="*/ 1022 w 1650"/>
            <a:gd name="T53" fmla="*/ 149 h 173"/>
            <a:gd name="T54" fmla="*/ 534 w 1650"/>
            <a:gd name="T55" fmla="*/ 125 h 173"/>
            <a:gd name="T56" fmla="*/ 467 w 1650"/>
            <a:gd name="T57" fmla="*/ 128 h 173"/>
            <a:gd name="T58" fmla="*/ 1042 w 1650"/>
            <a:gd name="T59" fmla="*/ 148 h 173"/>
            <a:gd name="T60" fmla="*/ 1034 w 1650"/>
            <a:gd name="T61" fmla="*/ 134 h 173"/>
            <a:gd name="T62" fmla="*/ 1038 w 1650"/>
            <a:gd name="T63" fmla="*/ 107 h 173"/>
            <a:gd name="T64" fmla="*/ 1043 w 1650"/>
            <a:gd name="T65" fmla="*/ 102 h 173"/>
            <a:gd name="T66" fmla="*/ 1050 w 1650"/>
            <a:gd name="T67" fmla="*/ 80 h 173"/>
            <a:gd name="T68" fmla="*/ 1048 w 1650"/>
            <a:gd name="T69" fmla="*/ 71 h 173"/>
            <a:gd name="T70" fmla="*/ 1065 w 1650"/>
            <a:gd name="T71" fmla="*/ 44 h 173"/>
            <a:gd name="T72" fmla="*/ 1065 w 1650"/>
            <a:gd name="T73" fmla="*/ 36 h 173"/>
            <a:gd name="T74" fmla="*/ 1078 w 1650"/>
            <a:gd name="T75" fmla="*/ 25 h 173"/>
            <a:gd name="T76" fmla="*/ 1084 w 1650"/>
            <a:gd name="T77" fmla="*/ 38 h 173"/>
            <a:gd name="T78" fmla="*/ 1104 w 1650"/>
            <a:gd name="T79" fmla="*/ 75 h 173"/>
            <a:gd name="T80" fmla="*/ 1103 w 1650"/>
            <a:gd name="T81" fmla="*/ 87 h 173"/>
            <a:gd name="T82" fmla="*/ 1114 w 1650"/>
            <a:gd name="T83" fmla="*/ 117 h 173"/>
            <a:gd name="T84" fmla="*/ 1122 w 1650"/>
            <a:gd name="T85" fmla="*/ 128 h 173"/>
            <a:gd name="T86" fmla="*/ 1124 w 1650"/>
            <a:gd name="T87" fmla="*/ 147 h 173"/>
            <a:gd name="T88" fmla="*/ 1129 w 1650"/>
            <a:gd name="T89" fmla="*/ 169 h 173"/>
            <a:gd name="T90" fmla="*/ 1197 w 1650"/>
            <a:gd name="T91" fmla="*/ 169 h 173"/>
            <a:gd name="T92" fmla="*/ 1186 w 1650"/>
            <a:gd name="T93" fmla="*/ 108 h 173"/>
            <a:gd name="T94" fmla="*/ 1274 w 1650"/>
            <a:gd name="T95" fmla="*/ 21 h 173"/>
            <a:gd name="T96" fmla="*/ 1403 w 1650"/>
            <a:gd name="T97" fmla="*/ 102 h 173"/>
            <a:gd name="T98" fmla="*/ 1388 w 1650"/>
            <a:gd name="T99" fmla="*/ 118 h 173"/>
            <a:gd name="T100" fmla="*/ 1319 w 1650"/>
            <a:gd name="T101" fmla="*/ 162 h 173"/>
            <a:gd name="T102" fmla="*/ 1264 w 1650"/>
            <a:gd name="T103" fmla="*/ 170 h 173"/>
            <a:gd name="T104" fmla="*/ 1398 w 1650"/>
            <a:gd name="T105" fmla="*/ 170 h 173"/>
            <a:gd name="T106" fmla="*/ 1436 w 1650"/>
            <a:gd name="T107" fmla="*/ 157 h 173"/>
            <a:gd name="T108" fmla="*/ 1443 w 1650"/>
            <a:gd name="T109" fmla="*/ 163 h 173"/>
            <a:gd name="T110" fmla="*/ 1456 w 1650"/>
            <a:gd name="T111" fmla="*/ 166 h 173"/>
            <a:gd name="T112" fmla="*/ 1045 w 1650"/>
            <a:gd name="T113" fmla="*/ 74 h 173"/>
            <a:gd name="T114" fmla="*/ 1084 w 1650"/>
            <a:gd name="T115" fmla="*/ 30 h 173"/>
            <a:gd name="T116" fmla="*/ 1123 w 1650"/>
            <a:gd name="T117" fmla="*/ 130 h 173"/>
            <a:gd name="T118" fmla="*/ 1314 w 1650"/>
            <a:gd name="T119" fmla="*/ 165 h 1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650" h="173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  <a:extLst/>
      </xdr:spPr>
    </xdr:sp>
    <xdr:clientData/>
  </xdr:twoCellAnchor>
</xdr:wsDr>
</file>

<file path=xl/tables/table1.xml><?xml version="1.0" encoding="utf-8"?>
<table xmlns="http://schemas.openxmlformats.org/spreadsheetml/2006/main" id="1" name="tblIncome" displayName="tblIncome" ref="B7:P9" totalsRowCount="1" headerRowCellStyle="Heading 1">
  <tableColumns count="15">
    <tableColumn id="1" name="INCOME TYPE" totalsRowLabel="TOTAL INCOME" totalsRowDxfId="119"/>
    <tableColumn id="2" name="JUL '17" totalsRowFunction="sum" dataDxfId="118" totalsRowDxfId="117">
      <calculatedColumnFormula>3330+1440+945+0.28</calculatedColumnFormula>
    </tableColumn>
    <tableColumn id="3" name="AUG '17" totalsRowFunction="sum" dataDxfId="116" totalsRowDxfId="115"/>
    <tableColumn id="4" name="SEP '17" totalsRowFunction="sum" dataDxfId="114" totalsRowDxfId="113">
      <calculatedColumnFormula>495+0.35</calculatedColumnFormula>
    </tableColumn>
    <tableColumn id="5" name="OCT '17" totalsRowFunction="sum" dataDxfId="112" totalsRowDxfId="111"/>
    <tableColumn id="6" name="NOV '17" totalsRowFunction="sum" dataDxfId="110" totalsRowDxfId="109"/>
    <tableColumn id="7" name="DEC '17" totalsRowFunction="sum" dataDxfId="108" totalsRowDxfId="107">
      <calculatedColumnFormula>380+135+653+0.31</calculatedColumnFormula>
    </tableColumn>
    <tableColumn id="8" name="JAN '18" totalsRowFunction="sum" dataDxfId="106" totalsRowDxfId="105"/>
    <tableColumn id="9" name="FEB '18" totalsRowFunction="sum" dataDxfId="104" totalsRowDxfId="103"/>
    <tableColumn id="10" name="MAR '18" totalsRowFunction="sum" dataDxfId="102" totalsRowDxfId="101"/>
    <tableColumn id="11" name="APR '18" totalsRowFunction="sum" dataDxfId="100" totalsRowDxfId="99"/>
    <tableColumn id="12" name="MAY '18" totalsRowFunction="sum" dataDxfId="98" totalsRowDxfId="97">
      <calculatedColumnFormula>1.6+250</calculatedColumnFormula>
    </tableColumn>
    <tableColumn id="13" name="JUN '18" totalsRowFunction="sum" dataDxfId="96" totalsRowDxfId="95"/>
    <tableColumn id="14" name="YTD TOTAL" totalsRowFunction="sum" dataDxfId="94" totalsRowDxfId="93">
      <calculatedColumnFormula>SUM(tblIncome[[#This Row],[JUL ''17]:[JUN ''18]])</calculatedColumnFormula>
    </tableColumn>
    <tableColumn id="15" name="TREND" totalsRowDxfId="92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Monthly Income" altTextSummary="Summarizes income by type for each calendar month."/>
    </ext>
  </extLst>
</table>
</file>

<file path=xl/tables/table2.xml><?xml version="1.0" encoding="utf-8"?>
<table xmlns="http://schemas.openxmlformats.org/spreadsheetml/2006/main" id="2" name="tblExpenses" displayName="tblExpenses" ref="B11:P25" totalsRowCount="1" headerRowCellStyle="Heading 1">
  <tableColumns count="15">
    <tableColumn id="1" name="EXPENSES" totalsRowLabel="TOTAL EXPENSES" dataDxfId="91" totalsRowDxfId="90"/>
    <tableColumn id="2" name="JUL '17" totalsRowFunction="sum" dataDxfId="89" totalsRowDxfId="88"/>
    <tableColumn id="3" name="AUG '17" totalsRowFunction="sum" dataDxfId="87" totalsRowDxfId="86"/>
    <tableColumn id="4" name="SEP '17" totalsRowFunction="sum" dataDxfId="85" totalsRowDxfId="84"/>
    <tableColumn id="5" name="OCT '17" totalsRowFunction="sum" dataDxfId="83" totalsRowDxfId="82"/>
    <tableColumn id="6" name="NOV '17" totalsRowFunction="sum" dataDxfId="81" totalsRowDxfId="80"/>
    <tableColumn id="7" name="DEC '17" totalsRowFunction="sum" dataDxfId="79" totalsRowDxfId="78"/>
    <tableColumn id="8" name="JAN '18" totalsRowFunction="sum" dataDxfId="77" totalsRowDxfId="76"/>
    <tableColumn id="9" name="FEB '18" totalsRowFunction="sum" dataDxfId="75" totalsRowDxfId="74"/>
    <tableColumn id="10" name="MAR '18" totalsRowFunction="sum" dataDxfId="73" totalsRowDxfId="72"/>
    <tableColumn id="11" name="APR '18" totalsRowFunction="sum" dataDxfId="71" totalsRowDxfId="70"/>
    <tableColumn id="12" name="MAY '18" totalsRowFunction="sum" dataDxfId="69" totalsRowDxfId="68"/>
    <tableColumn id="13" name="JUN '18" totalsRowFunction="sum" dataDxfId="67" totalsRowDxfId="66"/>
    <tableColumn id="14" name="YTD TOTAL" totalsRowFunction="sum" dataDxfId="65" totalsRowDxfId="64">
      <calculatedColumnFormula>SUM(tblExpenses[[#This Row],[JUL ''17]:[JUN ''18]])</calculatedColumnFormula>
    </tableColumn>
    <tableColumn id="15" name="TREND" totalsRowDxfId="63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Monthly Expenses" altTextSummary="Expense summary for each calendar month."/>
    </ext>
  </extLst>
</table>
</file>

<file path=xl/tables/table3.xml><?xml version="1.0" encoding="utf-8"?>
<table xmlns="http://schemas.openxmlformats.org/spreadsheetml/2006/main" id="3" name="tblCashAvailable" displayName="tblCashAvailable" ref="B4:P5" headerRowCellStyle="Heading 1">
  <tableColumns count="15">
    <tableColumn id="1" name="CASH AVAILABLE (month end)" totalsRowLabel="Total" dataDxfId="62" totalsRowDxfId="61"/>
    <tableColumn id="2" name="JUL '17" dataDxfId="60" totalsRowDxfId="59" dataCellStyle="20% - Accent1"/>
    <tableColumn id="3" name="AUG '17" dataDxfId="58" totalsRowDxfId="57" dataCellStyle="20% - Accent1"/>
    <tableColumn id="4" name="SEP '17" dataDxfId="56" totalsRowDxfId="55" dataCellStyle="20% - Accent1"/>
    <tableColumn id="5" name="OCT '17" dataDxfId="54" totalsRowDxfId="53" dataCellStyle="20% - Accent1"/>
    <tableColumn id="6" name="NOV '17" dataDxfId="52" totalsRowDxfId="51" dataCellStyle="20% - Accent1"/>
    <tableColumn id="7" name="DEC '17" dataDxfId="50" totalsRowDxfId="49"/>
    <tableColumn id="8" name="JAN '18" dataDxfId="48" totalsRowDxfId="47"/>
    <tableColumn id="9" name="FEB '18" dataDxfId="46" totalsRowDxfId="45"/>
    <tableColumn id="10" name="MAR '18" dataDxfId="44" totalsRowDxfId="43"/>
    <tableColumn id="11" name="APR '18" dataDxfId="42" totalsRowDxfId="41"/>
    <tableColumn id="12" name="MAY '18" dataDxfId="40" totalsRowDxfId="39"/>
    <tableColumn id="13" name="JUN '18" dataDxfId="38" totalsRowDxfId="37"/>
    <tableColumn id="14" name="YTD TOTAL" dataDxfId="36" totalsRowDxfId="35">
      <calculatedColumnFormula>tblIncome[[#Totals],[YTD TOTAL]]-tblExpenses[[#Totals],[YTD TOTAL]]</calculatedColumnFormula>
    </tableColumn>
    <tableColumn id="15" name="TREND" totalsRowFunction="count" totalsRowDxfId="34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Monthly Cash Available" altTextSummary="Summarizes cash available (income minus expenses) for each calendar month."/>
    </ext>
  </extLst>
</table>
</file>

<file path=xl/tables/table4.xml><?xml version="1.0" encoding="utf-8"?>
<table xmlns="http://schemas.openxmlformats.org/spreadsheetml/2006/main" id="11" name="tblExpenses12" displayName="tblExpenses12" ref="A4:Q18" totalsRowCount="1" headerRowCellStyle="Heading 1">
  <tableColumns count="17">
    <tableColumn id="1" name="EXPENSES" totalsRowLabel="TOTAL EXPENSES" dataDxfId="33" totalsRowDxfId="32"/>
    <tableColumn id="2" name="JUL '17" totalsRowFunction="sum" dataDxfId="31" totalsRowDxfId="30"/>
    <tableColumn id="3" name="AUG '17" totalsRowFunction="sum" dataDxfId="29" totalsRowDxfId="28"/>
    <tableColumn id="4" name="SEP '17" totalsRowFunction="sum" dataDxfId="27" totalsRowDxfId="26"/>
    <tableColumn id="5" name="OCT '17" totalsRowFunction="sum" dataDxfId="25" totalsRowDxfId="24"/>
    <tableColumn id="6" name="NOV '17" totalsRowFunction="sum" dataDxfId="23" totalsRowDxfId="22"/>
    <tableColumn id="7" name="DEC '17" totalsRowFunction="sum" dataDxfId="21" totalsRowDxfId="20"/>
    <tableColumn id="8" name="JAN '18" totalsRowFunction="sum" dataDxfId="19" totalsRowDxfId="18"/>
    <tableColumn id="9" name="FEB '18" totalsRowFunction="sum" dataDxfId="17" totalsRowDxfId="16"/>
    <tableColumn id="10" name="MAR '18" totalsRowFunction="sum" dataDxfId="15" totalsRowDxfId="14"/>
    <tableColumn id="11" name="APR '18" totalsRowFunction="sum" dataDxfId="13" totalsRowDxfId="12"/>
    <tableColumn id="12" name="MAY '18" totalsRowFunction="sum" dataDxfId="11" totalsRowDxfId="10"/>
    <tableColumn id="13" name="JUN '18" totalsRowFunction="sum" dataDxfId="9" totalsRowDxfId="8"/>
    <tableColumn id="14" name="YTD TOTAL" totalsRowFunction="sum" dataDxfId="7" totalsRowDxfId="6">
      <calculatedColumnFormula>SUM(tblExpenses12[[#This Row],[JUL ''17]:[JUN ''18]])</calculatedColumnFormula>
    </tableColumn>
    <tableColumn id="15" name="TREND" dataDxfId="5" totalsRowDxfId="4"/>
    <tableColumn id="16" name="Budget" totalsRowFunction="sum" dataDxfId="3" totalsRowDxfId="2"/>
    <tableColumn id="17" name="Variance" totalsRowFunction="sum" dataDxfId="1" totalsRowDxfId="0">
      <calculatedColumnFormula>tblExpenses12[[#This Row],[YTD TOTAL]]-tblExpenses12[[#This Row],[Budget]]</calculatedColumnFormula>
    </tableColumn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Monthly Expenses" altTextSummary="Expense summary for each calendar month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25"/>
  <sheetViews>
    <sheetView showGridLines="0" tabSelected="1" zoomScale="70" zoomScaleNormal="70" workbookViewId="0">
      <selection activeCell="R7" sqref="R7"/>
    </sheetView>
  </sheetViews>
  <sheetFormatPr defaultRowHeight="21" customHeight="1" x14ac:dyDescent="0.2"/>
  <cols>
    <col min="1" max="1" width="1.42578125" style="2" customWidth="1"/>
    <col min="2" max="2" width="24.85546875" style="2" customWidth="1"/>
    <col min="3" max="14" width="12" style="2" customWidth="1"/>
    <col min="15" max="15" width="16.7109375" style="2" customWidth="1"/>
    <col min="16" max="16" width="14.42578125" style="2" customWidth="1"/>
    <col min="17" max="16384" width="9.140625" style="2"/>
  </cols>
  <sheetData>
    <row r="1" spans="1:16" ht="33" customHeight="1" x14ac:dyDescent="0.4">
      <c r="A1" s="1"/>
      <c r="B1" s="13" t="s">
        <v>9</v>
      </c>
      <c r="C1" s="1"/>
      <c r="D1" s="1"/>
      <c r="E1" s="1"/>
      <c r="F1" s="1"/>
      <c r="H1" s="1"/>
      <c r="I1" s="1"/>
      <c r="J1" s="1"/>
      <c r="M1" s="1"/>
      <c r="N1"/>
      <c r="O1"/>
      <c r="P1"/>
    </row>
    <row r="2" spans="1:16" ht="21" customHeight="1" x14ac:dyDescent="0.25">
      <c r="A2" s="1"/>
      <c r="B2" s="3" t="s">
        <v>8</v>
      </c>
      <c r="C2" s="4" t="s">
        <v>38</v>
      </c>
      <c r="D2" s="1"/>
      <c r="E2" s="1"/>
      <c r="F2" s="1"/>
      <c r="H2" s="1"/>
      <c r="I2" s="1"/>
      <c r="J2" s="1"/>
      <c r="K2" s="1"/>
      <c r="L2" s="1"/>
      <c r="M2" s="1"/>
      <c r="N2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21" customHeight="1" x14ac:dyDescent="0.2">
      <c r="A4" s="10"/>
      <c r="B4" s="16" t="s">
        <v>23</v>
      </c>
      <c r="C4" s="17" t="s">
        <v>26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  <c r="L4" s="17" t="s">
        <v>35</v>
      </c>
      <c r="M4" s="17" t="s">
        <v>36</v>
      </c>
      <c r="N4" s="17" t="s">
        <v>37</v>
      </c>
      <c r="O4" s="17" t="s">
        <v>7</v>
      </c>
      <c r="P4" s="17" t="s">
        <v>2</v>
      </c>
    </row>
    <row r="5" spans="1:16" s="6" customFormat="1" ht="21" customHeight="1" x14ac:dyDescent="0.2">
      <c r="A5" s="5"/>
      <c r="B5" s="8" t="s">
        <v>1</v>
      </c>
      <c r="C5" s="24">
        <v>12748.17</v>
      </c>
      <c r="D5" s="24">
        <v>14386.33</v>
      </c>
      <c r="E5" s="24">
        <v>14282.31</v>
      </c>
      <c r="F5" s="24">
        <v>13719.82</v>
      </c>
      <c r="G5" s="24">
        <v>13487.2</v>
      </c>
      <c r="H5" s="24">
        <v>13604.3</v>
      </c>
      <c r="I5" s="24">
        <v>13031.58</v>
      </c>
      <c r="J5" s="24">
        <v>20486.62</v>
      </c>
      <c r="K5" s="24">
        <v>23084.560000000001</v>
      </c>
      <c r="L5" s="24">
        <v>23246.19</v>
      </c>
      <c r="M5" s="24">
        <v>17656</v>
      </c>
      <c r="N5" s="24"/>
      <c r="O5" s="24">
        <f>tblIncome[[#Totals],[YTD TOTAL]]-tblExpenses[[#Totals],[YTD TOTAL]]</f>
        <v>7603.4799999999959</v>
      </c>
      <c r="P5" s="14"/>
    </row>
    <row r="6" spans="1:16" ht="2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customHeight="1" x14ac:dyDescent="0.2">
      <c r="A7" s="1"/>
      <c r="B7" s="18" t="s">
        <v>3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17" t="s">
        <v>33</v>
      </c>
      <c r="K7" s="17" t="s">
        <v>34</v>
      </c>
      <c r="L7" s="17" t="s">
        <v>35</v>
      </c>
      <c r="M7" s="17" t="s">
        <v>36</v>
      </c>
      <c r="N7" s="17" t="s">
        <v>37</v>
      </c>
      <c r="O7" s="17" t="s">
        <v>7</v>
      </c>
      <c r="P7" s="17" t="s">
        <v>2</v>
      </c>
    </row>
    <row r="8" spans="1:16" s="9" customFormat="1" ht="21" customHeight="1" x14ac:dyDescent="0.2">
      <c r="A8" s="7"/>
      <c r="B8" s="12" t="s">
        <v>0</v>
      </c>
      <c r="C8" s="22">
        <f>3330+1440+945+0.28</f>
        <v>5715.28</v>
      </c>
      <c r="D8" s="22">
        <v>2090.34</v>
      </c>
      <c r="E8" s="22">
        <f>495+0.35</f>
        <v>495.35</v>
      </c>
      <c r="F8" s="22">
        <v>225.37</v>
      </c>
      <c r="G8" s="22">
        <v>270.33999999999997</v>
      </c>
      <c r="H8" s="22">
        <f>380+135+653+0.31</f>
        <v>1168.31</v>
      </c>
      <c r="I8" s="22">
        <v>542.86</v>
      </c>
      <c r="J8" s="22">
        <v>7781.24</v>
      </c>
      <c r="K8" s="22">
        <v>2851.83</v>
      </c>
      <c r="L8" s="22">
        <v>396.96</v>
      </c>
      <c r="M8" s="22">
        <f>1.6+250</f>
        <v>251.6</v>
      </c>
      <c r="N8" s="22"/>
      <c r="O8" s="22">
        <f>SUM(tblIncome[[#This Row],[JUL ''17]:[JUN ''18]])</f>
        <v>21789.479999999996</v>
      </c>
      <c r="P8" s="12"/>
    </row>
    <row r="9" spans="1:16" ht="21" customHeight="1" x14ac:dyDescent="0.2">
      <c r="A9" s="1"/>
      <c r="B9" s="19" t="s">
        <v>6</v>
      </c>
      <c r="C9" s="20">
        <f>SUBTOTAL(109,tblIncome[JUL ''17])</f>
        <v>5715.28</v>
      </c>
      <c r="D9" s="20">
        <f>SUBTOTAL(109,tblIncome[AUG ''17])</f>
        <v>2090.34</v>
      </c>
      <c r="E9" s="20">
        <f>SUBTOTAL(109,tblIncome[SEP ''17])</f>
        <v>495.35</v>
      </c>
      <c r="F9" s="20">
        <f>SUBTOTAL(109,tblIncome[OCT ''17])</f>
        <v>225.37</v>
      </c>
      <c r="G9" s="20">
        <f>SUBTOTAL(109,tblIncome[NOV ''17])</f>
        <v>270.33999999999997</v>
      </c>
      <c r="H9" s="20">
        <f>SUBTOTAL(109,tblIncome[DEC ''17])</f>
        <v>1168.31</v>
      </c>
      <c r="I9" s="20">
        <f>SUBTOTAL(109,tblIncome[JAN ''18])</f>
        <v>542.86</v>
      </c>
      <c r="J9" s="20">
        <f>SUBTOTAL(109,tblIncome[FEB ''18])</f>
        <v>7781.24</v>
      </c>
      <c r="K9" s="20">
        <f>SUBTOTAL(109,tblIncome[MAR ''18])</f>
        <v>2851.83</v>
      </c>
      <c r="L9" s="20">
        <f>SUBTOTAL(109,tblIncome[APR ''18])</f>
        <v>396.96</v>
      </c>
      <c r="M9" s="20">
        <f>SUBTOTAL(109,tblIncome[MAY ''18])</f>
        <v>251.6</v>
      </c>
      <c r="N9" s="20">
        <f>SUBTOTAL(109,tblIncome[JUN ''18])</f>
        <v>0</v>
      </c>
      <c r="O9" s="20">
        <f>SUBTOTAL(109,tblIncome[YTD TOTAL])</f>
        <v>21789.479999999996</v>
      </c>
      <c r="P9" s="21"/>
    </row>
    <row r="10" spans="1:16" ht="21" customHeight="1" x14ac:dyDescent="0.2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1" customHeight="1" x14ac:dyDescent="0.2">
      <c r="A11" s="1"/>
      <c r="B11" s="18" t="s">
        <v>4</v>
      </c>
      <c r="C11" s="17" t="s">
        <v>26</v>
      </c>
      <c r="D11" s="17" t="s">
        <v>27</v>
      </c>
      <c r="E11" s="17" t="s">
        <v>28</v>
      </c>
      <c r="F11" s="17" t="s">
        <v>29</v>
      </c>
      <c r="G11" s="17" t="s">
        <v>30</v>
      </c>
      <c r="H11" s="17" t="s">
        <v>31</v>
      </c>
      <c r="I11" s="17" t="s">
        <v>32</v>
      </c>
      <c r="J11" s="17" t="s">
        <v>33</v>
      </c>
      <c r="K11" s="17" t="s">
        <v>34</v>
      </c>
      <c r="L11" s="17" t="s">
        <v>35</v>
      </c>
      <c r="M11" s="17" t="s">
        <v>36</v>
      </c>
      <c r="N11" s="17" t="s">
        <v>37</v>
      </c>
      <c r="O11" s="17" t="s">
        <v>7</v>
      </c>
      <c r="P11" s="17" t="s">
        <v>2</v>
      </c>
    </row>
    <row r="12" spans="1:16" ht="21" customHeight="1" x14ac:dyDescent="0.2">
      <c r="A12" s="1"/>
      <c r="B12" s="12" t="s">
        <v>10</v>
      </c>
      <c r="C12" s="22"/>
      <c r="D12" s="22"/>
      <c r="E12" s="22"/>
      <c r="F12" s="22"/>
      <c r="G12" s="22"/>
      <c r="H12" s="22">
        <v>250</v>
      </c>
      <c r="I12" s="22"/>
      <c r="J12" s="22"/>
      <c r="K12" s="22"/>
      <c r="L12" s="22"/>
      <c r="M12" s="22"/>
      <c r="N12" s="22"/>
      <c r="O12" s="22">
        <f>SUM(tblExpenses[[#This Row],[JUL ''17]:[JUN ''18]])</f>
        <v>250</v>
      </c>
      <c r="P12" s="15"/>
    </row>
    <row r="13" spans="1:16" ht="21" customHeight="1" x14ac:dyDescent="0.2">
      <c r="A13" s="1"/>
      <c r="B13" s="12" t="s">
        <v>11</v>
      </c>
      <c r="C13" s="22">
        <v>500</v>
      </c>
      <c r="D13" s="22">
        <v>500</v>
      </c>
      <c r="E13" s="22">
        <v>500</v>
      </c>
      <c r="F13" s="22">
        <v>500</v>
      </c>
      <c r="G13" s="22">
        <v>500</v>
      </c>
      <c r="H13" s="22"/>
      <c r="I13" s="22"/>
      <c r="J13" s="22"/>
      <c r="K13" s="22">
        <v>500</v>
      </c>
      <c r="L13" s="22">
        <v>500</v>
      </c>
      <c r="M13" s="22">
        <v>500</v>
      </c>
      <c r="N13" s="22">
        <v>500</v>
      </c>
      <c r="O13" s="22">
        <f>SUM(tblExpenses[[#This Row],[JUL ''17]:[JUN ''18]])</f>
        <v>4500</v>
      </c>
      <c r="P13" s="15"/>
    </row>
    <row r="14" spans="1:16" ht="21" customHeight="1" x14ac:dyDescent="0.2">
      <c r="A14" s="1"/>
      <c r="B14" s="12" t="s">
        <v>12</v>
      </c>
      <c r="C14" s="22">
        <v>500</v>
      </c>
      <c r="D14" s="22"/>
      <c r="E14" s="22"/>
      <c r="F14" s="22"/>
      <c r="G14" s="22">
        <v>500</v>
      </c>
      <c r="H14" s="22"/>
      <c r="I14" s="22"/>
      <c r="J14" s="22"/>
      <c r="K14" s="22">
        <v>500</v>
      </c>
      <c r="L14" s="22"/>
      <c r="M14" s="22"/>
      <c r="N14" s="22"/>
      <c r="O14" s="22">
        <f>SUM(tblExpenses[[#This Row],[JUL ''17]:[JUN ''18]])</f>
        <v>1500</v>
      </c>
      <c r="P14" s="15"/>
    </row>
    <row r="15" spans="1:16" ht="21" customHeight="1" x14ac:dyDescent="0.2">
      <c r="A15" s="1"/>
      <c r="B15" s="12" t="s">
        <v>13</v>
      </c>
      <c r="C15" s="22">
        <v>5</v>
      </c>
      <c r="D15" s="22">
        <v>5</v>
      </c>
      <c r="E15" s="22">
        <v>5</v>
      </c>
      <c r="F15" s="22">
        <v>5</v>
      </c>
      <c r="G15" s="22">
        <v>5</v>
      </c>
      <c r="H15" s="22">
        <v>5</v>
      </c>
      <c r="I15" s="22">
        <v>5</v>
      </c>
      <c r="J15" s="22">
        <v>5</v>
      </c>
      <c r="K15" s="22">
        <v>5</v>
      </c>
      <c r="L15" s="22">
        <v>5</v>
      </c>
      <c r="M15" s="22">
        <v>5</v>
      </c>
      <c r="N15" s="22">
        <v>5</v>
      </c>
      <c r="O15" s="22">
        <f>SUM(tblExpenses[[#This Row],[JUL ''17]:[JUN ''18]])</f>
        <v>60</v>
      </c>
      <c r="P15" s="15"/>
    </row>
    <row r="16" spans="1:16" ht="21" customHeight="1" x14ac:dyDescent="0.2">
      <c r="A16" s="1"/>
      <c r="B16" s="12" t="s">
        <v>14</v>
      </c>
      <c r="C16" s="22"/>
      <c r="D16" s="22"/>
      <c r="E16" s="22"/>
      <c r="F16" s="22"/>
      <c r="G16" s="22"/>
      <c r="H16" s="22">
        <v>300</v>
      </c>
      <c r="I16" s="22">
        <v>0</v>
      </c>
      <c r="J16" s="22">
        <v>0</v>
      </c>
      <c r="K16" s="22"/>
      <c r="L16" s="22"/>
      <c r="M16" s="22">
        <v>300</v>
      </c>
      <c r="N16" s="22"/>
      <c r="O16" s="22">
        <f>SUM(tblExpenses[[#This Row],[JUL ''17]:[JUN ''18]])</f>
        <v>600</v>
      </c>
      <c r="P16" s="15"/>
    </row>
    <row r="17" spans="1:16" ht="21" customHeight="1" x14ac:dyDescent="0.2">
      <c r="A17" s="1"/>
      <c r="B17" s="12" t="s">
        <v>15</v>
      </c>
      <c r="C17" s="22">
        <v>30</v>
      </c>
      <c r="D17" s="22">
        <v>30</v>
      </c>
      <c r="E17" s="22">
        <v>30</v>
      </c>
      <c r="F17" s="22">
        <v>100</v>
      </c>
      <c r="G17" s="22"/>
      <c r="H17" s="22"/>
      <c r="I17" s="22" t="s">
        <v>20</v>
      </c>
      <c r="J17" s="22" t="s">
        <v>20</v>
      </c>
      <c r="K17" s="22">
        <v>100</v>
      </c>
      <c r="L17" s="22">
        <v>30</v>
      </c>
      <c r="M17" s="22">
        <v>30</v>
      </c>
      <c r="N17" s="22">
        <v>30</v>
      </c>
      <c r="O17" s="22">
        <f>SUM(tblExpenses[[#This Row],[JUL ''17]:[JUN ''18]])</f>
        <v>380</v>
      </c>
      <c r="P17" s="15"/>
    </row>
    <row r="18" spans="1:16" ht="21" customHeight="1" x14ac:dyDescent="0.2">
      <c r="A18" s="1"/>
      <c r="B18" s="12" t="s">
        <v>16</v>
      </c>
      <c r="C18" s="22">
        <v>208</v>
      </c>
      <c r="D18" s="22">
        <v>208</v>
      </c>
      <c r="E18" s="22">
        <v>208</v>
      </c>
      <c r="F18" s="22">
        <v>208</v>
      </c>
      <c r="G18" s="22">
        <v>208</v>
      </c>
      <c r="H18" s="22">
        <v>208</v>
      </c>
      <c r="I18" s="22">
        <v>208</v>
      </c>
      <c r="J18" s="22">
        <v>208</v>
      </c>
      <c r="K18" s="22">
        <v>208</v>
      </c>
      <c r="L18" s="22">
        <v>208</v>
      </c>
      <c r="M18" s="22">
        <v>208</v>
      </c>
      <c r="N18" s="22">
        <v>208</v>
      </c>
      <c r="O18" s="22">
        <f>SUM(tblExpenses[[#This Row],[JUL ''17]:[JUN ''18]])</f>
        <v>2496</v>
      </c>
      <c r="P18" s="15"/>
    </row>
    <row r="19" spans="1:16" ht="21" customHeight="1" x14ac:dyDescent="0.2">
      <c r="A19" s="1"/>
      <c r="B19" s="12" t="s">
        <v>21</v>
      </c>
      <c r="C19" s="22">
        <v>100</v>
      </c>
      <c r="D19" s="22">
        <v>100</v>
      </c>
      <c r="E19" s="22">
        <v>100</v>
      </c>
      <c r="F19" s="22">
        <v>100</v>
      </c>
      <c r="G19" s="22">
        <v>100</v>
      </c>
      <c r="H19" s="22">
        <v>100</v>
      </c>
      <c r="I19" s="22">
        <v>100</v>
      </c>
      <c r="J19" s="22">
        <v>100</v>
      </c>
      <c r="K19" s="22">
        <v>100</v>
      </c>
      <c r="L19" s="22">
        <v>100</v>
      </c>
      <c r="M19" s="22">
        <v>100</v>
      </c>
      <c r="N19" s="22">
        <v>100</v>
      </c>
      <c r="O19" s="22">
        <f>SUM(tblExpenses[[#This Row],[JUL ''17]:[JUN ''18]])</f>
        <v>1200</v>
      </c>
      <c r="P19" s="15"/>
    </row>
    <row r="20" spans="1:16" ht="21" customHeight="1" x14ac:dyDescent="0.2">
      <c r="A20" s="1"/>
      <c r="B20" s="12" t="s">
        <v>17</v>
      </c>
      <c r="C20" s="22"/>
      <c r="D20" s="22"/>
      <c r="E20" s="22"/>
      <c r="F20" s="22"/>
      <c r="G20" s="22"/>
      <c r="H20" s="22">
        <v>2000</v>
      </c>
      <c r="I20" s="22"/>
      <c r="J20" s="22"/>
      <c r="K20" s="22"/>
      <c r="L20" s="22"/>
      <c r="M20" s="22"/>
      <c r="N20" s="22"/>
      <c r="O20" s="22">
        <f>SUM(tblExpenses[[#This Row],[JUL ''17]:[JUN ''18]])</f>
        <v>2000</v>
      </c>
      <c r="P20" s="15"/>
    </row>
    <row r="21" spans="1:16" ht="21" customHeight="1" x14ac:dyDescent="0.2">
      <c r="A21" s="1"/>
      <c r="B21" s="12" t="s">
        <v>18</v>
      </c>
      <c r="C21" s="22"/>
      <c r="D21" s="22"/>
      <c r="E21" s="22"/>
      <c r="F21" s="22"/>
      <c r="G21" s="22"/>
      <c r="H21" s="22">
        <v>500</v>
      </c>
      <c r="I21" s="22"/>
      <c r="J21" s="22"/>
      <c r="K21" s="22"/>
      <c r="L21" s="22"/>
      <c r="M21" s="22"/>
      <c r="N21" s="22"/>
      <c r="O21" s="22">
        <f>SUM(tblExpenses[[#This Row],[JUL ''17]:[JUN ''18]])</f>
        <v>500</v>
      </c>
      <c r="P21" s="15"/>
    </row>
    <row r="22" spans="1:16" ht="21" customHeight="1" x14ac:dyDescent="0.2">
      <c r="A22" s="1"/>
      <c r="B22" s="12" t="s">
        <v>19</v>
      </c>
      <c r="C22" s="22"/>
      <c r="D22" s="22"/>
      <c r="E22" s="22"/>
      <c r="F22" s="22"/>
      <c r="G22" s="22"/>
      <c r="H22" s="22">
        <v>500</v>
      </c>
      <c r="I22" s="22"/>
      <c r="J22" s="22"/>
      <c r="K22" s="22"/>
      <c r="L22" s="22"/>
      <c r="M22" s="22"/>
      <c r="N22" s="22"/>
      <c r="O22" s="22">
        <f>SUM(tblExpenses[[#This Row],[JUL ''17]:[JUN ''18]])</f>
        <v>500</v>
      </c>
      <c r="P22" s="15"/>
    </row>
    <row r="23" spans="1:16" ht="21" customHeight="1" x14ac:dyDescent="0.2">
      <c r="A23" s="1"/>
      <c r="B23" s="12" t="s">
        <v>22</v>
      </c>
      <c r="C23" s="22"/>
      <c r="D23" s="22"/>
      <c r="E23" s="22"/>
      <c r="F23" s="22"/>
      <c r="G23" s="22"/>
      <c r="H23" s="22">
        <v>200</v>
      </c>
      <c r="I23" s="22"/>
      <c r="J23" s="22"/>
      <c r="K23" s="22"/>
      <c r="L23" s="22"/>
      <c r="M23" s="22"/>
      <c r="N23" s="22"/>
      <c r="O23" s="22">
        <f>SUM(tblExpenses[[#This Row],[JUL ''17]:[JUN ''18]])</f>
        <v>200</v>
      </c>
      <c r="P23" s="15"/>
    </row>
    <row r="24" spans="1:16" customFormat="1" ht="21" customHeight="1" x14ac:dyDescent="0.2">
      <c r="B24" s="1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>
        <f>SUM(tblExpenses[[#This Row],[JUL ''17]:[JUN ''18]])</f>
        <v>0</v>
      </c>
      <c r="P24" s="15"/>
    </row>
    <row r="25" spans="1:16" ht="21" customHeight="1" x14ac:dyDescent="0.2">
      <c r="A25" s="1"/>
      <c r="B25" s="19" t="s">
        <v>5</v>
      </c>
      <c r="C25" s="20">
        <f>SUBTOTAL(109,tblExpenses[JUL ''17])</f>
        <v>1343</v>
      </c>
      <c r="D25" s="20">
        <f>SUBTOTAL(109,tblExpenses[AUG ''17])</f>
        <v>843</v>
      </c>
      <c r="E25" s="20">
        <f>SUBTOTAL(109,tblExpenses[SEP ''17])</f>
        <v>843</v>
      </c>
      <c r="F25" s="20">
        <f>SUBTOTAL(109,tblExpenses[OCT ''17])</f>
        <v>913</v>
      </c>
      <c r="G25" s="20">
        <f>SUBTOTAL(109,tblExpenses[NOV ''17])</f>
        <v>1313</v>
      </c>
      <c r="H25" s="20">
        <f>SUBTOTAL(109,tblExpenses[DEC ''17])</f>
        <v>4063</v>
      </c>
      <c r="I25" s="20">
        <f>SUBTOTAL(109,tblExpenses[JAN ''18])</f>
        <v>313</v>
      </c>
      <c r="J25" s="20">
        <f>SUBTOTAL(109,tblExpenses[FEB ''18])</f>
        <v>313</v>
      </c>
      <c r="K25" s="20">
        <f>SUBTOTAL(109,tblExpenses[MAR ''18])</f>
        <v>1413</v>
      </c>
      <c r="L25" s="20">
        <f>SUBTOTAL(109,tblExpenses[APR ''18])</f>
        <v>843</v>
      </c>
      <c r="M25" s="20">
        <f>SUBTOTAL(109,tblExpenses[MAY ''18])</f>
        <v>1143</v>
      </c>
      <c r="N25" s="20">
        <f>SUBTOTAL(109,tblExpenses[JUN ''18])</f>
        <v>843</v>
      </c>
      <c r="O25" s="20">
        <f>SUBTOTAL(109,tblExpenses[YTD TOTAL])</f>
        <v>14186</v>
      </c>
      <c r="P25" s="21"/>
    </row>
  </sheetData>
  <mergeCells count="1">
    <mergeCell ref="B10:P10"/>
  </mergeCells>
  <printOptions horizontalCentered="1"/>
  <pageMargins left="0.25" right="0.25" top="0.75" bottom="0.75" header="0.3" footer="0.3"/>
  <pageSetup scale="67" fitToHeight="0" orientation="landscape" r:id="rId1"/>
  <headerFooter differentFirst="1">
    <oddFooter>Page &amp;P of &amp;N</oddFooter>
  </headerFooter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'FOKA HOA Annual Budget'!C25:N25</xm:f>
              <xm:sqref>P25</xm:sqref>
            </x14:sparkline>
            <x14:sparkline>
              <xm:f>'FOKA HOA Annual Budget'!C9:N9</xm:f>
              <xm:sqref>P9</xm:sqref>
            </x14:sparkline>
            <x14:sparkline>
              <xm:f>'FOKA HOA Annual Budget'!C5:N5</xm:f>
              <xm:sqref>P5</xm:sqref>
            </x14:sparkline>
          </x14:sparklines>
        </x14:sparklineGroup>
        <x14:sparklineGroup displayEmptyCellsAs="gap" markers="1" high="1" low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rgb="FF92D050"/>
          <x14:colorLow rgb="FFFF0000"/>
          <x14:sparklines>
            <x14:sparkline>
              <xm:f>'FOKA HOA Annual Budget'!C8:N8</xm:f>
              <xm:sqref>P8</xm:sqref>
            </x14:sparkline>
          </x14:sparklines>
        </x14:sparklineGroup>
        <x14:sparklineGroup displayEmptyCellsAs="span" markers="1" high="1" low="1" displayHidden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'FOKA HOA Annual Budget'!C12:N12</xm:f>
              <xm:sqref>P12</xm:sqref>
            </x14:sparkline>
            <x14:sparkline>
              <xm:f>'FOKA HOA Annual Budget'!C13:N13</xm:f>
              <xm:sqref>P13</xm:sqref>
            </x14:sparkline>
            <x14:sparkline>
              <xm:f>'FOKA HOA Annual Budget'!C14:N14</xm:f>
              <xm:sqref>P14</xm:sqref>
            </x14:sparkline>
            <x14:sparkline>
              <xm:f>'FOKA HOA Annual Budget'!C15:N15</xm:f>
              <xm:sqref>P15</xm:sqref>
            </x14:sparkline>
            <x14:sparkline>
              <xm:f>'FOKA HOA Annual Budget'!C16:N16</xm:f>
              <xm:sqref>P16</xm:sqref>
            </x14:sparkline>
            <x14:sparkline>
              <xm:f>'FOKA HOA Annual Budget'!C17:N17</xm:f>
              <xm:sqref>P17</xm:sqref>
            </x14:sparkline>
            <x14:sparkline>
              <xm:f>'FOKA HOA Annual Budget'!C18:N18</xm:f>
              <xm:sqref>P18</xm:sqref>
            </x14:sparkline>
            <x14:sparkline>
              <xm:f>'FOKA HOA Annual Budget'!C19:N19</xm:f>
              <xm:sqref>P19</xm:sqref>
            </x14:sparkline>
            <x14:sparkline>
              <xm:f>'FOKA HOA Annual Budget'!C20:N20</xm:f>
              <xm:sqref>P20</xm:sqref>
            </x14:sparkline>
            <x14:sparkline>
              <xm:f>'FOKA HOA Annual Budget'!C21:N21</xm:f>
              <xm:sqref>P21</xm:sqref>
            </x14:sparkline>
            <x14:sparkline>
              <xm:f>'FOKA HOA Annual Budget'!C22:N22</xm:f>
              <xm:sqref>P22</xm:sqref>
            </x14:sparkline>
            <x14:sparkline>
              <xm:f>'FOKA HOA Annual Budget'!C23:N23</xm:f>
              <xm:sqref>P23</xm:sqref>
            </x14:sparkline>
            <x14:sparkline>
              <xm:f>'FOKA HOA Annual Budget'!C24:N24</xm:f>
              <xm:sqref>P24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zoomScale="80" zoomScaleNormal="80" workbookViewId="0">
      <pane xSplit="1" topLeftCell="B1" activePane="topRight" state="frozen"/>
      <selection pane="topRight" activeCell="M21" sqref="M21"/>
    </sheetView>
  </sheetViews>
  <sheetFormatPr defaultRowHeight="21" customHeight="1" x14ac:dyDescent="0.2"/>
  <cols>
    <col min="1" max="1" width="24.85546875" style="2" customWidth="1"/>
    <col min="2" max="13" width="12" style="2" customWidth="1"/>
    <col min="14" max="14" width="16.7109375" style="2" customWidth="1"/>
    <col min="15" max="15" width="14.42578125" style="2" customWidth="1"/>
    <col min="16" max="16" width="12.140625" style="2" bestFit="1" customWidth="1"/>
    <col min="17" max="17" width="11.140625" style="2" bestFit="1" customWidth="1"/>
    <col min="18" max="16384" width="9.140625" style="2"/>
  </cols>
  <sheetData>
    <row r="1" spans="1:17" ht="33" customHeight="1" x14ac:dyDescent="0.4">
      <c r="A1" s="13" t="s">
        <v>9</v>
      </c>
      <c r="B1" s="1"/>
      <c r="C1" s="1"/>
      <c r="D1" s="1"/>
      <c r="E1" s="1"/>
      <c r="G1" s="1"/>
      <c r="H1" s="1"/>
      <c r="I1" s="1"/>
      <c r="L1" s="1"/>
      <c r="M1"/>
      <c r="N1"/>
      <c r="O1"/>
    </row>
    <row r="2" spans="1:17" ht="21" customHeight="1" x14ac:dyDescent="0.25">
      <c r="A2" s="3" t="s">
        <v>8</v>
      </c>
      <c r="B2" s="4">
        <v>2017</v>
      </c>
      <c r="C2" s="1"/>
      <c r="D2" s="1"/>
      <c r="E2" s="1"/>
      <c r="G2" s="1"/>
      <c r="H2" s="1"/>
      <c r="I2" s="1"/>
      <c r="J2" s="1"/>
      <c r="K2" s="1"/>
      <c r="L2" s="1"/>
      <c r="M2"/>
    </row>
    <row r="3" spans="1:17" ht="2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21" customHeight="1" x14ac:dyDescent="0.2">
      <c r="A4" s="18" t="s">
        <v>4</v>
      </c>
      <c r="B4" s="17" t="s">
        <v>26</v>
      </c>
      <c r="C4" s="17" t="s">
        <v>27</v>
      </c>
      <c r="D4" s="17" t="s">
        <v>28</v>
      </c>
      <c r="E4" s="17" t="s">
        <v>29</v>
      </c>
      <c r="F4" s="17" t="s">
        <v>30</v>
      </c>
      <c r="G4" s="17" t="s">
        <v>31</v>
      </c>
      <c r="H4" s="17" t="s">
        <v>32</v>
      </c>
      <c r="I4" s="17" t="s">
        <v>33</v>
      </c>
      <c r="J4" s="17" t="s">
        <v>34</v>
      </c>
      <c r="K4" s="17" t="s">
        <v>35</v>
      </c>
      <c r="L4" s="17" t="s">
        <v>36</v>
      </c>
      <c r="M4" s="17" t="s">
        <v>37</v>
      </c>
      <c r="N4" s="17" t="s">
        <v>7</v>
      </c>
      <c r="O4" s="17" t="s">
        <v>2</v>
      </c>
      <c r="P4" s="27" t="s">
        <v>24</v>
      </c>
      <c r="Q4" s="27" t="s">
        <v>25</v>
      </c>
    </row>
    <row r="5" spans="1:17" ht="21" customHeight="1" x14ac:dyDescent="0.2">
      <c r="A5" s="12" t="s">
        <v>10</v>
      </c>
      <c r="B5" s="22"/>
      <c r="C5" s="22"/>
      <c r="D5" s="22">
        <v>79.5</v>
      </c>
      <c r="E5" s="22"/>
      <c r="F5" s="22"/>
      <c r="G5" s="22"/>
      <c r="H5" s="22"/>
      <c r="I5" s="22"/>
      <c r="J5" s="22"/>
      <c r="K5" s="22"/>
      <c r="L5" s="22"/>
      <c r="M5" s="22"/>
      <c r="N5" s="22">
        <f>SUM(tblExpenses12[[#This Row],[JUL ''17]:[JUN ''18]])</f>
        <v>79.5</v>
      </c>
      <c r="O5" s="23"/>
      <c r="P5" s="25">
        <v>250</v>
      </c>
      <c r="Q5" s="25">
        <f>tblExpenses12[[#This Row],[YTD TOTAL]]-tblExpenses12[[#This Row],[Budget]]</f>
        <v>-170.5</v>
      </c>
    </row>
    <row r="6" spans="1:17" ht="21" customHeight="1" x14ac:dyDescent="0.2">
      <c r="A6" s="12" t="s">
        <v>11</v>
      </c>
      <c r="B6" s="22">
        <v>220</v>
      </c>
      <c r="C6" s="22">
        <v>275</v>
      </c>
      <c r="D6" s="22">
        <v>225</v>
      </c>
      <c r="E6" s="22">
        <v>275</v>
      </c>
      <c r="F6" s="22">
        <v>115</v>
      </c>
      <c r="G6" s="22"/>
      <c r="H6" s="22"/>
      <c r="I6" s="22"/>
      <c r="J6" s="22"/>
      <c r="K6" s="22">
        <v>165</v>
      </c>
      <c r="L6" s="22"/>
      <c r="M6" s="22"/>
      <c r="N6" s="22">
        <f>SUM(tblExpenses12[[#This Row],[JUL ''17]:[JUN ''18]])</f>
        <v>1275</v>
      </c>
      <c r="O6" s="23"/>
      <c r="P6" s="25">
        <v>4500</v>
      </c>
      <c r="Q6" s="25">
        <f>tblExpenses12[[#This Row],[YTD TOTAL]]-tblExpenses12[[#This Row],[Budget]]</f>
        <v>-3225</v>
      </c>
    </row>
    <row r="7" spans="1:17" ht="21" customHeight="1" x14ac:dyDescent="0.2">
      <c r="A7" s="12" t="s">
        <v>12</v>
      </c>
      <c r="B7" s="22"/>
      <c r="C7" s="22"/>
      <c r="D7" s="22">
        <v>185.09</v>
      </c>
      <c r="E7" s="22"/>
      <c r="F7" s="22"/>
      <c r="G7" s="22"/>
      <c r="H7" s="22"/>
      <c r="I7" s="22"/>
      <c r="J7" s="22"/>
      <c r="K7" s="22">
        <v>60</v>
      </c>
      <c r="L7" s="22">
        <v>60</v>
      </c>
      <c r="M7" s="22"/>
      <c r="N7" s="22">
        <f>SUM(tblExpenses12[[#This Row],[JUL ''17]:[JUN ''18]])</f>
        <v>305.09000000000003</v>
      </c>
      <c r="O7" s="23"/>
      <c r="P7" s="25">
        <v>1500</v>
      </c>
      <c r="Q7" s="25">
        <f>tblExpenses12[[#This Row],[YTD TOTAL]]-tblExpenses12[[#This Row],[Budget]]</f>
        <v>-1194.9099999999999</v>
      </c>
    </row>
    <row r="8" spans="1:17" ht="21" customHeight="1" x14ac:dyDescent="0.2">
      <c r="A8" s="12" t="s">
        <v>13</v>
      </c>
      <c r="B8" s="22"/>
      <c r="C8" s="22"/>
      <c r="D8" s="22"/>
      <c r="E8" s="22">
        <v>82</v>
      </c>
      <c r="F8" s="22"/>
      <c r="G8" s="22"/>
      <c r="H8" s="22"/>
      <c r="I8" s="22"/>
      <c r="J8" s="22"/>
      <c r="K8" s="22"/>
      <c r="L8" s="22"/>
      <c r="M8" s="22"/>
      <c r="N8" s="22">
        <f>SUM(tblExpenses12[[#This Row],[JUL ''17]:[JUN ''18]])</f>
        <v>82</v>
      </c>
      <c r="O8" s="23"/>
      <c r="P8" s="25">
        <v>60</v>
      </c>
      <c r="Q8" s="25">
        <f>tblExpenses12[[#This Row],[YTD TOTAL]]-tblExpenses12[[#This Row],[Budget]]</f>
        <v>22</v>
      </c>
    </row>
    <row r="9" spans="1:17" ht="21" customHeight="1" x14ac:dyDescent="0.2">
      <c r="A9" s="12" t="s">
        <v>14</v>
      </c>
      <c r="B9" s="22"/>
      <c r="C9" s="22"/>
      <c r="D9" s="22"/>
      <c r="E9" s="22"/>
      <c r="F9" s="22"/>
      <c r="G9" s="22">
        <v>422.25</v>
      </c>
      <c r="H9" s="22">
        <v>366.68</v>
      </c>
      <c r="I9" s="22"/>
      <c r="J9" s="22"/>
      <c r="K9" s="22"/>
      <c r="L9" s="22"/>
      <c r="M9" s="22"/>
      <c r="N9" s="22">
        <f>SUM(tblExpenses12[[#This Row],[JUL ''17]:[JUN ''18]])</f>
        <v>788.93000000000006</v>
      </c>
      <c r="O9" s="23"/>
      <c r="P9" s="25">
        <v>600</v>
      </c>
      <c r="Q9" s="25">
        <f>tblExpenses12[[#This Row],[YTD TOTAL]]-tblExpenses12[[#This Row],[Budget]]</f>
        <v>188.93000000000006</v>
      </c>
    </row>
    <row r="10" spans="1:17" ht="21" customHeight="1" x14ac:dyDescent="0.2">
      <c r="A10" s="12" t="s">
        <v>15</v>
      </c>
      <c r="B10" s="22">
        <f>8.84+0.27+0.55</f>
        <v>9.66</v>
      </c>
      <c r="C10" s="22">
        <v>9.66</v>
      </c>
      <c r="D10" s="22">
        <v>9.66</v>
      </c>
      <c r="E10" s="22">
        <f>8.84+0.27+0.55</f>
        <v>9.66</v>
      </c>
      <c r="F10" s="22">
        <f>8.84+0.27+0.55</f>
        <v>9.66</v>
      </c>
      <c r="G10" s="22">
        <f>8.84+0.27+0.55</f>
        <v>9.66</v>
      </c>
      <c r="H10" s="22">
        <v>9.66</v>
      </c>
      <c r="I10" s="22">
        <f>8.84+0.27+0.55</f>
        <v>9.66</v>
      </c>
      <c r="J10" s="22">
        <v>9.66</v>
      </c>
      <c r="K10" s="22">
        <f>8.84+0.27+0.55</f>
        <v>9.66</v>
      </c>
      <c r="L10" s="22">
        <v>9.66</v>
      </c>
      <c r="M10" s="22"/>
      <c r="N10" s="22">
        <f>SUM(tblExpenses12[[#This Row],[JUL ''17]:[JUN ''18]])</f>
        <v>106.25999999999998</v>
      </c>
      <c r="O10" s="23"/>
      <c r="P10" s="25">
        <v>380</v>
      </c>
      <c r="Q10" s="25">
        <f>tblExpenses12[[#This Row],[YTD TOTAL]]-tblExpenses12[[#This Row],[Budget]]</f>
        <v>-273.74</v>
      </c>
    </row>
    <row r="11" spans="1:17" ht="21" customHeight="1" x14ac:dyDescent="0.2">
      <c r="A11" s="12" t="s">
        <v>16</v>
      </c>
      <c r="B11" s="22">
        <f>195.14+32.3</f>
        <v>227.44</v>
      </c>
      <c r="C11" s="22">
        <f>196.14+36.04</f>
        <v>232.17999999999998</v>
      </c>
      <c r="D11" s="22">
        <f>195.31+38.88</f>
        <v>234.19</v>
      </c>
      <c r="E11" s="22">
        <f>39.37+193.9</f>
        <v>233.27</v>
      </c>
      <c r="F11" s="22">
        <f>39.59+194.25</f>
        <v>233.84</v>
      </c>
      <c r="G11" s="22">
        <f>198.28+40.68</f>
        <v>238.96</v>
      </c>
      <c r="H11" s="22">
        <f>203.13+53.18</f>
        <v>256.31</v>
      </c>
      <c r="I11" s="22">
        <f>209.29+44.6</f>
        <v>253.89</v>
      </c>
      <c r="J11" s="22">
        <f>196.81+38.52</f>
        <v>235.33</v>
      </c>
      <c r="K11" s="22">
        <f>204.08+37.71</f>
        <v>241.79000000000002</v>
      </c>
      <c r="L11" s="22">
        <f>203.74+38.27</f>
        <v>242.01000000000002</v>
      </c>
      <c r="M11" s="22"/>
      <c r="N11" s="22">
        <f>SUM(tblExpenses12[[#This Row],[JUL ''17]:[JUN ''18]])</f>
        <v>2629.21</v>
      </c>
      <c r="O11" s="23"/>
      <c r="P11" s="25">
        <v>2496</v>
      </c>
      <c r="Q11" s="25">
        <f>tblExpenses12[[#This Row],[YTD TOTAL]]-tblExpenses12[[#This Row],[Budget]]</f>
        <v>133.21000000000004</v>
      </c>
    </row>
    <row r="12" spans="1:17" ht="21" customHeight="1" x14ac:dyDescent="0.2">
      <c r="A12" s="12" t="s">
        <v>21</v>
      </c>
      <c r="B12" s="22">
        <v>167.68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>
        <f>SUM(tblExpenses12[[#This Row],[JUL ''17]:[JUN ''18]])</f>
        <v>167.68</v>
      </c>
      <c r="O12" s="23"/>
      <c r="P12" s="25">
        <v>1200</v>
      </c>
      <c r="Q12" s="25">
        <f>tblExpenses12[[#This Row],[YTD TOTAL]]-tblExpenses12[[#This Row],[Budget]]</f>
        <v>-1032.32</v>
      </c>
    </row>
    <row r="13" spans="1:17" ht="21" customHeight="1" x14ac:dyDescent="0.2">
      <c r="A13" s="12" t="s">
        <v>17</v>
      </c>
      <c r="B13" s="22"/>
      <c r="C13" s="22"/>
      <c r="D13" s="22"/>
      <c r="E13" s="22">
        <v>70</v>
      </c>
      <c r="F13" s="22"/>
      <c r="G13" s="22">
        <v>500</v>
      </c>
      <c r="H13" s="22"/>
      <c r="I13" s="22"/>
      <c r="J13" s="22"/>
      <c r="K13" s="22"/>
      <c r="L13" s="22">
        <v>15</v>
      </c>
      <c r="M13" s="22"/>
      <c r="N13" s="22">
        <f>SUM(tblExpenses12[[#This Row],[JUL ''17]:[JUN ''18]])</f>
        <v>585</v>
      </c>
      <c r="O13" s="23"/>
      <c r="P13" s="25">
        <v>2000</v>
      </c>
      <c r="Q13" s="25">
        <f>tblExpenses12[[#This Row],[YTD TOTAL]]-tblExpenses12[[#This Row],[Budget]]</f>
        <v>-1415</v>
      </c>
    </row>
    <row r="14" spans="1:17" ht="21" customHeight="1" x14ac:dyDescent="0.2">
      <c r="A14" s="12" t="s">
        <v>18</v>
      </c>
      <c r="B14" s="22">
        <v>30.38</v>
      </c>
      <c r="C14" s="22">
        <v>58.8</v>
      </c>
      <c r="D14" s="22"/>
      <c r="E14" s="22"/>
      <c r="F14" s="22"/>
      <c r="G14" s="22"/>
      <c r="H14" s="22"/>
      <c r="I14" s="22">
        <f>42.4+27.49</f>
        <v>69.89</v>
      </c>
      <c r="J14" s="22"/>
      <c r="K14" s="22"/>
      <c r="L14" s="22">
        <f>5000+300</f>
        <v>5300</v>
      </c>
      <c r="M14" s="22"/>
      <c r="N14" s="22">
        <f>SUM(tblExpenses12[[#This Row],[JUL ''17]:[JUN ''18]])</f>
        <v>5459.07</v>
      </c>
      <c r="O14" s="23"/>
      <c r="P14" s="25">
        <v>500</v>
      </c>
      <c r="Q14" s="25">
        <f>tblExpenses12[[#This Row],[YTD TOTAL]]-tblExpenses12[[#This Row],[Budget]]</f>
        <v>4959.07</v>
      </c>
    </row>
    <row r="15" spans="1:17" ht="21" customHeight="1" x14ac:dyDescent="0.2">
      <c r="A15" s="12" t="s">
        <v>19</v>
      </c>
      <c r="B15" s="22"/>
      <c r="C15" s="22"/>
      <c r="D15" s="22"/>
      <c r="E15" s="22"/>
      <c r="F15" s="22">
        <v>182.12</v>
      </c>
      <c r="G15" s="22"/>
      <c r="H15" s="22"/>
      <c r="I15" s="22"/>
      <c r="J15" s="22"/>
      <c r="K15" s="22"/>
      <c r="L15" s="22"/>
      <c r="M15" s="22"/>
      <c r="N15" s="22">
        <f>SUM(tblExpenses12[[#This Row],[JUL ''17]:[JUN ''18]])</f>
        <v>182.12</v>
      </c>
      <c r="O15" s="23"/>
      <c r="P15" s="25">
        <v>500</v>
      </c>
      <c r="Q15" s="25">
        <f>tblExpenses12[[#This Row],[YTD TOTAL]]-tblExpenses12[[#This Row],[Budget]]</f>
        <v>-317.88</v>
      </c>
    </row>
    <row r="16" spans="1:17" ht="21" customHeight="1" x14ac:dyDescent="0.2">
      <c r="A16" s="12" t="s">
        <v>22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>
        <f>SUM(tblExpenses12[[#This Row],[JUL ''17]:[JUN ''18]])</f>
        <v>0</v>
      </c>
      <c r="O16" s="23"/>
      <c r="P16" s="25">
        <v>200</v>
      </c>
      <c r="Q16" s="25">
        <f>tblExpenses12[[#This Row],[YTD TOTAL]]-tblExpenses12[[#This Row],[Budget]]</f>
        <v>-200</v>
      </c>
    </row>
    <row r="17" spans="1:17" customFormat="1" ht="21" customHeight="1" x14ac:dyDescent="0.2">
      <c r="A17" s="1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>SUM(tblExpenses12[[#This Row],[JUL ''17]:[JUN ''18]])</f>
        <v>0</v>
      </c>
      <c r="O17" s="23"/>
      <c r="P17" s="26">
        <v>0</v>
      </c>
      <c r="Q17" s="26">
        <f>tblExpenses12[[#This Row],[YTD TOTAL]]-tblExpenses12[[#This Row],[Budget]]</f>
        <v>0</v>
      </c>
    </row>
    <row r="18" spans="1:17" ht="21" customHeight="1" x14ac:dyDescent="0.2">
      <c r="A18" s="19" t="s">
        <v>5</v>
      </c>
      <c r="B18" s="20">
        <f>SUBTOTAL(109,tblExpenses12[JUL ''17])</f>
        <v>655.16</v>
      </c>
      <c r="C18" s="20">
        <f>SUBTOTAL(109,tblExpenses12[AUG ''17])</f>
        <v>575.64</v>
      </c>
      <c r="D18" s="20">
        <f>SUBTOTAL(109,tblExpenses12[SEP ''17])</f>
        <v>733.44</v>
      </c>
      <c r="E18" s="20">
        <f>SUBTOTAL(109,tblExpenses12[OCT ''17])</f>
        <v>669.93000000000006</v>
      </c>
      <c r="F18" s="20">
        <f>SUBTOTAL(109,tblExpenses12[NOV ''17])</f>
        <v>540.62</v>
      </c>
      <c r="G18" s="20">
        <f>SUBTOTAL(109,tblExpenses12[DEC ''17])</f>
        <v>1170.8699999999999</v>
      </c>
      <c r="H18" s="20">
        <f>SUBTOTAL(109,tblExpenses12[JAN ''18])</f>
        <v>632.65000000000009</v>
      </c>
      <c r="I18" s="20">
        <f>SUBTOTAL(109,tblExpenses12[FEB ''18])</f>
        <v>333.44</v>
      </c>
      <c r="J18" s="20">
        <f>SUBTOTAL(109,tblExpenses12[MAR ''18])</f>
        <v>244.99</v>
      </c>
      <c r="K18" s="20">
        <f>SUBTOTAL(109,tblExpenses12[APR ''18])</f>
        <v>476.45000000000005</v>
      </c>
      <c r="L18" s="20">
        <f>SUBTOTAL(109,tblExpenses12[MAY ''18])</f>
        <v>5626.67</v>
      </c>
      <c r="M18" s="20">
        <f>SUBTOTAL(109,tblExpenses12[JUN ''18])</f>
        <v>0</v>
      </c>
      <c r="N18" s="20">
        <f>SUBTOTAL(109,tblExpenses12[YTD TOTAL])</f>
        <v>11659.86</v>
      </c>
      <c r="O18" s="21"/>
      <c r="P18" s="28">
        <f>SUBTOTAL(109,tblExpenses12[Budget])</f>
        <v>14186</v>
      </c>
      <c r="Q18" s="21">
        <f>SUBTOTAL(109,tblExpenses12[Variance])</f>
        <v>-2526.1399999999994</v>
      </c>
    </row>
  </sheetData>
  <mergeCells count="1">
    <mergeCell ref="A3:O3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markers="1" high="1" low="1" displayHidden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'Expense Tracking'!B5:M5</xm:f>
              <xm:sqref>O5</xm:sqref>
            </x14:sparkline>
            <x14:sparkline>
              <xm:f>'Expense Tracking'!B6:M6</xm:f>
              <xm:sqref>O6</xm:sqref>
            </x14:sparkline>
            <x14:sparkline>
              <xm:f>'Expense Tracking'!B7:M7</xm:f>
              <xm:sqref>O7</xm:sqref>
            </x14:sparkline>
            <x14:sparkline>
              <xm:f>'Expense Tracking'!B8:M8</xm:f>
              <xm:sqref>O8</xm:sqref>
            </x14:sparkline>
            <x14:sparkline>
              <xm:f>'Expense Tracking'!B9:M9</xm:f>
              <xm:sqref>O9</xm:sqref>
            </x14:sparkline>
            <x14:sparkline>
              <xm:f>'Expense Tracking'!B10:M10</xm:f>
              <xm:sqref>O10</xm:sqref>
            </x14:sparkline>
            <x14:sparkline>
              <xm:f>'Expense Tracking'!B11:M11</xm:f>
              <xm:sqref>O11</xm:sqref>
            </x14:sparkline>
            <x14:sparkline>
              <xm:f>'Expense Tracking'!B12:M12</xm:f>
              <xm:sqref>O12</xm:sqref>
            </x14:sparkline>
            <x14:sparkline>
              <xm:f>'Expense Tracking'!B13:M13</xm:f>
              <xm:sqref>O13</xm:sqref>
            </x14:sparkline>
            <x14:sparkline>
              <xm:f>'Expense Tracking'!B14:M14</xm:f>
              <xm:sqref>O14</xm:sqref>
            </x14:sparkline>
            <x14:sparkline>
              <xm:f>'Expense Tracking'!B15:M15</xm:f>
              <xm:sqref>O15</xm:sqref>
            </x14:sparkline>
            <x14:sparkline>
              <xm:f>'Expense Tracking'!B16:M16</xm:f>
              <xm:sqref>O16</xm:sqref>
            </x14:sparkline>
            <x14:sparkline>
              <xm:f>'Expense Tracking'!B17:M17</xm:f>
              <xm:sqref>O17</xm:sqref>
            </x14:sparkline>
          </x14:sparklines>
        </x14:sparklineGroup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'Expense Tracking'!B18:M18</xm:f>
              <xm:sqref>O18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FOKA HOA Annual Budget</vt:lpstr>
      <vt:lpstr>Expense Tracking</vt:lpstr>
      <vt:lpstr>BudgetYear</vt:lpstr>
      <vt:lpstr>'FOKA HOA Annual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2016-12-06T19:42:53Z</dcterms:created>
  <dcterms:modified xsi:type="dcterms:W3CDTF">2018-06-12T00:49:49Z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TC029300579991</vt:lpwstr>
  </property>
</Properties>
</file>