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d4ewebpub\"/>
    </mc:Choice>
  </mc:AlternateContent>
  <xr:revisionPtr revIDLastSave="0" documentId="13_ncr:1_{549412A7-A8B5-45E2-AB74-A5C7E8BFBAB0}" xr6:coauthVersionLast="47" xr6:coauthVersionMax="47" xr10:uidLastSave="{00000000-0000-0000-0000-000000000000}"/>
  <bookViews>
    <workbookView xWindow="17844" yWindow="4200" windowWidth="29832" windowHeight="15816" tabRatio="910" firstSheet="2" activeTab="9" xr2:uid="{00000000-000D-0000-FFFF-FFFF00000000}"/>
  </bookViews>
  <sheets>
    <sheet name="docs.CHALLENGE" sheetId="1" r:id="rId1"/>
    <sheet name="docs.Assumptions" sheetId="2" r:id="rId2"/>
    <sheet name="docs.Benchmarks" sheetId="3" r:id="rId3"/>
    <sheet name="menupane" sheetId="8" state="hidden" r:id="rId4"/>
    <sheet name="docs.Transactions" sheetId="4" r:id="rId5"/>
    <sheet name="docs.Calc" sheetId="5" r:id="rId6"/>
    <sheet name="docs.PnL" sheetId="6" r:id="rId7"/>
    <sheet name="docs.BrokerReport" sheetId="7" r:id="rId8"/>
    <sheet name="menu" sheetId="10" r:id="rId9"/>
    <sheet name="menulog" sheetId="9" r:id="rId10"/>
  </sheets>
  <definedNames>
    <definedName name="COMM_NET">_xlfn.LAMBDA(_xlpm.premium,_xlpm.commPct, _xlpm.premium*(1-_xlpm.commPct))</definedName>
    <definedName name="L_PRICE_BAND">_xlfn.LAMBDA(_xlpm.price, IF(_xlpm.price&lt;2000,"LOW", IF(_xlpm.price&lt;5000,"MED","HIGH")))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7" l="1"/>
  <c r="B5" i="7"/>
  <c r="B4" i="7"/>
  <c r="B3" i="6"/>
  <c r="N11" i="5"/>
  <c r="M11" i="5"/>
  <c r="L11" i="5"/>
  <c r="J11" i="5"/>
  <c r="F11" i="5"/>
  <c r="E11" i="5"/>
  <c r="G11" i="5" s="1"/>
  <c r="D11" i="5"/>
  <c r="C11" i="5"/>
  <c r="B11" i="5"/>
  <c r="R11" i="5" s="1"/>
  <c r="A11" i="5"/>
  <c r="N10" i="5"/>
  <c r="M10" i="5"/>
  <c r="L10" i="5"/>
  <c r="J10" i="5"/>
  <c r="H10" i="5"/>
  <c r="O10" i="5" s="1"/>
  <c r="F10" i="5"/>
  <c r="G10" i="5" s="1"/>
  <c r="E10" i="5"/>
  <c r="I10" i="5" s="1"/>
  <c r="P10" i="5" s="1"/>
  <c r="D10" i="5"/>
  <c r="C10" i="5"/>
  <c r="B10" i="5"/>
  <c r="R10" i="5" s="1"/>
  <c r="A10" i="5"/>
  <c r="N9" i="5"/>
  <c r="M9" i="5"/>
  <c r="L9" i="5"/>
  <c r="J9" i="5"/>
  <c r="H9" i="5"/>
  <c r="O9" i="5" s="1"/>
  <c r="F9" i="5"/>
  <c r="I9" i="5" s="1"/>
  <c r="P9" i="5" s="1"/>
  <c r="E9" i="5"/>
  <c r="D9" i="5"/>
  <c r="C9" i="5"/>
  <c r="B9" i="5"/>
  <c r="R9" i="5" s="1"/>
  <c r="A9" i="5"/>
  <c r="N8" i="5"/>
  <c r="M8" i="5"/>
  <c r="L8" i="5"/>
  <c r="J8" i="5"/>
  <c r="I8" i="5"/>
  <c r="P8" i="5" s="1"/>
  <c r="H8" i="5"/>
  <c r="O8" i="5" s="1"/>
  <c r="F8" i="5"/>
  <c r="E8" i="5"/>
  <c r="G8" i="5" s="1"/>
  <c r="D8" i="5"/>
  <c r="C8" i="5"/>
  <c r="B8" i="5"/>
  <c r="R8" i="5" s="1"/>
  <c r="A8" i="5"/>
  <c r="N7" i="5"/>
  <c r="M7" i="5"/>
  <c r="L7" i="5"/>
  <c r="J7" i="5"/>
  <c r="F7" i="5"/>
  <c r="E7" i="5"/>
  <c r="G7" i="5" s="1"/>
  <c r="D7" i="5"/>
  <c r="C7" i="5"/>
  <c r="B7" i="5"/>
  <c r="R7" i="5" s="1"/>
  <c r="A7" i="5"/>
  <c r="N6" i="5"/>
  <c r="M6" i="5"/>
  <c r="L6" i="5"/>
  <c r="J6" i="5"/>
  <c r="H6" i="5"/>
  <c r="O6" i="5" s="1"/>
  <c r="F6" i="5"/>
  <c r="E6" i="5"/>
  <c r="I6" i="5" s="1"/>
  <c r="P6" i="5" s="1"/>
  <c r="D6" i="5"/>
  <c r="C6" i="5"/>
  <c r="B6" i="5"/>
  <c r="R6" i="5" s="1"/>
  <c r="A6" i="5"/>
  <c r="N5" i="5"/>
  <c r="M5" i="5"/>
  <c r="L5" i="5"/>
  <c r="J5" i="5"/>
  <c r="H5" i="5"/>
  <c r="O5" i="5" s="1"/>
  <c r="F5" i="5"/>
  <c r="I5" i="5" s="1"/>
  <c r="P5" i="5" s="1"/>
  <c r="E5" i="5"/>
  <c r="D5" i="5"/>
  <c r="C5" i="5"/>
  <c r="B5" i="5"/>
  <c r="R5" i="5" s="1"/>
  <c r="A5" i="5"/>
  <c r="N4" i="5"/>
  <c r="M4" i="5"/>
  <c r="L4" i="5"/>
  <c r="J4" i="5"/>
  <c r="I4" i="5"/>
  <c r="P4" i="5" s="1"/>
  <c r="H4" i="5"/>
  <c r="O4" i="5" s="1"/>
  <c r="F4" i="5"/>
  <c r="E4" i="5"/>
  <c r="G4" i="5" s="1"/>
  <c r="D4" i="5"/>
  <c r="C4" i="5"/>
  <c r="B4" i="5"/>
  <c r="R4" i="5" s="1"/>
  <c r="A4" i="5"/>
  <c r="N3" i="5"/>
  <c r="M3" i="5"/>
  <c r="L3" i="5"/>
  <c r="J3" i="5"/>
  <c r="H3" i="5"/>
  <c r="O3" i="5" s="1"/>
  <c r="F3" i="5"/>
  <c r="E3" i="5"/>
  <c r="G3" i="5" s="1"/>
  <c r="D3" i="5"/>
  <c r="C3" i="5"/>
  <c r="B6" i="6" s="1"/>
  <c r="B3" i="5"/>
  <c r="R3" i="5" s="1"/>
  <c r="A3" i="5"/>
  <c r="N2" i="5"/>
  <c r="M2" i="5"/>
  <c r="L2" i="5"/>
  <c r="J2" i="5"/>
  <c r="H2" i="5"/>
  <c r="O2" i="5" s="1"/>
  <c r="F2" i="5"/>
  <c r="B5" i="6" s="1"/>
  <c r="E2" i="5"/>
  <c r="I2" i="5" s="1"/>
  <c r="D2" i="5"/>
  <c r="C2" i="5"/>
  <c r="B2" i="5"/>
  <c r="R2" i="5" s="1"/>
  <c r="A2" i="5"/>
  <c r="K8" i="5" l="1"/>
  <c r="Q8" i="5" s="1"/>
  <c r="K3" i="5"/>
  <c r="Q3" i="5" s="1"/>
  <c r="K7" i="5"/>
  <c r="Q7" i="5" s="1"/>
  <c r="K10" i="5"/>
  <c r="Q10" i="5" s="1"/>
  <c r="B8" i="6"/>
  <c r="K11" i="5"/>
  <c r="Q11" i="5" s="1"/>
  <c r="P2" i="5"/>
  <c r="K4" i="5"/>
  <c r="H7" i="5"/>
  <c r="O7" i="5" s="1"/>
  <c r="H11" i="5"/>
  <c r="O11" i="5" s="1"/>
  <c r="I3" i="5"/>
  <c r="P3" i="5" s="1"/>
  <c r="I7" i="5"/>
  <c r="P7" i="5" s="1"/>
  <c r="I11" i="5"/>
  <c r="P11" i="5" s="1"/>
  <c r="G5" i="5"/>
  <c r="G9" i="5"/>
  <c r="K9" i="5" s="1"/>
  <c r="Q9" i="5" s="1"/>
  <c r="B4" i="6"/>
  <c r="G2" i="5"/>
  <c r="G6" i="5"/>
  <c r="K6" i="5" s="1"/>
  <c r="Q6" i="5" s="1"/>
  <c r="C5" i="7" l="1"/>
  <c r="B7" i="6"/>
  <c r="K2" i="5"/>
  <c r="C4" i="7"/>
  <c r="K5" i="5"/>
  <c r="C6" i="7"/>
  <c r="D5" i="7"/>
  <c r="Q4" i="5"/>
  <c r="B10" i="6"/>
  <c r="B11" i="6"/>
  <c r="Q2" i="5" l="1"/>
  <c r="D4" i="7"/>
  <c r="B9" i="6"/>
  <c r="D6" i="7"/>
  <c r="Q5" i="5"/>
  <c r="B14" i="6" l="1"/>
  <c r="B13" i="6"/>
  <c r="B12" i="6"/>
</calcChain>
</file>

<file path=xl/sharedStrings.xml><?xml version="1.0" encoding="utf-8"?>
<sst xmlns="http://schemas.openxmlformats.org/spreadsheetml/2006/main" count="163" uniqueCount="135">
  <si>
    <t>Competition Brief - Insurance Finance Model (eSports) - V2</t>
  </si>
  <si>
    <t>Goal: Build clean pricing + profitability reporting using prebuilt Lambdas.</t>
  </si>
  <si>
    <t>Mid-match change: edit a Lambda (commission/capital) and re-run quickly.</t>
  </si>
  <si>
    <t>1) FinalPrice: discount + risk adjustment (reuse PRICE_FINAL)</t>
  </si>
  <si>
    <t>2) Commission + NetPremium (reuse COMM_NET)</t>
  </si>
  <si>
    <t>3) Claims estimate = freq * severity</t>
  </si>
  <si>
    <t>4) Expense estimate = fixed + premium*expense%</t>
  </si>
  <si>
    <t>5) Margin, Loss Ratio, Combined Ratio (reuse BROKER_MARGIN / LOSS_RATIO / COMBINED_RATIO)</t>
  </si>
  <si>
    <t>6) Capital charge + risk-adjusted profit (reuse CAPITAL_CHARGE)</t>
  </si>
  <si>
    <t>7) Benchmarks per product + deltas (reuse BENCHMARK_DELTA)</t>
  </si>
  <si>
    <t>8) KPI status from risk-adjusted profit (reuse KPI_TRAFFICLIGHT)</t>
  </si>
  <si>
    <t>9) Price banding (reuse PRICE_BAND)</t>
  </si>
  <si>
    <t>10) Broker ranking report (Profit by broker)</t>
  </si>
  <si>
    <t>Assumption</t>
  </si>
  <si>
    <t>Value</t>
  </si>
  <si>
    <t>Default Discount %</t>
  </si>
  <si>
    <t>Default Risk Adj %</t>
  </si>
  <si>
    <t>Default Commission %</t>
  </si>
  <si>
    <t>Default Expense % of Premium</t>
  </si>
  <si>
    <t>Capital Charge % of Premium</t>
  </si>
  <si>
    <t>KPI Profit Green Threshold</t>
  </si>
  <si>
    <t>KPI Profit Amber Threshold</t>
  </si>
  <si>
    <t>Product</t>
  </si>
  <si>
    <t>Benchmark_LossRatio</t>
  </si>
  <si>
    <t>Benchmark_CombinedRatio</t>
  </si>
  <si>
    <t>Benchmark_MarginRate</t>
  </si>
  <si>
    <t>Home</t>
  </si>
  <si>
    <t>Landlord</t>
  </si>
  <si>
    <t>Motor</t>
  </si>
  <si>
    <t>PolicyID</t>
  </si>
  <si>
    <t>Broker</t>
  </si>
  <si>
    <t>BasePrice</t>
  </si>
  <si>
    <t>DiscountPct</t>
  </si>
  <si>
    <t>RiskAdj</t>
  </si>
  <si>
    <t>Premium</t>
  </si>
  <si>
    <t>Claims_Freq</t>
  </si>
  <si>
    <t>Claims_Sev</t>
  </si>
  <si>
    <t>Expense_Fixed</t>
  </si>
  <si>
    <t>CommissionPct</t>
  </si>
  <si>
    <t>P001</t>
  </si>
  <si>
    <t>BrokerA</t>
  </si>
  <si>
    <t>P002</t>
  </si>
  <si>
    <t>P003</t>
  </si>
  <si>
    <t>BrokerB</t>
  </si>
  <si>
    <t>P004</t>
  </si>
  <si>
    <t>BrokerC</t>
  </si>
  <si>
    <t>P005</t>
  </si>
  <si>
    <t>P006</t>
  </si>
  <si>
    <t>P007</t>
  </si>
  <si>
    <t>P008</t>
  </si>
  <si>
    <t>P009</t>
  </si>
  <si>
    <t>P010</t>
  </si>
  <si>
    <t>FinalPrice</t>
  </si>
  <si>
    <t>Commission</t>
  </si>
  <si>
    <t>NetPremium</t>
  </si>
  <si>
    <t>Claims_Est</t>
  </si>
  <si>
    <t>Expense_Est</t>
  </si>
  <si>
    <t>Margin</t>
  </si>
  <si>
    <t>LossRatio</t>
  </si>
  <si>
    <t>CombinedRatio</t>
  </si>
  <si>
    <t>CapitalCharge</t>
  </si>
  <si>
    <t>RiskAdjProfit</t>
  </si>
  <si>
    <t>Bench_LR</t>
  </si>
  <si>
    <t>Bench_CR</t>
  </si>
  <si>
    <t>Bench_MarginRate</t>
  </si>
  <si>
    <t>Delta_LR</t>
  </si>
  <si>
    <t>Delta_CR</t>
  </si>
  <si>
    <t>KPI_Status</t>
  </si>
  <si>
    <t>PriceBand</t>
  </si>
  <si>
    <t>Portfolio P&amp;L</t>
  </si>
  <si>
    <t>Total Premium</t>
  </si>
  <si>
    <t>Total Claims (Est)</t>
  </si>
  <si>
    <t>Total Expense (Est)</t>
  </si>
  <si>
    <t>Total Commission</t>
  </si>
  <si>
    <t>Total Margin</t>
  </si>
  <si>
    <t>Total Capital Charge</t>
  </si>
  <si>
    <t>Risk-Adj Profit</t>
  </si>
  <si>
    <t>Avg Loss Ratio</t>
  </si>
  <si>
    <t>Avg Combined Ratio</t>
  </si>
  <si>
    <t>Count GREEN KPI</t>
  </si>
  <si>
    <t>Count AMBER KPI</t>
  </si>
  <si>
    <t>Count RED KPI</t>
  </si>
  <si>
    <t>Broker Profitability</t>
  </si>
  <si>
    <t>About Info</t>
  </si>
  <si>
    <t>_x000D_
www.datamart4excel.com_x000D_
Caratrel Consultants Pty Ltd  (c)2025</t>
  </si>
  <si>
    <t>_x000D_
Recent 20 Log Entries: (menulog)</t>
  </si>
  <si>
    <t>menulog</t>
  </si>
  <si>
    <t xml:space="preserve">MENU LIST </t>
  </si>
  <si>
    <t>SQL</t>
  </si>
  <si>
    <t>aelinon@caratrel.com</t>
  </si>
  <si>
    <t>userkey1</t>
  </si>
  <si>
    <t>myFormulaLib</t>
  </si>
  <si>
    <t>LAMBDA_LIB PRICE_FINAL - final price after discount and risk</t>
  </si>
  <si>
    <t>LAMBDA_LIB PRICE_FINAL - final price after discount and risk.02</t>
  </si>
  <si>
    <t>SAFE WRAP for IFERROR</t>
  </si>
  <si>
    <t>SAFE WRAP for IFERROR BLANK</t>
  </si>
  <si>
    <t>SAFE WRAP for IFNA</t>
  </si>
  <si>
    <t>SAFE WRAP for BLANK SAFE</t>
  </si>
  <si>
    <t>SAFE WRAP for NUMERIC</t>
  </si>
  <si>
    <t>SAFE WRAP for ROUND 2DP</t>
  </si>
  <si>
    <t>SAFE WRAP for TEXT</t>
  </si>
  <si>
    <t>SAFE WRAP for CLEAN TRIM</t>
  </si>
  <si>
    <t>SAFE WRAP for BOOLEAN</t>
  </si>
  <si>
    <t>Build Date 11/01/2026 1:57:45 AM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</si>
  <si>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</si>
  <si>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</si>
  <si>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</si>
  <si>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</si>
  <si>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</si>
  <si>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</si>
  <si>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</si>
  <si>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</si>
  <si>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</si>
  <si>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</si>
  <si>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A (SQL Versions)</t>
  </si>
  <si>
    <t>11/01/2026 2:39:12 PM: Error: Sheet 'myLambdaLib' does not exist!</t>
  </si>
  <si>
    <t>11/01/2026 2:39:12 PM: Palette_CopyVisibleToNameManager: executing runsql myLambdaLib G for lambda 'BENCHMARK_DELTA'</t>
  </si>
  <si>
    <t>11/01/2026 2:39:12 PM: Executing runsql command for: runsql myLambdaLib G</t>
  </si>
  <si>
    <t>11/01/2026 2:39:12 PM: Starting SQL execution for: myLambdaLib.G ()</t>
  </si>
  <si>
    <t>11/01/2026 2:39:12 PM: Completed runsql command for: runsql myLambdaLib G</t>
  </si>
  <si>
    <t>11/01/2026 2:39:12 PM: Palette_CopyVisibleToNameManager: executing runsql myLambdaLib H for lambda 'KPI_TRAFFICLIGHT'</t>
  </si>
  <si>
    <t>11/01/2026 2:39:12 PM: Executing runsql command for: runsql myLambdaLib H</t>
  </si>
  <si>
    <t>11/01/2026 2:39:12 PM: Starting SQL execution for: myLambdaLib.H ()</t>
  </si>
  <si>
    <t>11/01/2026 2:39:12 PM: Completed runsql command for: runsql myLambdaLib H</t>
  </si>
  <si>
    <t>11/01/2026 2:39:12 PM: Palette_CopyVisibleToNameManager: executing runsql myLambdaLib I for lambda 'L_PRICE_BAND'</t>
  </si>
  <si>
    <t>11/01/2026 2:39:12 PM: Executing runsql command for: runsql myLambdaLib I</t>
  </si>
  <si>
    <t>11/01/2026 2:39:12 PM: Starting SQL execution for: myLambdaLib.I ()</t>
  </si>
  <si>
    <t>11/01/2026 2:39:12 PM: Completed runsql command for: runsql myLambdaLib I</t>
  </si>
  <si>
    <t>11/01/2026 2:39:12 PM: Palette_CopyVisibleToNameManager: executed=9, promoted=0, promoteFlag=False</t>
  </si>
  <si>
    <t>11/01/2026 2:55:49 PM: Palette: building index...</t>
  </si>
  <si>
    <t>11/01/2026 2:55:49 PM: Palette: actions built, count = 0</t>
  </si>
  <si>
    <t>11/01/2026 2:55:49 PM: Palette: appended 0 Name Manager entries.</t>
  </si>
  <si>
    <t>11/01/2026 2:55:49 PM: Palette: help items built, count = 273</t>
  </si>
  <si>
    <t>11/01/2026 2:55:49 PM: Palette: showing frmPalette.</t>
  </si>
  <si>
    <t>Data Mart for Excel (ADVANCED Version) aelinon@caratrel.com_x000D_
Your D4E Store (D4E_Competition_FinModel_Challenge_v2a) has: _x000D_
1 SQL Groups_x000D_
11 SQL Versions_x000D_
0 Macros_x000D_
0 Scheduler Tasks (menuflow)_x000D_
7 Documents_x000D_
0 Stored Params (NORMAL Prompt Mode)_x000D_
0 Output Sheets (tempdir=c:\temp\d4e\)_x000D_
DEBUG MODE IS: OFF_x000D_
VBAKEEP MODE IS: OFF_x000D_
_x000D_
No Added SQL files (You are in EDIT SQL Mode).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</si>
</sst>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6"/>
  <sheetViews>
    <sheetView workbookViewId="0">
      <pane ySplit="1" topLeftCell="A2" activePane="bottomLeft" state="frozen"/>
      <selection pane="bottomLeft"/>
    </sheetView>
  </sheetViews>
  <sheetFormatPr defaultRowHeight="14.4" x14ac:dyDescent="0.3"/>
  <sheetData>
    <row r="1" spans="1:1" x14ac:dyDescent="0.3">
      <c r="A1" t="s">
        <v>0</v>
      </c>
    </row>
    <row r="3" spans="1:1" x14ac:dyDescent="0.3">
      <c r="A3" t="s">
        <v>1</v>
      </c>
    </row>
    <row r="5" spans="1:1" x14ac:dyDescent="0.3">
      <c r="A5" t="s">
        <v>2</v>
      </c>
    </row>
    <row r="7" spans="1:1" x14ac:dyDescent="0.3">
      <c r="A7" t="s">
        <v>3</v>
      </c>
    </row>
    <row r="8" spans="1:1" x14ac:dyDescent="0.3">
      <c r="A8" t="s">
        <v>4</v>
      </c>
    </row>
    <row r="9" spans="1:1" x14ac:dyDescent="0.3">
      <c r="A9" t="s">
        <v>5</v>
      </c>
    </row>
    <row r="10" spans="1:1" x14ac:dyDescent="0.3">
      <c r="A10" t="s">
        <v>6</v>
      </c>
    </row>
    <row r="11" spans="1:1" x14ac:dyDescent="0.3">
      <c r="A11" t="s">
        <v>7</v>
      </c>
    </row>
    <row r="12" spans="1:1" x14ac:dyDescent="0.3">
      <c r="A12" t="s">
        <v>8</v>
      </c>
    </row>
    <row r="13" spans="1:1" x14ac:dyDescent="0.3">
      <c r="A13" t="s">
        <v>9</v>
      </c>
    </row>
    <row r="14" spans="1:1" x14ac:dyDescent="0.3">
      <c r="A14" t="s">
        <v>10</v>
      </c>
    </row>
    <row r="15" spans="1:1" x14ac:dyDescent="0.3">
      <c r="A15" t="s">
        <v>11</v>
      </c>
    </row>
    <row r="16" spans="1:1" x14ac:dyDescent="0.3">
      <c r="A16" t="s">
        <v>12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4B60E-C87E-4947-BA47-B843B6172BF0}">
  <sheetPr codeName="Sheet9"/>
  <dimension ref="A1"/>
  <sheetViews>
    <sheetView tabSelected="1" topLeftCell="A43" workbookViewId="0">
      <selection activeCell="A43" sqref="A1:A1048576"/>
    </sheetView>
  </sheetViews>
  <sheetFormatPr defaultRowHeight="14.4" x14ac:dyDescent="0.3"/>
  <cols>
    <col min="1" max="1" width="120.77734375" customWidth="1"/>
  </cols>
  <sheetData>
    <row r="1" spans="1:1" x14ac:dyDescent="0.3">
      <c r="A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8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34" customWidth="1"/>
    <col min="2" max="2" width="18" customWidth="1"/>
  </cols>
  <sheetData>
    <row r="1" spans="1:2" x14ac:dyDescent="0.3">
      <c r="A1" t="s">
        <v>13</v>
      </c>
      <c r="B1" t="s">
        <v>14</v>
      </c>
    </row>
    <row r="2" spans="1:2" x14ac:dyDescent="0.3">
      <c r="A2" t="s">
        <v>15</v>
      </c>
      <c r="B2">
        <v>7.0000000000000007E-2</v>
      </c>
    </row>
    <row r="3" spans="1:2" x14ac:dyDescent="0.3">
      <c r="A3" t="s">
        <v>16</v>
      </c>
      <c r="B3">
        <v>0.03</v>
      </c>
    </row>
    <row r="4" spans="1:2" x14ac:dyDescent="0.3">
      <c r="A4" t="s">
        <v>17</v>
      </c>
      <c r="B4">
        <v>0.12</v>
      </c>
    </row>
    <row r="5" spans="1:2" x14ac:dyDescent="0.3">
      <c r="A5" t="s">
        <v>18</v>
      </c>
      <c r="B5">
        <v>0.08</v>
      </c>
    </row>
    <row r="6" spans="1:2" x14ac:dyDescent="0.3">
      <c r="A6" t="s">
        <v>19</v>
      </c>
      <c r="B6">
        <v>0.05</v>
      </c>
    </row>
    <row r="7" spans="1:2" x14ac:dyDescent="0.3">
      <c r="A7" t="s">
        <v>20</v>
      </c>
      <c r="B7">
        <v>250</v>
      </c>
    </row>
    <row r="8" spans="1:2" x14ac:dyDescent="0.3">
      <c r="A8" t="s">
        <v>21</v>
      </c>
      <c r="B8">
        <v>50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4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4" width="24" customWidth="1"/>
  </cols>
  <sheetData>
    <row r="1" spans="1:4" x14ac:dyDescent="0.3">
      <c r="A1" t="s">
        <v>22</v>
      </c>
      <c r="B1" t="s">
        <v>23</v>
      </c>
      <c r="C1" t="s">
        <v>24</v>
      </c>
      <c r="D1" t="s">
        <v>25</v>
      </c>
    </row>
    <row r="2" spans="1:4" x14ac:dyDescent="0.3">
      <c r="A2" t="s">
        <v>26</v>
      </c>
      <c r="B2">
        <v>0.55000000000000004</v>
      </c>
      <c r="C2">
        <v>0.7</v>
      </c>
      <c r="D2">
        <v>0.18</v>
      </c>
    </row>
    <row r="3" spans="1:4" x14ac:dyDescent="0.3">
      <c r="A3" t="s">
        <v>27</v>
      </c>
      <c r="B3">
        <v>0.6</v>
      </c>
      <c r="C3">
        <v>0.75</v>
      </c>
      <c r="D3">
        <v>0.16</v>
      </c>
    </row>
    <row r="4" spans="1:4" x14ac:dyDescent="0.3">
      <c r="A4" t="s">
        <v>28</v>
      </c>
      <c r="B4">
        <v>0.5</v>
      </c>
      <c r="C4">
        <v>0.68</v>
      </c>
      <c r="D4">
        <v>0.2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87E44-8E42-47E0-957B-019FCB8A3620}">
  <sheetPr codeName="Sheet8"/>
  <dimension ref="B1:C47"/>
  <sheetViews>
    <sheetView workbookViewId="0"/>
  </sheetViews>
  <sheetFormatPr defaultRowHeight="14.4" x14ac:dyDescent="0.3"/>
  <sheetData>
    <row r="1" spans="2:3" x14ac:dyDescent="0.3">
      <c r="B1" t="s">
        <v>83</v>
      </c>
      <c r="C1" t="s">
        <v>86</v>
      </c>
    </row>
    <row r="2" spans="2:3" x14ac:dyDescent="0.3">
      <c r="B2" t="s">
        <v>134</v>
      </c>
    </row>
    <row r="3" spans="2:3" x14ac:dyDescent="0.3">
      <c r="B3" t="s">
        <v>85</v>
      </c>
    </row>
    <row r="4" spans="2:3" x14ac:dyDescent="0.3">
      <c r="B4" t="s">
        <v>116</v>
      </c>
    </row>
    <row r="5" spans="2:3" x14ac:dyDescent="0.3">
      <c r="B5" t="s">
        <v>117</v>
      </c>
    </row>
    <row r="6" spans="2:3" x14ac:dyDescent="0.3">
      <c r="B6" t="s">
        <v>118</v>
      </c>
    </row>
    <row r="7" spans="2:3" x14ac:dyDescent="0.3">
      <c r="B7" t="s">
        <v>115</v>
      </c>
    </row>
    <row r="8" spans="2:3" x14ac:dyDescent="0.3">
      <c r="B8" t="s">
        <v>119</v>
      </c>
    </row>
    <row r="9" spans="2:3" x14ac:dyDescent="0.3">
      <c r="B9" t="s">
        <v>120</v>
      </c>
    </row>
    <row r="10" spans="2:3" x14ac:dyDescent="0.3">
      <c r="B10" t="s">
        <v>121</v>
      </c>
    </row>
    <row r="11" spans="2:3" x14ac:dyDescent="0.3">
      <c r="B11" t="s">
        <v>122</v>
      </c>
    </row>
    <row r="12" spans="2:3" x14ac:dyDescent="0.3">
      <c r="B12" t="s">
        <v>115</v>
      </c>
    </row>
    <row r="13" spans="2:3" x14ac:dyDescent="0.3">
      <c r="B13" t="s">
        <v>123</v>
      </c>
    </row>
    <row r="14" spans="2:3" x14ac:dyDescent="0.3">
      <c r="B14" t="s">
        <v>124</v>
      </c>
    </row>
    <row r="15" spans="2:3" x14ac:dyDescent="0.3">
      <c r="B15" t="s">
        <v>125</v>
      </c>
    </row>
    <row r="16" spans="2:3" x14ac:dyDescent="0.3">
      <c r="B16" t="s">
        <v>126</v>
      </c>
    </row>
    <row r="17" spans="2:2" x14ac:dyDescent="0.3">
      <c r="B17" t="s">
        <v>115</v>
      </c>
    </row>
    <row r="18" spans="2:2" x14ac:dyDescent="0.3">
      <c r="B18" t="s">
        <v>127</v>
      </c>
    </row>
    <row r="19" spans="2:2" x14ac:dyDescent="0.3">
      <c r="B19" t="s">
        <v>128</v>
      </c>
    </row>
    <row r="20" spans="2:2" x14ac:dyDescent="0.3">
      <c r="B20" t="s">
        <v>129</v>
      </c>
    </row>
    <row r="21" spans="2:2" x14ac:dyDescent="0.3">
      <c r="B21" t="s">
        <v>130</v>
      </c>
    </row>
    <row r="22" spans="2:2" x14ac:dyDescent="0.3">
      <c r="B22" t="s">
        <v>131</v>
      </c>
    </row>
    <row r="23" spans="2:2" x14ac:dyDescent="0.3">
      <c r="B23" t="s">
        <v>132</v>
      </c>
    </row>
    <row r="24" spans="2:2" x14ac:dyDescent="0.3">
      <c r="B24" t="s">
        <v>133</v>
      </c>
    </row>
    <row r="47" spans="2:2" x14ac:dyDescent="0.3">
      <c r="B47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11"/>
  <sheetViews>
    <sheetView workbookViewId="0">
      <pane ySplit="1" topLeftCell="A2" activePane="bottomLeft" state="frozen"/>
      <selection pane="bottomLeft" activeCell="G22" sqref="G22"/>
    </sheetView>
  </sheetViews>
  <sheetFormatPr defaultRowHeight="14.4" x14ac:dyDescent="0.3"/>
  <cols>
    <col min="1" max="11" width="16" customWidth="1"/>
  </cols>
  <sheetData>
    <row r="1" spans="1:11" x14ac:dyDescent="0.3">
      <c r="A1" t="s">
        <v>29</v>
      </c>
      <c r="B1" t="s">
        <v>30</v>
      </c>
      <c r="C1" t="s">
        <v>22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</row>
    <row r="2" spans="1:11" x14ac:dyDescent="0.3">
      <c r="A2" t="s">
        <v>39</v>
      </c>
      <c r="B2" t="s">
        <v>40</v>
      </c>
      <c r="C2" t="s">
        <v>26</v>
      </c>
      <c r="D2">
        <v>1200</v>
      </c>
      <c r="G2">
        <v>1200</v>
      </c>
      <c r="H2">
        <v>0.12</v>
      </c>
      <c r="I2">
        <v>1800</v>
      </c>
      <c r="J2">
        <v>60</v>
      </c>
    </row>
    <row r="3" spans="1:11" x14ac:dyDescent="0.3">
      <c r="A3" t="s">
        <v>41</v>
      </c>
      <c r="B3" t="s">
        <v>40</v>
      </c>
      <c r="C3" t="s">
        <v>27</v>
      </c>
      <c r="D3">
        <v>2600</v>
      </c>
      <c r="E3">
        <v>0.08</v>
      </c>
      <c r="F3">
        <v>0.03</v>
      </c>
      <c r="G3">
        <v>2600</v>
      </c>
      <c r="H3">
        <v>0.18</v>
      </c>
      <c r="I3">
        <v>3200</v>
      </c>
      <c r="J3">
        <v>80</v>
      </c>
      <c r="K3">
        <v>0.13</v>
      </c>
    </row>
    <row r="4" spans="1:11" x14ac:dyDescent="0.3">
      <c r="A4" t="s">
        <v>42</v>
      </c>
      <c r="B4" t="s">
        <v>43</v>
      </c>
      <c r="C4" t="s">
        <v>26</v>
      </c>
      <c r="D4">
        <v>5200</v>
      </c>
      <c r="E4">
        <v>0.1</v>
      </c>
      <c r="F4">
        <v>0.04</v>
      </c>
      <c r="G4">
        <v>5200</v>
      </c>
      <c r="H4">
        <v>0.14000000000000001</v>
      </c>
      <c r="I4">
        <v>4500</v>
      </c>
      <c r="J4">
        <v>120</v>
      </c>
    </row>
    <row r="5" spans="1:11" x14ac:dyDescent="0.3">
      <c r="A5" t="s">
        <v>44</v>
      </c>
      <c r="B5" t="s">
        <v>45</v>
      </c>
      <c r="C5" t="s">
        <v>28</v>
      </c>
      <c r="D5">
        <v>800</v>
      </c>
      <c r="E5">
        <v>0.04</v>
      </c>
      <c r="F5">
        <v>0.01</v>
      </c>
      <c r="G5">
        <v>800</v>
      </c>
      <c r="H5">
        <v>0.2</v>
      </c>
      <c r="I5">
        <v>1400</v>
      </c>
      <c r="J5">
        <v>50</v>
      </c>
      <c r="K5">
        <v>0.11</v>
      </c>
    </row>
    <row r="6" spans="1:11" x14ac:dyDescent="0.3">
      <c r="A6" t="s">
        <v>46</v>
      </c>
      <c r="B6" t="s">
        <v>43</v>
      </c>
      <c r="C6" t="s">
        <v>27</v>
      </c>
      <c r="D6">
        <v>4100</v>
      </c>
      <c r="E6">
        <v>0.06</v>
      </c>
      <c r="F6">
        <v>0.03</v>
      </c>
      <c r="G6">
        <v>4100</v>
      </c>
      <c r="H6">
        <v>0.16</v>
      </c>
      <c r="I6">
        <v>3800</v>
      </c>
      <c r="J6">
        <v>95</v>
      </c>
    </row>
    <row r="7" spans="1:11" x14ac:dyDescent="0.3">
      <c r="A7" t="s">
        <v>47</v>
      </c>
      <c r="B7" t="s">
        <v>45</v>
      </c>
      <c r="C7" t="s">
        <v>26</v>
      </c>
      <c r="D7">
        <v>3100</v>
      </c>
      <c r="G7">
        <v>3100</v>
      </c>
      <c r="H7">
        <v>0.13</v>
      </c>
      <c r="I7">
        <v>2600</v>
      </c>
      <c r="J7">
        <v>75</v>
      </c>
      <c r="K7">
        <v>0.12</v>
      </c>
    </row>
    <row r="8" spans="1:11" x14ac:dyDescent="0.3">
      <c r="A8" t="s">
        <v>48</v>
      </c>
      <c r="B8" t="s">
        <v>40</v>
      </c>
      <c r="C8" t="s">
        <v>28</v>
      </c>
      <c r="D8">
        <v>2200</v>
      </c>
      <c r="E8">
        <v>0.05</v>
      </c>
      <c r="F8">
        <v>0.02</v>
      </c>
      <c r="G8">
        <v>2200</v>
      </c>
      <c r="H8">
        <v>0.19</v>
      </c>
      <c r="I8">
        <v>1500</v>
      </c>
      <c r="J8">
        <v>65</v>
      </c>
    </row>
    <row r="9" spans="1:11" x14ac:dyDescent="0.3">
      <c r="A9" t="s">
        <v>49</v>
      </c>
      <c r="B9" t="s">
        <v>43</v>
      </c>
      <c r="C9" t="s">
        <v>26</v>
      </c>
      <c r="D9">
        <v>1500</v>
      </c>
      <c r="E9">
        <v>0.03</v>
      </c>
      <c r="F9">
        <v>0.02</v>
      </c>
      <c r="G9">
        <v>1500</v>
      </c>
      <c r="H9">
        <v>0.11</v>
      </c>
      <c r="I9">
        <v>2100</v>
      </c>
      <c r="J9">
        <v>55</v>
      </c>
      <c r="K9">
        <v>0.14000000000000001</v>
      </c>
    </row>
    <row r="10" spans="1:11" x14ac:dyDescent="0.3">
      <c r="A10" t="s">
        <v>50</v>
      </c>
      <c r="B10" t="s">
        <v>45</v>
      </c>
      <c r="C10" t="s">
        <v>27</v>
      </c>
      <c r="D10">
        <v>6800</v>
      </c>
      <c r="E10">
        <v>0.12</v>
      </c>
      <c r="F10">
        <v>0.05</v>
      </c>
      <c r="G10">
        <v>6800</v>
      </c>
      <c r="H10">
        <v>0.22</v>
      </c>
      <c r="I10">
        <v>5200</v>
      </c>
      <c r="J10">
        <v>150</v>
      </c>
    </row>
    <row r="11" spans="1:11" x14ac:dyDescent="0.3">
      <c r="A11" t="s">
        <v>51</v>
      </c>
      <c r="B11" t="s">
        <v>40</v>
      </c>
      <c r="C11" t="s">
        <v>26</v>
      </c>
      <c r="D11">
        <v>4700</v>
      </c>
      <c r="E11">
        <v>0.09</v>
      </c>
      <c r="F11">
        <v>0.03</v>
      </c>
      <c r="G11">
        <v>4700</v>
      </c>
      <c r="H11">
        <v>0.15</v>
      </c>
      <c r="I11">
        <v>4100</v>
      </c>
      <c r="J11">
        <v>110</v>
      </c>
      <c r="K11">
        <v>0.12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11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8" width="18" customWidth="1"/>
  </cols>
  <sheetData>
    <row r="1" spans="1:18" x14ac:dyDescent="0.3">
      <c r="A1" t="s">
        <v>29</v>
      </c>
      <c r="B1" t="s">
        <v>52</v>
      </c>
      <c r="C1" t="s">
        <v>53</v>
      </c>
      <c r="D1" t="s">
        <v>54</v>
      </c>
      <c r="E1" t="s">
        <v>55</v>
      </c>
      <c r="F1" t="s">
        <v>56</v>
      </c>
      <c r="G1" t="s">
        <v>57</v>
      </c>
      <c r="H1" t="s">
        <v>58</v>
      </c>
      <c r="I1" t="s">
        <v>59</v>
      </c>
      <c r="J1" t="s">
        <v>60</v>
      </c>
      <c r="K1" t="s">
        <v>61</v>
      </c>
      <c r="L1" t="s">
        <v>62</v>
      </c>
      <c r="M1" t="s">
        <v>63</v>
      </c>
      <c r="N1" t="s">
        <v>64</v>
      </c>
      <c r="O1" t="s">
        <v>65</v>
      </c>
      <c r="P1" t="s">
        <v>66</v>
      </c>
      <c r="Q1" t="s">
        <v>67</v>
      </c>
      <c r="R1" t="s">
        <v>68</v>
      </c>
    </row>
    <row r="2" spans="1:18" x14ac:dyDescent="0.3">
      <c r="A2" t="str">
        <f>docs.Transactions!A2</f>
        <v>P001</v>
      </c>
      <c r="B2">
        <f ca="1">IFERROR(PRICE_FINAL(docs.Transactions!D2,IF(docs.Transactions!E2="",docs.Assumptions!$B$2,docs.Transactions!E2),IF(docs.Transactions!F2="",docs.Assumptions!$B$3,docs.Transactions!F2)), docs.Transactions!D2*(1-IF(docs.Transactions!E2="",docs.Assumptions!$B$2,docs.Transactions!E2))*(1+IF(docs.Transactions!F2="",docs.Assumptions!$B$3,docs.Transactions!F2)))</f>
        <v>1149.48</v>
      </c>
      <c r="C2">
        <f>docs.Transactions!G2*IF(docs.Transactions!K2="",docs.Assumptions!$B$4,docs.Transactions!K2)</f>
        <v>144</v>
      </c>
      <c r="D2">
        <f>IFERROR(COMM_NET(docs.Transactions!G2,IF(docs.Transactions!K2="",docs.Assumptions!$B$4,docs.Transactions!K2)), docs.Transactions!G2*(1-IF(docs.Transactions!K2="",docs.Assumptions!$B$4,docs.Transactions!K2)))</f>
        <v>1056</v>
      </c>
      <c r="E2">
        <f>docs.Transactions!H2*docs.Transactions!I2</f>
        <v>216</v>
      </c>
      <c r="F2">
        <f>docs.Transactions!J2 + docs.Transactions!G2*docs.Assumptions!$B$5</f>
        <v>156</v>
      </c>
      <c r="G2">
        <f ca="1">IFERROR(BROKER_MARGIN(docs.Transactions!G2,E2,F2,C2), docs.Transactions!G2-E2-F2-C2)</f>
        <v>684</v>
      </c>
      <c r="H2">
        <f ca="1">IFERROR(LOSS_RATIO(E2,docs.Transactions!G2), IF(docs.Transactions!G2=0,"",E2/docs.Transactions!G2))</f>
        <v>0.18</v>
      </c>
      <c r="I2">
        <f ca="1">IFERROR(COMBINED_RATIO(E2,F2,docs.Transactions!G2), IF(docs.Transactions!G2=0,"",(E2+F2)/docs.Transactions!G2))</f>
        <v>0.31</v>
      </c>
      <c r="J2">
        <f ca="1">IFERROR(CAPITAL_CHARGE(docs.Transactions!G2,docs.Assumptions!$B$6), docs.Transactions!G2*docs.Assumptions!$B$6)</f>
        <v>60</v>
      </c>
      <c r="K2">
        <f t="shared" ref="K2:K11" ca="1" si="0">G2-J2</f>
        <v>624</v>
      </c>
      <c r="L2">
        <f>VLOOKUP(docs.Transactions!C2,docs.Benchmarks!A:D,2,FALSE)</f>
        <v>0.55000000000000004</v>
      </c>
      <c r="M2">
        <f>VLOOKUP(docs.Transactions!C2,docs.Benchmarks!A:D,3,FALSE)</f>
        <v>0.7</v>
      </c>
      <c r="N2">
        <f>VLOOKUP(docs.Transactions!C2,docs.Benchmarks!A:D,4,FALSE)</f>
        <v>0.18</v>
      </c>
      <c r="O2">
        <f ca="1">IFERROR(BENCHMARK_DELTA(H2,L2), H2-L2)</f>
        <v>-0.37000000000000005</v>
      </c>
      <c r="P2">
        <f ca="1">IFERROR(BENCHMARK_DELTA(I2,M2), I2-M2)</f>
        <v>-0.38999999999999996</v>
      </c>
      <c r="Q2" t="str">
        <f ca="1">IFERROR(KPI_TRAFFICLIGHT(K2,docs.Assumptions!$B$7,docs.Assumptions!$B$8), IF(K2&gt;=docs.Assumptions!$B$7,"GREEN", IF(K2&gt;=docs.Assumptions!$B$8,"AMBER","RED")))</f>
        <v>GREEN</v>
      </c>
      <c r="R2" t="str">
        <f ca="1">IFERROR(PRICE_BAND(B2), IF(B2&lt;2000,"LOW", IF(B2&lt;5000,"MED","HIGH")))</f>
        <v>LOW</v>
      </c>
    </row>
    <row r="3" spans="1:18" x14ac:dyDescent="0.3">
      <c r="A3" t="str">
        <f>docs.Transactions!A3</f>
        <v>P002</v>
      </c>
      <c r="B3">
        <f ca="1">IFERROR(PRICE_FINAL(docs.Transactions!D3,IF(docs.Transactions!E3="",docs.Assumptions!$B$2,docs.Transactions!E3),IF(docs.Transactions!F3="",docs.Assumptions!$B$3,docs.Transactions!F3)), docs.Transactions!D3*(1-IF(docs.Transactions!E3="",docs.Assumptions!$B$2,docs.Transactions!E3))*(1+IF(docs.Transactions!F3="",docs.Assumptions!$B$3,docs.Transactions!F3)))</f>
        <v>2463.7600000000002</v>
      </c>
      <c r="C3">
        <f>docs.Transactions!G3*IF(docs.Transactions!K3="",docs.Assumptions!$B$4,docs.Transactions!K3)</f>
        <v>338</v>
      </c>
      <c r="D3">
        <f>IFERROR(COMM_NET(docs.Transactions!G3,IF(docs.Transactions!K3="",docs.Assumptions!$B$4,docs.Transactions!K3)), docs.Transactions!G3*(1-IF(docs.Transactions!K3="",docs.Assumptions!$B$4,docs.Transactions!K3)))</f>
        <v>2262</v>
      </c>
      <c r="E3">
        <f>docs.Transactions!H3*docs.Transactions!I3</f>
        <v>576</v>
      </c>
      <c r="F3">
        <f>docs.Transactions!J3 + docs.Transactions!G3*docs.Assumptions!$B$5</f>
        <v>288</v>
      </c>
      <c r="G3">
        <f ca="1">IFERROR(BROKER_MARGIN(docs.Transactions!G3,E3,F3,C3), docs.Transactions!G3-E3-F3-C3)</f>
        <v>1398</v>
      </c>
      <c r="H3">
        <f ca="1">IFERROR(LOSS_RATIO(E3,docs.Transactions!G3), IF(docs.Transactions!G3=0,"",E3/docs.Transactions!G3))</f>
        <v>0.22153846153846155</v>
      </c>
      <c r="I3">
        <f ca="1">IFERROR(COMBINED_RATIO(E3,F3,docs.Transactions!G3), IF(docs.Transactions!G3=0,"",(E3+F3)/docs.Transactions!G3))</f>
        <v>0.3323076923076923</v>
      </c>
      <c r="J3">
        <f ca="1">IFERROR(CAPITAL_CHARGE(docs.Transactions!G3,docs.Assumptions!$B$6), docs.Transactions!G3*docs.Assumptions!$B$6)</f>
        <v>130</v>
      </c>
      <c r="K3">
        <f t="shared" ca="1" si="0"/>
        <v>1268</v>
      </c>
      <c r="L3">
        <f>VLOOKUP(docs.Transactions!C3,docs.Benchmarks!A:D,2,FALSE)</f>
        <v>0.6</v>
      </c>
      <c r="M3">
        <f>VLOOKUP(docs.Transactions!C3,docs.Benchmarks!A:D,3,FALSE)</f>
        <v>0.75</v>
      </c>
      <c r="N3">
        <f>VLOOKUP(docs.Transactions!C3,docs.Benchmarks!A:D,4,FALSE)</f>
        <v>0.16</v>
      </c>
      <c r="O3">
        <f ca="1">IFERROR(BENCHMARK_DELTA(H3,L3), H3-L3)</f>
        <v>-0.3784615384615384</v>
      </c>
      <c r="P3">
        <f ca="1">IFERROR(BENCHMARK_DELTA(I3,M3), I3-M3)</f>
        <v>-0.4176923076923077</v>
      </c>
      <c r="Q3" t="str">
        <f ca="1">IFERROR(KPI_TRAFFICLIGHT(K3,docs.Assumptions!$B$7,docs.Assumptions!$B$8), IF(K3&gt;=docs.Assumptions!$B$7,"GREEN", IF(K3&gt;=docs.Assumptions!$B$8,"AMBER","RED")))</f>
        <v>GREEN</v>
      </c>
      <c r="R3" t="str">
        <f ca="1">IFERROR(PRICE_BAND(B3), IF(B3&lt;2000,"LOW", IF(B3&lt;5000,"MED","HIGH")))</f>
        <v>MED</v>
      </c>
    </row>
    <row r="4" spans="1:18" x14ac:dyDescent="0.3">
      <c r="A4" t="str">
        <f>docs.Transactions!A4</f>
        <v>P003</v>
      </c>
      <c r="B4">
        <f ca="1">IFERROR(PRICE_FINAL(docs.Transactions!D4,IF(docs.Transactions!E4="",docs.Assumptions!$B$2,docs.Transactions!E4),IF(docs.Transactions!F4="",docs.Assumptions!$B$3,docs.Transactions!F4)), docs.Transactions!D4*(1-IF(docs.Transactions!E4="",docs.Assumptions!$B$2,docs.Transactions!E4))*(1+IF(docs.Transactions!F4="",docs.Assumptions!$B$3,docs.Transactions!F4)))</f>
        <v>4867.2</v>
      </c>
      <c r="C4">
        <f>docs.Transactions!G4*IF(docs.Transactions!K4="",docs.Assumptions!$B$4,docs.Transactions!K4)</f>
        <v>624</v>
      </c>
      <c r="D4">
        <f>IFERROR(COMM_NET(docs.Transactions!G4,IF(docs.Transactions!K4="",docs.Assumptions!$B$4,docs.Transactions!K4)), docs.Transactions!G4*(1-IF(docs.Transactions!K4="",docs.Assumptions!$B$4,docs.Transactions!K4)))</f>
        <v>4576</v>
      </c>
      <c r="E4">
        <f>docs.Transactions!H4*docs.Transactions!I4</f>
        <v>630.00000000000011</v>
      </c>
      <c r="F4">
        <f>docs.Transactions!J4 + docs.Transactions!G4*docs.Assumptions!$B$5</f>
        <v>536</v>
      </c>
      <c r="G4">
        <f ca="1">IFERROR(BROKER_MARGIN(docs.Transactions!G4,E4,F4,C4), docs.Transactions!G4-E4-F4-C4)</f>
        <v>3410</v>
      </c>
      <c r="H4">
        <f ca="1">IFERROR(LOSS_RATIO(E4,docs.Transactions!G4), IF(docs.Transactions!G4=0,"",E4/docs.Transactions!G4))</f>
        <v>0.12115384615384618</v>
      </c>
      <c r="I4">
        <f ca="1">IFERROR(COMBINED_RATIO(E4,F4,docs.Transactions!G4), IF(docs.Transactions!G4=0,"",(E4+F4)/docs.Transactions!G4))</f>
        <v>0.22423076923076923</v>
      </c>
      <c r="J4">
        <f ca="1">IFERROR(CAPITAL_CHARGE(docs.Transactions!G4,docs.Assumptions!$B$6), docs.Transactions!G4*docs.Assumptions!$B$6)</f>
        <v>260</v>
      </c>
      <c r="K4">
        <f t="shared" ca="1" si="0"/>
        <v>3150</v>
      </c>
      <c r="L4">
        <f>VLOOKUP(docs.Transactions!C4,docs.Benchmarks!A:D,2,FALSE)</f>
        <v>0.55000000000000004</v>
      </c>
      <c r="M4">
        <f>VLOOKUP(docs.Transactions!C4,docs.Benchmarks!A:D,3,FALSE)</f>
        <v>0.7</v>
      </c>
      <c r="N4">
        <f>VLOOKUP(docs.Transactions!C4,docs.Benchmarks!A:D,4,FALSE)</f>
        <v>0.18</v>
      </c>
      <c r="O4">
        <f ca="1">IFERROR(BENCHMARK_DELTA(H4,L4), H4-L4)</f>
        <v>-0.42884615384615388</v>
      </c>
      <c r="P4">
        <f ca="1">IFERROR(BENCHMARK_DELTA(I4,M4), I4-M4)</f>
        <v>-0.47576923076923072</v>
      </c>
      <c r="Q4" t="str">
        <f ca="1">IFERROR(KPI_TRAFFICLIGHT(K4,docs.Assumptions!$B$7,docs.Assumptions!$B$8), IF(K4&gt;=docs.Assumptions!$B$7,"GREEN", IF(K4&gt;=docs.Assumptions!$B$8,"AMBER","RED")))</f>
        <v>GREEN</v>
      </c>
      <c r="R4" t="str">
        <f ca="1">IFERROR(PRICE_BAND(B4), IF(B4&lt;2000,"LOW", IF(B4&lt;5000,"MED","HIGH")))</f>
        <v>MED</v>
      </c>
    </row>
    <row r="5" spans="1:18" x14ac:dyDescent="0.3">
      <c r="A5" t="str">
        <f>docs.Transactions!A5</f>
        <v>P004</v>
      </c>
      <c r="B5">
        <f ca="1">IFERROR(PRICE_FINAL(docs.Transactions!D5,IF(docs.Transactions!E5="",docs.Assumptions!$B$2,docs.Transactions!E5),IF(docs.Transactions!F5="",docs.Assumptions!$B$3,docs.Transactions!F5)), docs.Transactions!D5*(1-IF(docs.Transactions!E5="",docs.Assumptions!$B$2,docs.Transactions!E5))*(1+IF(docs.Transactions!F5="",docs.Assumptions!$B$3,docs.Transactions!F5)))</f>
        <v>775.68000000000006</v>
      </c>
      <c r="C5">
        <f>docs.Transactions!G5*IF(docs.Transactions!K5="",docs.Assumptions!$B$4,docs.Transactions!K5)</f>
        <v>88</v>
      </c>
      <c r="D5">
        <f>IFERROR(COMM_NET(docs.Transactions!G5,IF(docs.Transactions!K5="",docs.Assumptions!$B$4,docs.Transactions!K5)), docs.Transactions!G5*(1-IF(docs.Transactions!K5="",docs.Assumptions!$B$4,docs.Transactions!K5)))</f>
        <v>712</v>
      </c>
      <c r="E5">
        <f>docs.Transactions!H5*docs.Transactions!I5</f>
        <v>280</v>
      </c>
      <c r="F5">
        <f>docs.Transactions!J5 + docs.Transactions!G5*docs.Assumptions!$B$5</f>
        <v>114</v>
      </c>
      <c r="G5">
        <f ca="1">IFERROR(BROKER_MARGIN(docs.Transactions!G5,E5,F5,C5), docs.Transactions!G5-E5-F5-C5)</f>
        <v>318</v>
      </c>
      <c r="H5">
        <f ca="1">IFERROR(LOSS_RATIO(E5,docs.Transactions!G5), IF(docs.Transactions!G5=0,"",E5/docs.Transactions!G5))</f>
        <v>0.35</v>
      </c>
      <c r="I5">
        <f ca="1">IFERROR(COMBINED_RATIO(E5,F5,docs.Transactions!G5), IF(docs.Transactions!G5=0,"",(E5+F5)/docs.Transactions!G5))</f>
        <v>0.49249999999999999</v>
      </c>
      <c r="J5">
        <f ca="1">IFERROR(CAPITAL_CHARGE(docs.Transactions!G5,docs.Assumptions!$B$6), docs.Transactions!G5*docs.Assumptions!$B$6)</f>
        <v>40</v>
      </c>
      <c r="K5">
        <f t="shared" ca="1" si="0"/>
        <v>278</v>
      </c>
      <c r="L5">
        <f>VLOOKUP(docs.Transactions!C5,docs.Benchmarks!A:D,2,FALSE)</f>
        <v>0.5</v>
      </c>
      <c r="M5">
        <f>VLOOKUP(docs.Transactions!C5,docs.Benchmarks!A:D,3,FALSE)</f>
        <v>0.68</v>
      </c>
      <c r="N5">
        <f>VLOOKUP(docs.Transactions!C5,docs.Benchmarks!A:D,4,FALSE)</f>
        <v>0.2</v>
      </c>
      <c r="O5">
        <f ca="1">IFERROR(BENCHMARK_DELTA(H5,L5), H5-L5)</f>
        <v>-0.15000000000000002</v>
      </c>
      <c r="P5">
        <f ca="1">IFERROR(BENCHMARK_DELTA(I5,M5), I5-M5)</f>
        <v>-0.18750000000000006</v>
      </c>
      <c r="Q5" t="str">
        <f ca="1">IFERROR(KPI_TRAFFICLIGHT(K5,docs.Assumptions!$B$7,docs.Assumptions!$B$8), IF(K5&gt;=docs.Assumptions!$B$7,"GREEN", IF(K5&gt;=docs.Assumptions!$B$8,"AMBER","RED")))</f>
        <v>GREEN</v>
      </c>
      <c r="R5" t="str">
        <f ca="1">IFERROR(PRICE_BAND(B5), IF(B5&lt;2000,"LOW", IF(B5&lt;5000,"MED","HIGH")))</f>
        <v>LOW</v>
      </c>
    </row>
    <row r="6" spans="1:18" x14ac:dyDescent="0.3">
      <c r="A6" t="str">
        <f>docs.Transactions!A6</f>
        <v>P005</v>
      </c>
      <c r="B6">
        <f ca="1">IFERROR(PRICE_FINAL(docs.Transactions!D6,IF(docs.Transactions!E6="",docs.Assumptions!$B$2,docs.Transactions!E6),IF(docs.Transactions!F6="",docs.Assumptions!$B$3,docs.Transactions!F6)), docs.Transactions!D6*(1-IF(docs.Transactions!E6="",docs.Assumptions!$B$2,docs.Transactions!E6))*(1+IF(docs.Transactions!F6="",docs.Assumptions!$B$3,docs.Transactions!F6)))</f>
        <v>3969.62</v>
      </c>
      <c r="C6">
        <f>docs.Transactions!G6*IF(docs.Transactions!K6="",docs.Assumptions!$B$4,docs.Transactions!K6)</f>
        <v>492</v>
      </c>
      <c r="D6">
        <f>IFERROR(COMM_NET(docs.Transactions!G6,IF(docs.Transactions!K6="",docs.Assumptions!$B$4,docs.Transactions!K6)), docs.Transactions!G6*(1-IF(docs.Transactions!K6="",docs.Assumptions!$B$4,docs.Transactions!K6)))</f>
        <v>3608</v>
      </c>
      <c r="E6">
        <f>docs.Transactions!H6*docs.Transactions!I6</f>
        <v>608</v>
      </c>
      <c r="F6">
        <f>docs.Transactions!J6 + docs.Transactions!G6*docs.Assumptions!$B$5</f>
        <v>423</v>
      </c>
      <c r="G6">
        <f ca="1">IFERROR(BROKER_MARGIN(docs.Transactions!G6,E6,F6,C6), docs.Transactions!G6-E6-F6-C6)</f>
        <v>2577</v>
      </c>
      <c r="H6">
        <f ca="1">IFERROR(LOSS_RATIO(E6,docs.Transactions!G6), IF(docs.Transactions!G6=0,"",E6/docs.Transactions!G6))</f>
        <v>0.14829268292682926</v>
      </c>
      <c r="I6">
        <f ca="1">IFERROR(COMBINED_RATIO(E6,F6,docs.Transactions!G6), IF(docs.Transactions!G6=0,"",(E6+F6)/docs.Transactions!G6))</f>
        <v>0.25146341463414634</v>
      </c>
      <c r="J6">
        <f ca="1">IFERROR(CAPITAL_CHARGE(docs.Transactions!G6,docs.Assumptions!$B$6), docs.Transactions!G6*docs.Assumptions!$B$6)</f>
        <v>205</v>
      </c>
      <c r="K6">
        <f t="shared" ca="1" si="0"/>
        <v>2372</v>
      </c>
      <c r="L6">
        <f>VLOOKUP(docs.Transactions!C6,docs.Benchmarks!A:D,2,FALSE)</f>
        <v>0.6</v>
      </c>
      <c r="M6">
        <f>VLOOKUP(docs.Transactions!C6,docs.Benchmarks!A:D,3,FALSE)</f>
        <v>0.75</v>
      </c>
      <c r="N6">
        <f>VLOOKUP(docs.Transactions!C6,docs.Benchmarks!A:D,4,FALSE)</f>
        <v>0.16</v>
      </c>
      <c r="O6">
        <f ca="1">IFERROR(BENCHMARK_DELTA(H6,L6), H6-L6)</f>
        <v>-0.45170731707317069</v>
      </c>
      <c r="P6">
        <f ca="1">IFERROR(BENCHMARK_DELTA(I6,M6), I6-M6)</f>
        <v>-0.49853658536585366</v>
      </c>
      <c r="Q6" t="str">
        <f ca="1">IFERROR(KPI_TRAFFICLIGHT(K6,docs.Assumptions!$B$7,docs.Assumptions!$B$8), IF(K6&gt;=docs.Assumptions!$B$7,"GREEN", IF(K6&gt;=docs.Assumptions!$B$8,"AMBER","RED")))</f>
        <v>GREEN</v>
      </c>
      <c r="R6" t="str">
        <f ca="1">IFERROR(PRICE_BAND(B6), IF(B6&lt;2000,"LOW", IF(B6&lt;5000,"MED","HIGH")))</f>
        <v>MED</v>
      </c>
    </row>
    <row r="7" spans="1:18" x14ac:dyDescent="0.3">
      <c r="A7" t="str">
        <f>docs.Transactions!A7</f>
        <v>P006</v>
      </c>
      <c r="B7">
        <f ca="1">IFERROR(PRICE_FINAL(docs.Transactions!D7,IF(docs.Transactions!E7="",docs.Assumptions!$B$2,docs.Transactions!E7),IF(docs.Transactions!F7="",docs.Assumptions!$B$3,docs.Transactions!F7)), docs.Transactions!D7*(1-IF(docs.Transactions!E7="",docs.Assumptions!$B$2,docs.Transactions!E7))*(1+IF(docs.Transactions!F7="",docs.Assumptions!$B$3,docs.Transactions!F7)))</f>
        <v>2969.4900000000002</v>
      </c>
      <c r="C7">
        <f>docs.Transactions!G7*IF(docs.Transactions!K7="",docs.Assumptions!$B$4,docs.Transactions!K7)</f>
        <v>372</v>
      </c>
      <c r="D7">
        <f>IFERROR(COMM_NET(docs.Transactions!G7,IF(docs.Transactions!K7="",docs.Assumptions!$B$4,docs.Transactions!K7)), docs.Transactions!G7*(1-IF(docs.Transactions!K7="",docs.Assumptions!$B$4,docs.Transactions!K7)))</f>
        <v>2728</v>
      </c>
      <c r="E7">
        <f>docs.Transactions!H7*docs.Transactions!I7</f>
        <v>338</v>
      </c>
      <c r="F7">
        <f>docs.Transactions!J7 + docs.Transactions!G7*docs.Assumptions!$B$5</f>
        <v>323</v>
      </c>
      <c r="G7">
        <f ca="1">IFERROR(BROKER_MARGIN(docs.Transactions!G7,E7,F7,C7), docs.Transactions!G7-E7-F7-C7)</f>
        <v>2067</v>
      </c>
      <c r="H7">
        <f ca="1">IFERROR(LOSS_RATIO(E7,docs.Transactions!G7), IF(docs.Transactions!G7=0,"",E7/docs.Transactions!G7))</f>
        <v>0.10903225806451614</v>
      </c>
      <c r="I7">
        <f ca="1">IFERROR(COMBINED_RATIO(E7,F7,docs.Transactions!G7), IF(docs.Transactions!G7=0,"",(E7+F7)/docs.Transactions!G7))</f>
        <v>0.2132258064516129</v>
      </c>
      <c r="J7">
        <f ca="1">IFERROR(CAPITAL_CHARGE(docs.Transactions!G7,docs.Assumptions!$B$6), docs.Transactions!G7*docs.Assumptions!$B$6)</f>
        <v>155</v>
      </c>
      <c r="K7">
        <f t="shared" ca="1" si="0"/>
        <v>1912</v>
      </c>
      <c r="L7">
        <f>VLOOKUP(docs.Transactions!C7,docs.Benchmarks!A:D,2,FALSE)</f>
        <v>0.55000000000000004</v>
      </c>
      <c r="M7">
        <f>VLOOKUP(docs.Transactions!C7,docs.Benchmarks!A:D,3,FALSE)</f>
        <v>0.7</v>
      </c>
      <c r="N7">
        <f>VLOOKUP(docs.Transactions!C7,docs.Benchmarks!A:D,4,FALSE)</f>
        <v>0.18</v>
      </c>
      <c r="O7">
        <f ca="1">IFERROR(BENCHMARK_DELTA(H7,L7), H7-L7)</f>
        <v>-0.44096774193548394</v>
      </c>
      <c r="P7">
        <f ca="1">IFERROR(BENCHMARK_DELTA(I7,M7), I7-M7)</f>
        <v>-0.48677419354838702</v>
      </c>
      <c r="Q7" t="str">
        <f ca="1">IFERROR(KPI_TRAFFICLIGHT(K7,docs.Assumptions!$B$7,docs.Assumptions!$B$8), IF(K7&gt;=docs.Assumptions!$B$7,"GREEN", IF(K7&gt;=docs.Assumptions!$B$8,"AMBER","RED")))</f>
        <v>GREEN</v>
      </c>
      <c r="R7" t="str">
        <f ca="1">IFERROR(PRICE_BAND(B7), IF(B7&lt;2000,"LOW", IF(B7&lt;5000,"MED","HIGH")))</f>
        <v>MED</v>
      </c>
    </row>
    <row r="8" spans="1:18" x14ac:dyDescent="0.3">
      <c r="A8" t="str">
        <f>docs.Transactions!A8</f>
        <v>P007</v>
      </c>
      <c r="B8">
        <f ca="1">IFERROR(PRICE_FINAL(docs.Transactions!D8,IF(docs.Transactions!E8="",docs.Assumptions!$B$2,docs.Transactions!E8),IF(docs.Transactions!F8="",docs.Assumptions!$B$3,docs.Transactions!F8)), docs.Transactions!D8*(1-IF(docs.Transactions!E8="",docs.Assumptions!$B$2,docs.Transactions!E8))*(1+IF(docs.Transactions!F8="",docs.Assumptions!$B$3,docs.Transactions!F8)))</f>
        <v>2131.8000000000002</v>
      </c>
      <c r="C8">
        <f>docs.Transactions!G8*IF(docs.Transactions!K8="",docs.Assumptions!$B$4,docs.Transactions!K8)</f>
        <v>264</v>
      </c>
      <c r="D8">
        <f>IFERROR(COMM_NET(docs.Transactions!G8,IF(docs.Transactions!K8="",docs.Assumptions!$B$4,docs.Transactions!K8)), docs.Transactions!G8*(1-IF(docs.Transactions!K8="",docs.Assumptions!$B$4,docs.Transactions!K8)))</f>
        <v>1936</v>
      </c>
      <c r="E8">
        <f>docs.Transactions!H8*docs.Transactions!I8</f>
        <v>285</v>
      </c>
      <c r="F8">
        <f>docs.Transactions!J8 + docs.Transactions!G8*docs.Assumptions!$B$5</f>
        <v>241</v>
      </c>
      <c r="G8">
        <f ca="1">IFERROR(BROKER_MARGIN(docs.Transactions!G8,E8,F8,C8), docs.Transactions!G8-E8-F8-C8)</f>
        <v>1410</v>
      </c>
      <c r="H8">
        <f ca="1">IFERROR(LOSS_RATIO(E8,docs.Transactions!G8), IF(docs.Transactions!G8=0,"",E8/docs.Transactions!G8))</f>
        <v>0.12954545454545455</v>
      </c>
      <c r="I8">
        <f ca="1">IFERROR(COMBINED_RATIO(E8,F8,docs.Transactions!G8), IF(docs.Transactions!G8=0,"",(E8+F8)/docs.Transactions!G8))</f>
        <v>0.2390909090909091</v>
      </c>
      <c r="J8">
        <f ca="1">IFERROR(CAPITAL_CHARGE(docs.Transactions!G8,docs.Assumptions!$B$6), docs.Transactions!G8*docs.Assumptions!$B$6)</f>
        <v>110</v>
      </c>
      <c r="K8">
        <f t="shared" ca="1" si="0"/>
        <v>1300</v>
      </c>
      <c r="L8">
        <f>VLOOKUP(docs.Transactions!C8,docs.Benchmarks!A:D,2,FALSE)</f>
        <v>0.5</v>
      </c>
      <c r="M8">
        <f>VLOOKUP(docs.Transactions!C8,docs.Benchmarks!A:D,3,FALSE)</f>
        <v>0.68</v>
      </c>
      <c r="N8">
        <f>VLOOKUP(docs.Transactions!C8,docs.Benchmarks!A:D,4,FALSE)</f>
        <v>0.2</v>
      </c>
      <c r="O8">
        <f ca="1">IFERROR(BENCHMARK_DELTA(H8,L8), H8-L8)</f>
        <v>-0.37045454545454548</v>
      </c>
      <c r="P8">
        <f ca="1">IFERROR(BENCHMARK_DELTA(I8,M8), I8-M8)</f>
        <v>-0.44090909090909092</v>
      </c>
      <c r="Q8" t="str">
        <f ca="1">IFERROR(KPI_TRAFFICLIGHT(K8,docs.Assumptions!$B$7,docs.Assumptions!$B$8), IF(K8&gt;=docs.Assumptions!$B$7,"GREEN", IF(K8&gt;=docs.Assumptions!$B$8,"AMBER","RED")))</f>
        <v>GREEN</v>
      </c>
      <c r="R8" t="str">
        <f ca="1">IFERROR(PRICE_BAND(B8), IF(B8&lt;2000,"LOW", IF(B8&lt;5000,"MED","HIGH")))</f>
        <v>MED</v>
      </c>
    </row>
    <row r="9" spans="1:18" x14ac:dyDescent="0.3">
      <c r="A9" t="str">
        <f>docs.Transactions!A9</f>
        <v>P008</v>
      </c>
      <c r="B9">
        <f ca="1">IFERROR(PRICE_FINAL(docs.Transactions!D9,IF(docs.Transactions!E9="",docs.Assumptions!$B$2,docs.Transactions!E9),IF(docs.Transactions!F9="",docs.Assumptions!$B$3,docs.Transactions!F9)), docs.Transactions!D9*(1-IF(docs.Transactions!E9="",docs.Assumptions!$B$2,docs.Transactions!E9))*(1+IF(docs.Transactions!F9="",docs.Assumptions!$B$3,docs.Transactions!F9)))</f>
        <v>1484.1000000000001</v>
      </c>
      <c r="C9">
        <f>docs.Transactions!G9*IF(docs.Transactions!K9="",docs.Assumptions!$B$4,docs.Transactions!K9)</f>
        <v>210.00000000000003</v>
      </c>
      <c r="D9">
        <f>IFERROR(COMM_NET(docs.Transactions!G9,IF(docs.Transactions!K9="",docs.Assumptions!$B$4,docs.Transactions!K9)), docs.Transactions!G9*(1-IF(docs.Transactions!K9="",docs.Assumptions!$B$4,docs.Transactions!K9)))</f>
        <v>1290</v>
      </c>
      <c r="E9">
        <f>docs.Transactions!H9*docs.Transactions!I9</f>
        <v>231</v>
      </c>
      <c r="F9">
        <f>docs.Transactions!J9 + docs.Transactions!G9*docs.Assumptions!$B$5</f>
        <v>175</v>
      </c>
      <c r="G9">
        <f ca="1">IFERROR(BROKER_MARGIN(docs.Transactions!G9,E9,F9,C9), docs.Transactions!G9-E9-F9-C9)</f>
        <v>884</v>
      </c>
      <c r="H9">
        <f ca="1">IFERROR(LOSS_RATIO(E9,docs.Transactions!G9), IF(docs.Transactions!G9=0,"",E9/docs.Transactions!G9))</f>
        <v>0.154</v>
      </c>
      <c r="I9">
        <f ca="1">IFERROR(COMBINED_RATIO(E9,F9,docs.Transactions!G9), IF(docs.Transactions!G9=0,"",(E9+F9)/docs.Transactions!G9))</f>
        <v>0.27066666666666667</v>
      </c>
      <c r="J9">
        <f ca="1">IFERROR(CAPITAL_CHARGE(docs.Transactions!G9,docs.Assumptions!$B$6), docs.Transactions!G9*docs.Assumptions!$B$6)</f>
        <v>75</v>
      </c>
      <c r="K9">
        <f t="shared" ca="1" si="0"/>
        <v>809</v>
      </c>
      <c r="L9">
        <f>VLOOKUP(docs.Transactions!C9,docs.Benchmarks!A:D,2,FALSE)</f>
        <v>0.55000000000000004</v>
      </c>
      <c r="M9">
        <f>VLOOKUP(docs.Transactions!C9,docs.Benchmarks!A:D,3,FALSE)</f>
        <v>0.7</v>
      </c>
      <c r="N9">
        <f>VLOOKUP(docs.Transactions!C9,docs.Benchmarks!A:D,4,FALSE)</f>
        <v>0.18</v>
      </c>
      <c r="O9">
        <f ca="1">IFERROR(BENCHMARK_DELTA(H9,L9), H9-L9)</f>
        <v>-0.39600000000000002</v>
      </c>
      <c r="P9">
        <f ca="1">IFERROR(BENCHMARK_DELTA(I9,M9), I9-M9)</f>
        <v>-0.42933333333333329</v>
      </c>
      <c r="Q9" t="str">
        <f ca="1">IFERROR(KPI_TRAFFICLIGHT(K9,docs.Assumptions!$B$7,docs.Assumptions!$B$8), IF(K9&gt;=docs.Assumptions!$B$7,"GREEN", IF(K9&gt;=docs.Assumptions!$B$8,"AMBER","RED")))</f>
        <v>GREEN</v>
      </c>
      <c r="R9" t="str">
        <f ca="1">IFERROR(PRICE_BAND(B9), IF(B9&lt;2000,"LOW", IF(B9&lt;5000,"MED","HIGH")))</f>
        <v>LOW</v>
      </c>
    </row>
    <row r="10" spans="1:18" x14ac:dyDescent="0.3">
      <c r="A10" t="str">
        <f>docs.Transactions!A10</f>
        <v>P009</v>
      </c>
      <c r="B10">
        <f ca="1">IFERROR(PRICE_FINAL(docs.Transactions!D10,IF(docs.Transactions!E10="",docs.Assumptions!$B$2,docs.Transactions!E10),IF(docs.Transactions!F10="",docs.Assumptions!$B$3,docs.Transactions!F10)), docs.Transactions!D10*(1-IF(docs.Transactions!E10="",docs.Assumptions!$B$2,docs.Transactions!E10))*(1+IF(docs.Transactions!F10="",docs.Assumptions!$B$3,docs.Transactions!F10)))</f>
        <v>6283.2</v>
      </c>
      <c r="C10">
        <f>docs.Transactions!G10*IF(docs.Transactions!K10="",docs.Assumptions!$B$4,docs.Transactions!K10)</f>
        <v>816</v>
      </c>
      <c r="D10">
        <f>IFERROR(COMM_NET(docs.Transactions!G10,IF(docs.Transactions!K10="",docs.Assumptions!$B$4,docs.Transactions!K10)), docs.Transactions!G10*(1-IF(docs.Transactions!K10="",docs.Assumptions!$B$4,docs.Transactions!K10)))</f>
        <v>5984</v>
      </c>
      <c r="E10">
        <f>docs.Transactions!H10*docs.Transactions!I10</f>
        <v>1144</v>
      </c>
      <c r="F10">
        <f>docs.Transactions!J10 + docs.Transactions!G10*docs.Assumptions!$B$5</f>
        <v>694</v>
      </c>
      <c r="G10">
        <f ca="1">IFERROR(BROKER_MARGIN(docs.Transactions!G10,E10,F10,C10), docs.Transactions!G10-E10-F10-C10)</f>
        <v>4146</v>
      </c>
      <c r="H10">
        <f ca="1">IFERROR(LOSS_RATIO(E10,docs.Transactions!G10), IF(docs.Transactions!G10=0,"",E10/docs.Transactions!G10))</f>
        <v>0.16823529411764707</v>
      </c>
      <c r="I10">
        <f ca="1">IFERROR(COMBINED_RATIO(E10,F10,docs.Transactions!G10), IF(docs.Transactions!G10=0,"",(E10+F10)/docs.Transactions!G10))</f>
        <v>0.2702941176470588</v>
      </c>
      <c r="J10">
        <f ca="1">IFERROR(CAPITAL_CHARGE(docs.Transactions!G10,docs.Assumptions!$B$6), docs.Transactions!G10*docs.Assumptions!$B$6)</f>
        <v>340</v>
      </c>
      <c r="K10">
        <f t="shared" ca="1" si="0"/>
        <v>3806</v>
      </c>
      <c r="L10">
        <f>VLOOKUP(docs.Transactions!C10,docs.Benchmarks!A:D,2,FALSE)</f>
        <v>0.6</v>
      </c>
      <c r="M10">
        <f>VLOOKUP(docs.Transactions!C10,docs.Benchmarks!A:D,3,FALSE)</f>
        <v>0.75</v>
      </c>
      <c r="N10">
        <f>VLOOKUP(docs.Transactions!C10,docs.Benchmarks!A:D,4,FALSE)</f>
        <v>0.16</v>
      </c>
      <c r="O10">
        <f ca="1">IFERROR(BENCHMARK_DELTA(H10,L10), H10-L10)</f>
        <v>-0.43176470588235294</v>
      </c>
      <c r="P10">
        <f ca="1">IFERROR(BENCHMARK_DELTA(I10,M10), I10-M10)</f>
        <v>-0.4797058823529412</v>
      </c>
      <c r="Q10" t="str">
        <f ca="1">IFERROR(KPI_TRAFFICLIGHT(K10,docs.Assumptions!$B$7,docs.Assumptions!$B$8), IF(K10&gt;=docs.Assumptions!$B$7,"GREEN", IF(K10&gt;=docs.Assumptions!$B$8,"AMBER","RED")))</f>
        <v>GREEN</v>
      </c>
      <c r="R10" t="str">
        <f ca="1">IFERROR(PRICE_BAND(B10), IF(B10&lt;2000,"LOW", IF(B10&lt;5000,"MED","HIGH")))</f>
        <v>HIGH</v>
      </c>
    </row>
    <row r="11" spans="1:18" x14ac:dyDescent="0.3">
      <c r="A11" t="str">
        <f>docs.Transactions!A11</f>
        <v>P010</v>
      </c>
      <c r="B11">
        <f ca="1">IFERROR(PRICE_FINAL(docs.Transactions!D11,IF(docs.Transactions!E11="",docs.Assumptions!$B$2,docs.Transactions!E11),IF(docs.Transactions!F11="",docs.Assumptions!$B$3,docs.Transactions!F11)), docs.Transactions!D11*(1-IF(docs.Transactions!E11="",docs.Assumptions!$B$2,docs.Transactions!E11))*(1+IF(docs.Transactions!F11="",docs.Assumptions!$B$3,docs.Transactions!F11)))</f>
        <v>4405.3100000000004</v>
      </c>
      <c r="C11">
        <f>docs.Transactions!G11*IF(docs.Transactions!K11="",docs.Assumptions!$B$4,docs.Transactions!K11)</f>
        <v>564</v>
      </c>
      <c r="D11">
        <f>IFERROR(COMM_NET(docs.Transactions!G11,IF(docs.Transactions!K11="",docs.Assumptions!$B$4,docs.Transactions!K11)), docs.Transactions!G11*(1-IF(docs.Transactions!K11="",docs.Assumptions!$B$4,docs.Transactions!K11)))</f>
        <v>4136</v>
      </c>
      <c r="E11">
        <f>docs.Transactions!H11*docs.Transactions!I11</f>
        <v>615</v>
      </c>
      <c r="F11">
        <f>docs.Transactions!J11 + docs.Transactions!G11*docs.Assumptions!$B$5</f>
        <v>486</v>
      </c>
      <c r="G11">
        <f ca="1">IFERROR(BROKER_MARGIN(docs.Transactions!G11,E11,F11,C11), docs.Transactions!G11-E11-F11-C11)</f>
        <v>3035</v>
      </c>
      <c r="H11">
        <f ca="1">IFERROR(LOSS_RATIO(E11,docs.Transactions!G11), IF(docs.Transactions!G11=0,"",E11/docs.Transactions!G11))</f>
        <v>0.13085106382978723</v>
      </c>
      <c r="I11">
        <f ca="1">IFERROR(COMBINED_RATIO(E11,F11,docs.Transactions!G11), IF(docs.Transactions!G11=0,"",(E11+F11)/docs.Transactions!G11))</f>
        <v>0.23425531914893616</v>
      </c>
      <c r="J11">
        <f ca="1">IFERROR(CAPITAL_CHARGE(docs.Transactions!G11,docs.Assumptions!$B$6), docs.Transactions!G11*docs.Assumptions!$B$6)</f>
        <v>235</v>
      </c>
      <c r="K11">
        <f t="shared" ca="1" si="0"/>
        <v>2800</v>
      </c>
      <c r="L11">
        <f>VLOOKUP(docs.Transactions!C11,docs.Benchmarks!A:D,2,FALSE)</f>
        <v>0.55000000000000004</v>
      </c>
      <c r="M11">
        <f>VLOOKUP(docs.Transactions!C11,docs.Benchmarks!A:D,3,FALSE)</f>
        <v>0.7</v>
      </c>
      <c r="N11">
        <f>VLOOKUP(docs.Transactions!C11,docs.Benchmarks!A:D,4,FALSE)</f>
        <v>0.18</v>
      </c>
      <c r="O11">
        <f ca="1">IFERROR(BENCHMARK_DELTA(H11,L11), H11-L11)</f>
        <v>-0.41914893617021282</v>
      </c>
      <c r="P11">
        <f ca="1">IFERROR(BENCHMARK_DELTA(I11,M11), I11-M11)</f>
        <v>-0.4657446808510638</v>
      </c>
      <c r="Q11" t="str">
        <f ca="1">IFERROR(KPI_TRAFFICLIGHT(K11,docs.Assumptions!$B$7,docs.Assumptions!$B$8), IF(K11&gt;=docs.Assumptions!$B$7,"GREEN", IF(K11&gt;=docs.Assumptions!$B$8,"AMBER","RED")))</f>
        <v>GREEN</v>
      </c>
      <c r="R11" t="str">
        <f ca="1">IFERROR(PRICE_BAND(B11), IF(B11&lt;2000,"LOW", IF(B11&lt;5000,"MED","HIGH")))</f>
        <v>MED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14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28" customWidth="1"/>
    <col min="2" max="2" width="22" customWidth="1"/>
  </cols>
  <sheetData>
    <row r="1" spans="1:2" x14ac:dyDescent="0.3">
      <c r="A1" t="s">
        <v>69</v>
      </c>
    </row>
    <row r="3" spans="1:2" x14ac:dyDescent="0.3">
      <c r="A3" t="s">
        <v>70</v>
      </c>
      <c r="B3">
        <f>SUM(docs.Transactions!G2:G11)</f>
        <v>32200</v>
      </c>
    </row>
    <row r="4" spans="1:2" x14ac:dyDescent="0.3">
      <c r="A4" t="s">
        <v>71</v>
      </c>
      <c r="B4">
        <f>SUM(docs.Calc!E2:E11)</f>
        <v>4923</v>
      </c>
    </row>
    <row r="5" spans="1:2" x14ac:dyDescent="0.3">
      <c r="A5" t="s">
        <v>72</v>
      </c>
      <c r="B5">
        <f>SUM(docs.Calc!F2:F11)</f>
        <v>3436</v>
      </c>
    </row>
    <row r="6" spans="1:2" x14ac:dyDescent="0.3">
      <c r="A6" t="s">
        <v>73</v>
      </c>
      <c r="B6">
        <f>SUM(docs.Calc!C2:C11)</f>
        <v>3912</v>
      </c>
    </row>
    <row r="7" spans="1:2" x14ac:dyDescent="0.3">
      <c r="A7" t="s">
        <v>74</v>
      </c>
      <c r="B7">
        <f ca="1">SUM(docs.Calc!G2:G11)</f>
        <v>19929</v>
      </c>
    </row>
    <row r="8" spans="1:2" x14ac:dyDescent="0.3">
      <c r="A8" t="s">
        <v>75</v>
      </c>
      <c r="B8">
        <f ca="1">SUM(docs.Calc!J2:J11)</f>
        <v>1610</v>
      </c>
    </row>
    <row r="9" spans="1:2" x14ac:dyDescent="0.3">
      <c r="A9" t="s">
        <v>76</v>
      </c>
      <c r="B9">
        <f ca="1">SUM(docs.Calc!K2:K11)</f>
        <v>18319</v>
      </c>
    </row>
    <row r="10" spans="1:2" x14ac:dyDescent="0.3">
      <c r="A10" t="s">
        <v>77</v>
      </c>
      <c r="B10">
        <f ca="1">AVERAGE(docs.Calc!H2:H11)</f>
        <v>0.17126490611765419</v>
      </c>
    </row>
    <row r="11" spans="1:2" x14ac:dyDescent="0.3">
      <c r="A11" t="s">
        <v>78</v>
      </c>
      <c r="B11">
        <f ca="1">AVERAGE(docs.Calc!I2:I11)</f>
        <v>0.28380346951777918</v>
      </c>
    </row>
    <row r="12" spans="1:2" x14ac:dyDescent="0.3">
      <c r="A12" t="s">
        <v>79</v>
      </c>
      <c r="B12">
        <f ca="1">COUNTIF(docs.Calc!Q2:Q11,"GREEN")</f>
        <v>10</v>
      </c>
    </row>
    <row r="13" spans="1:2" x14ac:dyDescent="0.3">
      <c r="A13" t="s">
        <v>80</v>
      </c>
      <c r="B13">
        <f ca="1">COUNTIF(docs.Calc!Q2:Q11,"AMBER")</f>
        <v>0</v>
      </c>
    </row>
    <row r="14" spans="1:2" x14ac:dyDescent="0.3">
      <c r="A14" t="s">
        <v>81</v>
      </c>
      <c r="B14">
        <f ca="1">COUNTIF(docs.Calc!Q2:Q11,"RED")</f>
        <v>0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D16"/>
  <sheetViews>
    <sheetView workbookViewId="0">
      <pane ySplit="1" topLeftCell="A2" activePane="bottomLeft" state="frozen"/>
      <selection pane="bottomLeft" activeCell="C8" sqref="C8"/>
    </sheetView>
  </sheetViews>
  <sheetFormatPr defaultRowHeight="14.4" x14ac:dyDescent="0.3"/>
  <cols>
    <col min="1" max="4" width="20" customWidth="1"/>
  </cols>
  <sheetData>
    <row r="1" spans="1:4" x14ac:dyDescent="0.3">
      <c r="A1" t="s">
        <v>82</v>
      </c>
    </row>
    <row r="3" spans="1:4" x14ac:dyDescent="0.3">
      <c r="A3" t="s">
        <v>30</v>
      </c>
      <c r="B3" t="s">
        <v>70</v>
      </c>
      <c r="C3" t="s">
        <v>74</v>
      </c>
      <c r="D3" t="s">
        <v>76</v>
      </c>
    </row>
    <row r="4" spans="1:4" x14ac:dyDescent="0.3">
      <c r="A4" t="s">
        <v>40</v>
      </c>
      <c r="B4">
        <f>SUMIF(docs.Transactions!B:B,A4,docs.Transactions!G:G)</f>
        <v>10700</v>
      </c>
      <c r="C4">
        <f ca="1">SUMIF(docs.Transactions!B:B,A4,docs.Calc!G:G)</f>
        <v>6527</v>
      </c>
      <c r="D4">
        <f ca="1">SUMIF(docs.Transactions!B:B,A4,docs.Calc!K:K)</f>
        <v>5992</v>
      </c>
    </row>
    <row r="5" spans="1:4" x14ac:dyDescent="0.3">
      <c r="A5" t="s">
        <v>43</v>
      </c>
      <c r="B5">
        <f>SUMIF(docs.Transactions!B:B,A5,docs.Transactions!G:G)</f>
        <v>10800</v>
      </c>
      <c r="C5">
        <f ca="1">SUMIF(docs.Transactions!B:B,A5,docs.Calc!G:G)</f>
        <v>6871</v>
      </c>
      <c r="D5">
        <f ca="1">SUMIF(docs.Transactions!B:B,A5,docs.Calc!K:K)</f>
        <v>6331</v>
      </c>
    </row>
    <row r="6" spans="1:4" x14ac:dyDescent="0.3">
      <c r="A6" t="s">
        <v>45</v>
      </c>
      <c r="B6">
        <f>SUMIF(docs.Transactions!B:B,A6,docs.Transactions!G:G)</f>
        <v>10700</v>
      </c>
      <c r="C6">
        <f ca="1">SUMIF(docs.Transactions!B:B,A6,docs.Calc!G:G)</f>
        <v>6531</v>
      </c>
      <c r="D6">
        <f ca="1">SUMIF(docs.Transactions!B:B,A6,docs.Calc!K:K)</f>
        <v>5996</v>
      </c>
    </row>
    <row r="12" spans="1:4" x14ac:dyDescent="0.3">
      <c r="C12">
        <v>123</v>
      </c>
    </row>
    <row r="16" spans="1:4" x14ac:dyDescent="0.3">
      <c r="C16">
        <v>123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C765B-D967-45AD-8D28-6EE7FDF8DC68}">
  <sheetPr codeName="Sheet11"/>
  <dimension ref="A1:L3"/>
  <sheetViews>
    <sheetView workbookViewId="0">
      <selection activeCell="A3" sqref="A3"/>
    </sheetView>
  </sheetViews>
  <sheetFormatPr defaultRowHeight="14.4" x14ac:dyDescent="0.3"/>
  <cols>
    <col min="1" max="1" width="12.44140625" bestFit="1" customWidth="1"/>
    <col min="2" max="2" width="51.77734375" bestFit="1" customWidth="1"/>
    <col min="3" max="3" width="54.44140625" bestFit="1" customWidth="1"/>
    <col min="4" max="4" width="21" bestFit="1" customWidth="1"/>
    <col min="5" max="5" width="27.109375" bestFit="1" customWidth="1"/>
    <col min="6" max="6" width="17.77734375" bestFit="1" customWidth="1"/>
    <col min="7" max="7" width="23.77734375" bestFit="1" customWidth="1"/>
    <col min="8" max="8" width="22.109375" bestFit="1" customWidth="1"/>
    <col min="9" max="9" width="24" bestFit="1" customWidth="1"/>
    <col min="10" max="10" width="17.88671875" bestFit="1" customWidth="1"/>
    <col min="11" max="11" width="24.21875" bestFit="1" customWidth="1"/>
    <col min="12" max="12" width="22.109375" bestFit="1" customWidth="1"/>
  </cols>
  <sheetData>
    <row r="1" spans="1:12" s="2" customFormat="1" ht="10.199999999999999" x14ac:dyDescent="0.2">
      <c r="A1" s="3" t="s">
        <v>87</v>
      </c>
      <c r="B1" s="3" t="s">
        <v>103</v>
      </c>
      <c r="C1" s="3" t="s">
        <v>89</v>
      </c>
      <c r="D1" s="3" t="s">
        <v>90</v>
      </c>
      <c r="E1" s="3"/>
      <c r="F1" s="3"/>
      <c r="G1" s="3"/>
      <c r="H1" s="3"/>
      <c r="I1" s="3"/>
      <c r="J1" s="3"/>
      <c r="K1" s="3"/>
      <c r="L1" s="3"/>
    </row>
    <row r="2" spans="1:12" x14ac:dyDescent="0.3">
      <c r="A2" s="1" t="s">
        <v>88</v>
      </c>
      <c r="B2" s="1" t="s">
        <v>114</v>
      </c>
      <c r="C2" s="1" t="s">
        <v>104</v>
      </c>
      <c r="D2" s="1" t="s">
        <v>105</v>
      </c>
      <c r="E2" s="1" t="s">
        <v>106</v>
      </c>
      <c r="F2" s="1" t="s">
        <v>107</v>
      </c>
      <c r="G2" s="1" t="s">
        <v>108</v>
      </c>
      <c r="H2" s="1" t="s">
        <v>109</v>
      </c>
      <c r="I2" s="1" t="s">
        <v>110</v>
      </c>
      <c r="J2" s="1" t="s">
        <v>111</v>
      </c>
      <c r="K2" s="1" t="s">
        <v>112</v>
      </c>
      <c r="L2" s="1" t="s">
        <v>113</v>
      </c>
    </row>
    <row r="3" spans="1:12" x14ac:dyDescent="0.3">
      <c r="A3" t="s">
        <v>91</v>
      </c>
      <c r="B3" t="s">
        <v>92</v>
      </c>
      <c r="C3" t="s">
        <v>93</v>
      </c>
      <c r="D3" t="s">
        <v>94</v>
      </c>
      <c r="E3" t="s">
        <v>95</v>
      </c>
      <c r="F3" t="s">
        <v>96</v>
      </c>
      <c r="G3" t="s">
        <v>97</v>
      </c>
      <c r="H3" t="s">
        <v>98</v>
      </c>
      <c r="I3" t="s">
        <v>99</v>
      </c>
      <c r="J3" t="s">
        <v>100</v>
      </c>
      <c r="K3" t="s">
        <v>101</v>
      </c>
      <c r="L3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docs.CHALLENGE</vt:lpstr>
      <vt:lpstr>docs.Assumptions</vt:lpstr>
      <vt:lpstr>docs.Benchmarks</vt:lpstr>
      <vt:lpstr>menupane</vt:lpstr>
      <vt:lpstr>docs.Transactions</vt:lpstr>
      <vt:lpstr>docs.Calc</vt:lpstr>
      <vt:lpstr>docs.PnL</vt:lpstr>
      <vt:lpstr>docs.BrokerReport</vt:lpstr>
      <vt:lpstr>menu</vt:lpstr>
      <vt:lpstr>menulog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Antonio Elinon</cp:lastModifiedBy>
  <dcterms:created xsi:type="dcterms:W3CDTF">2026-01-09T04:35:22Z</dcterms:created>
  <dcterms:modified xsi:type="dcterms:W3CDTF">2026-01-11T12:32:14Z</dcterms:modified>
</cp:coreProperties>
</file>