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\Interest Allocation Examination\"/>
    </mc:Choice>
  </mc:AlternateContent>
  <xr:revisionPtr revIDLastSave="0" documentId="13_ncr:1_{B7CBBF10-D847-4B0C-AB1C-5D44E369AE9D}" xr6:coauthVersionLast="47" xr6:coauthVersionMax="47" xr10:uidLastSave="{00000000-0000-0000-0000-000000000000}"/>
  <workbookProtection workbookAlgorithmName="SHA-512" workbookHashValue="LrJLJdK6CaAF0pXVi7bsSXXhFsTLH/X73Mz9R1VnninBrDsVcWeF7nDX69y1k3YkXph+Jls7BrMJASL1ZehxFA==" workbookSaltValue="ApREAO1icnjFwIqzp9MMJg==" workbookSpinCount="100000" lockStructure="1"/>
  <bookViews>
    <workbookView xWindow="-120" yWindow="480" windowWidth="29040" windowHeight="15840" xr2:uid="{9ADC3A05-E353-4F0E-B395-415C62736ECD}"/>
  </bookViews>
  <sheets>
    <sheet name="Summary FY95-FY12" sheetId="20" r:id="rId1"/>
    <sheet name="Summary by FY" sheetId="19" r:id="rId2"/>
    <sheet name="FY2012" sheetId="1" r:id="rId3"/>
    <sheet name="FY2011" sheetId="2" r:id="rId4"/>
    <sheet name="FY2010" sheetId="3" r:id="rId5"/>
    <sheet name="FY2009" sheetId="4" r:id="rId6"/>
    <sheet name="FY2008" sheetId="5" r:id="rId7"/>
    <sheet name="FY2007" sheetId="6" r:id="rId8"/>
    <sheet name="FY2006" sheetId="7" r:id="rId9"/>
    <sheet name="FY2005" sheetId="8" r:id="rId10"/>
    <sheet name="FY2004" sheetId="9" r:id="rId11"/>
    <sheet name="FY2003" sheetId="10" r:id="rId12"/>
    <sheet name="FY2002" sheetId="11" r:id="rId13"/>
    <sheet name="FY2001" sheetId="12" r:id="rId14"/>
    <sheet name="FY2000" sheetId="13" r:id="rId15"/>
    <sheet name="FY1999" sheetId="14" r:id="rId16"/>
    <sheet name="FY1998" sheetId="15" r:id="rId17"/>
    <sheet name="FY1997" sheetId="16" r:id="rId18"/>
    <sheet name="FY1996" sheetId="17" r:id="rId19"/>
    <sheet name="FY1995" sheetId="18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0" l="1"/>
  <c r="C19" i="20" l="1"/>
  <c r="C8" i="20"/>
  <c r="C9" i="20"/>
  <c r="C10" i="20"/>
  <c r="C11" i="20"/>
  <c r="C12" i="20"/>
  <c r="C13" i="20"/>
  <c r="C14" i="20"/>
  <c r="C15" i="20"/>
  <c r="C16" i="20"/>
  <c r="C17" i="20"/>
  <c r="C18" i="20"/>
  <c r="C7" i="20"/>
  <c r="C6" i="20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21" i="19"/>
  <c r="P33" i="1"/>
  <c r="N33" i="1"/>
  <c r="L33" i="1"/>
  <c r="J33" i="1"/>
  <c r="J36" i="17" l="1"/>
  <c r="U21" i="19"/>
  <c r="T21" i="19"/>
  <c r="P21" i="19"/>
  <c r="N21" i="19"/>
  <c r="J36" i="16" l="1"/>
  <c r="J36" i="8" l="1"/>
  <c r="C26" i="18" l="1"/>
  <c r="P40" i="18"/>
  <c r="J40" i="18" l="1"/>
  <c r="K26" i="18" s="1"/>
  <c r="P36" i="17"/>
  <c r="N36" i="17"/>
  <c r="L36" i="17"/>
  <c r="P36" i="16"/>
  <c r="N36" i="16"/>
  <c r="L36" i="16"/>
  <c r="J40" i="16"/>
  <c r="P36" i="15"/>
  <c r="P40" i="15" s="1"/>
  <c r="N36" i="15"/>
  <c r="N40" i="15" s="1"/>
  <c r="L36" i="15"/>
  <c r="L40" i="15" s="1"/>
  <c r="J36" i="15"/>
  <c r="J40" i="15" s="1"/>
  <c r="P36" i="14"/>
  <c r="N36" i="14"/>
  <c r="N40" i="14" s="1"/>
  <c r="L36" i="14"/>
  <c r="L40" i="14" s="1"/>
  <c r="J36" i="14"/>
  <c r="J40" i="14" s="1"/>
  <c r="P36" i="13"/>
  <c r="N36" i="13"/>
  <c r="L36" i="13"/>
  <c r="J36" i="13"/>
  <c r="P36" i="12"/>
  <c r="P40" i="12" s="1"/>
  <c r="N36" i="12"/>
  <c r="L36" i="12"/>
  <c r="J36" i="12"/>
  <c r="J40" i="12" s="1"/>
  <c r="P36" i="11"/>
  <c r="N36" i="11"/>
  <c r="N40" i="11" s="1"/>
  <c r="L36" i="11"/>
  <c r="L40" i="11" s="1"/>
  <c r="J36" i="11"/>
  <c r="P36" i="10"/>
  <c r="P40" i="10" s="1"/>
  <c r="N36" i="10"/>
  <c r="N40" i="10" s="1"/>
  <c r="L36" i="10"/>
  <c r="L40" i="10" s="1"/>
  <c r="J36" i="10"/>
  <c r="J36" i="9"/>
  <c r="L36" i="9"/>
  <c r="N36" i="9"/>
  <c r="P36" i="9"/>
  <c r="P36" i="8"/>
  <c r="P40" i="8" s="1"/>
  <c r="N36" i="8"/>
  <c r="N40" i="8" s="1"/>
  <c r="L36" i="8"/>
  <c r="L40" i="8" s="1"/>
  <c r="P36" i="7"/>
  <c r="N36" i="7"/>
  <c r="L36" i="7"/>
  <c r="J36" i="7"/>
  <c r="P36" i="6"/>
  <c r="N36" i="6"/>
  <c r="L36" i="6"/>
  <c r="J36" i="6"/>
  <c r="J40" i="6" s="1"/>
  <c r="P36" i="5"/>
  <c r="N36" i="5"/>
  <c r="L36" i="5"/>
  <c r="J36" i="5"/>
  <c r="P36" i="4"/>
  <c r="N36" i="4"/>
  <c r="N40" i="4" s="1"/>
  <c r="L36" i="4"/>
  <c r="L40" i="4" s="1"/>
  <c r="J36" i="4"/>
  <c r="J40" i="4" s="1"/>
  <c r="P36" i="3"/>
  <c r="P40" i="3" s="1"/>
  <c r="N36" i="3"/>
  <c r="L36" i="3"/>
  <c r="L40" i="3" s="1"/>
  <c r="J36" i="3"/>
  <c r="P29" i="2"/>
  <c r="N29" i="2"/>
  <c r="N40" i="3"/>
  <c r="J40" i="3"/>
  <c r="P40" i="4"/>
  <c r="P40" i="5"/>
  <c r="N40" i="5"/>
  <c r="L40" i="5"/>
  <c r="J40" i="5"/>
  <c r="P40" i="6"/>
  <c r="N40" i="6"/>
  <c r="L40" i="6"/>
  <c r="P40" i="7"/>
  <c r="N40" i="7"/>
  <c r="L40" i="7"/>
  <c r="J40" i="7"/>
  <c r="J40" i="8"/>
  <c r="P40" i="9"/>
  <c r="N40" i="9"/>
  <c r="L40" i="9"/>
  <c r="J40" i="9"/>
  <c r="J40" i="10"/>
  <c r="P40" i="11"/>
  <c r="J40" i="11"/>
  <c r="N40" i="12"/>
  <c r="L40" i="12"/>
  <c r="P40" i="13"/>
  <c r="N40" i="13"/>
  <c r="L40" i="13"/>
  <c r="J40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1" i="13" s="1"/>
  <c r="G20" i="13"/>
  <c r="C21" i="13"/>
  <c r="G40" i="13" s="1"/>
  <c r="D21" i="13"/>
  <c r="D40" i="13" s="1"/>
  <c r="E21" i="13"/>
  <c r="E40" i="13" s="1"/>
  <c r="F21" i="13"/>
  <c r="F40" i="13" s="1"/>
  <c r="P40" i="14"/>
  <c r="P40" i="16"/>
  <c r="N40" i="16"/>
  <c r="L40" i="16"/>
  <c r="J40" i="17"/>
  <c r="K26" i="17" s="1"/>
  <c r="P40" i="17"/>
  <c r="N40" i="17"/>
  <c r="L40" i="17"/>
  <c r="L40" i="18"/>
  <c r="M26" i="18" s="1"/>
  <c r="C40" i="13" l="1"/>
  <c r="N40" i="18"/>
  <c r="P29" i="1"/>
  <c r="N29" i="1"/>
  <c r="L29" i="1"/>
  <c r="J29" i="1"/>
  <c r="L21" i="16" l="1"/>
  <c r="P21" i="18"/>
  <c r="P21" i="17"/>
  <c r="P21" i="16"/>
  <c r="P21" i="15"/>
  <c r="P21" i="14"/>
  <c r="P21" i="13"/>
  <c r="P21" i="12"/>
  <c r="P21" i="11"/>
  <c r="P21" i="10"/>
  <c r="P21" i="9"/>
  <c r="M35" i="18"/>
  <c r="O39" i="18"/>
  <c r="M39" i="18"/>
  <c r="M38" i="18"/>
  <c r="M37" i="18"/>
  <c r="M36" i="18"/>
  <c r="O35" i="18"/>
  <c r="M34" i="18"/>
  <c r="M33" i="18"/>
  <c r="O32" i="18"/>
  <c r="M32" i="18"/>
  <c r="M31" i="18"/>
  <c r="O30" i="18"/>
  <c r="M30" i="18"/>
  <c r="M29" i="18"/>
  <c r="O28" i="18"/>
  <c r="M28" i="18"/>
  <c r="M27" i="18"/>
  <c r="M40" i="18" s="1"/>
  <c r="Q26" i="18"/>
  <c r="F26" i="18" s="1"/>
  <c r="N21" i="18"/>
  <c r="L21" i="18"/>
  <c r="J21" i="18"/>
  <c r="F21" i="18"/>
  <c r="F40" i="18" s="1"/>
  <c r="E21" i="18"/>
  <c r="E40" i="18" s="1"/>
  <c r="D21" i="18"/>
  <c r="D40" i="18" s="1"/>
  <c r="C21" i="18"/>
  <c r="C40" i="18" s="1"/>
  <c r="C45" i="18" s="1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M35" i="17"/>
  <c r="D35" i="17" s="1"/>
  <c r="Q39" i="17"/>
  <c r="K39" i="17"/>
  <c r="Q38" i="17"/>
  <c r="Q37" i="17"/>
  <c r="O37" i="17"/>
  <c r="K37" i="17"/>
  <c r="Q36" i="17"/>
  <c r="M36" i="17"/>
  <c r="D36" i="17" s="1"/>
  <c r="K36" i="17"/>
  <c r="Q35" i="17"/>
  <c r="F35" i="17" s="1"/>
  <c r="O35" i="17"/>
  <c r="K35" i="17"/>
  <c r="Q34" i="17"/>
  <c r="O34" i="17"/>
  <c r="K34" i="17"/>
  <c r="Q33" i="17"/>
  <c r="F33" i="17" s="1"/>
  <c r="O33" i="17"/>
  <c r="K33" i="17"/>
  <c r="Q32" i="17"/>
  <c r="O32" i="17"/>
  <c r="K32" i="17"/>
  <c r="Q31" i="17"/>
  <c r="F31" i="17" s="1"/>
  <c r="O31" i="17"/>
  <c r="K31" i="17"/>
  <c r="Q30" i="17"/>
  <c r="O30" i="17"/>
  <c r="K30" i="17"/>
  <c r="Q29" i="17"/>
  <c r="O29" i="17"/>
  <c r="K29" i="17"/>
  <c r="Q28" i="17"/>
  <c r="O28" i="17"/>
  <c r="K28" i="17"/>
  <c r="Q27" i="17"/>
  <c r="O27" i="17"/>
  <c r="K27" i="17"/>
  <c r="Q26" i="17"/>
  <c r="O26" i="17"/>
  <c r="M26" i="17"/>
  <c r="D26" i="17" s="1"/>
  <c r="N21" i="17"/>
  <c r="L21" i="17"/>
  <c r="J21" i="17"/>
  <c r="F21" i="17"/>
  <c r="F40" i="17" s="1"/>
  <c r="E21" i="17"/>
  <c r="D21" i="17"/>
  <c r="D40" i="17" s="1"/>
  <c r="C21" i="17"/>
  <c r="C40" i="17" s="1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M35" i="16"/>
  <c r="Q39" i="16"/>
  <c r="O39" i="16"/>
  <c r="Q38" i="16"/>
  <c r="O38" i="16"/>
  <c r="Q37" i="16"/>
  <c r="O37" i="16"/>
  <c r="K37" i="16"/>
  <c r="Q36" i="16"/>
  <c r="O36" i="16"/>
  <c r="M36" i="16"/>
  <c r="K36" i="16"/>
  <c r="Q35" i="16"/>
  <c r="O35" i="16"/>
  <c r="K35" i="16"/>
  <c r="Q34" i="16"/>
  <c r="O34" i="16"/>
  <c r="K34" i="16"/>
  <c r="Q33" i="16"/>
  <c r="O33" i="16"/>
  <c r="K33" i="16"/>
  <c r="Q32" i="16"/>
  <c r="O32" i="16"/>
  <c r="K32" i="16"/>
  <c r="Q31" i="16"/>
  <c r="O31" i="16"/>
  <c r="K31" i="16"/>
  <c r="Q30" i="16"/>
  <c r="O30" i="16"/>
  <c r="K30" i="16"/>
  <c r="Q29" i="16"/>
  <c r="O29" i="16"/>
  <c r="K29" i="16"/>
  <c r="Q28" i="16"/>
  <c r="O28" i="16"/>
  <c r="K28" i="16"/>
  <c r="Q27" i="16"/>
  <c r="O27" i="16"/>
  <c r="K27" i="16"/>
  <c r="Q26" i="16"/>
  <c r="O26" i="16"/>
  <c r="M26" i="16"/>
  <c r="K26" i="16"/>
  <c r="N21" i="16"/>
  <c r="J21" i="16"/>
  <c r="F21" i="16"/>
  <c r="E21" i="16"/>
  <c r="D21" i="16"/>
  <c r="D40" i="16" s="1"/>
  <c r="C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M35" i="15"/>
  <c r="Q39" i="15"/>
  <c r="O39" i="15"/>
  <c r="K39" i="15"/>
  <c r="Q38" i="15"/>
  <c r="O38" i="15"/>
  <c r="K38" i="15"/>
  <c r="Q37" i="15"/>
  <c r="O37" i="15"/>
  <c r="K37" i="15"/>
  <c r="Q36" i="15"/>
  <c r="O36" i="15"/>
  <c r="M36" i="15"/>
  <c r="K36" i="15"/>
  <c r="Q35" i="15"/>
  <c r="O35" i="15"/>
  <c r="K35" i="15"/>
  <c r="Q34" i="15"/>
  <c r="O34" i="15"/>
  <c r="K34" i="15"/>
  <c r="Q33" i="15"/>
  <c r="O33" i="15"/>
  <c r="K33" i="15"/>
  <c r="Q32" i="15"/>
  <c r="O32" i="15"/>
  <c r="K32" i="15"/>
  <c r="Q31" i="15"/>
  <c r="O31" i="15"/>
  <c r="K31" i="15"/>
  <c r="Q30" i="15"/>
  <c r="O30" i="15"/>
  <c r="K30" i="15"/>
  <c r="Q29" i="15"/>
  <c r="O29" i="15"/>
  <c r="K29" i="15"/>
  <c r="Q28" i="15"/>
  <c r="O28" i="15"/>
  <c r="K28" i="15"/>
  <c r="Q27" i="15"/>
  <c r="O27" i="15"/>
  <c r="K27" i="15"/>
  <c r="Q26" i="15"/>
  <c r="O26" i="15"/>
  <c r="M26" i="15"/>
  <c r="K26" i="15"/>
  <c r="N21" i="15"/>
  <c r="L21" i="15"/>
  <c r="J21" i="15"/>
  <c r="F21" i="15"/>
  <c r="F40" i="15" s="1"/>
  <c r="E21" i="15"/>
  <c r="D21" i="15"/>
  <c r="D40" i="15" s="1"/>
  <c r="C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M35" i="14"/>
  <c r="Q39" i="14"/>
  <c r="K39" i="14"/>
  <c r="Q38" i="14"/>
  <c r="M38" i="14"/>
  <c r="Q37" i="14"/>
  <c r="O37" i="14"/>
  <c r="K37" i="14"/>
  <c r="Q36" i="14"/>
  <c r="M36" i="14"/>
  <c r="K36" i="14"/>
  <c r="Q35" i="14"/>
  <c r="O35" i="14"/>
  <c r="K35" i="14"/>
  <c r="Q34" i="14"/>
  <c r="K34" i="14"/>
  <c r="Q33" i="14"/>
  <c r="K33" i="14"/>
  <c r="Q32" i="14"/>
  <c r="K32" i="14"/>
  <c r="Q31" i="14"/>
  <c r="K31" i="14"/>
  <c r="Q30" i="14"/>
  <c r="K30" i="14"/>
  <c r="Q29" i="14"/>
  <c r="K29" i="14"/>
  <c r="Q28" i="14"/>
  <c r="M28" i="14"/>
  <c r="K28" i="14"/>
  <c r="Q27" i="14"/>
  <c r="O27" i="14"/>
  <c r="K27" i="14"/>
  <c r="Q26" i="14"/>
  <c r="M26" i="14"/>
  <c r="K26" i="14"/>
  <c r="N21" i="14"/>
  <c r="L21" i="14"/>
  <c r="J21" i="14"/>
  <c r="F21" i="14"/>
  <c r="E21" i="14"/>
  <c r="E40" i="14" s="1"/>
  <c r="D21" i="14"/>
  <c r="D40" i="14" s="1"/>
  <c r="C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M35" i="13"/>
  <c r="D35" i="13" s="1"/>
  <c r="K36" i="13"/>
  <c r="C36" i="13" s="1"/>
  <c r="K39" i="13"/>
  <c r="C39" i="13" s="1"/>
  <c r="Q38" i="13"/>
  <c r="F38" i="13" s="1"/>
  <c r="Q37" i="13"/>
  <c r="F37" i="13" s="1"/>
  <c r="O37" i="13"/>
  <c r="E37" i="13" s="1"/>
  <c r="K37" i="13"/>
  <c r="C37" i="13" s="1"/>
  <c r="Q36" i="13"/>
  <c r="F36" i="13" s="1"/>
  <c r="Q35" i="13"/>
  <c r="F35" i="13" s="1"/>
  <c r="O35" i="13"/>
  <c r="E35" i="13" s="1"/>
  <c r="K35" i="13"/>
  <c r="C35" i="13" s="1"/>
  <c r="Q34" i="13"/>
  <c r="F34" i="13" s="1"/>
  <c r="Q33" i="13"/>
  <c r="F33" i="13" s="1"/>
  <c r="O33" i="13"/>
  <c r="E33" i="13" s="1"/>
  <c r="Q32" i="13"/>
  <c r="F32" i="13" s="1"/>
  <c r="Q31" i="13"/>
  <c r="F31" i="13" s="1"/>
  <c r="O31" i="13"/>
  <c r="E31" i="13" s="1"/>
  <c r="Q30" i="13"/>
  <c r="F30" i="13" s="1"/>
  <c r="Q29" i="13"/>
  <c r="F29" i="13" s="1"/>
  <c r="K29" i="13"/>
  <c r="C29" i="13" s="1"/>
  <c r="Q28" i="13"/>
  <c r="F28" i="13" s="1"/>
  <c r="Q27" i="13"/>
  <c r="F27" i="13" s="1"/>
  <c r="O27" i="13"/>
  <c r="E27" i="13" s="1"/>
  <c r="K27" i="13"/>
  <c r="C27" i="13" s="1"/>
  <c r="Q26" i="13"/>
  <c r="N21" i="13"/>
  <c r="L21" i="13"/>
  <c r="J21" i="13"/>
  <c r="M35" i="12"/>
  <c r="K36" i="12"/>
  <c r="O39" i="12"/>
  <c r="Q38" i="12"/>
  <c r="O38" i="12"/>
  <c r="O37" i="12"/>
  <c r="K37" i="12"/>
  <c r="O36" i="12"/>
  <c r="M36" i="12"/>
  <c r="O35" i="12"/>
  <c r="K35" i="12"/>
  <c r="Q34" i="12"/>
  <c r="O34" i="12"/>
  <c r="O33" i="12"/>
  <c r="K33" i="12"/>
  <c r="Q32" i="12"/>
  <c r="O32" i="12"/>
  <c r="O31" i="12"/>
  <c r="K31" i="12"/>
  <c r="Q30" i="12"/>
  <c r="O30" i="12"/>
  <c r="O29" i="12"/>
  <c r="Q28" i="12"/>
  <c r="O28" i="12"/>
  <c r="O27" i="12"/>
  <c r="K27" i="12"/>
  <c r="O26" i="12"/>
  <c r="M26" i="12"/>
  <c r="N21" i="12"/>
  <c r="L21" i="12"/>
  <c r="J21" i="12"/>
  <c r="F21" i="12"/>
  <c r="E21" i="12"/>
  <c r="D21" i="12"/>
  <c r="D40" i="12" s="1"/>
  <c r="C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M35" i="11"/>
  <c r="K36" i="11"/>
  <c r="Q39" i="11"/>
  <c r="K39" i="11"/>
  <c r="Q38" i="11"/>
  <c r="Q37" i="11"/>
  <c r="O37" i="11"/>
  <c r="K37" i="11"/>
  <c r="Q36" i="11"/>
  <c r="M36" i="11"/>
  <c r="Q35" i="11"/>
  <c r="O35" i="11"/>
  <c r="K35" i="11"/>
  <c r="Q34" i="11"/>
  <c r="O34" i="11"/>
  <c r="Q33" i="11"/>
  <c r="O33" i="11"/>
  <c r="Q32" i="11"/>
  <c r="Q31" i="11"/>
  <c r="O31" i="11"/>
  <c r="Q30" i="11"/>
  <c r="K30" i="11"/>
  <c r="Q29" i="11"/>
  <c r="K29" i="11"/>
  <c r="Q28" i="11"/>
  <c r="O28" i="11"/>
  <c r="Q27" i="11"/>
  <c r="O27" i="11"/>
  <c r="K27" i="11"/>
  <c r="Q26" i="11"/>
  <c r="M26" i="11"/>
  <c r="K26" i="11"/>
  <c r="N21" i="11"/>
  <c r="L21" i="11"/>
  <c r="J21" i="11"/>
  <c r="F21" i="11"/>
  <c r="E21" i="11"/>
  <c r="D21" i="11"/>
  <c r="D40" i="11" s="1"/>
  <c r="C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M35" i="10"/>
  <c r="Q39" i="10"/>
  <c r="O39" i="10"/>
  <c r="K39" i="10"/>
  <c r="Q38" i="10"/>
  <c r="O38" i="10"/>
  <c r="Q37" i="10"/>
  <c r="O37" i="10"/>
  <c r="K37" i="10"/>
  <c r="Q36" i="10"/>
  <c r="O36" i="10"/>
  <c r="M36" i="10"/>
  <c r="K36" i="10"/>
  <c r="Q35" i="10"/>
  <c r="O35" i="10"/>
  <c r="K35" i="10"/>
  <c r="Q34" i="10"/>
  <c r="O34" i="10"/>
  <c r="K34" i="10"/>
  <c r="Q33" i="10"/>
  <c r="O33" i="10"/>
  <c r="K33" i="10"/>
  <c r="Q32" i="10"/>
  <c r="O32" i="10"/>
  <c r="K32" i="10"/>
  <c r="Q31" i="10"/>
  <c r="O31" i="10"/>
  <c r="K31" i="10"/>
  <c r="Q30" i="10"/>
  <c r="O30" i="10"/>
  <c r="K30" i="10"/>
  <c r="Q29" i="10"/>
  <c r="O29" i="10"/>
  <c r="K29" i="10"/>
  <c r="Q28" i="10"/>
  <c r="O28" i="10"/>
  <c r="K28" i="10"/>
  <c r="Q27" i="10"/>
  <c r="F27" i="10" s="1"/>
  <c r="O27" i="10"/>
  <c r="K27" i="10"/>
  <c r="Q26" i="10"/>
  <c r="O26" i="10"/>
  <c r="M26" i="10"/>
  <c r="K26" i="10"/>
  <c r="N21" i="10"/>
  <c r="L21" i="10"/>
  <c r="J21" i="10"/>
  <c r="F21" i="10"/>
  <c r="F40" i="10" s="1"/>
  <c r="E21" i="10"/>
  <c r="E40" i="10" s="1"/>
  <c r="D21" i="10"/>
  <c r="D40" i="10" s="1"/>
  <c r="C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M35" i="9"/>
  <c r="K39" i="9"/>
  <c r="Q38" i="9"/>
  <c r="K38" i="9"/>
  <c r="Q37" i="9"/>
  <c r="O37" i="9"/>
  <c r="K37" i="9"/>
  <c r="Q36" i="9"/>
  <c r="O36" i="9"/>
  <c r="K36" i="9"/>
  <c r="Q35" i="9"/>
  <c r="O35" i="9"/>
  <c r="K35" i="9"/>
  <c r="Q34" i="9"/>
  <c r="K34" i="9"/>
  <c r="Q33" i="9"/>
  <c r="K33" i="9"/>
  <c r="Q32" i="9"/>
  <c r="K32" i="9"/>
  <c r="Q31" i="9"/>
  <c r="K31" i="9"/>
  <c r="Q30" i="9"/>
  <c r="K30" i="9"/>
  <c r="Q29" i="9"/>
  <c r="K29" i="9"/>
  <c r="Q28" i="9"/>
  <c r="K28" i="9"/>
  <c r="Q27" i="9"/>
  <c r="O27" i="9"/>
  <c r="K27" i="9"/>
  <c r="Q26" i="9"/>
  <c r="O26" i="9"/>
  <c r="K26" i="9"/>
  <c r="N21" i="9"/>
  <c r="L21" i="9"/>
  <c r="J21" i="9"/>
  <c r="F21" i="9"/>
  <c r="E21" i="9"/>
  <c r="E40" i="9" s="1"/>
  <c r="D21" i="9"/>
  <c r="D40" i="9" s="1"/>
  <c r="C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M35" i="8"/>
  <c r="K36" i="8"/>
  <c r="Q39" i="8"/>
  <c r="K39" i="8"/>
  <c r="Q38" i="8"/>
  <c r="K38" i="8"/>
  <c r="Q37" i="8"/>
  <c r="O37" i="8"/>
  <c r="K37" i="8"/>
  <c r="Q36" i="8"/>
  <c r="M36" i="8"/>
  <c r="Q35" i="8"/>
  <c r="O35" i="8"/>
  <c r="K35" i="8"/>
  <c r="Q34" i="8"/>
  <c r="K34" i="8"/>
  <c r="Q33" i="8"/>
  <c r="O33" i="8"/>
  <c r="K33" i="8"/>
  <c r="Q32" i="8"/>
  <c r="O32" i="8"/>
  <c r="K32" i="8"/>
  <c r="Q31" i="8"/>
  <c r="O31" i="8"/>
  <c r="K31" i="8"/>
  <c r="Q30" i="8"/>
  <c r="O30" i="8"/>
  <c r="K30" i="8"/>
  <c r="Q29" i="8"/>
  <c r="O29" i="8"/>
  <c r="E29" i="8" s="1"/>
  <c r="K29" i="8"/>
  <c r="Q28" i="8"/>
  <c r="O28" i="8"/>
  <c r="K28" i="8"/>
  <c r="Q27" i="8"/>
  <c r="O27" i="8"/>
  <c r="K27" i="8"/>
  <c r="Q26" i="8"/>
  <c r="O26" i="8"/>
  <c r="M26" i="8"/>
  <c r="K26" i="8"/>
  <c r="P21" i="8"/>
  <c r="N21" i="8"/>
  <c r="L21" i="8"/>
  <c r="J21" i="8"/>
  <c r="F21" i="8"/>
  <c r="E21" i="8"/>
  <c r="E40" i="8" s="1"/>
  <c r="D21" i="8"/>
  <c r="D40" i="8" s="1"/>
  <c r="C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M35" i="7"/>
  <c r="Q39" i="7"/>
  <c r="O39" i="7"/>
  <c r="K39" i="7"/>
  <c r="Q38" i="7"/>
  <c r="O38" i="7"/>
  <c r="K38" i="7"/>
  <c r="Q37" i="7"/>
  <c r="O37" i="7"/>
  <c r="K37" i="7"/>
  <c r="Q36" i="7"/>
  <c r="O36" i="7"/>
  <c r="M36" i="7"/>
  <c r="K36" i="7"/>
  <c r="Q35" i="7"/>
  <c r="O35" i="7"/>
  <c r="K35" i="7"/>
  <c r="Q34" i="7"/>
  <c r="O34" i="7"/>
  <c r="K34" i="7"/>
  <c r="Q33" i="7"/>
  <c r="O33" i="7"/>
  <c r="K33" i="7"/>
  <c r="Q32" i="7"/>
  <c r="O32" i="7"/>
  <c r="K32" i="7"/>
  <c r="Q31" i="7"/>
  <c r="O31" i="7"/>
  <c r="K31" i="7"/>
  <c r="Q30" i="7"/>
  <c r="O30" i="7"/>
  <c r="K30" i="7"/>
  <c r="Q29" i="7"/>
  <c r="O29" i="7"/>
  <c r="K29" i="7"/>
  <c r="Q28" i="7"/>
  <c r="O28" i="7"/>
  <c r="K28" i="7"/>
  <c r="Q27" i="7"/>
  <c r="O27" i="7"/>
  <c r="K27" i="7"/>
  <c r="Q26" i="7"/>
  <c r="O26" i="7"/>
  <c r="M26" i="7"/>
  <c r="K26" i="7"/>
  <c r="P21" i="7"/>
  <c r="N21" i="7"/>
  <c r="L21" i="7"/>
  <c r="J21" i="7"/>
  <c r="F21" i="7"/>
  <c r="E21" i="7"/>
  <c r="D21" i="7"/>
  <c r="D40" i="7" s="1"/>
  <c r="C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O39" i="6"/>
  <c r="O36" i="6"/>
  <c r="O35" i="6"/>
  <c r="O34" i="6"/>
  <c r="O33" i="6"/>
  <c r="O31" i="6"/>
  <c r="O28" i="6"/>
  <c r="O27" i="6"/>
  <c r="O26" i="6"/>
  <c r="P21" i="6"/>
  <c r="N21" i="6"/>
  <c r="L21" i="6"/>
  <c r="J21" i="6"/>
  <c r="F21" i="6"/>
  <c r="E21" i="6"/>
  <c r="D21" i="6"/>
  <c r="D40" i="6" s="1"/>
  <c r="C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Q36" i="5"/>
  <c r="M35" i="5"/>
  <c r="O39" i="5"/>
  <c r="O38" i="5"/>
  <c r="O37" i="5"/>
  <c r="K37" i="5"/>
  <c r="O36" i="5"/>
  <c r="M36" i="5"/>
  <c r="K36" i="5"/>
  <c r="O35" i="5"/>
  <c r="K35" i="5"/>
  <c r="O34" i="5"/>
  <c r="K34" i="5"/>
  <c r="O33" i="5"/>
  <c r="K33" i="5"/>
  <c r="O32" i="5"/>
  <c r="K32" i="5"/>
  <c r="O31" i="5"/>
  <c r="K31" i="5"/>
  <c r="O30" i="5"/>
  <c r="K30" i="5"/>
  <c r="O29" i="5"/>
  <c r="K29" i="5"/>
  <c r="O28" i="5"/>
  <c r="K28" i="5"/>
  <c r="O27" i="5"/>
  <c r="K27" i="5"/>
  <c r="Q26" i="5"/>
  <c r="O26" i="5"/>
  <c r="M26" i="5"/>
  <c r="K26" i="5"/>
  <c r="P21" i="5"/>
  <c r="N21" i="5"/>
  <c r="L21" i="5"/>
  <c r="J21" i="5"/>
  <c r="F21" i="5"/>
  <c r="E21" i="5"/>
  <c r="D21" i="5"/>
  <c r="D40" i="5" s="1"/>
  <c r="C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M35" i="4"/>
  <c r="Q39" i="4"/>
  <c r="O39" i="4"/>
  <c r="Q38" i="4"/>
  <c r="O38" i="4"/>
  <c r="Q37" i="4"/>
  <c r="K37" i="4"/>
  <c r="Q36" i="4"/>
  <c r="K36" i="4"/>
  <c r="Q35" i="4"/>
  <c r="O35" i="4"/>
  <c r="Q34" i="4"/>
  <c r="Q33" i="4"/>
  <c r="O33" i="4"/>
  <c r="K33" i="4"/>
  <c r="Q32" i="4"/>
  <c r="K32" i="4"/>
  <c r="Q31" i="4"/>
  <c r="K31" i="4"/>
  <c r="Q30" i="4"/>
  <c r="O30" i="4"/>
  <c r="K30" i="4"/>
  <c r="Q29" i="4"/>
  <c r="O29" i="4"/>
  <c r="Q28" i="4"/>
  <c r="O28" i="4"/>
  <c r="K28" i="4"/>
  <c r="Q27" i="4"/>
  <c r="O27" i="4"/>
  <c r="Q26" i="4"/>
  <c r="K26" i="4"/>
  <c r="P21" i="4"/>
  <c r="N21" i="4"/>
  <c r="L21" i="4"/>
  <c r="J21" i="4"/>
  <c r="F21" i="4"/>
  <c r="E21" i="4"/>
  <c r="D21" i="4"/>
  <c r="D40" i="4" s="1"/>
  <c r="C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K32" i="3"/>
  <c r="K28" i="3"/>
  <c r="K27" i="3"/>
  <c r="P21" i="3"/>
  <c r="N21" i="3"/>
  <c r="L21" i="3"/>
  <c r="J21" i="3"/>
  <c r="F21" i="3"/>
  <c r="F40" i="3" s="1"/>
  <c r="E21" i="3"/>
  <c r="E40" i="3" s="1"/>
  <c r="D21" i="3"/>
  <c r="D40" i="3" s="1"/>
  <c r="C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4" i="2"/>
  <c r="G5" i="2"/>
  <c r="G6" i="2"/>
  <c r="G7" i="2"/>
  <c r="G8" i="2"/>
  <c r="G9" i="2"/>
  <c r="F30" i="15" l="1"/>
  <c r="F49" i="15" s="1"/>
  <c r="E28" i="10"/>
  <c r="D36" i="10"/>
  <c r="C40" i="10"/>
  <c r="C26" i="10" s="1"/>
  <c r="G40" i="10"/>
  <c r="D26" i="10"/>
  <c r="F28" i="10"/>
  <c r="E31" i="10"/>
  <c r="E36" i="10"/>
  <c r="E39" i="10"/>
  <c r="C29" i="10"/>
  <c r="F31" i="10"/>
  <c r="E34" i="10"/>
  <c r="F36" i="10"/>
  <c r="F39" i="10"/>
  <c r="E29" i="10"/>
  <c r="F34" i="10"/>
  <c r="C37" i="10"/>
  <c r="D35" i="10"/>
  <c r="C27" i="10"/>
  <c r="F29" i="10"/>
  <c r="E32" i="10"/>
  <c r="E37" i="10"/>
  <c r="E27" i="10"/>
  <c r="C30" i="10"/>
  <c r="E35" i="10"/>
  <c r="F37" i="10"/>
  <c r="E30" i="10"/>
  <c r="F35" i="10"/>
  <c r="E38" i="10"/>
  <c r="F30" i="10"/>
  <c r="E33" i="10"/>
  <c r="C36" i="10"/>
  <c r="F38" i="10"/>
  <c r="E30" i="8"/>
  <c r="D36" i="8"/>
  <c r="E28" i="8"/>
  <c r="E32" i="8"/>
  <c r="E51" i="8" s="1"/>
  <c r="E35" i="8"/>
  <c r="F28" i="17"/>
  <c r="F47" i="17" s="1"/>
  <c r="F36" i="17"/>
  <c r="C30" i="17"/>
  <c r="C26" i="17"/>
  <c r="C45" i="17" s="1"/>
  <c r="C28" i="17"/>
  <c r="C37" i="17"/>
  <c r="C31" i="17"/>
  <c r="C39" i="17"/>
  <c r="C32" i="17"/>
  <c r="C33" i="17"/>
  <c r="C34" i="17"/>
  <c r="C53" i="17" s="1"/>
  <c r="C36" i="17"/>
  <c r="C29" i="17"/>
  <c r="C27" i="17"/>
  <c r="C35" i="17"/>
  <c r="F26" i="17"/>
  <c r="F34" i="17"/>
  <c r="F53" i="17" s="1"/>
  <c r="E37" i="17"/>
  <c r="E34" i="17"/>
  <c r="E53" i="17" s="1"/>
  <c r="F29" i="17"/>
  <c r="E32" i="17"/>
  <c r="E51" i="17" s="1"/>
  <c r="F37" i="17"/>
  <c r="F32" i="17"/>
  <c r="F51" i="17" s="1"/>
  <c r="E35" i="17"/>
  <c r="E54" i="17" s="1"/>
  <c r="F38" i="17"/>
  <c r="E30" i="17"/>
  <c r="F30" i="17"/>
  <c r="E33" i="17"/>
  <c r="F39" i="17"/>
  <c r="D32" i="18"/>
  <c r="D51" i="18" s="1"/>
  <c r="D36" i="18"/>
  <c r="D27" i="18"/>
  <c r="D35" i="18"/>
  <c r="D26" i="18"/>
  <c r="D45" i="18" s="1"/>
  <c r="D38" i="18"/>
  <c r="D57" i="18" s="1"/>
  <c r="D37" i="18"/>
  <c r="D33" i="18"/>
  <c r="D52" i="18" s="1"/>
  <c r="D39" i="18"/>
  <c r="D29" i="18"/>
  <c r="D34" i="18"/>
  <c r="D31" i="18"/>
  <c r="D30" i="18"/>
  <c r="D49" i="18" s="1"/>
  <c r="D28" i="18"/>
  <c r="D47" i="18" s="1"/>
  <c r="E30" i="18"/>
  <c r="E32" i="18"/>
  <c r="E51" i="18" s="1"/>
  <c r="E26" i="18"/>
  <c r="E39" i="18"/>
  <c r="E28" i="18"/>
  <c r="E35" i="18"/>
  <c r="F27" i="17"/>
  <c r="F46" i="17" s="1"/>
  <c r="Q40" i="10"/>
  <c r="F26" i="10"/>
  <c r="O40" i="10"/>
  <c r="E26" i="10"/>
  <c r="G36" i="10"/>
  <c r="Q40" i="7"/>
  <c r="Q35" i="3"/>
  <c r="Q38" i="3"/>
  <c r="F38" i="3" s="1"/>
  <c r="F57" i="3" s="1"/>
  <c r="Q39" i="3"/>
  <c r="F39" i="3" s="1"/>
  <c r="F58" i="3" s="1"/>
  <c r="F35" i="3"/>
  <c r="F54" i="3" s="1"/>
  <c r="G40" i="3"/>
  <c r="C40" i="3"/>
  <c r="Q26" i="3"/>
  <c r="Q34" i="3"/>
  <c r="F34" i="3" s="1"/>
  <c r="F53" i="3" s="1"/>
  <c r="Q40" i="4"/>
  <c r="F40" i="4"/>
  <c r="K27" i="4"/>
  <c r="O32" i="4"/>
  <c r="K35" i="4"/>
  <c r="O37" i="4"/>
  <c r="M36" i="4"/>
  <c r="D36" i="4" s="1"/>
  <c r="D55" i="4" s="1"/>
  <c r="G40" i="4"/>
  <c r="C40" i="4"/>
  <c r="D35" i="4"/>
  <c r="D54" i="4" s="1"/>
  <c r="M26" i="4"/>
  <c r="O31" i="4"/>
  <c r="K34" i="4"/>
  <c r="O36" i="4"/>
  <c r="E40" i="4"/>
  <c r="O26" i="4"/>
  <c r="K29" i="4"/>
  <c r="O34" i="4"/>
  <c r="O40" i="5"/>
  <c r="Q29" i="5"/>
  <c r="F40" i="5"/>
  <c r="Q32" i="5"/>
  <c r="Q37" i="5"/>
  <c r="Q27" i="5"/>
  <c r="Q35" i="5"/>
  <c r="Q30" i="5"/>
  <c r="Q38" i="5"/>
  <c r="Q34" i="5"/>
  <c r="C40" i="5"/>
  <c r="G40" i="5"/>
  <c r="Q33" i="5"/>
  <c r="D36" i="5"/>
  <c r="D55" i="5" s="1"/>
  <c r="D26" i="5"/>
  <c r="D45" i="5" s="1"/>
  <c r="D35" i="5"/>
  <c r="D54" i="5" s="1"/>
  <c r="Q28" i="5"/>
  <c r="Q39" i="5"/>
  <c r="E40" i="5"/>
  <c r="Q31" i="5"/>
  <c r="O32" i="6"/>
  <c r="K36" i="6"/>
  <c r="M35" i="6"/>
  <c r="D35" i="6" s="1"/>
  <c r="D54" i="6" s="1"/>
  <c r="Q29" i="6"/>
  <c r="O29" i="6"/>
  <c r="O37" i="6"/>
  <c r="O30" i="6"/>
  <c r="O38" i="6"/>
  <c r="M26" i="6"/>
  <c r="Q30" i="6"/>
  <c r="M36" i="6"/>
  <c r="D36" i="6" s="1"/>
  <c r="D55" i="6" s="1"/>
  <c r="Q28" i="6"/>
  <c r="Q31" i="6"/>
  <c r="Q37" i="6"/>
  <c r="Q32" i="6"/>
  <c r="F40" i="6"/>
  <c r="Q26" i="6"/>
  <c r="K30" i="6"/>
  <c r="Q39" i="6"/>
  <c r="E40" i="6"/>
  <c r="K27" i="6"/>
  <c r="Q33" i="6"/>
  <c r="Q36" i="6"/>
  <c r="K37" i="6"/>
  <c r="Q27" i="6"/>
  <c r="Q34" i="6"/>
  <c r="K35" i="6"/>
  <c r="G40" i="6"/>
  <c r="C40" i="6"/>
  <c r="K26" i="6"/>
  <c r="K32" i="6"/>
  <c r="Q35" i="6"/>
  <c r="Q38" i="6"/>
  <c r="O40" i="7"/>
  <c r="K40" i="7"/>
  <c r="F40" i="7"/>
  <c r="E40" i="7"/>
  <c r="G40" i="7"/>
  <c r="C40" i="7"/>
  <c r="D36" i="7"/>
  <c r="D35" i="7"/>
  <c r="D54" i="7" s="1"/>
  <c r="D26" i="7"/>
  <c r="D45" i="7" s="1"/>
  <c r="E27" i="8"/>
  <c r="E33" i="8"/>
  <c r="E52" i="8" s="1"/>
  <c r="E31" i="8"/>
  <c r="E50" i="8" s="1"/>
  <c r="C34" i="8"/>
  <c r="C53" i="8" s="1"/>
  <c r="E37" i="8"/>
  <c r="E56" i="8" s="1"/>
  <c r="C40" i="8"/>
  <c r="C39" i="8" s="1"/>
  <c r="G40" i="8"/>
  <c r="C31" i="8"/>
  <c r="D35" i="8"/>
  <c r="D54" i="8" s="1"/>
  <c r="C33" i="8"/>
  <c r="F40" i="8"/>
  <c r="F27" i="8" s="1"/>
  <c r="F46" i="8" s="1"/>
  <c r="C32" i="8"/>
  <c r="C51" i="8" s="1"/>
  <c r="C35" i="8"/>
  <c r="C38" i="8"/>
  <c r="K40" i="8"/>
  <c r="D26" i="8"/>
  <c r="D45" i="8" s="1"/>
  <c r="E49" i="8"/>
  <c r="E26" i="8"/>
  <c r="E45" i="8" s="1"/>
  <c r="Q40" i="8"/>
  <c r="K40" i="9"/>
  <c r="C40" i="9"/>
  <c r="G40" i="9"/>
  <c r="M26" i="9"/>
  <c r="D35" i="9"/>
  <c r="D54" i="9" s="1"/>
  <c r="M36" i="9"/>
  <c r="D36" i="9" s="1"/>
  <c r="D55" i="9" s="1"/>
  <c r="E36" i="9"/>
  <c r="E55" i="9" s="1"/>
  <c r="E26" i="9"/>
  <c r="E45" i="9" s="1"/>
  <c r="E35" i="9"/>
  <c r="E54" i="9" s="1"/>
  <c r="E37" i="9"/>
  <c r="E56" i="9" s="1"/>
  <c r="E27" i="9"/>
  <c r="E46" i="9" s="1"/>
  <c r="Q39" i="9"/>
  <c r="Q40" i="9" s="1"/>
  <c r="F40" i="9"/>
  <c r="D45" i="10"/>
  <c r="D55" i="10"/>
  <c r="D54" i="10"/>
  <c r="Q40" i="11"/>
  <c r="D35" i="11"/>
  <c r="D36" i="11"/>
  <c r="D26" i="11"/>
  <c r="E40" i="11"/>
  <c r="F40" i="11"/>
  <c r="C40" i="11"/>
  <c r="G40" i="11"/>
  <c r="E40" i="12"/>
  <c r="E34" i="12" s="1"/>
  <c r="E53" i="12" s="1"/>
  <c r="E32" i="12"/>
  <c r="E51" i="12" s="1"/>
  <c r="D36" i="12"/>
  <c r="D55" i="12" s="1"/>
  <c r="F40" i="12"/>
  <c r="F30" i="12" s="1"/>
  <c r="F49" i="12" s="1"/>
  <c r="F28" i="12"/>
  <c r="F47" i="12" s="1"/>
  <c r="E37" i="12"/>
  <c r="E30" i="12"/>
  <c r="E49" i="12" s="1"/>
  <c r="D35" i="12"/>
  <c r="D54" i="12" s="1"/>
  <c r="G40" i="12"/>
  <c r="C40" i="12"/>
  <c r="C27" i="12" s="1"/>
  <c r="D26" i="12"/>
  <c r="O40" i="12"/>
  <c r="E26" i="12"/>
  <c r="E45" i="12" s="1"/>
  <c r="G35" i="13"/>
  <c r="M26" i="13"/>
  <c r="F26" i="13"/>
  <c r="F45" i="13" s="1"/>
  <c r="Q39" i="13"/>
  <c r="F39" i="13" s="1"/>
  <c r="M36" i="13"/>
  <c r="D36" i="13" s="1"/>
  <c r="G40" i="14"/>
  <c r="C40" i="14"/>
  <c r="C36" i="14" s="1"/>
  <c r="C55" i="14" s="1"/>
  <c r="C29" i="14"/>
  <c r="D36" i="14"/>
  <c r="D55" i="14" s="1"/>
  <c r="F40" i="14"/>
  <c r="F32" i="14" s="1"/>
  <c r="F51" i="14" s="1"/>
  <c r="E27" i="14"/>
  <c r="E37" i="14"/>
  <c r="E56" i="14" s="1"/>
  <c r="E35" i="14"/>
  <c r="E54" i="14" s="1"/>
  <c r="D38" i="14"/>
  <c r="D57" i="14" s="1"/>
  <c r="D28" i="14"/>
  <c r="D47" i="14" s="1"/>
  <c r="D35" i="14"/>
  <c r="D54" i="14" s="1"/>
  <c r="Q40" i="14"/>
  <c r="D26" i="14"/>
  <c r="D45" i="14" s="1"/>
  <c r="F33" i="15"/>
  <c r="F52" i="15" s="1"/>
  <c r="D36" i="15"/>
  <c r="D55" i="15" s="1"/>
  <c r="F38" i="15"/>
  <c r="C40" i="15"/>
  <c r="C34" i="15" s="1"/>
  <c r="C53" i="15" s="1"/>
  <c r="G40" i="15"/>
  <c r="F28" i="15"/>
  <c r="F47" i="15" s="1"/>
  <c r="F31" i="15"/>
  <c r="F50" i="15" s="1"/>
  <c r="F36" i="15"/>
  <c r="E39" i="15"/>
  <c r="E58" i="15" s="1"/>
  <c r="E40" i="15"/>
  <c r="E38" i="15" s="1"/>
  <c r="E57" i="15" s="1"/>
  <c r="F34" i="15"/>
  <c r="F53" i="15" s="1"/>
  <c r="C37" i="15"/>
  <c r="F39" i="15"/>
  <c r="F58" i="15" s="1"/>
  <c r="D35" i="15"/>
  <c r="D54" i="15" s="1"/>
  <c r="F29" i="15"/>
  <c r="E27" i="15"/>
  <c r="E46" i="15" s="1"/>
  <c r="F32" i="15"/>
  <c r="F51" i="15" s="1"/>
  <c r="E35" i="15"/>
  <c r="E54" i="15" s="1"/>
  <c r="F37" i="15"/>
  <c r="F56" i="15" s="1"/>
  <c r="F27" i="15"/>
  <c r="C33" i="15"/>
  <c r="F35" i="15"/>
  <c r="F54" i="15" s="1"/>
  <c r="O40" i="15"/>
  <c r="Q40" i="15"/>
  <c r="F26" i="15"/>
  <c r="F45" i="15" s="1"/>
  <c r="F57" i="15"/>
  <c r="D26" i="15"/>
  <c r="D45" i="15" s="1"/>
  <c r="K40" i="15"/>
  <c r="C26" i="15"/>
  <c r="C40" i="16"/>
  <c r="C26" i="16" s="1"/>
  <c r="G40" i="16"/>
  <c r="E40" i="16"/>
  <c r="E37" i="16" s="1"/>
  <c r="E56" i="16" s="1"/>
  <c r="F40" i="16"/>
  <c r="F29" i="16" s="1"/>
  <c r="F48" i="16" s="1"/>
  <c r="E38" i="16"/>
  <c r="E57" i="16" s="1"/>
  <c r="E28" i="16"/>
  <c r="D36" i="16"/>
  <c r="D35" i="16"/>
  <c r="E35" i="16"/>
  <c r="E54" i="16" s="1"/>
  <c r="E31" i="16"/>
  <c r="E50" i="16" s="1"/>
  <c r="D26" i="16"/>
  <c r="D45" i="16" s="1"/>
  <c r="O40" i="16"/>
  <c r="Q40" i="16"/>
  <c r="C51" i="17"/>
  <c r="G40" i="17"/>
  <c r="E49" i="17"/>
  <c r="E40" i="17"/>
  <c r="E28" i="17" s="1"/>
  <c r="E47" i="17" s="1"/>
  <c r="Q40" i="17"/>
  <c r="F57" i="17"/>
  <c r="G40" i="18"/>
  <c r="Q33" i="18"/>
  <c r="F33" i="18" s="1"/>
  <c r="F52" i="18" s="1"/>
  <c r="Q37" i="18"/>
  <c r="Q34" i="18"/>
  <c r="F34" i="18" s="1"/>
  <c r="F53" i="18" s="1"/>
  <c r="Q38" i="18"/>
  <c r="F38" i="18" s="1"/>
  <c r="F57" i="18" s="1"/>
  <c r="Q27" i="18"/>
  <c r="Q30" i="18"/>
  <c r="Q31" i="18"/>
  <c r="Q28" i="18"/>
  <c r="F28" i="18" s="1"/>
  <c r="Q35" i="18"/>
  <c r="Q39" i="18"/>
  <c r="F39" i="18" s="1"/>
  <c r="F58" i="18" s="1"/>
  <c r="Q29" i="18"/>
  <c r="F29" i="18" s="1"/>
  <c r="F48" i="18" s="1"/>
  <c r="Q32" i="18"/>
  <c r="Q36" i="18"/>
  <c r="O33" i="18"/>
  <c r="E33" i="18" s="1"/>
  <c r="E52" i="18" s="1"/>
  <c r="O36" i="18"/>
  <c r="E36" i="18" s="1"/>
  <c r="E55" i="18" s="1"/>
  <c r="O26" i="18"/>
  <c r="O31" i="18"/>
  <c r="O34" i="18"/>
  <c r="E34" i="18" s="1"/>
  <c r="E53" i="18" s="1"/>
  <c r="O37" i="18"/>
  <c r="E37" i="18" s="1"/>
  <c r="E56" i="18" s="1"/>
  <c r="O29" i="18"/>
  <c r="O27" i="18"/>
  <c r="E27" i="18" s="1"/>
  <c r="O38" i="18"/>
  <c r="E38" i="18" s="1"/>
  <c r="K27" i="18"/>
  <c r="C27" i="18" s="1"/>
  <c r="K29" i="18"/>
  <c r="C29" i="18" s="1"/>
  <c r="K31" i="18"/>
  <c r="K33" i="18"/>
  <c r="K35" i="18"/>
  <c r="K37" i="18"/>
  <c r="K39" i="18"/>
  <c r="K28" i="18"/>
  <c r="C28" i="18" s="1"/>
  <c r="K30" i="18"/>
  <c r="K32" i="18"/>
  <c r="K34" i="18"/>
  <c r="K36" i="18"/>
  <c r="C36" i="18" s="1"/>
  <c r="K38" i="18"/>
  <c r="C38" i="18" s="1"/>
  <c r="E54" i="18"/>
  <c r="D55" i="18"/>
  <c r="G21" i="18"/>
  <c r="D54" i="18"/>
  <c r="F45" i="18"/>
  <c r="D46" i="18"/>
  <c r="E49" i="18"/>
  <c r="D58" i="18"/>
  <c r="D56" i="18"/>
  <c r="D48" i="18"/>
  <c r="E58" i="18"/>
  <c r="E47" i="18"/>
  <c r="D53" i="18"/>
  <c r="C47" i="18"/>
  <c r="F58" i="17"/>
  <c r="F48" i="17"/>
  <c r="G21" i="17"/>
  <c r="G21" i="16"/>
  <c r="S21" i="19" s="1"/>
  <c r="F48" i="15"/>
  <c r="G21" i="15"/>
  <c r="R21" i="19" s="1"/>
  <c r="G21" i="14"/>
  <c r="Q21" i="19" s="1"/>
  <c r="D45" i="12"/>
  <c r="G21" i="12"/>
  <c r="O21" i="19" s="1"/>
  <c r="G21" i="11"/>
  <c r="G21" i="10"/>
  <c r="M21" i="19" s="1"/>
  <c r="G21" i="9"/>
  <c r="L21" i="19" s="1"/>
  <c r="G21" i="8"/>
  <c r="K21" i="19" s="1"/>
  <c r="G21" i="7"/>
  <c r="J21" i="19" s="1"/>
  <c r="G21" i="6"/>
  <c r="I21" i="19" s="1"/>
  <c r="G21" i="5"/>
  <c r="H21" i="19" s="1"/>
  <c r="G21" i="4"/>
  <c r="G21" i="19" s="1"/>
  <c r="M27" i="17"/>
  <c r="F49" i="17"/>
  <c r="E52" i="17"/>
  <c r="O36" i="17"/>
  <c r="M37" i="17"/>
  <c r="K38" i="17"/>
  <c r="K40" i="17" s="1"/>
  <c r="M28" i="17"/>
  <c r="F50" i="17"/>
  <c r="F52" i="17"/>
  <c r="D54" i="17"/>
  <c r="M38" i="17"/>
  <c r="M29" i="17"/>
  <c r="D55" i="17"/>
  <c r="O38" i="17"/>
  <c r="M39" i="17"/>
  <c r="D39" i="17" s="1"/>
  <c r="M30" i="17"/>
  <c r="M32" i="17"/>
  <c r="D32" i="17" s="1"/>
  <c r="D51" i="17" s="1"/>
  <c r="F54" i="17"/>
  <c r="O39" i="17"/>
  <c r="F45" i="17"/>
  <c r="M31" i="17"/>
  <c r="M33" i="17"/>
  <c r="D33" i="17" s="1"/>
  <c r="F55" i="17"/>
  <c r="E56" i="17"/>
  <c r="M34" i="17"/>
  <c r="D34" i="17" s="1"/>
  <c r="F56" i="17"/>
  <c r="D58" i="17"/>
  <c r="M27" i="16"/>
  <c r="D27" i="16" s="1"/>
  <c r="M37" i="16"/>
  <c r="D37" i="16" s="1"/>
  <c r="K38" i="16"/>
  <c r="C38" i="16" s="1"/>
  <c r="M28" i="16"/>
  <c r="D28" i="16" s="1"/>
  <c r="D47" i="16" s="1"/>
  <c r="D54" i="16"/>
  <c r="M38" i="16"/>
  <c r="D38" i="16" s="1"/>
  <c r="D57" i="16" s="1"/>
  <c r="K39" i="16"/>
  <c r="M29" i="16"/>
  <c r="D55" i="16"/>
  <c r="M39" i="16"/>
  <c r="D46" i="16"/>
  <c r="M30" i="16"/>
  <c r="D30" i="16" s="1"/>
  <c r="D49" i="16" s="1"/>
  <c r="M32" i="16"/>
  <c r="D32" i="16" s="1"/>
  <c r="D51" i="16" s="1"/>
  <c r="M31" i="16"/>
  <c r="M33" i="16"/>
  <c r="D33" i="16" s="1"/>
  <c r="E47" i="16"/>
  <c r="M34" i="16"/>
  <c r="D34" i="16" s="1"/>
  <c r="M27" i="15"/>
  <c r="D27" i="15" s="1"/>
  <c r="D46" i="15" s="1"/>
  <c r="M37" i="15"/>
  <c r="M28" i="15"/>
  <c r="D28" i="15" s="1"/>
  <c r="M38" i="15"/>
  <c r="M29" i="15"/>
  <c r="D29" i="15" s="1"/>
  <c r="D48" i="15" s="1"/>
  <c r="M39" i="15"/>
  <c r="D39" i="15" s="1"/>
  <c r="D58" i="15" s="1"/>
  <c r="M30" i="15"/>
  <c r="D30" i="15" s="1"/>
  <c r="M32" i="15"/>
  <c r="D32" i="15" s="1"/>
  <c r="D51" i="15" s="1"/>
  <c r="M31" i="15"/>
  <c r="M33" i="15"/>
  <c r="F55" i="15"/>
  <c r="F46" i="15"/>
  <c r="M34" i="15"/>
  <c r="D34" i="15" s="1"/>
  <c r="O26" i="14"/>
  <c r="M27" i="14"/>
  <c r="D27" i="14" s="1"/>
  <c r="O36" i="14"/>
  <c r="E36" i="14" s="1"/>
  <c r="E55" i="14" s="1"/>
  <c r="M37" i="14"/>
  <c r="D37" i="14" s="1"/>
  <c r="D56" i="14" s="1"/>
  <c r="K38" i="14"/>
  <c r="O28" i="14"/>
  <c r="E28" i="14" s="1"/>
  <c r="E47" i="14" s="1"/>
  <c r="M29" i="14"/>
  <c r="D29" i="14" s="1"/>
  <c r="D48" i="14" s="1"/>
  <c r="O38" i="14"/>
  <c r="M39" i="14"/>
  <c r="O29" i="14"/>
  <c r="E29" i="14" s="1"/>
  <c r="E48" i="14" s="1"/>
  <c r="M30" i="14"/>
  <c r="D30" i="14" s="1"/>
  <c r="D49" i="14" s="1"/>
  <c r="M32" i="14"/>
  <c r="O39" i="14"/>
  <c r="E46" i="14"/>
  <c r="O30" i="14"/>
  <c r="M31" i="14"/>
  <c r="D31" i="14" s="1"/>
  <c r="D50" i="14" s="1"/>
  <c r="O32" i="14"/>
  <c r="E32" i="14" s="1"/>
  <c r="E51" i="14" s="1"/>
  <c r="M33" i="14"/>
  <c r="D33" i="14" s="1"/>
  <c r="O31" i="14"/>
  <c r="O33" i="14"/>
  <c r="E33" i="14" s="1"/>
  <c r="E52" i="14" s="1"/>
  <c r="M34" i="14"/>
  <c r="D34" i="14" s="1"/>
  <c r="O34" i="14"/>
  <c r="O26" i="13"/>
  <c r="M27" i="13"/>
  <c r="D27" i="13" s="1"/>
  <c r="G27" i="13" s="1"/>
  <c r="K28" i="13"/>
  <c r="C28" i="13" s="1"/>
  <c r="O36" i="13"/>
  <c r="E36" i="13" s="1"/>
  <c r="G36" i="13" s="1"/>
  <c r="M37" i="13"/>
  <c r="D37" i="13" s="1"/>
  <c r="G37" i="13" s="1"/>
  <c r="K38" i="13"/>
  <c r="C38" i="13" s="1"/>
  <c r="M28" i="13"/>
  <c r="D28" i="13" s="1"/>
  <c r="M38" i="13"/>
  <c r="D38" i="13" s="1"/>
  <c r="O28" i="13"/>
  <c r="E28" i="13" s="1"/>
  <c r="M29" i="13"/>
  <c r="D29" i="13" s="1"/>
  <c r="G29" i="13" s="1"/>
  <c r="K30" i="13"/>
  <c r="C30" i="13" s="1"/>
  <c r="K32" i="13"/>
  <c r="C32" i="13" s="1"/>
  <c r="O38" i="13"/>
  <c r="E38" i="13" s="1"/>
  <c r="M39" i="13"/>
  <c r="D39" i="13" s="1"/>
  <c r="O29" i="13"/>
  <c r="E29" i="13" s="1"/>
  <c r="M30" i="13"/>
  <c r="D30" i="13" s="1"/>
  <c r="K31" i="13"/>
  <c r="C31" i="13" s="1"/>
  <c r="M32" i="13"/>
  <c r="D32" i="13" s="1"/>
  <c r="K33" i="13"/>
  <c r="C33" i="13" s="1"/>
  <c r="O39" i="13"/>
  <c r="E39" i="13" s="1"/>
  <c r="O30" i="13"/>
  <c r="E30" i="13" s="1"/>
  <c r="M31" i="13"/>
  <c r="D31" i="13" s="1"/>
  <c r="O32" i="13"/>
  <c r="E32" i="13" s="1"/>
  <c r="M33" i="13"/>
  <c r="D33" i="13" s="1"/>
  <c r="K34" i="13"/>
  <c r="C34" i="13" s="1"/>
  <c r="M34" i="13"/>
  <c r="D34" i="13" s="1"/>
  <c r="K26" i="13"/>
  <c r="O34" i="13"/>
  <c r="E34" i="13" s="1"/>
  <c r="M27" i="12"/>
  <c r="K28" i="12"/>
  <c r="Q35" i="12"/>
  <c r="M37" i="12"/>
  <c r="K38" i="12"/>
  <c r="Q26" i="12"/>
  <c r="M28" i="12"/>
  <c r="D28" i="12" s="1"/>
  <c r="D47" i="12" s="1"/>
  <c r="K29" i="12"/>
  <c r="Q36" i="12"/>
  <c r="M38" i="12"/>
  <c r="D38" i="12" s="1"/>
  <c r="K39" i="12"/>
  <c r="Q27" i="12"/>
  <c r="F27" i="12" s="1"/>
  <c r="F46" i="12" s="1"/>
  <c r="M29" i="12"/>
  <c r="K30" i="12"/>
  <c r="K32" i="12"/>
  <c r="Q37" i="12"/>
  <c r="M39" i="12"/>
  <c r="M30" i="12"/>
  <c r="M32" i="12"/>
  <c r="D32" i="12" s="1"/>
  <c r="D51" i="12" s="1"/>
  <c r="Q29" i="12"/>
  <c r="M31" i="12"/>
  <c r="M33" i="12"/>
  <c r="D33" i="12" s="1"/>
  <c r="K34" i="12"/>
  <c r="E56" i="12"/>
  <c r="D57" i="12"/>
  <c r="Q39" i="12"/>
  <c r="M34" i="12"/>
  <c r="D34" i="12" s="1"/>
  <c r="D53" i="12" s="1"/>
  <c r="K26" i="12"/>
  <c r="Q31" i="12"/>
  <c r="Q33" i="12"/>
  <c r="O26" i="11"/>
  <c r="M27" i="11"/>
  <c r="D27" i="11" s="1"/>
  <c r="D46" i="11" s="1"/>
  <c r="K28" i="11"/>
  <c r="O36" i="11"/>
  <c r="M37" i="11"/>
  <c r="D37" i="11" s="1"/>
  <c r="K38" i="11"/>
  <c r="M28" i="11"/>
  <c r="D28" i="11" s="1"/>
  <c r="D47" i="11" s="1"/>
  <c r="D54" i="11"/>
  <c r="M38" i="11"/>
  <c r="D38" i="11" s="1"/>
  <c r="D57" i="11" s="1"/>
  <c r="D45" i="11"/>
  <c r="M29" i="11"/>
  <c r="D29" i="11" s="1"/>
  <c r="D48" i="11" s="1"/>
  <c r="K32" i="11"/>
  <c r="D55" i="11"/>
  <c r="O38" i="11"/>
  <c r="M39" i="11"/>
  <c r="D39" i="11" s="1"/>
  <c r="O29" i="11"/>
  <c r="M30" i="11"/>
  <c r="D30" i="11" s="1"/>
  <c r="D49" i="11" s="1"/>
  <c r="K31" i="11"/>
  <c r="M32" i="11"/>
  <c r="D32" i="11" s="1"/>
  <c r="D51" i="11" s="1"/>
  <c r="K33" i="11"/>
  <c r="O39" i="11"/>
  <c r="O30" i="11"/>
  <c r="M31" i="11"/>
  <c r="O32" i="11"/>
  <c r="M33" i="11"/>
  <c r="D33" i="11" s="1"/>
  <c r="K34" i="11"/>
  <c r="M34" i="11"/>
  <c r="M27" i="10"/>
  <c r="D27" i="10" s="1"/>
  <c r="G27" i="10" s="1"/>
  <c r="M37" i="10"/>
  <c r="K38" i="10"/>
  <c r="M28" i="10"/>
  <c r="D28" i="10" s="1"/>
  <c r="M38" i="10"/>
  <c r="D38" i="10" s="1"/>
  <c r="M29" i="10"/>
  <c r="M39" i="10"/>
  <c r="D39" i="10" s="1"/>
  <c r="M30" i="10"/>
  <c r="D30" i="10" s="1"/>
  <c r="G30" i="10" s="1"/>
  <c r="M32" i="10"/>
  <c r="M31" i="10"/>
  <c r="D31" i="10" s="1"/>
  <c r="M33" i="10"/>
  <c r="D33" i="10" s="1"/>
  <c r="M34" i="10"/>
  <c r="D34" i="10" s="1"/>
  <c r="M28" i="9"/>
  <c r="D28" i="9" s="1"/>
  <c r="M38" i="9"/>
  <c r="D38" i="9" s="1"/>
  <c r="D57" i="9" s="1"/>
  <c r="O28" i="9"/>
  <c r="M29" i="9"/>
  <c r="D29" i="9" s="1"/>
  <c r="D48" i="9" s="1"/>
  <c r="O38" i="9"/>
  <c r="E38" i="9" s="1"/>
  <c r="M39" i="9"/>
  <c r="D39" i="9" s="1"/>
  <c r="D58" i="9" s="1"/>
  <c r="M27" i="9"/>
  <c r="D27" i="9" s="1"/>
  <c r="D46" i="9" s="1"/>
  <c r="M37" i="9"/>
  <c r="D37" i="9" s="1"/>
  <c r="D56" i="9" s="1"/>
  <c r="O29" i="9"/>
  <c r="E29" i="9" s="1"/>
  <c r="E48" i="9" s="1"/>
  <c r="M30" i="9"/>
  <c r="D30" i="9" s="1"/>
  <c r="D49" i="9" s="1"/>
  <c r="M32" i="9"/>
  <c r="D32" i="9" s="1"/>
  <c r="D51" i="9" s="1"/>
  <c r="O39" i="9"/>
  <c r="E39" i="9" s="1"/>
  <c r="O30" i="9"/>
  <c r="E30" i="9" s="1"/>
  <c r="M31" i="9"/>
  <c r="D31" i="9" s="1"/>
  <c r="O32" i="9"/>
  <c r="E32" i="9" s="1"/>
  <c r="E51" i="9" s="1"/>
  <c r="M33" i="9"/>
  <c r="D33" i="9" s="1"/>
  <c r="O31" i="9"/>
  <c r="E31" i="9" s="1"/>
  <c r="O33" i="9"/>
  <c r="M34" i="9"/>
  <c r="D34" i="9" s="1"/>
  <c r="O34" i="9"/>
  <c r="M27" i="8"/>
  <c r="O36" i="8"/>
  <c r="E36" i="8" s="1"/>
  <c r="E55" i="8" s="1"/>
  <c r="M37" i="8"/>
  <c r="M28" i="8"/>
  <c r="D28" i="8" s="1"/>
  <c r="M38" i="8"/>
  <c r="D38" i="8" s="1"/>
  <c r="D57" i="8" s="1"/>
  <c r="M29" i="8"/>
  <c r="D29" i="8" s="1"/>
  <c r="D48" i="8" s="1"/>
  <c r="E54" i="8"/>
  <c r="D55" i="8"/>
  <c r="O38" i="8"/>
  <c r="E38" i="8" s="1"/>
  <c r="E57" i="8" s="1"/>
  <c r="M39" i="8"/>
  <c r="D39" i="8" s="1"/>
  <c r="D58" i="8" s="1"/>
  <c r="M30" i="8"/>
  <c r="D30" i="8" s="1"/>
  <c r="D49" i="8" s="1"/>
  <c r="M32" i="8"/>
  <c r="D32" i="8" s="1"/>
  <c r="D51" i="8" s="1"/>
  <c r="O39" i="8"/>
  <c r="E46" i="8"/>
  <c r="D47" i="8"/>
  <c r="M31" i="8"/>
  <c r="M33" i="8"/>
  <c r="D33" i="8" s="1"/>
  <c r="E47" i="8"/>
  <c r="M34" i="8"/>
  <c r="D34" i="8" s="1"/>
  <c r="E48" i="8"/>
  <c r="O34" i="8"/>
  <c r="M37" i="7"/>
  <c r="D37" i="7" s="1"/>
  <c r="M28" i="7"/>
  <c r="D28" i="7" s="1"/>
  <c r="D47" i="7" s="1"/>
  <c r="M38" i="7"/>
  <c r="D38" i="7" s="1"/>
  <c r="M27" i="7"/>
  <c r="D27" i="7" s="1"/>
  <c r="M29" i="7"/>
  <c r="D29" i="7" s="1"/>
  <c r="D48" i="7" s="1"/>
  <c r="D55" i="7"/>
  <c r="M39" i="7"/>
  <c r="D39" i="7" s="1"/>
  <c r="D58" i="7" s="1"/>
  <c r="M30" i="7"/>
  <c r="D30" i="7" s="1"/>
  <c r="M32" i="7"/>
  <c r="D32" i="7" s="1"/>
  <c r="D51" i="7" s="1"/>
  <c r="M31" i="7"/>
  <c r="M33" i="7"/>
  <c r="M34" i="7"/>
  <c r="M27" i="6"/>
  <c r="D27" i="6" s="1"/>
  <c r="K28" i="6"/>
  <c r="M37" i="6"/>
  <c r="K38" i="6"/>
  <c r="M28" i="6"/>
  <c r="K29" i="6"/>
  <c r="M38" i="6"/>
  <c r="D38" i="6" s="1"/>
  <c r="K39" i="6"/>
  <c r="M29" i="6"/>
  <c r="D29" i="6" s="1"/>
  <c r="M39" i="6"/>
  <c r="M30" i="6"/>
  <c r="D30" i="6" s="1"/>
  <c r="D49" i="6" s="1"/>
  <c r="K31" i="6"/>
  <c r="M32" i="6"/>
  <c r="D32" i="6" s="1"/>
  <c r="D51" i="6" s="1"/>
  <c r="K33" i="6"/>
  <c r="M31" i="6"/>
  <c r="M33" i="6"/>
  <c r="D33" i="6" s="1"/>
  <c r="K34" i="6"/>
  <c r="M34" i="6"/>
  <c r="D34" i="6" s="1"/>
  <c r="M27" i="5"/>
  <c r="D27" i="5" s="1"/>
  <c r="D46" i="5" s="1"/>
  <c r="M37" i="5"/>
  <c r="D37" i="5" s="1"/>
  <c r="D56" i="5" s="1"/>
  <c r="K38" i="5"/>
  <c r="K40" i="5" s="1"/>
  <c r="M28" i="5"/>
  <c r="M38" i="5"/>
  <c r="D38" i="5" s="1"/>
  <c r="D57" i="5" s="1"/>
  <c r="K39" i="5"/>
  <c r="M29" i="5"/>
  <c r="D29" i="5" s="1"/>
  <c r="M39" i="5"/>
  <c r="D39" i="5" s="1"/>
  <c r="D58" i="5" s="1"/>
  <c r="M30" i="5"/>
  <c r="D30" i="5" s="1"/>
  <c r="D49" i="5" s="1"/>
  <c r="M32" i="5"/>
  <c r="D32" i="5" s="1"/>
  <c r="D51" i="5" s="1"/>
  <c r="M31" i="5"/>
  <c r="M33" i="5"/>
  <c r="D33" i="5" s="1"/>
  <c r="M34" i="5"/>
  <c r="D34" i="5" s="1"/>
  <c r="M27" i="4"/>
  <c r="M37" i="4"/>
  <c r="D37" i="4" s="1"/>
  <c r="D56" i="4" s="1"/>
  <c r="K38" i="4"/>
  <c r="M28" i="4"/>
  <c r="D28" i="4" s="1"/>
  <c r="D47" i="4" s="1"/>
  <c r="M38" i="4"/>
  <c r="D38" i="4" s="1"/>
  <c r="D57" i="4" s="1"/>
  <c r="K39" i="4"/>
  <c r="M29" i="4"/>
  <c r="D29" i="4" s="1"/>
  <c r="D48" i="4" s="1"/>
  <c r="M39" i="4"/>
  <c r="D39" i="4" s="1"/>
  <c r="M30" i="4"/>
  <c r="D30" i="4" s="1"/>
  <c r="D49" i="4" s="1"/>
  <c r="M32" i="4"/>
  <c r="D32" i="4" s="1"/>
  <c r="D51" i="4" s="1"/>
  <c r="M31" i="4"/>
  <c r="M33" i="4"/>
  <c r="D33" i="4" s="1"/>
  <c r="M34" i="4"/>
  <c r="D34" i="4" s="1"/>
  <c r="D53" i="4" s="1"/>
  <c r="K29" i="3"/>
  <c r="Q36" i="3"/>
  <c r="F36" i="3" s="1"/>
  <c r="F55" i="3" s="1"/>
  <c r="G21" i="3"/>
  <c r="F21" i="19" s="1"/>
  <c r="O28" i="3"/>
  <c r="O39" i="3"/>
  <c r="E39" i="3" s="1"/>
  <c r="O35" i="3"/>
  <c r="E35" i="3" s="1"/>
  <c r="E54" i="3" s="1"/>
  <c r="O38" i="3"/>
  <c r="O34" i="3"/>
  <c r="E34" i="3" s="1"/>
  <c r="O37" i="3"/>
  <c r="E37" i="3" s="1"/>
  <c r="O33" i="3"/>
  <c r="E33" i="3" s="1"/>
  <c r="O31" i="3"/>
  <c r="E31" i="3" s="1"/>
  <c r="O32" i="3"/>
  <c r="E32" i="3" s="1"/>
  <c r="E51" i="3" s="1"/>
  <c r="O30" i="3"/>
  <c r="E30" i="3" s="1"/>
  <c r="O27" i="3"/>
  <c r="E27" i="3" s="1"/>
  <c r="O26" i="3"/>
  <c r="O29" i="3"/>
  <c r="E29" i="3" s="1"/>
  <c r="E48" i="3" s="1"/>
  <c r="Q28" i="3"/>
  <c r="F28" i="3" s="1"/>
  <c r="K31" i="3"/>
  <c r="K33" i="3"/>
  <c r="O36" i="3"/>
  <c r="E36" i="3" s="1"/>
  <c r="K37" i="3"/>
  <c r="Q29" i="3"/>
  <c r="K34" i="3"/>
  <c r="K38" i="3"/>
  <c r="Q30" i="3"/>
  <c r="Q32" i="3"/>
  <c r="F32" i="3" s="1"/>
  <c r="K35" i="3"/>
  <c r="K39" i="3"/>
  <c r="K26" i="3"/>
  <c r="Q31" i="3"/>
  <c r="Q33" i="3"/>
  <c r="F33" i="3" s="1"/>
  <c r="Q37" i="3"/>
  <c r="F37" i="3" s="1"/>
  <c r="K36" i="3"/>
  <c r="Q27" i="3"/>
  <c r="F27" i="3" s="1"/>
  <c r="K30" i="3"/>
  <c r="C38" i="17" l="1"/>
  <c r="F38" i="16"/>
  <c r="F57" i="16" s="1"/>
  <c r="E27" i="16"/>
  <c r="E46" i="16" s="1"/>
  <c r="E32" i="16"/>
  <c r="E51" i="16" s="1"/>
  <c r="C28" i="15"/>
  <c r="C35" i="15"/>
  <c r="C31" i="15"/>
  <c r="E31" i="15"/>
  <c r="E50" i="15" s="1"/>
  <c r="E28" i="15"/>
  <c r="E47" i="15" s="1"/>
  <c r="C38" i="14"/>
  <c r="C32" i="14"/>
  <c r="C51" i="14" s="1"/>
  <c r="C37" i="14"/>
  <c r="C56" i="14" s="1"/>
  <c r="C34" i="14"/>
  <c r="C53" i="14" s="1"/>
  <c r="C30" i="14"/>
  <c r="C49" i="14" s="1"/>
  <c r="C35" i="14"/>
  <c r="C26" i="14"/>
  <c r="C45" i="14" s="1"/>
  <c r="C31" i="14"/>
  <c r="C33" i="14"/>
  <c r="C39" i="12"/>
  <c r="F35" i="12"/>
  <c r="F54" i="12" s="1"/>
  <c r="F32" i="12"/>
  <c r="F51" i="12" s="1"/>
  <c r="F37" i="12"/>
  <c r="F56" i="12" s="1"/>
  <c r="F36" i="12"/>
  <c r="C28" i="12"/>
  <c r="C47" i="12" s="1"/>
  <c r="G47" i="12" s="1"/>
  <c r="O7" i="19" s="1"/>
  <c r="C34" i="12"/>
  <c r="C29" i="12"/>
  <c r="C48" i="12" s="1"/>
  <c r="M40" i="12"/>
  <c r="C35" i="12"/>
  <c r="C32" i="12"/>
  <c r="F38" i="12"/>
  <c r="F57" i="12" s="1"/>
  <c r="C30" i="12"/>
  <c r="F34" i="12"/>
  <c r="F53" i="12" s="1"/>
  <c r="E33" i="12"/>
  <c r="E52" i="12" s="1"/>
  <c r="C38" i="12"/>
  <c r="G38" i="12" s="1"/>
  <c r="C33" i="12"/>
  <c r="C28" i="10"/>
  <c r="C39" i="10"/>
  <c r="G39" i="10" s="1"/>
  <c r="C32" i="10"/>
  <c r="G26" i="10"/>
  <c r="C35" i="10"/>
  <c r="G35" i="10" s="1"/>
  <c r="C34" i="10"/>
  <c r="G34" i="10" s="1"/>
  <c r="C31" i="10"/>
  <c r="G31" i="10" s="1"/>
  <c r="C33" i="10"/>
  <c r="G33" i="10" s="1"/>
  <c r="G28" i="10"/>
  <c r="C37" i="8"/>
  <c r="C29" i="8"/>
  <c r="C28" i="8"/>
  <c r="M40" i="8"/>
  <c r="C30" i="8"/>
  <c r="C26" i="8"/>
  <c r="C45" i="8" s="1"/>
  <c r="C27" i="8"/>
  <c r="K40" i="11"/>
  <c r="E26" i="17"/>
  <c r="E45" i="17" s="1"/>
  <c r="E27" i="17"/>
  <c r="E46" i="17" s="1"/>
  <c r="E29" i="17"/>
  <c r="E48" i="17" s="1"/>
  <c r="E31" i="17"/>
  <c r="E50" i="17" s="1"/>
  <c r="E45" i="18"/>
  <c r="E29" i="18"/>
  <c r="E48" i="18" s="1"/>
  <c r="E57" i="18"/>
  <c r="E46" i="18"/>
  <c r="E31" i="18"/>
  <c r="E50" i="18" s="1"/>
  <c r="C35" i="18"/>
  <c r="C54" i="18" s="1"/>
  <c r="C33" i="18"/>
  <c r="C52" i="18" s="1"/>
  <c r="G52" i="18" s="1"/>
  <c r="U12" i="19" s="1"/>
  <c r="C34" i="18"/>
  <c r="C53" i="18" s="1"/>
  <c r="G53" i="18" s="1"/>
  <c r="U13" i="19" s="1"/>
  <c r="C31" i="18"/>
  <c r="C32" i="18"/>
  <c r="C51" i="18" s="1"/>
  <c r="C30" i="18"/>
  <c r="C49" i="18" s="1"/>
  <c r="C39" i="18"/>
  <c r="C58" i="18" s="1"/>
  <c r="G58" i="18" s="1"/>
  <c r="U18" i="19" s="1"/>
  <c r="C37" i="18"/>
  <c r="O40" i="8"/>
  <c r="F37" i="18"/>
  <c r="F56" i="18" s="1"/>
  <c r="F31" i="18"/>
  <c r="F50" i="18" s="1"/>
  <c r="F36" i="18"/>
  <c r="F55" i="18" s="1"/>
  <c r="F30" i="18"/>
  <c r="F49" i="18" s="1"/>
  <c r="F32" i="18"/>
  <c r="F51" i="18" s="1"/>
  <c r="F27" i="18"/>
  <c r="F46" i="18" s="1"/>
  <c r="F35" i="18"/>
  <c r="F54" i="18" s="1"/>
  <c r="E38" i="17"/>
  <c r="E57" i="17" s="1"/>
  <c r="E39" i="17"/>
  <c r="E58" i="17" s="1"/>
  <c r="E36" i="17"/>
  <c r="E55" i="17" s="1"/>
  <c r="D47" i="17"/>
  <c r="D28" i="17"/>
  <c r="M40" i="17"/>
  <c r="D27" i="17"/>
  <c r="D46" i="17" s="1"/>
  <c r="D31" i="17"/>
  <c r="D50" i="17" s="1"/>
  <c r="D30" i="17"/>
  <c r="G30" i="17" s="1"/>
  <c r="D29" i="17"/>
  <c r="D48" i="17" s="1"/>
  <c r="D37" i="17"/>
  <c r="D56" i="17" s="1"/>
  <c r="D38" i="17"/>
  <c r="D57" i="17" s="1"/>
  <c r="M40" i="14"/>
  <c r="K40" i="14"/>
  <c r="Q40" i="13"/>
  <c r="G34" i="13"/>
  <c r="D32" i="10"/>
  <c r="G32" i="10" s="1"/>
  <c r="D37" i="10"/>
  <c r="G37" i="10" s="1"/>
  <c r="M40" i="10"/>
  <c r="D29" i="10"/>
  <c r="G29" i="10" s="1"/>
  <c r="K40" i="10"/>
  <c r="C38" i="10"/>
  <c r="G38" i="10" s="1"/>
  <c r="O40" i="9"/>
  <c r="O40" i="6"/>
  <c r="Q40" i="5"/>
  <c r="O40" i="4"/>
  <c r="K40" i="4"/>
  <c r="O40" i="3"/>
  <c r="K40" i="3"/>
  <c r="F26" i="3"/>
  <c r="F45" i="3" s="1"/>
  <c r="Q40" i="3"/>
  <c r="F47" i="3"/>
  <c r="F51" i="3"/>
  <c r="E56" i="3"/>
  <c r="F56" i="3"/>
  <c r="E53" i="3"/>
  <c r="F52" i="3"/>
  <c r="E38" i="3"/>
  <c r="E57" i="3" s="1"/>
  <c r="C36" i="3"/>
  <c r="C55" i="3" s="1"/>
  <c r="C34" i="3"/>
  <c r="C53" i="3" s="1"/>
  <c r="C32" i="3"/>
  <c r="C30" i="3"/>
  <c r="C49" i="3" s="1"/>
  <c r="C33" i="3"/>
  <c r="C52" i="3" s="1"/>
  <c r="C28" i="3"/>
  <c r="C47" i="3" s="1"/>
  <c r="C26" i="3"/>
  <c r="C45" i="3" s="1"/>
  <c r="C29" i="3"/>
  <c r="C48" i="3" s="1"/>
  <c r="C39" i="3"/>
  <c r="C58" i="3" s="1"/>
  <c r="C37" i="3"/>
  <c r="C27" i="3"/>
  <c r="C31" i="3"/>
  <c r="C38" i="3"/>
  <c r="C57" i="3" s="1"/>
  <c r="C35" i="3"/>
  <c r="C54" i="3" s="1"/>
  <c r="F30" i="3"/>
  <c r="F49" i="3" s="1"/>
  <c r="E55" i="3"/>
  <c r="E46" i="3"/>
  <c r="E26" i="3"/>
  <c r="E45" i="3" s="1"/>
  <c r="F29" i="3"/>
  <c r="F48" i="3" s="1"/>
  <c r="E50" i="3"/>
  <c r="E49" i="3"/>
  <c r="E58" i="3"/>
  <c r="E28" i="3"/>
  <c r="E47" i="3" s="1"/>
  <c r="F31" i="3"/>
  <c r="F50" i="3" s="1"/>
  <c r="D26" i="4"/>
  <c r="D45" i="4" s="1"/>
  <c r="M40" i="4"/>
  <c r="E34" i="4"/>
  <c r="E53" i="4" s="1"/>
  <c r="E26" i="4"/>
  <c r="E45" i="4" s="1"/>
  <c r="E39" i="4"/>
  <c r="E58" i="4" s="1"/>
  <c r="E31" i="4"/>
  <c r="E50" i="4" s="1"/>
  <c r="E28" i="4"/>
  <c r="E47" i="4" s="1"/>
  <c r="E36" i="4"/>
  <c r="E55" i="4" s="1"/>
  <c r="E33" i="4"/>
  <c r="E52" i="4" s="1"/>
  <c r="E38" i="4"/>
  <c r="E57" i="4" s="1"/>
  <c r="E30" i="4"/>
  <c r="E49" i="4" s="1"/>
  <c r="E35" i="4"/>
  <c r="E54" i="4" s="1"/>
  <c r="E27" i="4"/>
  <c r="E46" i="4" s="1"/>
  <c r="E32" i="4"/>
  <c r="E51" i="4" s="1"/>
  <c r="E37" i="4"/>
  <c r="E56" i="4" s="1"/>
  <c r="E29" i="4"/>
  <c r="E48" i="4" s="1"/>
  <c r="D27" i="4"/>
  <c r="D46" i="4" s="1"/>
  <c r="C35" i="4"/>
  <c r="C54" i="4" s="1"/>
  <c r="C29" i="4"/>
  <c r="C48" i="4" s="1"/>
  <c r="C34" i="4"/>
  <c r="C38" i="4"/>
  <c r="C57" i="4" s="1"/>
  <c r="C37" i="4"/>
  <c r="C56" i="4" s="1"/>
  <c r="C30" i="4"/>
  <c r="C26" i="4"/>
  <c r="C45" i="4" s="1"/>
  <c r="C27" i="4"/>
  <c r="C28" i="4"/>
  <c r="C39" i="4"/>
  <c r="C58" i="4" s="1"/>
  <c r="C36" i="4"/>
  <c r="C55" i="4" s="1"/>
  <c r="C32" i="4"/>
  <c r="C33" i="4"/>
  <c r="C31" i="4"/>
  <c r="C50" i="4" s="1"/>
  <c r="D58" i="4"/>
  <c r="F39" i="4"/>
  <c r="F58" i="4" s="1"/>
  <c r="F31" i="4"/>
  <c r="F50" i="4" s="1"/>
  <c r="F36" i="4"/>
  <c r="F55" i="4" s="1"/>
  <c r="F28" i="4"/>
  <c r="F47" i="4" s="1"/>
  <c r="F33" i="4"/>
  <c r="F52" i="4" s="1"/>
  <c r="F38" i="4"/>
  <c r="F57" i="4" s="1"/>
  <c r="F30" i="4"/>
  <c r="F49" i="4" s="1"/>
  <c r="F35" i="4"/>
  <c r="F54" i="4" s="1"/>
  <c r="F27" i="4"/>
  <c r="F46" i="4" s="1"/>
  <c r="F32" i="4"/>
  <c r="F51" i="4" s="1"/>
  <c r="F37" i="4"/>
  <c r="F56" i="4" s="1"/>
  <c r="F29" i="4"/>
  <c r="F48" i="4" s="1"/>
  <c r="F34" i="4"/>
  <c r="F53" i="4" s="1"/>
  <c r="F26" i="4"/>
  <c r="F45" i="4" s="1"/>
  <c r="D31" i="4"/>
  <c r="D50" i="4" s="1"/>
  <c r="M40" i="5"/>
  <c r="C35" i="5"/>
  <c r="C54" i="5" s="1"/>
  <c r="C33" i="5"/>
  <c r="C52" i="5" s="1"/>
  <c r="C31" i="5"/>
  <c r="C50" i="5" s="1"/>
  <c r="C29" i="5"/>
  <c r="C48" i="5" s="1"/>
  <c r="C32" i="5"/>
  <c r="C28" i="5"/>
  <c r="C37" i="5"/>
  <c r="C27" i="5"/>
  <c r="C46" i="5" s="1"/>
  <c r="C38" i="5"/>
  <c r="C57" i="5" s="1"/>
  <c r="C34" i="5"/>
  <c r="C30" i="5"/>
  <c r="C49" i="5" s="1"/>
  <c r="C26" i="5"/>
  <c r="C45" i="5" s="1"/>
  <c r="C39" i="5"/>
  <c r="C36" i="5"/>
  <c r="C55" i="5" s="1"/>
  <c r="D28" i="5"/>
  <c r="D47" i="5" s="1"/>
  <c r="E26" i="5"/>
  <c r="E45" i="5" s="1"/>
  <c r="E39" i="5"/>
  <c r="E58" i="5" s="1"/>
  <c r="E35" i="5"/>
  <c r="E54" i="5" s="1"/>
  <c r="E31" i="5"/>
  <c r="E50" i="5" s="1"/>
  <c r="E27" i="5"/>
  <c r="E46" i="5" s="1"/>
  <c r="E38" i="5"/>
  <c r="E57" i="5" s="1"/>
  <c r="E28" i="5"/>
  <c r="E47" i="5" s="1"/>
  <c r="E33" i="5"/>
  <c r="E52" i="5" s="1"/>
  <c r="E36" i="5"/>
  <c r="E55" i="5" s="1"/>
  <c r="E34" i="5"/>
  <c r="E53" i="5" s="1"/>
  <c r="E32" i="5"/>
  <c r="E51" i="5" s="1"/>
  <c r="E30" i="5"/>
  <c r="E49" i="5" s="1"/>
  <c r="E37" i="5"/>
  <c r="E56" i="5" s="1"/>
  <c r="E29" i="5"/>
  <c r="E48" i="5" s="1"/>
  <c r="D31" i="5"/>
  <c r="D50" i="5" s="1"/>
  <c r="F38" i="5"/>
  <c r="F57" i="5" s="1"/>
  <c r="F35" i="5"/>
  <c r="F54" i="5" s="1"/>
  <c r="F31" i="5"/>
  <c r="F50" i="5" s="1"/>
  <c r="F36" i="5"/>
  <c r="F55" i="5" s="1"/>
  <c r="F34" i="5"/>
  <c r="F53" i="5" s="1"/>
  <c r="F32" i="5"/>
  <c r="F51" i="5" s="1"/>
  <c r="F30" i="5"/>
  <c r="F49" i="5" s="1"/>
  <c r="F39" i="5"/>
  <c r="F58" i="5" s="1"/>
  <c r="F37" i="5"/>
  <c r="F56" i="5" s="1"/>
  <c r="F33" i="5"/>
  <c r="F52" i="5" s="1"/>
  <c r="F27" i="5"/>
  <c r="F46" i="5" s="1"/>
  <c r="F28" i="5"/>
  <c r="F47" i="5" s="1"/>
  <c r="F26" i="5"/>
  <c r="F45" i="5" s="1"/>
  <c r="F29" i="5"/>
  <c r="F48" i="5" s="1"/>
  <c r="D48" i="5"/>
  <c r="Q40" i="6"/>
  <c r="M40" i="6"/>
  <c r="K40" i="6"/>
  <c r="D26" i="6"/>
  <c r="D45" i="6" s="1"/>
  <c r="E33" i="6"/>
  <c r="E52" i="6" s="1"/>
  <c r="E39" i="6"/>
  <c r="E58" i="6" s="1"/>
  <c r="E37" i="6"/>
  <c r="E56" i="6" s="1"/>
  <c r="E27" i="6"/>
  <c r="E46" i="6" s="1"/>
  <c r="E38" i="6"/>
  <c r="E36" i="6"/>
  <c r="E55" i="6" s="1"/>
  <c r="E34" i="6"/>
  <c r="E53" i="6" s="1"/>
  <c r="E32" i="6"/>
  <c r="E51" i="6" s="1"/>
  <c r="E30" i="6"/>
  <c r="E35" i="6"/>
  <c r="E54" i="6" s="1"/>
  <c r="E31" i="6"/>
  <c r="E50" i="6" s="1"/>
  <c r="E28" i="6"/>
  <c r="E47" i="6" s="1"/>
  <c r="E26" i="6"/>
  <c r="E45" i="6" s="1"/>
  <c r="E29" i="6"/>
  <c r="E48" i="6" s="1"/>
  <c r="D39" i="6"/>
  <c r="D58" i="6" s="1"/>
  <c r="D48" i="6"/>
  <c r="D53" i="6"/>
  <c r="D28" i="6"/>
  <c r="D47" i="6" s="1"/>
  <c r="F39" i="6"/>
  <c r="F58" i="6" s="1"/>
  <c r="F37" i="6"/>
  <c r="F56" i="6" s="1"/>
  <c r="F35" i="6"/>
  <c r="F54" i="6" s="1"/>
  <c r="F33" i="6"/>
  <c r="F52" i="6" s="1"/>
  <c r="F31" i="6"/>
  <c r="F50" i="6" s="1"/>
  <c r="F29" i="6"/>
  <c r="F48" i="6" s="1"/>
  <c r="F27" i="6"/>
  <c r="F46" i="6" s="1"/>
  <c r="F36" i="6"/>
  <c r="F55" i="6" s="1"/>
  <c r="F34" i="6"/>
  <c r="F53" i="6" s="1"/>
  <c r="F32" i="6"/>
  <c r="F51" i="6" s="1"/>
  <c r="F30" i="6"/>
  <c r="F49" i="6" s="1"/>
  <c r="F38" i="6"/>
  <c r="F57" i="6" s="1"/>
  <c r="F28" i="6"/>
  <c r="F47" i="6" s="1"/>
  <c r="F26" i="6"/>
  <c r="F45" i="6" s="1"/>
  <c r="D57" i="6"/>
  <c r="D37" i="6"/>
  <c r="D56" i="6" s="1"/>
  <c r="D31" i="6"/>
  <c r="D50" i="6" s="1"/>
  <c r="C36" i="6"/>
  <c r="C34" i="6"/>
  <c r="C53" i="6" s="1"/>
  <c r="C32" i="6"/>
  <c r="C30" i="6"/>
  <c r="C49" i="6" s="1"/>
  <c r="C28" i="6"/>
  <c r="C26" i="6"/>
  <c r="C45" i="6" s="1"/>
  <c r="C39" i="6"/>
  <c r="C58" i="6" s="1"/>
  <c r="C37" i="6"/>
  <c r="C56" i="6" s="1"/>
  <c r="C35" i="6"/>
  <c r="C54" i="6" s="1"/>
  <c r="C33" i="6"/>
  <c r="C52" i="6" s="1"/>
  <c r="C31" i="6"/>
  <c r="C50" i="6" s="1"/>
  <c r="C29" i="6"/>
  <c r="C48" i="6" s="1"/>
  <c r="C27" i="6"/>
  <c r="C38" i="6"/>
  <c r="C57" i="6" s="1"/>
  <c r="M40" i="7"/>
  <c r="D49" i="7"/>
  <c r="D46" i="7"/>
  <c r="D34" i="7"/>
  <c r="D53" i="7" s="1"/>
  <c r="C33" i="7"/>
  <c r="C34" i="7"/>
  <c r="C53" i="7" s="1"/>
  <c r="C31" i="7"/>
  <c r="C50" i="7" s="1"/>
  <c r="C39" i="7"/>
  <c r="C58" i="7" s="1"/>
  <c r="C27" i="7"/>
  <c r="C46" i="7" s="1"/>
  <c r="C38" i="7"/>
  <c r="C57" i="7" s="1"/>
  <c r="C26" i="7"/>
  <c r="C30" i="7"/>
  <c r="C49" i="7" s="1"/>
  <c r="C35" i="7"/>
  <c r="C54" i="7" s="1"/>
  <c r="C32" i="7"/>
  <c r="C51" i="7" s="1"/>
  <c r="C28" i="7"/>
  <c r="C29" i="7"/>
  <c r="C48" i="7" s="1"/>
  <c r="C36" i="7"/>
  <c r="C55" i="7" s="1"/>
  <c r="C37" i="7"/>
  <c r="C56" i="7" s="1"/>
  <c r="D33" i="7"/>
  <c r="D52" i="7" s="1"/>
  <c r="E39" i="7"/>
  <c r="E58" i="7" s="1"/>
  <c r="E36" i="7"/>
  <c r="E55" i="7" s="1"/>
  <c r="E33" i="7"/>
  <c r="E52" i="7" s="1"/>
  <c r="E27" i="7"/>
  <c r="E46" i="7" s="1"/>
  <c r="E31" i="7"/>
  <c r="E50" i="7" s="1"/>
  <c r="E30" i="7"/>
  <c r="E49" i="7" s="1"/>
  <c r="E35" i="7"/>
  <c r="E54" i="7" s="1"/>
  <c r="E32" i="7"/>
  <c r="E51" i="7" s="1"/>
  <c r="E38" i="7"/>
  <c r="E57" i="7" s="1"/>
  <c r="E26" i="7"/>
  <c r="E45" i="7" s="1"/>
  <c r="E34" i="7"/>
  <c r="E53" i="7" s="1"/>
  <c r="E28" i="7"/>
  <c r="E47" i="7" s="1"/>
  <c r="E29" i="7"/>
  <c r="E48" i="7" s="1"/>
  <c r="E37" i="7"/>
  <c r="E56" i="7" s="1"/>
  <c r="D56" i="7"/>
  <c r="F36" i="7"/>
  <c r="F55" i="7" s="1"/>
  <c r="F39" i="7"/>
  <c r="F58" i="7" s="1"/>
  <c r="F31" i="7"/>
  <c r="F35" i="7"/>
  <c r="F29" i="7"/>
  <c r="F48" i="7" s="1"/>
  <c r="F32" i="7"/>
  <c r="F33" i="7"/>
  <c r="F52" i="7" s="1"/>
  <c r="F34" i="7"/>
  <c r="F30" i="7"/>
  <c r="F49" i="7" s="1"/>
  <c r="F26" i="7"/>
  <c r="F27" i="7"/>
  <c r="F46" i="7" s="1"/>
  <c r="F28" i="7"/>
  <c r="F47" i="7" s="1"/>
  <c r="F37" i="7"/>
  <c r="F56" i="7" s="1"/>
  <c r="F38" i="7"/>
  <c r="D57" i="7"/>
  <c r="D31" i="7"/>
  <c r="D50" i="7" s="1"/>
  <c r="F33" i="8"/>
  <c r="F52" i="8" s="1"/>
  <c r="F35" i="8"/>
  <c r="F36" i="8"/>
  <c r="F55" i="8" s="1"/>
  <c r="F32" i="8"/>
  <c r="F51" i="8" s="1"/>
  <c r="G51" i="8" s="1"/>
  <c r="K11" i="19" s="1"/>
  <c r="F26" i="8"/>
  <c r="F45" i="8" s="1"/>
  <c r="C36" i="8"/>
  <c r="G36" i="8" s="1"/>
  <c r="F37" i="8"/>
  <c r="F56" i="8" s="1"/>
  <c r="F30" i="8"/>
  <c r="F49" i="8" s="1"/>
  <c r="F34" i="8"/>
  <c r="F53" i="8" s="1"/>
  <c r="F38" i="8"/>
  <c r="F57" i="8" s="1"/>
  <c r="F31" i="8"/>
  <c r="F50" i="8" s="1"/>
  <c r="F39" i="8"/>
  <c r="F58" i="8" s="1"/>
  <c r="F29" i="8"/>
  <c r="F48" i="8" s="1"/>
  <c r="F28" i="8"/>
  <c r="F47" i="8" s="1"/>
  <c r="E39" i="8"/>
  <c r="D31" i="8"/>
  <c r="D27" i="8"/>
  <c r="G27" i="8" s="1"/>
  <c r="D37" i="8"/>
  <c r="G37" i="8" s="1"/>
  <c r="E34" i="8"/>
  <c r="G34" i="8" s="1"/>
  <c r="M40" i="9"/>
  <c r="D26" i="9"/>
  <c r="D45" i="9" s="1"/>
  <c r="D50" i="9"/>
  <c r="E49" i="9"/>
  <c r="F34" i="9"/>
  <c r="F53" i="9" s="1"/>
  <c r="F31" i="9"/>
  <c r="F50" i="9" s="1"/>
  <c r="F33" i="9"/>
  <c r="F52" i="9" s="1"/>
  <c r="F35" i="9"/>
  <c r="F54" i="9" s="1"/>
  <c r="F28" i="9"/>
  <c r="F47" i="9" s="1"/>
  <c r="F27" i="9"/>
  <c r="F46" i="9" s="1"/>
  <c r="F39" i="9"/>
  <c r="F58" i="9" s="1"/>
  <c r="F36" i="9"/>
  <c r="F55" i="9" s="1"/>
  <c r="F29" i="9"/>
  <c r="F48" i="9" s="1"/>
  <c r="F30" i="9"/>
  <c r="F32" i="9"/>
  <c r="F51" i="9" s="1"/>
  <c r="F37" i="9"/>
  <c r="F56" i="9" s="1"/>
  <c r="F26" i="9"/>
  <c r="F38" i="9"/>
  <c r="E50" i="9"/>
  <c r="E57" i="9"/>
  <c r="E58" i="9"/>
  <c r="D53" i="9"/>
  <c r="D47" i="9"/>
  <c r="E28" i="9"/>
  <c r="E47" i="9" s="1"/>
  <c r="C33" i="9"/>
  <c r="C52" i="9" s="1"/>
  <c r="C34" i="9"/>
  <c r="C26" i="9"/>
  <c r="C45" i="9" s="1"/>
  <c r="C31" i="9"/>
  <c r="G31" i="9" s="1"/>
  <c r="C38" i="9"/>
  <c r="C35" i="9"/>
  <c r="C27" i="9"/>
  <c r="C32" i="9"/>
  <c r="C30" i="9"/>
  <c r="C49" i="9" s="1"/>
  <c r="C36" i="9"/>
  <c r="C55" i="9" s="1"/>
  <c r="C29" i="9"/>
  <c r="C37" i="9"/>
  <c r="C39" i="9"/>
  <c r="C28" i="9"/>
  <c r="C47" i="9" s="1"/>
  <c r="D52" i="9"/>
  <c r="E34" i="9"/>
  <c r="E53" i="9" s="1"/>
  <c r="E33" i="9"/>
  <c r="E52" i="9" s="1"/>
  <c r="D46" i="10"/>
  <c r="D49" i="10"/>
  <c r="D57" i="10"/>
  <c r="D50" i="10"/>
  <c r="E49" i="10"/>
  <c r="E58" i="10"/>
  <c r="E56" i="10"/>
  <c r="E51" i="10"/>
  <c r="E47" i="10"/>
  <c r="E54" i="10"/>
  <c r="E52" i="10"/>
  <c r="E50" i="10"/>
  <c r="E48" i="10"/>
  <c r="E53" i="10"/>
  <c r="E46" i="10"/>
  <c r="E55" i="10"/>
  <c r="E45" i="10"/>
  <c r="E57" i="10"/>
  <c r="C53" i="10"/>
  <c r="C56" i="10"/>
  <c r="D47" i="10"/>
  <c r="O40" i="11"/>
  <c r="M40" i="11"/>
  <c r="E39" i="11"/>
  <c r="E58" i="11" s="1"/>
  <c r="E33" i="11"/>
  <c r="E31" i="11"/>
  <c r="E50" i="11" s="1"/>
  <c r="E29" i="11"/>
  <c r="E48" i="11" s="1"/>
  <c r="E27" i="11"/>
  <c r="E46" i="11" s="1"/>
  <c r="E37" i="11"/>
  <c r="E38" i="11"/>
  <c r="E57" i="11" s="1"/>
  <c r="E36" i="11"/>
  <c r="E55" i="11" s="1"/>
  <c r="E34" i="11"/>
  <c r="E53" i="11" s="1"/>
  <c r="E32" i="11"/>
  <c r="E51" i="11" s="1"/>
  <c r="E30" i="11"/>
  <c r="E49" i="11" s="1"/>
  <c r="E28" i="11"/>
  <c r="E47" i="11" s="1"/>
  <c r="E26" i="11"/>
  <c r="E35" i="11"/>
  <c r="E54" i="11" s="1"/>
  <c r="E52" i="11"/>
  <c r="D31" i="11"/>
  <c r="D50" i="11" s="1"/>
  <c r="C37" i="11"/>
  <c r="C56" i="11" s="1"/>
  <c r="C35" i="11"/>
  <c r="C39" i="11"/>
  <c r="C58" i="11" s="1"/>
  <c r="C33" i="11"/>
  <c r="C52" i="11" s="1"/>
  <c r="C31" i="11"/>
  <c r="C50" i="11" s="1"/>
  <c r="C29" i="11"/>
  <c r="C27" i="11"/>
  <c r="C32" i="11"/>
  <c r="C51" i="11" s="1"/>
  <c r="C26" i="11"/>
  <c r="C28" i="11"/>
  <c r="C34" i="11"/>
  <c r="C30" i="11"/>
  <c r="C38" i="11"/>
  <c r="C36" i="11"/>
  <c r="F38" i="11"/>
  <c r="F57" i="11" s="1"/>
  <c r="F36" i="11"/>
  <c r="F55" i="11" s="1"/>
  <c r="F35" i="11"/>
  <c r="F54" i="11" s="1"/>
  <c r="F31" i="11"/>
  <c r="F50" i="11" s="1"/>
  <c r="F34" i="11"/>
  <c r="F53" i="11" s="1"/>
  <c r="F32" i="11"/>
  <c r="F51" i="11" s="1"/>
  <c r="F30" i="11"/>
  <c r="F49" i="11" s="1"/>
  <c r="F28" i="11"/>
  <c r="F47" i="11" s="1"/>
  <c r="F37" i="11"/>
  <c r="F56" i="11" s="1"/>
  <c r="F39" i="11"/>
  <c r="F29" i="11"/>
  <c r="F48" i="11" s="1"/>
  <c r="F26" i="11"/>
  <c r="F45" i="11" s="1"/>
  <c r="F33" i="11"/>
  <c r="F52" i="11" s="1"/>
  <c r="F27" i="11"/>
  <c r="F46" i="11" s="1"/>
  <c r="D34" i="11"/>
  <c r="D53" i="11" s="1"/>
  <c r="G32" i="12"/>
  <c r="C36" i="12"/>
  <c r="C55" i="12" s="1"/>
  <c r="E36" i="12"/>
  <c r="E55" i="12" s="1"/>
  <c r="E27" i="12"/>
  <c r="E46" i="12" s="1"/>
  <c r="E28" i="12"/>
  <c r="E47" i="12" s="1"/>
  <c r="E29" i="12"/>
  <c r="E48" i="12" s="1"/>
  <c r="E35" i="12"/>
  <c r="E54" i="12" s="1"/>
  <c r="E38" i="12"/>
  <c r="E57" i="12" s="1"/>
  <c r="E39" i="12"/>
  <c r="E58" i="12" s="1"/>
  <c r="E31" i="12"/>
  <c r="E50" i="12" s="1"/>
  <c r="C37" i="12"/>
  <c r="C56" i="12" s="1"/>
  <c r="C31" i="12"/>
  <c r="C50" i="12" s="1"/>
  <c r="D39" i="12"/>
  <c r="D58" i="12" s="1"/>
  <c r="F55" i="12"/>
  <c r="G34" i="12"/>
  <c r="Q40" i="12"/>
  <c r="F26" i="12"/>
  <c r="F45" i="12" s="1"/>
  <c r="F33" i="12"/>
  <c r="G33" i="12" s="1"/>
  <c r="F31" i="12"/>
  <c r="F50" i="12" s="1"/>
  <c r="D31" i="12"/>
  <c r="D29" i="12"/>
  <c r="D48" i="12" s="1"/>
  <c r="F29" i="12"/>
  <c r="F48" i="12" s="1"/>
  <c r="D30" i="12"/>
  <c r="D49" i="12" s="1"/>
  <c r="F39" i="12"/>
  <c r="F58" i="12" s="1"/>
  <c r="G28" i="12"/>
  <c r="C26" i="12"/>
  <c r="K40" i="12"/>
  <c r="D37" i="12"/>
  <c r="D27" i="12"/>
  <c r="O40" i="13"/>
  <c r="M40" i="13"/>
  <c r="G33" i="13"/>
  <c r="C26" i="13"/>
  <c r="K40" i="13"/>
  <c r="G32" i="13"/>
  <c r="G31" i="13"/>
  <c r="G39" i="13"/>
  <c r="G38" i="13"/>
  <c r="D26" i="13"/>
  <c r="D45" i="13" s="1"/>
  <c r="G30" i="13"/>
  <c r="G28" i="13"/>
  <c r="E26" i="13"/>
  <c r="E45" i="13" s="1"/>
  <c r="D48" i="13"/>
  <c r="E57" i="13"/>
  <c r="E52" i="13"/>
  <c r="F47" i="13"/>
  <c r="E55" i="13"/>
  <c r="D58" i="13"/>
  <c r="D53" i="13"/>
  <c r="D51" i="13"/>
  <c r="D49" i="13"/>
  <c r="D46" i="13"/>
  <c r="D52" i="13"/>
  <c r="D56" i="13"/>
  <c r="E48" i="13"/>
  <c r="E51" i="13"/>
  <c r="E54" i="13"/>
  <c r="E46" i="13"/>
  <c r="E49" i="13"/>
  <c r="E50" i="13"/>
  <c r="E47" i="13"/>
  <c r="E58" i="13"/>
  <c r="D57" i="13"/>
  <c r="D55" i="13"/>
  <c r="E56" i="13"/>
  <c r="D54" i="13"/>
  <c r="F51" i="13"/>
  <c r="D50" i="13"/>
  <c r="F55" i="13"/>
  <c r="D47" i="13"/>
  <c r="E53" i="13"/>
  <c r="F56" i="13"/>
  <c r="F48" i="13"/>
  <c r="F54" i="13"/>
  <c r="F46" i="13"/>
  <c r="F53" i="13"/>
  <c r="F57" i="13"/>
  <c r="F52" i="13"/>
  <c r="F58" i="13"/>
  <c r="F50" i="13"/>
  <c r="F49" i="13"/>
  <c r="F28" i="14"/>
  <c r="F47" i="14" s="1"/>
  <c r="F33" i="14"/>
  <c r="F52" i="14" s="1"/>
  <c r="F27" i="14"/>
  <c r="F46" i="14" s="1"/>
  <c r="F36" i="14"/>
  <c r="F55" i="14" s="1"/>
  <c r="F29" i="14"/>
  <c r="F48" i="14" s="1"/>
  <c r="F31" i="14"/>
  <c r="F50" i="14" s="1"/>
  <c r="F34" i="14"/>
  <c r="F53" i="14" s="1"/>
  <c r="C27" i="14"/>
  <c r="C46" i="14" s="1"/>
  <c r="C39" i="14"/>
  <c r="C58" i="14" s="1"/>
  <c r="F38" i="14"/>
  <c r="F57" i="14" s="1"/>
  <c r="C28" i="14"/>
  <c r="F30" i="14"/>
  <c r="F49" i="14" s="1"/>
  <c r="F39" i="14"/>
  <c r="F58" i="14" s="1"/>
  <c r="F26" i="14"/>
  <c r="F45" i="14" s="1"/>
  <c r="F35" i="14"/>
  <c r="F54" i="14" s="1"/>
  <c r="F37" i="14"/>
  <c r="F56" i="14" s="1"/>
  <c r="G56" i="14" s="1"/>
  <c r="Q16" i="19" s="1"/>
  <c r="D39" i="14"/>
  <c r="D52" i="14"/>
  <c r="D32" i="14"/>
  <c r="E34" i="14"/>
  <c r="E31" i="14"/>
  <c r="E38" i="14"/>
  <c r="E57" i="14" s="1"/>
  <c r="D46" i="14"/>
  <c r="O40" i="14"/>
  <c r="E26" i="14"/>
  <c r="E45" i="14" s="1"/>
  <c r="E39" i="14"/>
  <c r="E58" i="14" s="1"/>
  <c r="E30" i="14"/>
  <c r="F59" i="15"/>
  <c r="M40" i="15"/>
  <c r="E26" i="15"/>
  <c r="E45" i="15" s="1"/>
  <c r="E32" i="15"/>
  <c r="E51" i="15" s="1"/>
  <c r="E29" i="15"/>
  <c r="E48" i="15" s="1"/>
  <c r="C29" i="15"/>
  <c r="C48" i="15" s="1"/>
  <c r="G48" i="15" s="1"/>
  <c r="R8" i="19" s="1"/>
  <c r="E33" i="15"/>
  <c r="E52" i="15" s="1"/>
  <c r="C32" i="15"/>
  <c r="C39" i="15"/>
  <c r="G39" i="15" s="1"/>
  <c r="D47" i="15"/>
  <c r="C27" i="15"/>
  <c r="G27" i="15" s="1"/>
  <c r="E36" i="15"/>
  <c r="E55" i="15" s="1"/>
  <c r="C38" i="15"/>
  <c r="C57" i="15" s="1"/>
  <c r="C30" i="15"/>
  <c r="C49" i="15" s="1"/>
  <c r="G35" i="15"/>
  <c r="C36" i="15"/>
  <c r="C55" i="15" s="1"/>
  <c r="E30" i="15"/>
  <c r="E49" i="15" s="1"/>
  <c r="E37" i="15"/>
  <c r="E56" i="15" s="1"/>
  <c r="E34" i="15"/>
  <c r="E53" i="15" s="1"/>
  <c r="D49" i="15"/>
  <c r="D38" i="15"/>
  <c r="D37" i="15"/>
  <c r="D31" i="15"/>
  <c r="G31" i="15" s="1"/>
  <c r="D52" i="15"/>
  <c r="D33" i="15"/>
  <c r="F36" i="16"/>
  <c r="F55" i="16" s="1"/>
  <c r="E39" i="16"/>
  <c r="E58" i="16" s="1"/>
  <c r="E33" i="16"/>
  <c r="E52" i="16" s="1"/>
  <c r="C33" i="16"/>
  <c r="E34" i="16"/>
  <c r="E53" i="16" s="1"/>
  <c r="F39" i="16"/>
  <c r="F58" i="16" s="1"/>
  <c r="F30" i="16"/>
  <c r="F49" i="16" s="1"/>
  <c r="E30" i="16"/>
  <c r="E49" i="16" s="1"/>
  <c r="C37" i="16"/>
  <c r="C56" i="16" s="1"/>
  <c r="F31" i="16"/>
  <c r="F50" i="16" s="1"/>
  <c r="F35" i="16"/>
  <c r="F54" i="16" s="1"/>
  <c r="E36" i="16"/>
  <c r="E55" i="16" s="1"/>
  <c r="F33" i="16"/>
  <c r="F52" i="16" s="1"/>
  <c r="C28" i="16"/>
  <c r="C47" i="16" s="1"/>
  <c r="F27" i="16"/>
  <c r="F46" i="16" s="1"/>
  <c r="F34" i="16"/>
  <c r="F53" i="16" s="1"/>
  <c r="C29" i="16"/>
  <c r="C48" i="16" s="1"/>
  <c r="C36" i="16"/>
  <c r="C55" i="16" s="1"/>
  <c r="F26" i="16"/>
  <c r="F45" i="16" s="1"/>
  <c r="C34" i="16"/>
  <c r="C53" i="16" s="1"/>
  <c r="C31" i="16"/>
  <c r="C50" i="16" s="1"/>
  <c r="F32" i="16"/>
  <c r="F51" i="16" s="1"/>
  <c r="F37" i="16"/>
  <c r="F56" i="16" s="1"/>
  <c r="C32" i="16"/>
  <c r="C51" i="16" s="1"/>
  <c r="E29" i="16"/>
  <c r="E48" i="16" s="1"/>
  <c r="C39" i="16"/>
  <c r="C58" i="16" s="1"/>
  <c r="E26" i="16"/>
  <c r="E45" i="16" s="1"/>
  <c r="F28" i="16"/>
  <c r="F47" i="16" s="1"/>
  <c r="C30" i="16"/>
  <c r="C27" i="16"/>
  <c r="G27" i="16" s="1"/>
  <c r="C35" i="16"/>
  <c r="M40" i="16"/>
  <c r="D56" i="16"/>
  <c r="G38" i="16"/>
  <c r="K40" i="16"/>
  <c r="D29" i="16"/>
  <c r="D39" i="16"/>
  <c r="D31" i="16"/>
  <c r="G51" i="17"/>
  <c r="T11" i="19" s="1"/>
  <c r="F59" i="17"/>
  <c r="O40" i="17"/>
  <c r="C55" i="18"/>
  <c r="G36" i="18"/>
  <c r="Q40" i="18"/>
  <c r="K40" i="18"/>
  <c r="F47" i="18"/>
  <c r="O40" i="18"/>
  <c r="D50" i="18"/>
  <c r="G32" i="18"/>
  <c r="G39" i="18"/>
  <c r="G33" i="18"/>
  <c r="C46" i="18"/>
  <c r="G34" i="18"/>
  <c r="G26" i="18"/>
  <c r="G45" i="18"/>
  <c r="U5" i="19" s="1"/>
  <c r="G38" i="18"/>
  <c r="C57" i="18"/>
  <c r="G57" i="18" s="1"/>
  <c r="U17" i="19" s="1"/>
  <c r="C48" i="18"/>
  <c r="G29" i="18"/>
  <c r="D53" i="17"/>
  <c r="G53" i="17" s="1"/>
  <c r="T13" i="19" s="1"/>
  <c r="G34" i="17"/>
  <c r="C48" i="17"/>
  <c r="G29" i="17"/>
  <c r="C57" i="17"/>
  <c r="G35" i="17"/>
  <c r="C54" i="17"/>
  <c r="G54" i="17" s="1"/>
  <c r="T14" i="19" s="1"/>
  <c r="C58" i="17"/>
  <c r="G39" i="17"/>
  <c r="C50" i="17"/>
  <c r="C52" i="17"/>
  <c r="C55" i="17"/>
  <c r="C46" i="17"/>
  <c r="C49" i="17"/>
  <c r="D45" i="17"/>
  <c r="D52" i="17"/>
  <c r="G32" i="17"/>
  <c r="C47" i="17"/>
  <c r="G28" i="17"/>
  <c r="G37" i="17"/>
  <c r="C56" i="17"/>
  <c r="D53" i="16"/>
  <c r="C49" i="16"/>
  <c r="G49" i="16" s="1"/>
  <c r="S9" i="19" s="1"/>
  <c r="D52" i="16"/>
  <c r="C57" i="16"/>
  <c r="C45" i="16"/>
  <c r="C54" i="16"/>
  <c r="C52" i="16"/>
  <c r="D53" i="15"/>
  <c r="C52" i="15"/>
  <c r="C50" i="15"/>
  <c r="C56" i="15"/>
  <c r="C54" i="15"/>
  <c r="G54" i="15" s="1"/>
  <c r="R14" i="19" s="1"/>
  <c r="C47" i="15"/>
  <c r="C45" i="15"/>
  <c r="D53" i="14"/>
  <c r="C57" i="14"/>
  <c r="C48" i="14"/>
  <c r="G48" i="14" s="1"/>
  <c r="Q8" i="19" s="1"/>
  <c r="C52" i="14"/>
  <c r="C54" i="14"/>
  <c r="G54" i="14" s="1"/>
  <c r="Q14" i="19" s="1"/>
  <c r="G55" i="14"/>
  <c r="Q15" i="19" s="1"/>
  <c r="C50" i="14"/>
  <c r="C52" i="12"/>
  <c r="C51" i="12"/>
  <c r="G51" i="12" s="1"/>
  <c r="O11" i="19" s="1"/>
  <c r="C53" i="12"/>
  <c r="G53" i="12" s="1"/>
  <c r="O13" i="19" s="1"/>
  <c r="C49" i="12"/>
  <c r="C57" i="12"/>
  <c r="G57" i="12" s="1"/>
  <c r="O17" i="19" s="1"/>
  <c r="D52" i="12"/>
  <c r="C46" i="12"/>
  <c r="C54" i="12"/>
  <c r="C58" i="12"/>
  <c r="D58" i="11"/>
  <c r="D56" i="11"/>
  <c r="C47" i="11"/>
  <c r="C54" i="11"/>
  <c r="D52" i="11"/>
  <c r="C48" i="11"/>
  <c r="D53" i="10"/>
  <c r="D58" i="10"/>
  <c r="C49" i="10"/>
  <c r="C47" i="10"/>
  <c r="C55" i="10"/>
  <c r="C54" i="10"/>
  <c r="C56" i="9"/>
  <c r="C50" i="9"/>
  <c r="C58" i="9"/>
  <c r="C57" i="9"/>
  <c r="D53" i="8"/>
  <c r="C49" i="8"/>
  <c r="G49" i="8" s="1"/>
  <c r="K9" i="19" s="1"/>
  <c r="C58" i="8"/>
  <c r="C55" i="8"/>
  <c r="G55" i="8" s="1"/>
  <c r="K15" i="19" s="1"/>
  <c r="C52" i="8"/>
  <c r="D52" i="8"/>
  <c r="C54" i="8"/>
  <c r="C50" i="8"/>
  <c r="C47" i="8"/>
  <c r="G47" i="8" s="1"/>
  <c r="K7" i="19" s="1"/>
  <c r="C56" i="8"/>
  <c r="C46" i="8"/>
  <c r="C48" i="8"/>
  <c r="C57" i="8"/>
  <c r="G57" i="8" s="1"/>
  <c r="K17" i="19" s="1"/>
  <c r="C45" i="7"/>
  <c r="D46" i="6"/>
  <c r="D52" i="6"/>
  <c r="C47" i="6"/>
  <c r="C58" i="5"/>
  <c r="D53" i="5"/>
  <c r="D52" i="5"/>
  <c r="C47" i="5"/>
  <c r="C49" i="4"/>
  <c r="G49" i="4" s="1"/>
  <c r="G9" i="19" s="1"/>
  <c r="D52" i="4"/>
  <c r="C47" i="4"/>
  <c r="C56" i="3"/>
  <c r="C51" i="3"/>
  <c r="M29" i="3"/>
  <c r="M28" i="3"/>
  <c r="M27" i="3"/>
  <c r="M26" i="3"/>
  <c r="M39" i="3"/>
  <c r="M35" i="3"/>
  <c r="M38" i="3"/>
  <c r="M34" i="3"/>
  <c r="M37" i="3"/>
  <c r="M33" i="3"/>
  <c r="D33" i="3" s="1"/>
  <c r="M31" i="3"/>
  <c r="M32" i="3"/>
  <c r="D32" i="3" s="1"/>
  <c r="D51" i="3" s="1"/>
  <c r="M30" i="3"/>
  <c r="E52" i="3"/>
  <c r="M36" i="3"/>
  <c r="F46" i="3"/>
  <c r="C46" i="3"/>
  <c r="G57" i="16" l="1"/>
  <c r="S17" i="19" s="1"/>
  <c r="G39" i="16"/>
  <c r="G29" i="15"/>
  <c r="G28" i="15"/>
  <c r="G33" i="14"/>
  <c r="G26" i="14"/>
  <c r="G28" i="14"/>
  <c r="F59" i="13"/>
  <c r="G35" i="12"/>
  <c r="G26" i="12"/>
  <c r="D48" i="10"/>
  <c r="E59" i="9"/>
  <c r="G29" i="9"/>
  <c r="G45" i="8"/>
  <c r="K5" i="19" s="1"/>
  <c r="G33" i="4"/>
  <c r="G31" i="16"/>
  <c r="G30" i="18"/>
  <c r="G37" i="18"/>
  <c r="G26" i="17"/>
  <c r="G27" i="17"/>
  <c r="E59" i="17"/>
  <c r="G38" i="17"/>
  <c r="E59" i="18"/>
  <c r="G35" i="18"/>
  <c r="G27" i="18"/>
  <c r="G31" i="18"/>
  <c r="G48" i="18"/>
  <c r="U8" i="19" s="1"/>
  <c r="G51" i="18"/>
  <c r="U11" i="19" s="1"/>
  <c r="C56" i="18"/>
  <c r="G56" i="18" s="1"/>
  <c r="U16" i="19" s="1"/>
  <c r="C50" i="18"/>
  <c r="G50" i="18" s="1"/>
  <c r="U10" i="19" s="1"/>
  <c r="G49" i="18"/>
  <c r="U9" i="19" s="1"/>
  <c r="G54" i="18"/>
  <c r="U14" i="19" s="1"/>
  <c r="C46" i="15"/>
  <c r="G46" i="15" s="1"/>
  <c r="R6" i="19" s="1"/>
  <c r="F59" i="18"/>
  <c r="G46" i="18"/>
  <c r="U6" i="19" s="1"/>
  <c r="G55" i="18"/>
  <c r="U15" i="19" s="1"/>
  <c r="G36" i="17"/>
  <c r="G58" i="17"/>
  <c r="T18" i="19" s="1"/>
  <c r="G55" i="17"/>
  <c r="T15" i="19" s="1"/>
  <c r="G57" i="17"/>
  <c r="T17" i="19" s="1"/>
  <c r="D49" i="17"/>
  <c r="G56" i="17"/>
  <c r="T16" i="19" s="1"/>
  <c r="G31" i="17"/>
  <c r="G50" i="17"/>
  <c r="T10" i="19" s="1"/>
  <c r="G48" i="17"/>
  <c r="T8" i="19" s="1"/>
  <c r="G49" i="17"/>
  <c r="T9" i="19" s="1"/>
  <c r="G47" i="17"/>
  <c r="T7" i="19" s="1"/>
  <c r="G55" i="16"/>
  <c r="S15" i="19" s="1"/>
  <c r="F59" i="16"/>
  <c r="G33" i="16"/>
  <c r="G56" i="16"/>
  <c r="S16" i="19" s="1"/>
  <c r="G53" i="15"/>
  <c r="R13" i="19" s="1"/>
  <c r="G38" i="15"/>
  <c r="G30" i="14"/>
  <c r="G37" i="14"/>
  <c r="G35" i="14"/>
  <c r="G36" i="14"/>
  <c r="E59" i="12"/>
  <c r="G54" i="11"/>
  <c r="N14" i="19" s="1"/>
  <c r="D59" i="11"/>
  <c r="D56" i="10"/>
  <c r="D51" i="10"/>
  <c r="C57" i="10"/>
  <c r="G27" i="9"/>
  <c r="G48" i="8"/>
  <c r="K8" i="19" s="1"/>
  <c r="G26" i="8"/>
  <c r="G30" i="8"/>
  <c r="G33" i="8"/>
  <c r="C59" i="8"/>
  <c r="D59" i="7"/>
  <c r="D59" i="5"/>
  <c r="F59" i="4"/>
  <c r="G56" i="4"/>
  <c r="G16" i="19" s="1"/>
  <c r="D26" i="3"/>
  <c r="G26" i="3" s="1"/>
  <c r="M40" i="3"/>
  <c r="F59" i="3"/>
  <c r="D35" i="3"/>
  <c r="D54" i="3" s="1"/>
  <c r="G54" i="3" s="1"/>
  <c r="F14" i="19" s="1"/>
  <c r="G32" i="3"/>
  <c r="G51" i="3"/>
  <c r="F11" i="19" s="1"/>
  <c r="D31" i="3"/>
  <c r="G31" i="3" s="1"/>
  <c r="D37" i="3"/>
  <c r="G37" i="3" s="1"/>
  <c r="D30" i="3"/>
  <c r="D49" i="3" s="1"/>
  <c r="G49" i="3" s="1"/>
  <c r="F9" i="19" s="1"/>
  <c r="D36" i="3"/>
  <c r="G36" i="3" s="1"/>
  <c r="D27" i="3"/>
  <c r="G27" i="3" s="1"/>
  <c r="E59" i="3"/>
  <c r="D34" i="3"/>
  <c r="D53" i="3" s="1"/>
  <c r="G53" i="3" s="1"/>
  <c r="F13" i="19" s="1"/>
  <c r="D28" i="3"/>
  <c r="D47" i="3" s="1"/>
  <c r="G47" i="3" s="1"/>
  <c r="F7" i="19" s="1"/>
  <c r="D39" i="3"/>
  <c r="G39" i="3" s="1"/>
  <c r="C50" i="3"/>
  <c r="C59" i="3" s="1"/>
  <c r="D38" i="3"/>
  <c r="D57" i="3" s="1"/>
  <c r="G57" i="3" s="1"/>
  <c r="F17" i="19" s="1"/>
  <c r="D29" i="3"/>
  <c r="D48" i="3" s="1"/>
  <c r="G48" i="3" s="1"/>
  <c r="F8" i="19" s="1"/>
  <c r="G33" i="3"/>
  <c r="G57" i="4"/>
  <c r="G17" i="19" s="1"/>
  <c r="E59" i="4"/>
  <c r="D59" i="4"/>
  <c r="C52" i="4"/>
  <c r="G31" i="4"/>
  <c r="G50" i="4"/>
  <c r="G10" i="19" s="1"/>
  <c r="G36" i="4"/>
  <c r="G58" i="4"/>
  <c r="G18" i="19" s="1"/>
  <c r="G48" i="4"/>
  <c r="G8" i="19" s="1"/>
  <c r="G55" i="4"/>
  <c r="G15" i="19" s="1"/>
  <c r="G34" i="4"/>
  <c r="C53" i="4"/>
  <c r="G53" i="4" s="1"/>
  <c r="G13" i="19" s="1"/>
  <c r="G47" i="4"/>
  <c r="G7" i="19" s="1"/>
  <c r="G26" i="4"/>
  <c r="G27" i="4"/>
  <c r="G30" i="4"/>
  <c r="C46" i="4"/>
  <c r="G46" i="4" s="1"/>
  <c r="G6" i="19" s="1"/>
  <c r="G37" i="4"/>
  <c r="G32" i="4"/>
  <c r="C51" i="4"/>
  <c r="G51" i="4" s="1"/>
  <c r="G11" i="19" s="1"/>
  <c r="G38" i="4"/>
  <c r="G39" i="4"/>
  <c r="G29" i="4"/>
  <c r="G54" i="4"/>
  <c r="G14" i="19" s="1"/>
  <c r="G28" i="4"/>
  <c r="G35" i="4"/>
  <c r="F59" i="5"/>
  <c r="G48" i="5"/>
  <c r="H8" i="19" s="1"/>
  <c r="G49" i="5"/>
  <c r="H9" i="19" s="1"/>
  <c r="G57" i="5"/>
  <c r="H17" i="19" s="1"/>
  <c r="G54" i="5"/>
  <c r="H14" i="19" s="1"/>
  <c r="E59" i="5"/>
  <c r="G46" i="5"/>
  <c r="H6" i="19" s="1"/>
  <c r="G27" i="5"/>
  <c r="G37" i="5"/>
  <c r="G58" i="5"/>
  <c r="H18" i="19" s="1"/>
  <c r="G55" i="5"/>
  <c r="H15" i="19" s="1"/>
  <c r="G36" i="5"/>
  <c r="G28" i="5"/>
  <c r="G47" i="5"/>
  <c r="H7" i="19" s="1"/>
  <c r="G39" i="5"/>
  <c r="G32" i="5"/>
  <c r="C51" i="5"/>
  <c r="G51" i="5" s="1"/>
  <c r="H11" i="19" s="1"/>
  <c r="G26" i="5"/>
  <c r="G29" i="5"/>
  <c r="G50" i="5"/>
  <c r="H10" i="19" s="1"/>
  <c r="G30" i="5"/>
  <c r="G31" i="5"/>
  <c r="C56" i="5"/>
  <c r="G56" i="5" s="1"/>
  <c r="H16" i="19" s="1"/>
  <c r="G34" i="5"/>
  <c r="C53" i="5"/>
  <c r="G53" i="5" s="1"/>
  <c r="H13" i="19" s="1"/>
  <c r="G33" i="5"/>
  <c r="G38" i="5"/>
  <c r="G35" i="5"/>
  <c r="F59" i="6"/>
  <c r="D59" i="6"/>
  <c r="G54" i="6"/>
  <c r="I14" i="19" s="1"/>
  <c r="G36" i="6"/>
  <c r="G56" i="6"/>
  <c r="I16" i="19" s="1"/>
  <c r="G28" i="6"/>
  <c r="G48" i="6"/>
  <c r="I8" i="19" s="1"/>
  <c r="G29" i="6"/>
  <c r="G35" i="6"/>
  <c r="G47" i="6"/>
  <c r="I7" i="19" s="1"/>
  <c r="G50" i="6"/>
  <c r="I10" i="19" s="1"/>
  <c r="G31" i="6"/>
  <c r="G33" i="6"/>
  <c r="G37" i="6"/>
  <c r="C55" i="6"/>
  <c r="G55" i="6" s="1"/>
  <c r="I15" i="19" s="1"/>
  <c r="G39" i="6"/>
  <c r="G38" i="6"/>
  <c r="E57" i="6"/>
  <c r="G57" i="6" s="1"/>
  <c r="I17" i="19" s="1"/>
  <c r="G58" i="6"/>
  <c r="I18" i="19" s="1"/>
  <c r="G26" i="6"/>
  <c r="G27" i="6"/>
  <c r="C46" i="6"/>
  <c r="G46" i="6" s="1"/>
  <c r="I6" i="19" s="1"/>
  <c r="G32" i="6"/>
  <c r="C51" i="6"/>
  <c r="G51" i="6" s="1"/>
  <c r="I11" i="19" s="1"/>
  <c r="G30" i="6"/>
  <c r="E49" i="6"/>
  <c r="G49" i="6" s="1"/>
  <c r="I9" i="19" s="1"/>
  <c r="G53" i="6"/>
  <c r="I13" i="19" s="1"/>
  <c r="G34" i="6"/>
  <c r="G49" i="7"/>
  <c r="J9" i="19" s="1"/>
  <c r="E59" i="7"/>
  <c r="G55" i="7"/>
  <c r="J15" i="19" s="1"/>
  <c r="G56" i="7"/>
  <c r="J16" i="19" s="1"/>
  <c r="G46" i="7"/>
  <c r="J6" i="19" s="1"/>
  <c r="G48" i="7"/>
  <c r="J8" i="19" s="1"/>
  <c r="G58" i="7"/>
  <c r="J18" i="19" s="1"/>
  <c r="G35" i="7"/>
  <c r="F54" i="7"/>
  <c r="G54" i="7" s="1"/>
  <c r="J14" i="19" s="1"/>
  <c r="G28" i="7"/>
  <c r="C47" i="7"/>
  <c r="G47" i="7" s="1"/>
  <c r="J7" i="19" s="1"/>
  <c r="G31" i="7"/>
  <c r="F50" i="7"/>
  <c r="G50" i="7" s="1"/>
  <c r="J10" i="19" s="1"/>
  <c r="G30" i="7"/>
  <c r="G33" i="7"/>
  <c r="C52" i="7"/>
  <c r="G52" i="7" s="1"/>
  <c r="J12" i="19" s="1"/>
  <c r="G34" i="7"/>
  <c r="F53" i="7"/>
  <c r="G53" i="7" s="1"/>
  <c r="J13" i="19" s="1"/>
  <c r="G26" i="7"/>
  <c r="F45" i="7"/>
  <c r="G37" i="7"/>
  <c r="G38" i="7"/>
  <c r="F57" i="7"/>
  <c r="G57" i="7" s="1"/>
  <c r="J17" i="19" s="1"/>
  <c r="G32" i="7"/>
  <c r="F51" i="7"/>
  <c r="G51" i="7" s="1"/>
  <c r="J11" i="19" s="1"/>
  <c r="G36" i="7"/>
  <c r="G27" i="7"/>
  <c r="G29" i="7"/>
  <c r="G39" i="7"/>
  <c r="G31" i="8"/>
  <c r="G39" i="8"/>
  <c r="G29" i="8"/>
  <c r="G35" i="8"/>
  <c r="F54" i="8"/>
  <c r="G54" i="8" s="1"/>
  <c r="K14" i="19" s="1"/>
  <c r="D56" i="8"/>
  <c r="G56" i="8" s="1"/>
  <c r="K16" i="19" s="1"/>
  <c r="G28" i="8"/>
  <c r="G38" i="8"/>
  <c r="G32" i="8"/>
  <c r="E53" i="8"/>
  <c r="D50" i="8"/>
  <c r="G50" i="8" s="1"/>
  <c r="K10" i="19" s="1"/>
  <c r="E58" i="8"/>
  <c r="G58" i="8" s="1"/>
  <c r="K18" i="19" s="1"/>
  <c r="D46" i="8"/>
  <c r="G35" i="9"/>
  <c r="G56" i="9"/>
  <c r="L16" i="19" s="1"/>
  <c r="G37" i="9"/>
  <c r="G50" i="9"/>
  <c r="L10" i="19" s="1"/>
  <c r="G58" i="9"/>
  <c r="L18" i="19" s="1"/>
  <c r="D59" i="9"/>
  <c r="C54" i="9"/>
  <c r="G54" i="9" s="1"/>
  <c r="L14" i="19" s="1"/>
  <c r="C46" i="9"/>
  <c r="G46" i="9" s="1"/>
  <c r="L6" i="19" s="1"/>
  <c r="C48" i="9"/>
  <c r="G48" i="9" s="1"/>
  <c r="L8" i="19" s="1"/>
  <c r="G55" i="9"/>
  <c r="L15" i="19" s="1"/>
  <c r="G36" i="9"/>
  <c r="G47" i="9"/>
  <c r="L7" i="19" s="1"/>
  <c r="G52" i="9"/>
  <c r="L12" i="19" s="1"/>
  <c r="G32" i="9"/>
  <c r="C51" i="9"/>
  <c r="G51" i="9" s="1"/>
  <c r="L11" i="19" s="1"/>
  <c r="G28" i="9"/>
  <c r="G26" i="9"/>
  <c r="F45" i="9"/>
  <c r="G39" i="9"/>
  <c r="G30" i="9"/>
  <c r="F49" i="9"/>
  <c r="G49" i="9" s="1"/>
  <c r="L9" i="19" s="1"/>
  <c r="G34" i="9"/>
  <c r="C53" i="9"/>
  <c r="G53" i="9" s="1"/>
  <c r="L13" i="19" s="1"/>
  <c r="G33" i="9"/>
  <c r="G38" i="9"/>
  <c r="F57" i="9"/>
  <c r="G57" i="9" s="1"/>
  <c r="L17" i="19" s="1"/>
  <c r="E59" i="10"/>
  <c r="C50" i="10"/>
  <c r="C46" i="10"/>
  <c r="C52" i="10"/>
  <c r="C51" i="10"/>
  <c r="C45" i="10"/>
  <c r="C58" i="10"/>
  <c r="C48" i="10"/>
  <c r="G51" i="11"/>
  <c r="N11" i="19" s="1"/>
  <c r="G38" i="11"/>
  <c r="G47" i="11"/>
  <c r="N7" i="19" s="1"/>
  <c r="C57" i="11"/>
  <c r="G57" i="11" s="1"/>
  <c r="N17" i="19" s="1"/>
  <c r="G34" i="11"/>
  <c r="G28" i="11"/>
  <c r="G32" i="11"/>
  <c r="G35" i="11"/>
  <c r="G26" i="11"/>
  <c r="C45" i="11"/>
  <c r="G39" i="11"/>
  <c r="F58" i="11"/>
  <c r="G58" i="11" s="1"/>
  <c r="N18" i="19" s="1"/>
  <c r="G27" i="11"/>
  <c r="C46" i="11"/>
  <c r="G46" i="11" s="1"/>
  <c r="N6" i="19" s="1"/>
  <c r="C53" i="11"/>
  <c r="G53" i="11" s="1"/>
  <c r="N13" i="19" s="1"/>
  <c r="G36" i="11"/>
  <c r="C55" i="11"/>
  <c r="G55" i="11" s="1"/>
  <c r="N15" i="19" s="1"/>
  <c r="G29" i="11"/>
  <c r="G50" i="11"/>
  <c r="N10" i="19" s="1"/>
  <c r="G31" i="11"/>
  <c r="G48" i="11"/>
  <c r="N8" i="19" s="1"/>
  <c r="G30" i="11"/>
  <c r="C49" i="11"/>
  <c r="G49" i="11" s="1"/>
  <c r="N9" i="19" s="1"/>
  <c r="G33" i="11"/>
  <c r="G37" i="11"/>
  <c r="E56" i="11"/>
  <c r="G56" i="11" s="1"/>
  <c r="N16" i="19" s="1"/>
  <c r="G27" i="12"/>
  <c r="G36" i="12"/>
  <c r="G54" i="12"/>
  <c r="O14" i="19" s="1"/>
  <c r="G30" i="12"/>
  <c r="G37" i="12"/>
  <c r="G29" i="12"/>
  <c r="G31" i="12"/>
  <c r="G48" i="12"/>
  <c r="O8" i="19" s="1"/>
  <c r="D46" i="12"/>
  <c r="D50" i="12"/>
  <c r="G50" i="12" s="1"/>
  <c r="O10" i="19" s="1"/>
  <c r="G49" i="12"/>
  <c r="O9" i="19" s="1"/>
  <c r="D56" i="12"/>
  <c r="G56" i="12" s="1"/>
  <c r="O16" i="19" s="1"/>
  <c r="G58" i="12"/>
  <c r="O18" i="19" s="1"/>
  <c r="G39" i="12"/>
  <c r="G55" i="12"/>
  <c r="O15" i="19" s="1"/>
  <c r="F52" i="12"/>
  <c r="F59" i="12" s="1"/>
  <c r="E59" i="13"/>
  <c r="D59" i="13"/>
  <c r="G26" i="13"/>
  <c r="G31" i="14"/>
  <c r="F59" i="14"/>
  <c r="G29" i="14"/>
  <c r="G45" i="14"/>
  <c r="Q5" i="19" s="1"/>
  <c r="G52" i="14"/>
  <c r="Q12" i="19" s="1"/>
  <c r="G46" i="14"/>
  <c r="Q6" i="19" s="1"/>
  <c r="C47" i="14"/>
  <c r="G47" i="14" s="1"/>
  <c r="Q7" i="19" s="1"/>
  <c r="G39" i="14"/>
  <c r="G27" i="14"/>
  <c r="G34" i="14"/>
  <c r="G57" i="14"/>
  <c r="Q17" i="19" s="1"/>
  <c r="G38" i="14"/>
  <c r="E49" i="14"/>
  <c r="G49" i="14" s="1"/>
  <c r="Q9" i="19" s="1"/>
  <c r="E50" i="14"/>
  <c r="G50" i="14" s="1"/>
  <c r="Q10" i="19" s="1"/>
  <c r="D58" i="14"/>
  <c r="G58" i="14" s="1"/>
  <c r="Q18" i="19" s="1"/>
  <c r="D51" i="14"/>
  <c r="G51" i="14" s="1"/>
  <c r="Q11" i="19" s="1"/>
  <c r="G32" i="14"/>
  <c r="E53" i="14"/>
  <c r="G53" i="14" s="1"/>
  <c r="Q13" i="19" s="1"/>
  <c r="G33" i="15"/>
  <c r="E59" i="15"/>
  <c r="G34" i="15"/>
  <c r="G55" i="15"/>
  <c r="R15" i="19" s="1"/>
  <c r="C58" i="15"/>
  <c r="G58" i="15" s="1"/>
  <c r="R18" i="19" s="1"/>
  <c r="C51" i="15"/>
  <c r="G51" i="15" s="1"/>
  <c r="R11" i="19" s="1"/>
  <c r="G32" i="15"/>
  <c r="G30" i="15"/>
  <c r="G47" i="15"/>
  <c r="R7" i="19" s="1"/>
  <c r="G37" i="15"/>
  <c r="G36" i="15"/>
  <c r="G26" i="15"/>
  <c r="D50" i="15"/>
  <c r="G50" i="15" s="1"/>
  <c r="R10" i="19" s="1"/>
  <c r="D56" i="15"/>
  <c r="G56" i="15" s="1"/>
  <c r="R16" i="19" s="1"/>
  <c r="G49" i="15"/>
  <c r="R9" i="19" s="1"/>
  <c r="D57" i="15"/>
  <c r="G57" i="15" s="1"/>
  <c r="R17" i="19" s="1"/>
  <c r="G52" i="15"/>
  <c r="R12" i="19" s="1"/>
  <c r="E59" i="16"/>
  <c r="G54" i="16"/>
  <c r="S14" i="19" s="1"/>
  <c r="G32" i="16"/>
  <c r="G37" i="16"/>
  <c r="G51" i="16"/>
  <c r="S11" i="19" s="1"/>
  <c r="C59" i="16"/>
  <c r="G30" i="16"/>
  <c r="G53" i="16"/>
  <c r="S13" i="19" s="1"/>
  <c r="C46" i="16"/>
  <c r="G46" i="16" s="1"/>
  <c r="S6" i="19" s="1"/>
  <c r="G47" i="16"/>
  <c r="S7" i="19" s="1"/>
  <c r="G29" i="16"/>
  <c r="G35" i="16"/>
  <c r="G34" i="16"/>
  <c r="G28" i="16"/>
  <c r="G36" i="16"/>
  <c r="G26" i="16"/>
  <c r="D50" i="16"/>
  <c r="G50" i="16" s="1"/>
  <c r="S10" i="19" s="1"/>
  <c r="D58" i="16"/>
  <c r="G58" i="16" s="1"/>
  <c r="S18" i="19" s="1"/>
  <c r="D48" i="16"/>
  <c r="G46" i="17"/>
  <c r="T6" i="19" s="1"/>
  <c r="C59" i="17"/>
  <c r="D59" i="18"/>
  <c r="G47" i="18"/>
  <c r="U7" i="19" s="1"/>
  <c r="G28" i="18"/>
  <c r="G52" i="17"/>
  <c r="T12" i="19" s="1"/>
  <c r="G33" i="17"/>
  <c r="G52" i="6"/>
  <c r="I12" i="19" s="1"/>
  <c r="G52" i="5"/>
  <c r="H12" i="19" s="1"/>
  <c r="G52" i="4"/>
  <c r="G12" i="19" s="1"/>
  <c r="D59" i="17"/>
  <c r="G45" i="17"/>
  <c r="T5" i="19" s="1"/>
  <c r="G52" i="16"/>
  <c r="S12" i="19" s="1"/>
  <c r="G45" i="16"/>
  <c r="S5" i="19" s="1"/>
  <c r="G45" i="15"/>
  <c r="R5" i="19" s="1"/>
  <c r="C45" i="13"/>
  <c r="C45" i="12"/>
  <c r="G52" i="12"/>
  <c r="O12" i="19" s="1"/>
  <c r="G52" i="11"/>
  <c r="N12" i="19" s="1"/>
  <c r="E45" i="11"/>
  <c r="D52" i="10"/>
  <c r="G52" i="8"/>
  <c r="K12" i="19" s="1"/>
  <c r="C59" i="6"/>
  <c r="G45" i="6"/>
  <c r="I5" i="19" s="1"/>
  <c r="G45" i="5"/>
  <c r="H5" i="19" s="1"/>
  <c r="G45" i="4"/>
  <c r="G5" i="19" s="1"/>
  <c r="C59" i="9" l="1"/>
  <c r="G35" i="3"/>
  <c r="C59" i="18"/>
  <c r="U19" i="19"/>
  <c r="C59" i="7"/>
  <c r="T19" i="19"/>
  <c r="R19" i="19"/>
  <c r="C59" i="15"/>
  <c r="Q19" i="19"/>
  <c r="F59" i="11"/>
  <c r="E59" i="6"/>
  <c r="G59" i="6" s="1"/>
  <c r="I19" i="19"/>
  <c r="H19" i="19"/>
  <c r="G19" i="19"/>
  <c r="C59" i="4"/>
  <c r="G59" i="4" s="1"/>
  <c r="G34" i="3"/>
  <c r="G28" i="3"/>
  <c r="D46" i="3"/>
  <c r="G46" i="3" s="1"/>
  <c r="F6" i="19" s="1"/>
  <c r="G38" i="3"/>
  <c r="D56" i="3"/>
  <c r="G56" i="3" s="1"/>
  <c r="F16" i="19" s="1"/>
  <c r="D58" i="3"/>
  <c r="G58" i="3" s="1"/>
  <c r="F18" i="19" s="1"/>
  <c r="G30" i="3"/>
  <c r="G29" i="3"/>
  <c r="D55" i="3"/>
  <c r="G55" i="3" s="1"/>
  <c r="F15" i="19" s="1"/>
  <c r="D50" i="3"/>
  <c r="G50" i="3" s="1"/>
  <c r="F10" i="19" s="1"/>
  <c r="C59" i="5"/>
  <c r="G59" i="5" s="1"/>
  <c r="F59" i="7"/>
  <c r="G59" i="7" s="1"/>
  <c r="G45" i="7"/>
  <c r="J5" i="19" s="1"/>
  <c r="F59" i="8"/>
  <c r="E59" i="8"/>
  <c r="G53" i="8"/>
  <c r="K13" i="19" s="1"/>
  <c r="G46" i="8"/>
  <c r="K6" i="19" s="1"/>
  <c r="D59" i="8"/>
  <c r="F59" i="9"/>
  <c r="G45" i="9"/>
  <c r="L5" i="19" s="1"/>
  <c r="L19" i="19" s="1"/>
  <c r="G59" i="9"/>
  <c r="D59" i="10"/>
  <c r="C59" i="10"/>
  <c r="C59" i="11"/>
  <c r="G46" i="12"/>
  <c r="O6" i="19" s="1"/>
  <c r="D59" i="12"/>
  <c r="C52" i="13"/>
  <c r="G52" i="13" s="1"/>
  <c r="P12" i="19" s="1"/>
  <c r="C49" i="13"/>
  <c r="G49" i="13" s="1"/>
  <c r="P9" i="19" s="1"/>
  <c r="C46" i="13"/>
  <c r="G46" i="13" s="1"/>
  <c r="P6" i="19" s="1"/>
  <c r="C54" i="13"/>
  <c r="G54" i="13" s="1"/>
  <c r="P14" i="19" s="1"/>
  <c r="C53" i="13"/>
  <c r="G53" i="13" s="1"/>
  <c r="P13" i="19" s="1"/>
  <c r="C57" i="13"/>
  <c r="G57" i="13" s="1"/>
  <c r="P17" i="19" s="1"/>
  <c r="C48" i="13"/>
  <c r="G48" i="13" s="1"/>
  <c r="P8" i="19" s="1"/>
  <c r="C47" i="13"/>
  <c r="G47" i="13" s="1"/>
  <c r="P7" i="19" s="1"/>
  <c r="C50" i="13"/>
  <c r="G50" i="13" s="1"/>
  <c r="P10" i="19" s="1"/>
  <c r="C51" i="13"/>
  <c r="G51" i="13" s="1"/>
  <c r="P11" i="19" s="1"/>
  <c r="C58" i="13"/>
  <c r="G58" i="13" s="1"/>
  <c r="P18" i="19" s="1"/>
  <c r="C56" i="13"/>
  <c r="G56" i="13" s="1"/>
  <c r="P16" i="19" s="1"/>
  <c r="C55" i="13"/>
  <c r="G55" i="13" s="1"/>
  <c r="P15" i="19" s="1"/>
  <c r="E59" i="14"/>
  <c r="D59" i="14"/>
  <c r="C59" i="14"/>
  <c r="D59" i="15"/>
  <c r="G48" i="16"/>
  <c r="S8" i="19" s="1"/>
  <c r="S19" i="19" s="1"/>
  <c r="D59" i="16"/>
  <c r="G59" i="16" s="1"/>
  <c r="G59" i="17"/>
  <c r="G59" i="18"/>
  <c r="G45" i="13"/>
  <c r="P5" i="19" s="1"/>
  <c r="C59" i="12"/>
  <c r="G45" i="12"/>
  <c r="O5" i="19" s="1"/>
  <c r="E59" i="11"/>
  <c r="G45" i="11"/>
  <c r="N5" i="19" s="1"/>
  <c r="N19" i="19" s="1"/>
  <c r="D52" i="3"/>
  <c r="G52" i="3" s="1"/>
  <c r="F12" i="19" s="1"/>
  <c r="D45" i="3"/>
  <c r="O19" i="19" l="1"/>
  <c r="J19" i="19"/>
  <c r="K19" i="19"/>
  <c r="G59" i="8"/>
  <c r="G59" i="15"/>
  <c r="P19" i="19"/>
  <c r="C59" i="13"/>
  <c r="G59" i="13" s="1"/>
  <c r="G59" i="12"/>
  <c r="G59" i="11"/>
  <c r="G59" i="14"/>
  <c r="D59" i="3"/>
  <c r="G59" i="3" s="1"/>
  <c r="G45" i="3"/>
  <c r="F5" i="19" s="1"/>
  <c r="F19" i="19" s="1"/>
  <c r="P36" i="2"/>
  <c r="P40" i="2" s="1"/>
  <c r="N36" i="2"/>
  <c r="N40" i="2" s="1"/>
  <c r="L36" i="2"/>
  <c r="L40" i="2" s="1"/>
  <c r="J36" i="2"/>
  <c r="J40" i="2" s="1"/>
  <c r="J36" i="1"/>
  <c r="P21" i="2"/>
  <c r="N21" i="2"/>
  <c r="L21" i="2"/>
  <c r="J21" i="2"/>
  <c r="F21" i="2"/>
  <c r="F40" i="2" s="1"/>
  <c r="E21" i="2"/>
  <c r="E40" i="2" s="1"/>
  <c r="D21" i="2"/>
  <c r="D40" i="2" s="1"/>
  <c r="G20" i="2"/>
  <c r="G19" i="2"/>
  <c r="G18" i="2"/>
  <c r="G17" i="2"/>
  <c r="G16" i="2"/>
  <c r="G15" i="2"/>
  <c r="G14" i="2"/>
  <c r="G13" i="2"/>
  <c r="G12" i="2"/>
  <c r="G11" i="2"/>
  <c r="G10" i="2"/>
  <c r="C21" i="2"/>
  <c r="L40" i="1"/>
  <c r="P36" i="1"/>
  <c r="N36" i="1"/>
  <c r="N40" i="1" s="1"/>
  <c r="L36" i="1"/>
  <c r="E21" i="1"/>
  <c r="E40" i="1" s="1"/>
  <c r="D21" i="1"/>
  <c r="D40" i="1" s="1"/>
  <c r="G20" i="1"/>
  <c r="G10" i="1"/>
  <c r="G11" i="1"/>
  <c r="G19" i="1"/>
  <c r="G18" i="1"/>
  <c r="G17" i="1"/>
  <c r="G16" i="1"/>
  <c r="G15" i="1"/>
  <c r="P21" i="1"/>
  <c r="L21" i="1"/>
  <c r="J21" i="1"/>
  <c r="F14" i="1"/>
  <c r="F21" i="1" s="1"/>
  <c r="F40" i="1" s="1"/>
  <c r="C14" i="1"/>
  <c r="G13" i="1"/>
  <c r="G12" i="1"/>
  <c r="G9" i="1"/>
  <c r="G8" i="1"/>
  <c r="G7" i="1"/>
  <c r="C6" i="1"/>
  <c r="G6" i="1" s="1"/>
  <c r="G5" i="1"/>
  <c r="G4" i="1"/>
  <c r="C40" i="2" l="1"/>
  <c r="G40" i="2"/>
  <c r="P40" i="1"/>
  <c r="Q29" i="1" s="1"/>
  <c r="F29" i="1" s="1"/>
  <c r="F48" i="1" s="1"/>
  <c r="M27" i="1"/>
  <c r="D27" i="1" s="1"/>
  <c r="D46" i="1" s="1"/>
  <c r="J40" i="1"/>
  <c r="K32" i="1" s="1"/>
  <c r="K32" i="2"/>
  <c r="K31" i="2"/>
  <c r="K34" i="2"/>
  <c r="K26" i="2"/>
  <c r="K30" i="2"/>
  <c r="C30" i="2" s="1"/>
  <c r="K35" i="2"/>
  <c r="C35" i="2" s="1"/>
  <c r="K36" i="2"/>
  <c r="K33" i="2"/>
  <c r="O28" i="2"/>
  <c r="O29" i="2"/>
  <c r="O27" i="2"/>
  <c r="O39" i="2"/>
  <c r="O35" i="2"/>
  <c r="O26" i="2"/>
  <c r="E26" i="2" s="1"/>
  <c r="O33" i="2"/>
  <c r="E33" i="2" s="1"/>
  <c r="O38" i="2"/>
  <c r="O34" i="2"/>
  <c r="O37" i="2"/>
  <c r="O31" i="2"/>
  <c r="O32" i="2"/>
  <c r="E32" i="2" s="1"/>
  <c r="E51" i="2" s="1"/>
  <c r="O30" i="2"/>
  <c r="Q27" i="2"/>
  <c r="Q39" i="2"/>
  <c r="F39" i="2" s="1"/>
  <c r="Q35" i="2"/>
  <c r="Q26" i="2"/>
  <c r="F26" i="2" s="1"/>
  <c r="F45" i="2" s="1"/>
  <c r="Q38" i="2"/>
  <c r="Q34" i="2"/>
  <c r="Q37" i="2"/>
  <c r="Q33" i="2"/>
  <c r="F33" i="2" s="1"/>
  <c r="Q31" i="2"/>
  <c r="Q32" i="2"/>
  <c r="Q30" i="2"/>
  <c r="Q29" i="2"/>
  <c r="Q28" i="2"/>
  <c r="F28" i="2" s="1"/>
  <c r="F47" i="2" s="1"/>
  <c r="M36" i="2"/>
  <c r="M29" i="2"/>
  <c r="M28" i="2"/>
  <c r="M27" i="2"/>
  <c r="M39" i="2"/>
  <c r="D39" i="2" s="1"/>
  <c r="M35" i="2"/>
  <c r="D35" i="2" s="1"/>
  <c r="M26" i="2"/>
  <c r="D26" i="2" s="1"/>
  <c r="M34" i="2"/>
  <c r="M32" i="2"/>
  <c r="D32" i="2" s="1"/>
  <c r="D51" i="2" s="1"/>
  <c r="M38" i="2"/>
  <c r="M37" i="2"/>
  <c r="M33" i="2"/>
  <c r="D33" i="2" s="1"/>
  <c r="M30" i="2"/>
  <c r="D30" i="2" s="1"/>
  <c r="M31" i="2"/>
  <c r="D31" i="2" s="1"/>
  <c r="O36" i="2"/>
  <c r="K37" i="2"/>
  <c r="C37" i="2" s="1"/>
  <c r="F58" i="2"/>
  <c r="K38" i="2"/>
  <c r="C38" i="2" s="1"/>
  <c r="Q36" i="2"/>
  <c r="K39" i="2"/>
  <c r="C39" i="2" s="1"/>
  <c r="G21" i="2"/>
  <c r="E21" i="19" s="1"/>
  <c r="K27" i="2"/>
  <c r="C27" i="2" s="1"/>
  <c r="K28" i="2"/>
  <c r="C28" i="2" s="1"/>
  <c r="K29" i="2"/>
  <c r="C29" i="2" s="1"/>
  <c r="F52" i="2"/>
  <c r="O32" i="1"/>
  <c r="E32" i="1" s="1"/>
  <c r="O27" i="1"/>
  <c r="O26" i="1"/>
  <c r="O36" i="1"/>
  <c r="O28" i="1"/>
  <c r="O30" i="1"/>
  <c r="O31" i="1"/>
  <c r="O35" i="1"/>
  <c r="O38" i="1"/>
  <c r="O39" i="1"/>
  <c r="O37" i="1"/>
  <c r="O29" i="1"/>
  <c r="O34" i="1"/>
  <c r="O33" i="1"/>
  <c r="E33" i="1" s="1"/>
  <c r="M32" i="1"/>
  <c r="D32" i="1" s="1"/>
  <c r="D51" i="1" s="1"/>
  <c r="M33" i="1"/>
  <c r="D33" i="1" s="1"/>
  <c r="M26" i="1"/>
  <c r="M35" i="1"/>
  <c r="D35" i="1" s="1"/>
  <c r="M34" i="1"/>
  <c r="D34" i="1" s="1"/>
  <c r="M39" i="1"/>
  <c r="M31" i="1"/>
  <c r="M38" i="1"/>
  <c r="M30" i="1"/>
  <c r="M37" i="1"/>
  <c r="M29" i="1"/>
  <c r="M36" i="1"/>
  <c r="M28" i="1"/>
  <c r="N21" i="1"/>
  <c r="G14" i="1"/>
  <c r="G21" i="1" s="1"/>
  <c r="D21" i="19" s="1"/>
  <c r="C21" i="1"/>
  <c r="Q32" i="1" l="1"/>
  <c r="F32" i="1" s="1"/>
  <c r="F51" i="1" s="1"/>
  <c r="Q37" i="1"/>
  <c r="F37" i="1" s="1"/>
  <c r="F56" i="1" s="1"/>
  <c r="Q31" i="1"/>
  <c r="F31" i="1" s="1"/>
  <c r="F50" i="1" s="1"/>
  <c r="Q36" i="1"/>
  <c r="Q27" i="1"/>
  <c r="F27" i="1" s="1"/>
  <c r="F46" i="1" s="1"/>
  <c r="Q26" i="1"/>
  <c r="Q30" i="1"/>
  <c r="Q38" i="1"/>
  <c r="F38" i="1" s="1"/>
  <c r="F57" i="1" s="1"/>
  <c r="Q39" i="1"/>
  <c r="F39" i="1" s="1"/>
  <c r="F58" i="1" s="1"/>
  <c r="Q33" i="1"/>
  <c r="F33" i="1" s="1"/>
  <c r="Q34" i="1"/>
  <c r="F34" i="1" s="1"/>
  <c r="F53" i="1" s="1"/>
  <c r="Q35" i="1"/>
  <c r="K27" i="1"/>
  <c r="C27" i="1" s="1"/>
  <c r="K37" i="1"/>
  <c r="K28" i="1"/>
  <c r="K29" i="1"/>
  <c r="K38" i="1"/>
  <c r="K36" i="1"/>
  <c r="K35" i="1"/>
  <c r="K26" i="1"/>
  <c r="C26" i="1" s="1"/>
  <c r="C45" i="1" s="1"/>
  <c r="K30" i="1"/>
  <c r="K31" i="1"/>
  <c r="K34" i="1"/>
  <c r="C34" i="1" s="1"/>
  <c r="C53" i="1" s="1"/>
  <c r="C26" i="2"/>
  <c r="D38" i="2"/>
  <c r="D57" i="2" s="1"/>
  <c r="D55" i="2"/>
  <c r="C34" i="2"/>
  <c r="D27" i="2"/>
  <c r="D46" i="2" s="1"/>
  <c r="C31" i="2"/>
  <c r="D34" i="2"/>
  <c r="D53" i="2" s="1"/>
  <c r="D37" i="2"/>
  <c r="D56" i="2" s="1"/>
  <c r="C32" i="2"/>
  <c r="D29" i="2"/>
  <c r="D48" i="2" s="1"/>
  <c r="D50" i="2"/>
  <c r="D54" i="2"/>
  <c r="C33" i="2"/>
  <c r="D36" i="2"/>
  <c r="D49" i="2"/>
  <c r="D58" i="2"/>
  <c r="C36" i="2"/>
  <c r="D28" i="2"/>
  <c r="D47" i="2" s="1"/>
  <c r="K33" i="1"/>
  <c r="C33" i="1" s="1"/>
  <c r="C52" i="1" s="1"/>
  <c r="K39" i="1"/>
  <c r="G40" i="1"/>
  <c r="C40" i="1"/>
  <c r="C32" i="1" s="1"/>
  <c r="Q28" i="1"/>
  <c r="F28" i="1" s="1"/>
  <c r="F47" i="1" s="1"/>
  <c r="F32" i="2"/>
  <c r="F51" i="2" s="1"/>
  <c r="F35" i="2"/>
  <c r="F54" i="2" s="1"/>
  <c r="F31" i="2"/>
  <c r="F50" i="2" s="1"/>
  <c r="F30" i="2"/>
  <c r="F27" i="2"/>
  <c r="F46" i="2" s="1"/>
  <c r="F36" i="2"/>
  <c r="F55" i="2" s="1"/>
  <c r="F37" i="2"/>
  <c r="F56" i="2" s="1"/>
  <c r="F29" i="2"/>
  <c r="F48" i="2" s="1"/>
  <c r="F34" i="2"/>
  <c r="F53" i="2" s="1"/>
  <c r="F38" i="2"/>
  <c r="F57" i="2" s="1"/>
  <c r="E37" i="2"/>
  <c r="G26" i="2"/>
  <c r="E31" i="2"/>
  <c r="G31" i="2" s="1"/>
  <c r="E38" i="2"/>
  <c r="E57" i="2" s="1"/>
  <c r="E28" i="2"/>
  <c r="E47" i="2" s="1"/>
  <c r="G32" i="2"/>
  <c r="E34" i="2"/>
  <c r="E53" i="2" s="1"/>
  <c r="E30" i="2"/>
  <c r="E49" i="2" s="1"/>
  <c r="G33" i="2"/>
  <c r="E27" i="2"/>
  <c r="E29" i="2"/>
  <c r="E48" i="2" s="1"/>
  <c r="E35" i="2"/>
  <c r="E54" i="2" s="1"/>
  <c r="E36" i="2"/>
  <c r="E55" i="2" s="1"/>
  <c r="G38" i="2"/>
  <c r="E39" i="2"/>
  <c r="E58" i="2" s="1"/>
  <c r="F35" i="1"/>
  <c r="F54" i="1" s="1"/>
  <c r="O40" i="1"/>
  <c r="E26" i="1"/>
  <c r="E45" i="1" s="1"/>
  <c r="F36" i="1"/>
  <c r="F55" i="1" s="1"/>
  <c r="D29" i="1"/>
  <c r="D37" i="1"/>
  <c r="D56" i="1" s="1"/>
  <c r="E34" i="1"/>
  <c r="E39" i="1"/>
  <c r="E58" i="1" s="1"/>
  <c r="E27" i="1"/>
  <c r="E46" i="1" s="1"/>
  <c r="E36" i="1"/>
  <c r="E38" i="1"/>
  <c r="E57" i="1" s="1"/>
  <c r="E51" i="1"/>
  <c r="D30" i="1"/>
  <c r="D49" i="1" s="1"/>
  <c r="D26" i="1"/>
  <c r="D45" i="1" s="1"/>
  <c r="M40" i="1"/>
  <c r="F30" i="1"/>
  <c r="F49" i="1" s="1"/>
  <c r="E35" i="1"/>
  <c r="E54" i="1" s="1"/>
  <c r="F26" i="1"/>
  <c r="F45" i="1" s="1"/>
  <c r="D38" i="1"/>
  <c r="D57" i="1" s="1"/>
  <c r="E29" i="1"/>
  <c r="E48" i="1" s="1"/>
  <c r="D31" i="1"/>
  <c r="D50" i="1" s="1"/>
  <c r="E37" i="1"/>
  <c r="E56" i="1" s="1"/>
  <c r="E31" i="1"/>
  <c r="D39" i="1"/>
  <c r="E30" i="1"/>
  <c r="D36" i="1"/>
  <c r="D55" i="1" s="1"/>
  <c r="D28" i="1"/>
  <c r="E28" i="1"/>
  <c r="E47" i="1" s="1"/>
  <c r="M40" i="2"/>
  <c r="K40" i="2"/>
  <c r="O40" i="2"/>
  <c r="Q40" i="2"/>
  <c r="D52" i="1"/>
  <c r="D52" i="2"/>
  <c r="E52" i="2"/>
  <c r="C58" i="2"/>
  <c r="C48" i="2"/>
  <c r="C56" i="2"/>
  <c r="C57" i="2"/>
  <c r="C47" i="2"/>
  <c r="C46" i="2"/>
  <c r="C53" i="2"/>
  <c r="D45" i="2"/>
  <c r="C49" i="2"/>
  <c r="E45" i="2"/>
  <c r="C45" i="2"/>
  <c r="C52" i="2"/>
  <c r="C54" i="2"/>
  <c r="C50" i="2"/>
  <c r="C51" i="2"/>
  <c r="C55" i="2"/>
  <c r="D53" i="1"/>
  <c r="D54" i="1"/>
  <c r="E52" i="1"/>
  <c r="G32" i="1" l="1"/>
  <c r="G27" i="1"/>
  <c r="G26" i="1"/>
  <c r="G34" i="2"/>
  <c r="G39" i="2"/>
  <c r="G37" i="2"/>
  <c r="G28" i="2"/>
  <c r="G30" i="2"/>
  <c r="G27" i="2"/>
  <c r="G35" i="2"/>
  <c r="G33" i="1"/>
  <c r="C29" i="1"/>
  <c r="C48" i="1" s="1"/>
  <c r="C38" i="1"/>
  <c r="C57" i="1" s="1"/>
  <c r="G57" i="1" s="1"/>
  <c r="D17" i="19" s="1"/>
  <c r="C28" i="1"/>
  <c r="C47" i="1" s="1"/>
  <c r="C30" i="1"/>
  <c r="C49" i="1" s="1"/>
  <c r="C37" i="1"/>
  <c r="C56" i="1" s="1"/>
  <c r="G56" i="1" s="1"/>
  <c r="D16" i="19" s="1"/>
  <c r="G34" i="1"/>
  <c r="C36" i="1"/>
  <c r="C55" i="1" s="1"/>
  <c r="E53" i="1"/>
  <c r="G53" i="1" s="1"/>
  <c r="D13" i="19" s="1"/>
  <c r="C39" i="1"/>
  <c r="C58" i="1" s="1"/>
  <c r="C35" i="1"/>
  <c r="G35" i="1" s="1"/>
  <c r="K40" i="1"/>
  <c r="Q40" i="1"/>
  <c r="C31" i="1"/>
  <c r="C50" i="1" s="1"/>
  <c r="F49" i="2"/>
  <c r="F59" i="2" s="1"/>
  <c r="G51" i="2"/>
  <c r="E11" i="19" s="1"/>
  <c r="G29" i="2"/>
  <c r="G53" i="2"/>
  <c r="E13" i="19" s="1"/>
  <c r="E46" i="2"/>
  <c r="G47" i="2"/>
  <c r="E7" i="19" s="1"/>
  <c r="G36" i="2"/>
  <c r="E50" i="2"/>
  <c r="E59" i="2" s="1"/>
  <c r="G55" i="2"/>
  <c r="E15" i="19" s="1"/>
  <c r="G57" i="2"/>
  <c r="E17" i="19" s="1"/>
  <c r="G46" i="2"/>
  <c r="E6" i="19" s="1"/>
  <c r="G54" i="2"/>
  <c r="E14" i="19" s="1"/>
  <c r="G48" i="2"/>
  <c r="E8" i="19" s="1"/>
  <c r="E56" i="2"/>
  <c r="G56" i="2" s="1"/>
  <c r="E16" i="19" s="1"/>
  <c r="G50" i="2"/>
  <c r="E10" i="19" s="1"/>
  <c r="G49" i="2"/>
  <c r="E9" i="19" s="1"/>
  <c r="G58" i="2"/>
  <c r="E18" i="19" s="1"/>
  <c r="D58" i="1"/>
  <c r="G58" i="1" s="1"/>
  <c r="D18" i="19" s="1"/>
  <c r="E55" i="1"/>
  <c r="E50" i="1"/>
  <c r="F52" i="1"/>
  <c r="F59" i="1" s="1"/>
  <c r="E49" i="1"/>
  <c r="D48" i="1"/>
  <c r="G48" i="1" s="1"/>
  <c r="D8" i="19" s="1"/>
  <c r="D47" i="1"/>
  <c r="D59" i="2"/>
  <c r="G52" i="2"/>
  <c r="E12" i="19" s="1"/>
  <c r="C59" i="2"/>
  <c r="G45" i="2"/>
  <c r="E5" i="19" s="1"/>
  <c r="C46" i="1"/>
  <c r="G46" i="1" s="1"/>
  <c r="D6" i="19" s="1"/>
  <c r="C51" i="1"/>
  <c r="G51" i="1" s="1"/>
  <c r="D11" i="19" s="1"/>
  <c r="G45" i="1"/>
  <c r="D5" i="19" s="1"/>
  <c r="G55" i="1" l="1"/>
  <c r="D15" i="19" s="1"/>
  <c r="C54" i="1"/>
  <c r="G54" i="1" s="1"/>
  <c r="D14" i="19" s="1"/>
  <c r="G38" i="1"/>
  <c r="G50" i="1"/>
  <c r="D10" i="19" s="1"/>
  <c r="G36" i="1"/>
  <c r="G31" i="1"/>
  <c r="G49" i="1"/>
  <c r="D9" i="19" s="1"/>
  <c r="G29" i="1"/>
  <c r="D59" i="1"/>
  <c r="G39" i="1"/>
  <c r="G28" i="1"/>
  <c r="G52" i="1"/>
  <c r="D12" i="19" s="1"/>
  <c r="G30" i="1"/>
  <c r="G47" i="1"/>
  <c r="D7" i="19" s="1"/>
  <c r="G37" i="1"/>
  <c r="E19" i="19"/>
  <c r="E59" i="1"/>
  <c r="G59" i="2"/>
  <c r="C59" i="1"/>
  <c r="D19" i="19" l="1"/>
  <c r="G59" i="1"/>
  <c r="F57" i="10"/>
  <c r="G57" i="10" s="1"/>
  <c r="M17" i="19" s="1"/>
  <c r="F55" i="10"/>
  <c r="G55" i="10" s="1"/>
  <c r="M15" i="19" s="1"/>
  <c r="F58" i="10"/>
  <c r="G58" i="10" s="1"/>
  <c r="M18" i="19" s="1"/>
  <c r="F56" i="10"/>
  <c r="G56" i="10" s="1"/>
  <c r="M16" i="19" s="1"/>
  <c r="F54" i="10"/>
  <c r="G54" i="10" s="1"/>
  <c r="M14" i="19" s="1"/>
  <c r="F49" i="10"/>
  <c r="G49" i="10" s="1"/>
  <c r="M9" i="19" s="1"/>
  <c r="F51" i="10"/>
  <c r="G51" i="10" s="1"/>
  <c r="M11" i="19" s="1"/>
  <c r="F53" i="10" l="1"/>
  <c r="G53" i="10" s="1"/>
  <c r="M13" i="19" s="1"/>
  <c r="F50" i="10"/>
  <c r="G50" i="10" s="1"/>
  <c r="M10" i="19" s="1"/>
  <c r="F48" i="10"/>
  <c r="G48" i="10" s="1"/>
  <c r="M8" i="19" s="1"/>
  <c r="F52" i="10"/>
  <c r="G52" i="10" s="1"/>
  <c r="M12" i="19" s="1"/>
  <c r="F46" i="10"/>
  <c r="G46" i="10" s="1"/>
  <c r="M6" i="19" s="1"/>
  <c r="F45" i="10"/>
  <c r="F47" i="10"/>
  <c r="G47" i="10" s="1"/>
  <c r="M7" i="19" s="1"/>
  <c r="F59" i="10" l="1"/>
  <c r="G59" i="10" s="1"/>
  <c r="G45" i="10"/>
  <c r="M5" i="19" s="1"/>
  <c r="M19" i="19" l="1"/>
</calcChain>
</file>

<file path=xl/sharedStrings.xml><?xml version="1.0" encoding="utf-8"?>
<sst xmlns="http://schemas.openxmlformats.org/spreadsheetml/2006/main" count="2115" uniqueCount="192">
  <si>
    <t>FY2012 - Interest Allocation per TTO GL</t>
  </si>
  <si>
    <t>FY2012  - Average Fund Balance per TTO GL</t>
  </si>
  <si>
    <t>Q1</t>
  </si>
  <si>
    <t>Q2</t>
  </si>
  <si>
    <t>Q3</t>
  </si>
  <si>
    <t>Q4</t>
  </si>
  <si>
    <t>Total</t>
  </si>
  <si>
    <t>D101</t>
  </si>
  <si>
    <t>D102</t>
  </si>
  <si>
    <t>D103</t>
  </si>
  <si>
    <t>D104</t>
  </si>
  <si>
    <t>D105</t>
  </si>
  <si>
    <t>D106</t>
  </si>
  <si>
    <t>D107</t>
  </si>
  <si>
    <t>D108</t>
  </si>
  <si>
    <t>D109</t>
  </si>
  <si>
    <t>D204</t>
  </si>
  <si>
    <t>D2045</t>
  </si>
  <si>
    <t>D217</t>
  </si>
  <si>
    <t>D995</t>
  </si>
  <si>
    <t>D999</t>
  </si>
  <si>
    <t>D1067</t>
  </si>
  <si>
    <t>D1065</t>
  </si>
  <si>
    <t>D69</t>
  </si>
  <si>
    <t xml:space="preserve">Total </t>
  </si>
  <si>
    <t>FY2012  - Average Fund Balance per TTO GL with Adjustments</t>
  </si>
  <si>
    <t>Q4*</t>
  </si>
  <si>
    <t>D109**</t>
  </si>
  <si>
    <t>D1065***</t>
  </si>
  <si>
    <t>FY2011  - Average Fund Balance per TTO GL with Adjustments</t>
  </si>
  <si>
    <t>FY2011 - Interest Allocation per TTO GL</t>
  </si>
  <si>
    <t>FY2011  - Average Fund Balance per TTO GL</t>
  </si>
  <si>
    <t>FY2010 - Interest Allocation per TTO GL</t>
  </si>
  <si>
    <t>FY2010  - Average Fund Balance per TTO GL</t>
  </si>
  <si>
    <t>FY2010  - Average Fund Balance per TTO GL with Adjustments</t>
  </si>
  <si>
    <t>FY2009 - Interest Allocation per TTO GL</t>
  </si>
  <si>
    <t>FY2009  - Average Fund Balance per TTO GL</t>
  </si>
  <si>
    <t>FY2009  - Average Fund Balance per TTO GL with Adjustments</t>
  </si>
  <si>
    <t>FY2008 - Interest Allocation per TTO GL</t>
  </si>
  <si>
    <t>FY2008  - Average Fund Balance per TTO GL</t>
  </si>
  <si>
    <t>FY2008  - Average Fund Balance per TTO GL with Adjustments</t>
  </si>
  <si>
    <t>FY2007 - Interest Allocation per TTO GL</t>
  </si>
  <si>
    <t>FY2007  - Average Fund Balance per TTO GL</t>
  </si>
  <si>
    <t>FY2007  - Average Fund Balance per TTO GL with Adjustments</t>
  </si>
  <si>
    <t>FY2006 - Interest Allocation per TTO GL</t>
  </si>
  <si>
    <t>FY2006  - Average Fund Balance per TTO GL</t>
  </si>
  <si>
    <t>FY2006  - Average Fund Balance per TTO GL with Adjustments</t>
  </si>
  <si>
    <t>FY2005 - Interest Allocation per TTO GL</t>
  </si>
  <si>
    <t>FY2005  - Average Fund Balance per TTO GL</t>
  </si>
  <si>
    <t>FY2005  - Average Fund Balance per TTO GL with Adjustments</t>
  </si>
  <si>
    <t>FY2004 - Interest Allocation per TTO GL</t>
  </si>
  <si>
    <t>FY2004  - Average Fund Balance per TTO GL</t>
  </si>
  <si>
    <t>FY2004  - Average Fund Balance per TTO GL with Adjustments</t>
  </si>
  <si>
    <t>FY2003 - Interest Allocation per TTO GL</t>
  </si>
  <si>
    <t>FY2003  - Average Fund Balance per TTO GL</t>
  </si>
  <si>
    <t>FY2003  - Average Fund Balance per TTO GL with Adjustments</t>
  </si>
  <si>
    <t>FY2002 - Interest Allocation per TTO GL</t>
  </si>
  <si>
    <t>FY2002  - Average Fund Balance per TTO GL</t>
  </si>
  <si>
    <t>FY2002  - Average Fund Balance per TTO GL with Adjustments</t>
  </si>
  <si>
    <t>FY2001 - Interest Allocation per TTO GL</t>
  </si>
  <si>
    <t>FY2001  - Average Fund Balance per TTO GL</t>
  </si>
  <si>
    <t>FY2001  - Average Fund Balance per TTO GL with Adjustments</t>
  </si>
  <si>
    <t>FY2000 - Interest Allocation per TTO GL</t>
  </si>
  <si>
    <t>FY2000  - Average Fund Balance per TTO GL</t>
  </si>
  <si>
    <t>FY2000  - Average Fund Balance per TTO GL with Adjustments</t>
  </si>
  <si>
    <t>FY1999 - Interest Allocation per TTO GL</t>
  </si>
  <si>
    <t>FY1999  - Average Fund Balance per TTO GL</t>
  </si>
  <si>
    <t>FY1999  - Average Fund Balance per TTO GL with Adjustments</t>
  </si>
  <si>
    <t>FY1998 - Interest Allocation per TTO GL</t>
  </si>
  <si>
    <t>FY1998  - Average Fund Balance per TTO GL</t>
  </si>
  <si>
    <t>FY1998  - Average Fund Balance per TTO GL with Adjustments</t>
  </si>
  <si>
    <t>FY1997 - Interest Allocation per TTO GL</t>
  </si>
  <si>
    <t>FY1997  - Average Fund Balance per TTO GL</t>
  </si>
  <si>
    <t>FY1997  - Average Fund Balance per TTO GL with Adjustments</t>
  </si>
  <si>
    <t>FY1996 - Interest Allocation per TTO GL</t>
  </si>
  <si>
    <t>FY1996  - Average Fund Balance per TTO GL</t>
  </si>
  <si>
    <t>FY1996  - Average Fund Balance per TTO GL with Adjustments</t>
  </si>
  <si>
    <t>FY1995 - Interest Allocation per TTO GL</t>
  </si>
  <si>
    <t>FY1995  - Average Fund Balance per TTO GL</t>
  </si>
  <si>
    <t>FY1995  - Average Fund Balance per TTO GL with Adjustments</t>
  </si>
  <si>
    <t>FY2012</t>
  </si>
  <si>
    <t>FY2011</t>
  </si>
  <si>
    <t>FY2010</t>
  </si>
  <si>
    <t>FY2009</t>
  </si>
  <si>
    <t>FY2008</t>
  </si>
  <si>
    <t>FY2007</t>
  </si>
  <si>
    <t>FY2006</t>
  </si>
  <si>
    <t>FY2005</t>
  </si>
  <si>
    <t>FY2004</t>
  </si>
  <si>
    <t>FY2003</t>
  </si>
  <si>
    <t>FY2002</t>
  </si>
  <si>
    <t>FY2001</t>
  </si>
  <si>
    <t>FY2000</t>
  </si>
  <si>
    <t>FY1999</t>
  </si>
  <si>
    <t>FY1998</t>
  </si>
  <si>
    <t>FY1997</t>
  </si>
  <si>
    <t>FY1996</t>
  </si>
  <si>
    <t>FY1995</t>
  </si>
  <si>
    <t>D104**</t>
  </si>
  <si>
    <t>D109***</t>
  </si>
  <si>
    <t>Lyons Township Treasurer's Office</t>
  </si>
  <si>
    <t>Quarterly Average Fund Balance &amp; Quarterly Interest Allocation Examiniation Summary</t>
  </si>
  <si>
    <t>LTTO Member District</t>
  </si>
  <si>
    <t>TOTAL</t>
  </si>
  <si>
    <t>Western Springs Elementary School District 101</t>
  </si>
  <si>
    <t>LaGrange Elementary School District 102</t>
  </si>
  <si>
    <t xml:space="preserve"> Lyons Elementary School District 103</t>
  </si>
  <si>
    <t>Summit Elementary School District 104</t>
  </si>
  <si>
    <t>LaGrange South  Elementary School District 105</t>
  </si>
  <si>
    <t>LaGrange Highlands Elementary School District 106</t>
  </si>
  <si>
    <t>Pleasantdale Elementary School District 107</t>
  </si>
  <si>
    <t>Willow Springs Elementary School District 108</t>
  </si>
  <si>
    <t>Indian Springs Elementary School District 109</t>
  </si>
  <si>
    <t>Lyons Township High School District 204</t>
  </si>
  <si>
    <t>Argo Summit High School District 217</t>
  </si>
  <si>
    <t>FY2012 - INTEREST REALLOCATION</t>
  </si>
  <si>
    <t>FY2012  - Interest Allocation per TTO GL with Adjustments</t>
  </si>
  <si>
    <t>FY2011  - Interest Allocation per TTO GL with Adjustments</t>
  </si>
  <si>
    <t>FY2010  - Interest Allocation per TTO GL with Adjustments</t>
  </si>
  <si>
    <t>FY2009  - Interest Allocation per TTO GL with Adjustments</t>
  </si>
  <si>
    <t>FY2008  - Interest Allocation per TTO GL with Adjustments</t>
  </si>
  <si>
    <t>FY2007  - Interest Allocation per TTO GL with Adjustments</t>
  </si>
  <si>
    <t>FY2006  - Interest Allocation per TTO GL with Adjustments</t>
  </si>
  <si>
    <t>FY2005  - Interest Allocation per TTO GL with Adjustments</t>
  </si>
  <si>
    <t>FY2004  - Interest Allocation per TTO GL with Adjustments</t>
  </si>
  <si>
    <t>FY2003  - Interest Allocation per TTO GL with Adjustments</t>
  </si>
  <si>
    <t>FY2002  - Interest Allocation per TTO GL with Adjustments</t>
  </si>
  <si>
    <t>FY2001  - Interest Allocation per TTO GL with Adjustments</t>
  </si>
  <si>
    <t>FY2000  - Interest Allocation per TTO GL with Adjustments</t>
  </si>
  <si>
    <t>FY1999  - Interest Allocation per TTO GL with Adjustments</t>
  </si>
  <si>
    <t>FY1998  - Interest Allocation per TTO GL with Adjustments</t>
  </si>
  <si>
    <t>FY1997  - Interest Allocation per TTO GL with Adjustments</t>
  </si>
  <si>
    <t>FY1996  - Interest Allocation per TTO GL with Adjustments</t>
  </si>
  <si>
    <t>FY1995  - Interest Allocation per TTO GL with Adjustments</t>
  </si>
  <si>
    <t>FY1995 - INTEREST REALLOCATION</t>
  </si>
  <si>
    <t>FY1996 - INTEREST REALLOCATION</t>
  </si>
  <si>
    <t>FY1997 - INTEREST REALLOCATION</t>
  </si>
  <si>
    <t>FY1998 - INTEREST REALLOCATION</t>
  </si>
  <si>
    <t>FY1999 - INTEREST REALLOCATION</t>
  </si>
  <si>
    <t>FY2000 - INTEREST REALLOCATION</t>
  </si>
  <si>
    <t>FY2001 - INTEREST REALLOCATION</t>
  </si>
  <si>
    <t>FY2002 - INTEREST REALLOCATION</t>
  </si>
  <si>
    <t>FY2003 - INTEREST REALLOCATION</t>
  </si>
  <si>
    <t>FY2004 - INTEREST REALLOCATION</t>
  </si>
  <si>
    <t>FY2005 - INTEREST REALLOCATION</t>
  </si>
  <si>
    <t>FY2006 - INTEREST REALLOCATION</t>
  </si>
  <si>
    <t>FY2007 - INTEREST REALLOCATION</t>
  </si>
  <si>
    <t>FY2008 - INTEREST REALLOCATION</t>
  </si>
  <si>
    <t>FY2009 - INTEREST REALLOCATION</t>
  </si>
  <si>
    <t>FY2010 - INTEREST REALLOCATION</t>
  </si>
  <si>
    <t>FY2011 - INTEREST REALLOCATION</t>
  </si>
  <si>
    <t>Q1*</t>
  </si>
  <si>
    <t>Q4**</t>
  </si>
  <si>
    <t>*:</t>
  </si>
  <si>
    <t>**:</t>
  </si>
  <si>
    <t>Fourth Quarter Interest Calculation uses two-month average (April &amp; May)</t>
  </si>
  <si>
    <t>D109 Liability Reserve Account increased to $5MM on 11/30/2004 per D109 Board Resolution</t>
  </si>
  <si>
    <t>First Quarter Fund Balances have data from August and September, July 1995 Fund Balance Reports not available</t>
  </si>
  <si>
    <t>FY1995  - Fund Balance Adjustments</t>
  </si>
  <si>
    <t>FY1996  - Fund Balance Adjustments</t>
  </si>
  <si>
    <t>FY1997  - Fund Balance Adjustments</t>
  </si>
  <si>
    <t>FY1998  - Fund Balance Adjustments</t>
  </si>
  <si>
    <t>FY1999  - Fund Balance Adjustments</t>
  </si>
  <si>
    <t>FY2000  - Fund Balance Adjustments</t>
  </si>
  <si>
    <t>FY2001  - Fund Balance Adjustments</t>
  </si>
  <si>
    <t>FY2002  - Fund Balance Adjustments</t>
  </si>
  <si>
    <t>FY2003  - Fund Balance Adjustments</t>
  </si>
  <si>
    <t>FY2004  - Fund Balance Adjustments</t>
  </si>
  <si>
    <t>FY2005  - Fund Balance Adjustments</t>
  </si>
  <si>
    <t>FY2006  - Fund Balance Adjustments</t>
  </si>
  <si>
    <t>FY2007  - Fund Balance Adjustments</t>
  </si>
  <si>
    <t>FY2008  - Fund Balance Adjustments</t>
  </si>
  <si>
    <t>FY2009  - Fund Balance Adjustments</t>
  </si>
  <si>
    <t>FY2010  - Fund Balance Adjustments</t>
  </si>
  <si>
    <t>***:</t>
  </si>
  <si>
    <t xml:space="preserve">Fund Balance Adjustment to remove D104 Property Tax Escrow Fund created 02/2011 </t>
  </si>
  <si>
    <t>FY2011  - Fund Balance Adjustments</t>
  </si>
  <si>
    <t>D109****</t>
  </si>
  <si>
    <t>FY2012  - Fund Balance Adjustments</t>
  </si>
  <si>
    <t>****:</t>
  </si>
  <si>
    <t>D1065 and D1067 Fund Balance combined due to D1065 negative Fund Balance</t>
  </si>
  <si>
    <t>D1067***</t>
  </si>
  <si>
    <t>FY1995 through FY2012</t>
  </si>
  <si>
    <t>Total Interest Allocated</t>
  </si>
  <si>
    <t>West 40 - Intermediate Service Center #2 (D1065)</t>
  </si>
  <si>
    <t>West 40 - Learning Technology Center 1C (D1067)</t>
  </si>
  <si>
    <t>LaGrange Area Department of Special Education (D2045)</t>
  </si>
  <si>
    <t xml:space="preserve">D104 Fund Balance Adjustment to remove D104 Property Tax Escrow Fund created 02/2011 </t>
  </si>
  <si>
    <t>D109 Fund Balance Adjustment to include $5MM Liability Reserve Account funded 09/30/1996, increased 11/30/2004</t>
  </si>
  <si>
    <t>D109 Fund Balance Adjustment to include $2MM Liability Reserve Account funded 09/30/1996</t>
  </si>
  <si>
    <t>Total Interest Allocated per General Ledger</t>
  </si>
  <si>
    <t>Total FY95-FY12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</si>
</sst>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4" fontId="0" fillId="0" borderId="0" xfId="1" applyFont="1" applyFill="1"/>
    <xf numFmtId="10" fontId="0" fillId="0" borderId="0" xfId="2" applyNumberFormat="1" applyFont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0" xfId="1" applyFont="1"/>
    <xf numFmtId="0" fontId="0" fillId="0" borderId="0" xfId="0" applyAlignment="1">
      <alignment horizontal="right"/>
    </xf>
    <xf numFmtId="44" fontId="0" fillId="0" borderId="0" xfId="0" applyNumberFormat="1"/>
    <xf numFmtId="10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right"/>
    </xf>
    <xf numFmtId="44" fontId="0" fillId="0" borderId="0" xfId="0" applyNumberFormat="1" applyFill="1"/>
    <xf numFmtId="10" fontId="0" fillId="0" borderId="0" xfId="1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10" fontId="0" fillId="0" borderId="0" xfId="2" applyNumberFormat="1" applyFont="1" applyFill="1"/>
    <xf numFmtId="8" fontId="0" fillId="0" borderId="0" xfId="0" applyNumberFormat="1"/>
    <xf numFmtId="0" fontId="6" fillId="0" borderId="7" xfId="0" applyFont="1" applyBorder="1" applyAlignment="1">
      <alignment horizontal="center"/>
    </xf>
    <xf numFmtId="44" fontId="6" fillId="0" borderId="8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4" fontId="6" fillId="0" borderId="13" xfId="0" applyNumberFormat="1" applyFont="1" applyBorder="1" applyAlignment="1">
      <alignment vertical="center"/>
    </xf>
    <xf numFmtId="44" fontId="6" fillId="0" borderId="14" xfId="0" applyNumberFormat="1" applyFont="1" applyBorder="1" applyAlignment="1">
      <alignment vertical="center"/>
    </xf>
    <xf numFmtId="0" fontId="0" fillId="2" borderId="0" xfId="0" applyFill="1"/>
    <xf numFmtId="44" fontId="0" fillId="2" borderId="0" xfId="1" applyFont="1" applyFill="1"/>
    <xf numFmtId="44" fontId="0" fillId="2" borderId="0" xfId="1" applyFont="1" applyFill="1" applyAlignment="1">
      <alignment horizontal="center"/>
    </xf>
    <xf numFmtId="10" fontId="0" fillId="2" borderId="0" xfId="2" applyNumberFormat="1" applyFont="1" applyFill="1" applyAlignment="1">
      <alignment horizontal="center"/>
    </xf>
    <xf numFmtId="10" fontId="0" fillId="0" borderId="0" xfId="2" applyNumberFormat="1" applyFont="1"/>
    <xf numFmtId="44" fontId="0" fillId="0" borderId="0" xfId="0" applyNumberFormat="1" applyAlignment="1">
      <alignment horizontal="right"/>
    </xf>
    <xf numFmtId="0" fontId="6" fillId="0" borderId="15" xfId="0" applyFont="1" applyBorder="1" applyAlignment="1">
      <alignment horizontal="center"/>
    </xf>
    <xf numFmtId="44" fontId="6" fillId="0" borderId="16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5050"/>
      <color rgb="FFFF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424B-51C1-44AC-AD01-20B70E8065E8}">
  <dimension ref="B1:C21"/>
  <sheetViews>
    <sheetView tabSelected="1" workbookViewId="0">
      <selection activeCell="B6" sqref="B6"/>
    </sheetView>
  </sheetViews>
  <sheetFormatPr defaultRowHeight="15" x14ac:dyDescent="0.25"/>
  <cols>
    <col min="2" max="2" width="76.42578125" customWidth="1"/>
    <col min="3" max="3" width="47.5703125" customWidth="1"/>
    <col min="4" max="4" width="9.28515625" customWidth="1"/>
  </cols>
  <sheetData>
    <row r="1" spans="2:3" ht="15.75" thickBot="1" x14ac:dyDescent="0.3"/>
    <row r="2" spans="2:3" ht="21" x14ac:dyDescent="0.25">
      <c r="B2" s="37" t="s">
        <v>100</v>
      </c>
      <c r="C2" s="38"/>
    </row>
    <row r="3" spans="2:3" ht="21" x14ac:dyDescent="0.25">
      <c r="B3" s="39" t="s">
        <v>101</v>
      </c>
      <c r="C3" s="40"/>
    </row>
    <row r="4" spans="2:3" ht="21.75" thickBot="1" x14ac:dyDescent="0.4">
      <c r="B4" s="41" t="s">
        <v>182</v>
      </c>
      <c r="C4" s="42"/>
    </row>
    <row r="5" spans="2:3" ht="19.5" thickBot="1" x14ac:dyDescent="0.35">
      <c r="B5" s="25" t="s">
        <v>102</v>
      </c>
      <c r="C5" s="26" t="s">
        <v>103</v>
      </c>
    </row>
    <row r="6" spans="2:3" ht="18.75" x14ac:dyDescent="0.3">
      <c r="B6" s="21" t="s">
        <v>104</v>
      </c>
      <c r="C6" s="22">
        <f>'Summary by FY'!C5</f>
        <v>36026.357561909783</v>
      </c>
    </row>
    <row r="7" spans="2:3" ht="18.75" x14ac:dyDescent="0.3">
      <c r="B7" s="23" t="s">
        <v>105</v>
      </c>
      <c r="C7" s="27">
        <f>'Summary by FY'!C6</f>
        <v>73991.0411060693</v>
      </c>
    </row>
    <row r="8" spans="2:3" ht="18.75" x14ac:dyDescent="0.3">
      <c r="B8" s="23" t="s">
        <v>106</v>
      </c>
      <c r="C8" s="27">
        <f>'Summary by FY'!C7</f>
        <v>84574.184360007988</v>
      </c>
    </row>
    <row r="9" spans="2:3" ht="18.75" x14ac:dyDescent="0.3">
      <c r="B9" s="23" t="s">
        <v>107</v>
      </c>
      <c r="C9" s="27">
        <f>'Summary by FY'!C8</f>
        <v>-28302.14392067173</v>
      </c>
    </row>
    <row r="10" spans="2:3" ht="18.75" x14ac:dyDescent="0.3">
      <c r="B10" s="23" t="s">
        <v>108</v>
      </c>
      <c r="C10" s="27">
        <f>'Summary by FY'!C9</f>
        <v>-17245.561248400507</v>
      </c>
    </row>
    <row r="11" spans="2:3" ht="18.75" x14ac:dyDescent="0.3">
      <c r="B11" s="23" t="s">
        <v>109</v>
      </c>
      <c r="C11" s="27">
        <f>'Summary by FY'!C10</f>
        <v>342003.19586752681</v>
      </c>
    </row>
    <row r="12" spans="2:3" ht="18.75" x14ac:dyDescent="0.3">
      <c r="B12" s="23" t="s">
        <v>184</v>
      </c>
      <c r="C12" s="27">
        <f>'Summary by FY'!C11</f>
        <v>-70470.974874171807</v>
      </c>
    </row>
    <row r="13" spans="2:3" ht="18.75" x14ac:dyDescent="0.3">
      <c r="B13" s="23" t="s">
        <v>185</v>
      </c>
      <c r="C13" s="27">
        <f>'Summary by FY'!C12</f>
        <v>1360.9068657300095</v>
      </c>
    </row>
    <row r="14" spans="2:3" ht="18.75" x14ac:dyDescent="0.3">
      <c r="B14" s="23" t="s">
        <v>110</v>
      </c>
      <c r="C14" s="27">
        <f>'Summary by FY'!C13</f>
        <v>15193.837478296289</v>
      </c>
    </row>
    <row r="15" spans="2:3" ht="18.75" x14ac:dyDescent="0.3">
      <c r="B15" s="23" t="s">
        <v>111</v>
      </c>
      <c r="C15" s="27">
        <f>'Summary by FY'!C14</f>
        <v>19887.976015407861</v>
      </c>
    </row>
    <row r="16" spans="2:3" ht="18.75" x14ac:dyDescent="0.3">
      <c r="B16" s="23" t="s">
        <v>112</v>
      </c>
      <c r="C16" s="27">
        <f>'Summary by FY'!C15</f>
        <v>506792.52536716813</v>
      </c>
    </row>
    <row r="17" spans="2:3" ht="18.75" x14ac:dyDescent="0.3">
      <c r="B17" s="23" t="s">
        <v>113</v>
      </c>
      <c r="C17" s="27">
        <f>'Summary by FY'!C16</f>
        <v>-1262945.093196379</v>
      </c>
    </row>
    <row r="18" spans="2:3" ht="18.75" x14ac:dyDescent="0.3">
      <c r="B18" s="23" t="s">
        <v>186</v>
      </c>
      <c r="C18" s="27">
        <f>'Summary by FY'!C17</f>
        <v>40976.461157133963</v>
      </c>
    </row>
    <row r="19" spans="2:3" ht="19.5" thickBot="1" x14ac:dyDescent="0.35">
      <c r="B19" s="24" t="s">
        <v>114</v>
      </c>
      <c r="C19" s="28">
        <f>'Summary by FY'!C18</f>
        <v>258157.28746037232</v>
      </c>
    </row>
    <row r="20" spans="2:3" ht="15.75" thickBot="1" x14ac:dyDescent="0.3"/>
    <row r="21" spans="2:3" ht="19.5" thickBot="1" x14ac:dyDescent="0.35">
      <c r="B21" s="35" t="s">
        <v>190</v>
      </c>
      <c r="C21" s="36">
        <f>'Summary by FY'!C21</f>
        <v>110345772.46000001</v>
      </c>
    </row>
  </sheetData>
  <sheetProtection algorithmName="SHA-512" hashValue="fm0VNiOa0gyrgxoyYJ4d0wwkgfiLaAYcfyO51kWWK3j5pifFO/tVK72P6Xw1YCogsSbKoN8O22pLHfqlcLKwfw==" saltValue="A4pUgQRR5lQLPNgrpAdxgg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5D0F3-819A-4FA4-80D6-03F74F71C422}">
  <dimension ref="B2:Q59"/>
  <sheetViews>
    <sheetView zoomScaleNormal="100" workbookViewId="0">
      <selection activeCell="B3" sqref="B3"/>
    </sheetView>
  </sheetViews>
  <sheetFormatPr defaultColWidth="9.140625" defaultRowHeight="15" x14ac:dyDescent="0.25"/>
  <cols>
    <col min="1" max="2" width="9.140625" style="12"/>
    <col min="3" max="3" width="13.42578125" style="12" bestFit="1" customWidth="1"/>
    <col min="4" max="5" width="12.5703125" style="12" bestFit="1" customWidth="1"/>
    <col min="6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47</v>
      </c>
      <c r="C2" s="44"/>
      <c r="D2" s="44"/>
      <c r="E2" s="44"/>
      <c r="F2" s="44"/>
      <c r="G2" s="44"/>
      <c r="H2" s="11"/>
      <c r="I2" s="44" t="s">
        <v>48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2</v>
      </c>
      <c r="K3" s="13"/>
      <c r="L3" s="13" t="s">
        <v>3</v>
      </c>
      <c r="M3" s="13"/>
      <c r="N3" s="13" t="s">
        <v>4</v>
      </c>
      <c r="O3" s="13"/>
      <c r="P3" s="13" t="s">
        <v>26</v>
      </c>
      <c r="Q3" s="13"/>
    </row>
    <row r="4" spans="2:17" x14ac:dyDescent="0.25">
      <c r="B4" s="12" t="s">
        <v>7</v>
      </c>
      <c r="C4" s="3">
        <v>43417</v>
      </c>
      <c r="D4" s="5">
        <v>42845</v>
      </c>
      <c r="E4" s="5">
        <v>42083</v>
      </c>
      <c r="F4" s="5">
        <v>137370</v>
      </c>
      <c r="G4" s="5">
        <f t="shared" ref="G4:G20" si="0">C4+D4+E4+F4</f>
        <v>265715</v>
      </c>
      <c r="I4" s="12" t="s">
        <v>7</v>
      </c>
      <c r="J4" s="3">
        <v>8179475.5933333337</v>
      </c>
      <c r="K4" s="14"/>
      <c r="L4" s="3">
        <v>7980078.5533333337</v>
      </c>
      <c r="M4" s="14"/>
      <c r="N4" s="3">
        <v>9220783.2833333332</v>
      </c>
      <c r="O4" s="14"/>
      <c r="P4" s="3">
        <v>10270027.760000002</v>
      </c>
      <c r="Q4" s="14"/>
    </row>
    <row r="5" spans="2:17" x14ac:dyDescent="0.25">
      <c r="B5" s="12" t="s">
        <v>8</v>
      </c>
      <c r="C5" s="3">
        <v>103349</v>
      </c>
      <c r="D5" s="3">
        <v>113015</v>
      </c>
      <c r="E5" s="3">
        <v>118578</v>
      </c>
      <c r="F5" s="3">
        <v>367727</v>
      </c>
      <c r="G5" s="5">
        <f t="shared" si="0"/>
        <v>702669</v>
      </c>
      <c r="I5" s="12" t="s">
        <v>8</v>
      </c>
      <c r="J5" s="3">
        <v>19470175.486666668</v>
      </c>
      <c r="K5" s="14"/>
      <c r="L5" s="3">
        <v>21049641.016666666</v>
      </c>
      <c r="M5" s="14"/>
      <c r="N5" s="3">
        <v>25929877.5</v>
      </c>
      <c r="O5" s="14"/>
      <c r="P5" s="3">
        <v>27491881.050000001</v>
      </c>
      <c r="Q5" s="14"/>
    </row>
    <row r="6" spans="2:17" x14ac:dyDescent="0.25">
      <c r="B6" s="12" t="s">
        <v>9</v>
      </c>
      <c r="C6" s="3">
        <v>16825</v>
      </c>
      <c r="D6" s="3">
        <v>32754</v>
      </c>
      <c r="E6" s="3">
        <v>38609</v>
      </c>
      <c r="F6" s="3">
        <v>137737</v>
      </c>
      <c r="G6" s="5">
        <f t="shared" si="0"/>
        <v>225925</v>
      </c>
      <c r="I6" s="12" t="s">
        <v>9</v>
      </c>
      <c r="J6" s="3">
        <v>3169708.9499999997</v>
      </c>
      <c r="K6" s="14"/>
      <c r="L6" s="3">
        <v>6100737.2266666666</v>
      </c>
      <c r="M6" s="14"/>
      <c r="N6" s="3">
        <v>8459302.1533333343</v>
      </c>
      <c r="O6" s="14"/>
      <c r="P6" s="3">
        <v>10297426.390000001</v>
      </c>
      <c r="Q6" s="14"/>
    </row>
    <row r="7" spans="2:17" x14ac:dyDescent="0.25">
      <c r="B7" s="12" t="s">
        <v>10</v>
      </c>
      <c r="C7" s="3">
        <v>19510</v>
      </c>
      <c r="D7" s="3">
        <v>15563</v>
      </c>
      <c r="E7" s="3">
        <v>15726</v>
      </c>
      <c r="F7" s="3">
        <v>57900</v>
      </c>
      <c r="G7" s="5">
        <f t="shared" si="0"/>
        <v>108699</v>
      </c>
      <c r="I7" s="12" t="s">
        <v>10</v>
      </c>
      <c r="J7" s="3">
        <v>3675501.68</v>
      </c>
      <c r="K7" s="14"/>
      <c r="L7" s="3">
        <v>2898742.0500000003</v>
      </c>
      <c r="M7" s="14"/>
      <c r="N7" s="3">
        <v>3445825.9433333329</v>
      </c>
      <c r="O7" s="14"/>
      <c r="P7" s="3">
        <v>4328761.6349999998</v>
      </c>
      <c r="Q7" s="14"/>
    </row>
    <row r="8" spans="2:17" x14ac:dyDescent="0.25">
      <c r="B8" s="12" t="s">
        <v>11</v>
      </c>
      <c r="C8" s="3">
        <v>17659</v>
      </c>
      <c r="D8" s="3">
        <v>16572</v>
      </c>
      <c r="E8" s="3">
        <v>19995</v>
      </c>
      <c r="F8" s="3">
        <v>74953</v>
      </c>
      <c r="G8" s="5">
        <f t="shared" si="0"/>
        <v>129179</v>
      </c>
      <c r="I8" s="12" t="s">
        <v>11</v>
      </c>
      <c r="J8" s="3">
        <v>3326883.1633333326</v>
      </c>
      <c r="K8" s="14"/>
      <c r="L8" s="3">
        <v>3353386.2933333335</v>
      </c>
      <c r="M8" s="14"/>
      <c r="N8" s="3">
        <v>4380684.2233333336</v>
      </c>
      <c r="O8" s="14"/>
      <c r="P8" s="3">
        <v>5603657.3799999999</v>
      </c>
      <c r="Q8" s="14"/>
    </row>
    <row r="9" spans="2:17" x14ac:dyDescent="0.25">
      <c r="B9" s="12" t="s">
        <v>12</v>
      </c>
      <c r="C9" s="3">
        <v>44635</v>
      </c>
      <c r="D9" s="3">
        <v>43909</v>
      </c>
      <c r="E9" s="3">
        <v>42131</v>
      </c>
      <c r="F9" s="3">
        <v>134257</v>
      </c>
      <c r="G9" s="5">
        <f t="shared" si="0"/>
        <v>264932</v>
      </c>
      <c r="I9" s="12" t="s">
        <v>12</v>
      </c>
      <c r="J9" s="3">
        <v>8408995.706666667</v>
      </c>
      <c r="K9" s="14"/>
      <c r="L9" s="3">
        <v>8178395.5999999987</v>
      </c>
      <c r="M9" s="14"/>
      <c r="N9" s="3">
        <v>9229646.459999999</v>
      </c>
      <c r="O9" s="14"/>
      <c r="P9" s="3">
        <v>10041769.975</v>
      </c>
      <c r="Q9" s="14"/>
    </row>
    <row r="10" spans="2:17" x14ac:dyDescent="0.25">
      <c r="B10" s="12" t="s">
        <v>22</v>
      </c>
      <c r="C10" s="3">
        <v>1312</v>
      </c>
      <c r="D10" s="3">
        <v>231</v>
      </c>
      <c r="E10" s="3">
        <v>3118</v>
      </c>
      <c r="F10" s="3">
        <v>86543</v>
      </c>
      <c r="G10" s="5">
        <f t="shared" si="0"/>
        <v>91204</v>
      </c>
      <c r="I10" s="12" t="s">
        <v>22</v>
      </c>
      <c r="J10" s="3">
        <v>247290.97666666668</v>
      </c>
      <c r="K10" s="14"/>
      <c r="L10" s="3">
        <v>42998.543333333335</v>
      </c>
      <c r="M10" s="14"/>
      <c r="N10" s="3">
        <v>683092.22666666668</v>
      </c>
      <c r="O10" s="14"/>
      <c r="P10" s="3">
        <v>1061146.5649999999</v>
      </c>
      <c r="Q10" s="14"/>
    </row>
    <row r="11" spans="2:17" x14ac:dyDescent="0.25">
      <c r="B11" s="12" t="s">
        <v>21</v>
      </c>
      <c r="C11" s="3">
        <v>410</v>
      </c>
      <c r="D11" s="3">
        <v>509</v>
      </c>
      <c r="E11" s="3">
        <v>634</v>
      </c>
      <c r="F11" s="3">
        <v>1776</v>
      </c>
      <c r="G11" s="5">
        <f t="shared" si="0"/>
        <v>3329</v>
      </c>
      <c r="I11" s="12" t="s">
        <v>21</v>
      </c>
      <c r="J11" s="3">
        <v>78932.263333333336</v>
      </c>
      <c r="K11" s="14"/>
      <c r="L11" s="3">
        <v>94803.746666666659</v>
      </c>
      <c r="M11" s="14"/>
      <c r="N11" s="3">
        <v>138718.19666666666</v>
      </c>
      <c r="O11" s="14"/>
      <c r="P11" s="3">
        <v>132759.36499999999</v>
      </c>
      <c r="Q11" s="14"/>
    </row>
    <row r="12" spans="2:17" x14ac:dyDescent="0.25">
      <c r="B12" s="12" t="s">
        <v>13</v>
      </c>
      <c r="C12" s="3">
        <v>27249</v>
      </c>
      <c r="D12" s="3">
        <v>29743</v>
      </c>
      <c r="E12" s="3">
        <v>29665</v>
      </c>
      <c r="F12" s="3">
        <v>101309</v>
      </c>
      <c r="G12" s="5">
        <f t="shared" si="0"/>
        <v>187966</v>
      </c>
      <c r="I12" s="12" t="s">
        <v>13</v>
      </c>
      <c r="J12" s="3">
        <v>5133632.95</v>
      </c>
      <c r="K12" s="14"/>
      <c r="L12" s="3">
        <v>5539824.9799999995</v>
      </c>
      <c r="M12" s="14"/>
      <c r="N12" s="3">
        <v>6499625.5966666667</v>
      </c>
      <c r="O12" s="14"/>
      <c r="P12" s="3">
        <v>7574050.8550000004</v>
      </c>
      <c r="Q12" s="14"/>
    </row>
    <row r="13" spans="2:17" x14ac:dyDescent="0.25">
      <c r="B13" s="12" t="s">
        <v>14</v>
      </c>
      <c r="C13" s="3">
        <v>31809</v>
      </c>
      <c r="D13" s="3">
        <v>40185</v>
      </c>
      <c r="E13" s="3">
        <v>31805</v>
      </c>
      <c r="F13" s="3">
        <v>76046</v>
      </c>
      <c r="G13" s="5">
        <f t="shared" si="0"/>
        <v>179845</v>
      </c>
      <c r="I13" s="12" t="s">
        <v>14</v>
      </c>
      <c r="J13" s="3">
        <v>6005437.4966666661</v>
      </c>
      <c r="K13" s="14"/>
      <c r="L13" s="3">
        <v>7484750.1533333333</v>
      </c>
      <c r="M13" s="14"/>
      <c r="N13" s="3">
        <v>6968674.456666667</v>
      </c>
      <c r="O13" s="14"/>
      <c r="P13" s="3">
        <v>5955374.3650000002</v>
      </c>
      <c r="Q13" s="14"/>
    </row>
    <row r="14" spans="2:17" x14ac:dyDescent="0.25">
      <c r="B14" s="12" t="s">
        <v>15</v>
      </c>
      <c r="C14" s="3">
        <v>90092</v>
      </c>
      <c r="D14" s="3">
        <v>84906</v>
      </c>
      <c r="E14" s="3">
        <v>74110</v>
      </c>
      <c r="F14" s="3">
        <v>307719</v>
      </c>
      <c r="G14" s="5">
        <f t="shared" si="0"/>
        <v>556827</v>
      </c>
      <c r="I14" s="12" t="s">
        <v>15</v>
      </c>
      <c r="J14" s="3">
        <v>16972599.566666666</v>
      </c>
      <c r="K14" s="14"/>
      <c r="L14" s="3">
        <v>13814306.93</v>
      </c>
      <c r="M14" s="14"/>
      <c r="N14" s="3">
        <v>14237936.986666664</v>
      </c>
      <c r="O14" s="14"/>
      <c r="P14" s="3">
        <v>15525762.274999999</v>
      </c>
      <c r="Q14" s="14"/>
    </row>
    <row r="15" spans="2:17" x14ac:dyDescent="0.25">
      <c r="B15" s="12" t="s">
        <v>16</v>
      </c>
      <c r="C15" s="3">
        <v>223402</v>
      </c>
      <c r="D15" s="3">
        <v>207592</v>
      </c>
      <c r="E15" s="3">
        <v>216515</v>
      </c>
      <c r="F15" s="3">
        <v>774496.55</v>
      </c>
      <c r="G15" s="5">
        <f t="shared" si="0"/>
        <v>1422005.55</v>
      </c>
      <c r="I15" s="12" t="s">
        <v>16</v>
      </c>
      <c r="J15" s="3">
        <v>42086960.74666667</v>
      </c>
      <c r="K15" s="14"/>
      <c r="L15" s="3">
        <v>35440016.923333339</v>
      </c>
      <c r="M15" s="14"/>
      <c r="N15" s="3">
        <v>40774220.559999995</v>
      </c>
      <c r="O15" s="14"/>
      <c r="P15" s="3">
        <v>51732424.390000001</v>
      </c>
      <c r="Q15" s="14"/>
    </row>
    <row r="16" spans="2:17" x14ac:dyDescent="0.25">
      <c r="B16" s="12" t="s">
        <v>17</v>
      </c>
      <c r="C16" s="3">
        <v>24733</v>
      </c>
      <c r="D16" s="3">
        <v>22727</v>
      </c>
      <c r="E16" s="3">
        <v>22851</v>
      </c>
      <c r="F16" s="3">
        <v>66613</v>
      </c>
      <c r="G16" s="5">
        <f t="shared" si="0"/>
        <v>136924</v>
      </c>
      <c r="I16" s="12" t="s">
        <v>17</v>
      </c>
      <c r="J16" s="3">
        <v>4591795</v>
      </c>
      <c r="K16" s="14"/>
      <c r="L16" s="3">
        <v>4233038.9933333332</v>
      </c>
      <c r="M16" s="14"/>
      <c r="N16" s="3">
        <v>5006932.7133333338</v>
      </c>
      <c r="O16" s="14"/>
      <c r="P16" s="3">
        <v>4980092.99</v>
      </c>
      <c r="Q16" s="14"/>
    </row>
    <row r="17" spans="2:17" x14ac:dyDescent="0.25">
      <c r="B17" s="12" t="s">
        <v>18</v>
      </c>
      <c r="C17" s="3">
        <v>104479</v>
      </c>
      <c r="D17" s="3">
        <v>108210</v>
      </c>
      <c r="E17" s="3">
        <v>101529</v>
      </c>
      <c r="F17" s="3">
        <v>327439</v>
      </c>
      <c r="G17" s="5">
        <f t="shared" si="0"/>
        <v>641657</v>
      </c>
      <c r="I17" s="12" t="s">
        <v>18</v>
      </c>
      <c r="J17" s="3">
        <v>19682833.606666669</v>
      </c>
      <c r="K17" s="14"/>
      <c r="L17" s="3">
        <v>20399364.096666668</v>
      </c>
      <c r="M17" s="14"/>
      <c r="N17" s="3">
        <v>22245648.890000001</v>
      </c>
      <c r="O17" s="14"/>
      <c r="P17" s="3">
        <v>24479896.135000002</v>
      </c>
      <c r="Q17" s="14"/>
    </row>
    <row r="18" spans="2:17" x14ac:dyDescent="0.25">
      <c r="B18" s="29" t="s">
        <v>19</v>
      </c>
      <c r="C18" s="30">
        <v>0</v>
      </c>
      <c r="D18" s="30">
        <v>0</v>
      </c>
      <c r="E18" s="30">
        <v>0</v>
      </c>
      <c r="F18" s="30">
        <v>0</v>
      </c>
      <c r="G18" s="31">
        <f t="shared" si="0"/>
        <v>0</v>
      </c>
      <c r="I18" s="29" t="s">
        <v>19</v>
      </c>
      <c r="J18" s="30">
        <v>0</v>
      </c>
      <c r="K18" s="32"/>
      <c r="L18" s="30">
        <v>0</v>
      </c>
      <c r="M18" s="32"/>
      <c r="N18" s="30">
        <v>0</v>
      </c>
      <c r="O18" s="32"/>
      <c r="P18" s="30">
        <v>0</v>
      </c>
      <c r="Q18" s="14"/>
    </row>
    <row r="19" spans="2:17" x14ac:dyDescent="0.25">
      <c r="B19" s="29" t="s">
        <v>20</v>
      </c>
      <c r="C19" s="30">
        <v>1479</v>
      </c>
      <c r="D19" s="30">
        <v>1976</v>
      </c>
      <c r="E19" s="30">
        <v>2019</v>
      </c>
      <c r="F19" s="30">
        <v>1648</v>
      </c>
      <c r="G19" s="31">
        <f t="shared" si="0"/>
        <v>7122</v>
      </c>
      <c r="I19" s="29" t="s">
        <v>20</v>
      </c>
      <c r="J19" s="30">
        <v>263108.50333333336</v>
      </c>
      <c r="K19" s="32"/>
      <c r="L19" s="30">
        <v>367288.79000000004</v>
      </c>
      <c r="M19" s="32"/>
      <c r="N19" s="30">
        <v>424779.03666666662</v>
      </c>
      <c r="O19" s="32"/>
      <c r="P19" s="30">
        <v>123268.42000000001</v>
      </c>
      <c r="Q19" s="14"/>
    </row>
    <row r="20" spans="2:17" x14ac:dyDescent="0.25">
      <c r="B20" s="29" t="s">
        <v>23</v>
      </c>
      <c r="C20" s="30">
        <v>0</v>
      </c>
      <c r="D20" s="30">
        <v>0</v>
      </c>
      <c r="E20" s="30">
        <v>0</v>
      </c>
      <c r="F20" s="30">
        <v>0</v>
      </c>
      <c r="G20" s="31">
        <f t="shared" si="0"/>
        <v>0</v>
      </c>
      <c r="I20" s="29" t="s">
        <v>23</v>
      </c>
      <c r="J20" s="30">
        <v>0</v>
      </c>
      <c r="K20" s="32"/>
      <c r="L20" s="30">
        <v>0</v>
      </c>
      <c r="M20" s="32"/>
      <c r="N20" s="30">
        <v>0</v>
      </c>
      <c r="O20" s="32"/>
      <c r="P20" s="30">
        <v>0</v>
      </c>
      <c r="Q20" s="14"/>
    </row>
    <row r="21" spans="2:17" x14ac:dyDescent="0.25">
      <c r="B21" s="15" t="s">
        <v>24</v>
      </c>
      <c r="C21" s="16">
        <f>SUM(C4:C20)</f>
        <v>750360</v>
      </c>
      <c r="D21" s="3">
        <f>SUM(D4:D20)</f>
        <v>760737</v>
      </c>
      <c r="E21" s="3">
        <f>SUM(E4:E20)</f>
        <v>759368</v>
      </c>
      <c r="F21" s="3">
        <f>SUM(F4:F20)</f>
        <v>2653533.5499999998</v>
      </c>
      <c r="G21" s="3">
        <f>SUM(G4:G20)</f>
        <v>4923998.55</v>
      </c>
      <c r="I21" s="15" t="s">
        <v>24</v>
      </c>
      <c r="J21" s="3">
        <f>SUM(J4:J20)</f>
        <v>141293331.69</v>
      </c>
      <c r="K21" s="17"/>
      <c r="L21" s="3">
        <f>SUM(L4:L20)</f>
        <v>136977373.89666668</v>
      </c>
      <c r="M21" s="14"/>
      <c r="N21" s="3">
        <f>SUM(N4:N20)</f>
        <v>157645748.22666666</v>
      </c>
      <c r="O21" s="14"/>
      <c r="P21" s="3">
        <f>SUM(P4:P20)</f>
        <v>179598299.54999998</v>
      </c>
      <c r="Q21" s="18"/>
    </row>
    <row r="24" spans="2:17" ht="15.75" x14ac:dyDescent="0.25">
      <c r="B24" s="44" t="s">
        <v>123</v>
      </c>
      <c r="C24" s="44"/>
      <c r="D24" s="44"/>
      <c r="E24" s="44"/>
      <c r="F24" s="44"/>
      <c r="G24" s="44"/>
      <c r="I24" s="44" t="s">
        <v>49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2</v>
      </c>
      <c r="K25" s="13"/>
      <c r="L25" s="13" t="s">
        <v>3</v>
      </c>
      <c r="M25" s="13"/>
      <c r="N25" s="13" t="s">
        <v>4</v>
      </c>
      <c r="O25" s="13"/>
      <c r="P25" s="13" t="s">
        <v>26</v>
      </c>
    </row>
    <row r="26" spans="2:17" x14ac:dyDescent="0.25">
      <c r="B26" s="12" t="s">
        <v>7</v>
      </c>
      <c r="C26" s="16">
        <f t="shared" ref="C26:C39" si="1">$C$40*K26</f>
        <v>41946.480174731005</v>
      </c>
      <c r="D26" s="16">
        <f t="shared" ref="D26:D39" si="2">$D$40*M26</f>
        <v>42758.059065107496</v>
      </c>
      <c r="E26" s="16">
        <f t="shared" ref="E26:E39" si="3">$E$40*O26</f>
        <v>43048.386615604672</v>
      </c>
      <c r="F26" s="16">
        <f t="shared" ref="F26:F39" si="4">$F$40*Q26</f>
        <v>147634.82108128956</v>
      </c>
      <c r="G26" s="16">
        <f t="shared" ref="G26:G39" si="5">SUM(C26+D26+E26+F26)</f>
        <v>275387.74693673273</v>
      </c>
      <c r="I26" s="12" t="s">
        <v>7</v>
      </c>
      <c r="J26" s="3">
        <v>8179475.5933333337</v>
      </c>
      <c r="K26" s="14">
        <f t="shared" ref="K26:K39" si="6">J26/$J$40</f>
        <v>5.601221045096752E-2</v>
      </c>
      <c r="L26" s="3">
        <v>7980078.5533333337</v>
      </c>
      <c r="M26" s="14">
        <f t="shared" ref="M26:M39" si="7">L26/$L$40</f>
        <v>5.6352473394267098E-2</v>
      </c>
      <c r="N26" s="3">
        <v>9220783.2833333332</v>
      </c>
      <c r="O26" s="14">
        <f t="shared" ref="O26:O39" si="8">N26/$N$40</f>
        <v>5.6840883945980879E-2</v>
      </c>
      <c r="P26" s="3">
        <v>10270027.760000002</v>
      </c>
      <c r="Q26" s="14">
        <f t="shared" ref="Q26:Q39" si="9">P26/$P$40</f>
        <v>5.567164128983227E-2</v>
      </c>
    </row>
    <row r="27" spans="2:17" x14ac:dyDescent="0.25">
      <c r="B27" s="12" t="s">
        <v>8</v>
      </c>
      <c r="C27" s="16">
        <f t="shared" si="1"/>
        <v>99848.128493182521</v>
      </c>
      <c r="D27" s="16">
        <f t="shared" si="2"/>
        <v>112786.08197584585</v>
      </c>
      <c r="E27" s="16">
        <f t="shared" si="3"/>
        <v>121056.89475783295</v>
      </c>
      <c r="F27" s="16">
        <f t="shared" si="4"/>
        <v>395204.28131781839</v>
      </c>
      <c r="G27" s="16">
        <f t="shared" si="5"/>
        <v>728895.38654467976</v>
      </c>
      <c r="I27" s="12" t="s">
        <v>8</v>
      </c>
      <c r="J27" s="3">
        <v>19470175.486666668</v>
      </c>
      <c r="K27" s="14">
        <f t="shared" si="6"/>
        <v>0.1333297660017847</v>
      </c>
      <c r="L27" s="3">
        <v>21049641.016666666</v>
      </c>
      <c r="M27" s="14">
        <f t="shared" si="7"/>
        <v>0.14864507002316388</v>
      </c>
      <c r="N27" s="3">
        <v>25929877.5</v>
      </c>
      <c r="O27" s="14">
        <f t="shared" si="8"/>
        <v>0.15984294527071793</v>
      </c>
      <c r="P27" s="3">
        <v>27491881.050000001</v>
      </c>
      <c r="Q27" s="14">
        <f t="shared" si="9"/>
        <v>0.14902765366997772</v>
      </c>
    </row>
    <row r="28" spans="2:17" x14ac:dyDescent="0.25">
      <c r="B28" s="12" t="s">
        <v>9</v>
      </c>
      <c r="C28" s="16">
        <f t="shared" si="1"/>
        <v>16255.09265400947</v>
      </c>
      <c r="D28" s="16">
        <f t="shared" si="2"/>
        <v>32688.360263014234</v>
      </c>
      <c r="E28" s="16">
        <f t="shared" si="3"/>
        <v>39493.316175550121</v>
      </c>
      <c r="F28" s="16">
        <f t="shared" si="4"/>
        <v>148028.68484996181</v>
      </c>
      <c r="G28" s="16">
        <f t="shared" si="5"/>
        <v>236465.45394253562</v>
      </c>
      <c r="I28" s="12" t="s">
        <v>9</v>
      </c>
      <c r="J28" s="3">
        <v>3169708.9499999997</v>
      </c>
      <c r="K28" s="14">
        <f t="shared" si="6"/>
        <v>2.170584198825911E-2</v>
      </c>
      <c r="L28" s="3">
        <v>6100737.2266666666</v>
      </c>
      <c r="M28" s="14">
        <f t="shared" si="7"/>
        <v>4.3081234094812772E-2</v>
      </c>
      <c r="N28" s="3">
        <v>8459302.1533333343</v>
      </c>
      <c r="O28" s="14">
        <f t="shared" si="8"/>
        <v>5.2146785927690037E-2</v>
      </c>
      <c r="P28" s="3">
        <v>10297426.390000001</v>
      </c>
      <c r="Q28" s="14">
        <f t="shared" si="9"/>
        <v>5.5820163449347135E-2</v>
      </c>
    </row>
    <row r="29" spans="2:17" x14ac:dyDescent="0.25">
      <c r="B29" s="12" t="s">
        <v>10</v>
      </c>
      <c r="C29" s="16">
        <f t="shared" si="1"/>
        <v>18848.929444568555</v>
      </c>
      <c r="D29" s="16">
        <f t="shared" si="2"/>
        <v>15531.749839309325</v>
      </c>
      <c r="E29" s="16">
        <f t="shared" si="3"/>
        <v>16087.271857567155</v>
      </c>
      <c r="F29" s="16">
        <f t="shared" si="4"/>
        <v>62227.28549730574</v>
      </c>
      <c r="G29" s="16">
        <f t="shared" si="5"/>
        <v>112695.23663875076</v>
      </c>
      <c r="I29" s="12" t="s">
        <v>10</v>
      </c>
      <c r="J29" s="3">
        <v>3675501.68</v>
      </c>
      <c r="K29" s="14">
        <f t="shared" si="6"/>
        <v>2.5169458758559176E-2</v>
      </c>
      <c r="L29" s="3">
        <v>2898742.0500000003</v>
      </c>
      <c r="M29" s="14">
        <f t="shared" si="7"/>
        <v>2.0469884244589964E-2</v>
      </c>
      <c r="N29" s="3">
        <v>3445825.9433333329</v>
      </c>
      <c r="O29" s="14">
        <f t="shared" si="8"/>
        <v>2.1241556874792407E-2</v>
      </c>
      <c r="P29" s="3">
        <v>4328761.6349999998</v>
      </c>
      <c r="Q29" s="14">
        <f t="shared" si="9"/>
        <v>2.3465298303430079E-2</v>
      </c>
    </row>
    <row r="30" spans="2:17" x14ac:dyDescent="0.25">
      <c r="B30" s="12" t="s">
        <v>11</v>
      </c>
      <c r="C30" s="16">
        <f t="shared" si="1"/>
        <v>17061.122936554617</v>
      </c>
      <c r="D30" s="16">
        <f t="shared" si="2"/>
        <v>17967.779169113062</v>
      </c>
      <c r="E30" s="16">
        <f t="shared" si="3"/>
        <v>20451.775331038978</v>
      </c>
      <c r="F30" s="16">
        <f t="shared" si="4"/>
        <v>80554.305599768675</v>
      </c>
      <c r="G30" s="16">
        <f t="shared" si="5"/>
        <v>136034.98303647531</v>
      </c>
      <c r="I30" s="12" t="s">
        <v>11</v>
      </c>
      <c r="J30" s="3">
        <v>3326883.1633333326</v>
      </c>
      <c r="K30" s="14">
        <f t="shared" si="6"/>
        <v>2.2782154890502785E-2</v>
      </c>
      <c r="L30" s="3">
        <v>3353386.2933333335</v>
      </c>
      <c r="M30" s="14">
        <f t="shared" si="7"/>
        <v>2.3680420012511267E-2</v>
      </c>
      <c r="N30" s="3">
        <v>4380684.2233333336</v>
      </c>
      <c r="O30" s="14">
        <f t="shared" si="8"/>
        <v>2.700442640188206E-2</v>
      </c>
      <c r="P30" s="3">
        <v>5603657.3799999999</v>
      </c>
      <c r="Q30" s="14">
        <f t="shared" si="9"/>
        <v>3.0376237616954727E-2</v>
      </c>
    </row>
    <row r="31" spans="2:17" x14ac:dyDescent="0.25">
      <c r="B31" s="12" t="s">
        <v>12</v>
      </c>
      <c r="C31" s="16">
        <f t="shared" si="1"/>
        <v>43123.519066012203</v>
      </c>
      <c r="D31" s="16">
        <f t="shared" si="2"/>
        <v>43820.66163703944</v>
      </c>
      <c r="E31" s="16">
        <f t="shared" si="3"/>
        <v>43089.765470747996</v>
      </c>
      <c r="F31" s="16">
        <f t="shared" si="4"/>
        <v>144353.54492153681</v>
      </c>
      <c r="G31" s="16">
        <f t="shared" si="5"/>
        <v>274387.49109533645</v>
      </c>
      <c r="I31" s="12" t="s">
        <v>12</v>
      </c>
      <c r="J31" s="3">
        <v>8408995.706666667</v>
      </c>
      <c r="K31" s="14">
        <f t="shared" si="6"/>
        <v>5.7583940660815541E-2</v>
      </c>
      <c r="L31" s="3">
        <v>8178395.5999999987</v>
      </c>
      <c r="M31" s="14">
        <f t="shared" si="7"/>
        <v>5.7752917765988815E-2</v>
      </c>
      <c r="N31" s="3">
        <v>9229646.459999999</v>
      </c>
      <c r="O31" s="14">
        <f t="shared" si="8"/>
        <v>5.6895520388550058E-2</v>
      </c>
      <c r="P31" s="3">
        <v>10041769.975</v>
      </c>
      <c r="Q31" s="14">
        <f t="shared" si="9"/>
        <v>5.4434304271365266E-2</v>
      </c>
    </row>
    <row r="32" spans="2:17" x14ac:dyDescent="0.25">
      <c r="B32" s="12" t="s">
        <v>22</v>
      </c>
      <c r="C32" s="16">
        <f t="shared" si="1"/>
        <v>1268.172504676545</v>
      </c>
      <c r="D32" s="16">
        <f t="shared" si="2"/>
        <v>230.39049594220882</v>
      </c>
      <c r="E32" s="16">
        <f t="shared" si="3"/>
        <v>3189.1019845149849</v>
      </c>
      <c r="F32" s="16">
        <f t="shared" si="4"/>
        <v>15254.309620756076</v>
      </c>
      <c r="G32" s="16">
        <f t="shared" si="5"/>
        <v>19941.974605889816</v>
      </c>
      <c r="I32" s="12" t="s">
        <v>22</v>
      </c>
      <c r="J32" s="3">
        <v>247290.97666666668</v>
      </c>
      <c r="K32" s="14">
        <f t="shared" si="6"/>
        <v>1.6934232604065866E-3</v>
      </c>
      <c r="L32" s="3">
        <v>42998.543333333335</v>
      </c>
      <c r="M32" s="14">
        <f t="shared" si="7"/>
        <v>3.036404031601635E-4</v>
      </c>
      <c r="N32" s="3">
        <v>683092.22666666668</v>
      </c>
      <c r="O32" s="14">
        <f t="shared" si="8"/>
        <v>4.2108750186703684E-3</v>
      </c>
      <c r="P32" s="3">
        <v>1061146.5649999999</v>
      </c>
      <c r="Q32" s="14">
        <f t="shared" si="9"/>
        <v>5.7522503641818466E-3</v>
      </c>
    </row>
    <row r="33" spans="2:17" x14ac:dyDescent="0.25">
      <c r="B33" s="12" t="s">
        <v>21</v>
      </c>
      <c r="C33" s="16">
        <f t="shared" si="1"/>
        <v>404.78519451257756</v>
      </c>
      <c r="D33" s="16">
        <f t="shared" si="2"/>
        <v>507.96795701636228</v>
      </c>
      <c r="E33" s="16">
        <f t="shared" si="3"/>
        <v>647.6233501246985</v>
      </c>
      <c r="F33" s="16">
        <f t="shared" si="4"/>
        <v>1908.4568763269447</v>
      </c>
      <c r="G33" s="16">
        <f t="shared" si="5"/>
        <v>3468.833377980583</v>
      </c>
      <c r="I33" s="12" t="s">
        <v>21</v>
      </c>
      <c r="J33" s="3">
        <v>78932.263333333336</v>
      </c>
      <c r="K33" s="14">
        <f t="shared" si="6"/>
        <v>5.405200485959419E-4</v>
      </c>
      <c r="L33" s="3">
        <v>94803.746666666659</v>
      </c>
      <c r="M33" s="14">
        <f t="shared" si="7"/>
        <v>6.6947030358223772E-4</v>
      </c>
      <c r="N33" s="3">
        <v>138718.19666666666</v>
      </c>
      <c r="O33" s="14">
        <f t="shared" si="8"/>
        <v>8.5511877631672909E-4</v>
      </c>
      <c r="P33" s="3">
        <v>132759.36499999999</v>
      </c>
      <c r="Q33" s="14">
        <f t="shared" si="9"/>
        <v>7.1966034745615055E-4</v>
      </c>
    </row>
    <row r="34" spans="2:17" x14ac:dyDescent="0.25">
      <c r="B34" s="12" t="s">
        <v>13</v>
      </c>
      <c r="C34" s="16">
        <f t="shared" si="1"/>
        <v>26326.606186957946</v>
      </c>
      <c r="D34" s="16">
        <f t="shared" si="2"/>
        <v>29682.936342306406</v>
      </c>
      <c r="E34" s="16">
        <f t="shared" si="3"/>
        <v>30344.319668343745</v>
      </c>
      <c r="F34" s="16">
        <f t="shared" si="4"/>
        <v>108879.32038447705</v>
      </c>
      <c r="G34" s="16">
        <f t="shared" si="5"/>
        <v>195233.18258208514</v>
      </c>
      <c r="I34" s="12" t="s">
        <v>13</v>
      </c>
      <c r="J34" s="3">
        <v>5133632.95</v>
      </c>
      <c r="K34" s="14">
        <f t="shared" si="6"/>
        <v>3.5154592234224055E-2</v>
      </c>
      <c r="L34" s="3">
        <v>5539824.9799999995</v>
      </c>
      <c r="M34" s="14">
        <f t="shared" si="7"/>
        <v>3.9120271524638726E-2</v>
      </c>
      <c r="N34" s="3">
        <v>6499625.5966666667</v>
      </c>
      <c r="O34" s="14">
        <f t="shared" si="8"/>
        <v>4.0066494665396989E-2</v>
      </c>
      <c r="P34" s="3">
        <v>7574050.8550000004</v>
      </c>
      <c r="Q34" s="14">
        <f t="shared" si="9"/>
        <v>4.1057322547150291E-2</v>
      </c>
    </row>
    <row r="35" spans="2:17" x14ac:dyDescent="0.25">
      <c r="B35" s="12" t="s">
        <v>14</v>
      </c>
      <c r="C35" s="16">
        <f t="shared" si="1"/>
        <v>30797.446855863331</v>
      </c>
      <c r="D35" s="16">
        <f t="shared" si="2"/>
        <v>40104.039954609085</v>
      </c>
      <c r="E35" s="16">
        <f t="shared" si="3"/>
        <v>32534.13327163985</v>
      </c>
      <c r="F35" s="16">
        <f t="shared" si="4"/>
        <v>85610.34589149672</v>
      </c>
      <c r="G35" s="16">
        <f t="shared" si="5"/>
        <v>189045.96597360898</v>
      </c>
      <c r="I35" s="12" t="s">
        <v>14</v>
      </c>
      <c r="J35" s="3">
        <v>6005437.4966666661</v>
      </c>
      <c r="K35" s="14">
        <f t="shared" si="6"/>
        <v>4.1124620408133375E-2</v>
      </c>
      <c r="L35" s="3">
        <v>7484750.1533333333</v>
      </c>
      <c r="M35" s="14">
        <f t="shared" si="7"/>
        <v>5.2854640597775955E-2</v>
      </c>
      <c r="N35" s="3">
        <v>6968674.456666667</v>
      </c>
      <c r="O35" s="14">
        <f t="shared" si="8"/>
        <v>4.295791408140745E-2</v>
      </c>
      <c r="P35" s="3">
        <v>5955374.3650000002</v>
      </c>
      <c r="Q35" s="14">
        <f t="shared" si="9"/>
        <v>3.2282820761814823E-2</v>
      </c>
    </row>
    <row r="36" spans="2:17" x14ac:dyDescent="0.25">
      <c r="B36" s="12" t="s">
        <v>15</v>
      </c>
      <c r="C36" s="16">
        <f t="shared" si="1"/>
        <v>112681.21062207167</v>
      </c>
      <c r="D36" s="16">
        <f t="shared" si="2"/>
        <v>100808.93835888013</v>
      </c>
      <c r="E36" s="16">
        <f t="shared" si="3"/>
        <v>89814.728710258394</v>
      </c>
      <c r="F36" s="16">
        <f t="shared" si="4"/>
        <v>295064.1723510499</v>
      </c>
      <c r="G36" s="16">
        <f t="shared" si="5"/>
        <v>598369.05004226009</v>
      </c>
      <c r="I36" s="12" t="s">
        <v>27</v>
      </c>
      <c r="J36" s="3">
        <f>16972599.5666667+5000000</f>
        <v>21972599.5666667</v>
      </c>
      <c r="K36" s="14">
        <f t="shared" si="6"/>
        <v>0.15046610959828285</v>
      </c>
      <c r="L36" s="3">
        <f>13814306.93+5000000</f>
        <v>18814306.93</v>
      </c>
      <c r="M36" s="14">
        <f t="shared" si="7"/>
        <v>0.13285993660570342</v>
      </c>
      <c r="N36" s="3">
        <f>14237936.9866667+5000000</f>
        <v>19237936.986666702</v>
      </c>
      <c r="O36" s="14">
        <f t="shared" si="8"/>
        <v>0.11859093853726405</v>
      </c>
      <c r="P36" s="3">
        <f>15525762.275+5000000</f>
        <v>20525762.274999999</v>
      </c>
      <c r="Q36" s="14">
        <f t="shared" si="9"/>
        <v>0.11126580193140309</v>
      </c>
    </row>
    <row r="37" spans="2:17" x14ac:dyDescent="0.25">
      <c r="B37" s="12" t="s">
        <v>16</v>
      </c>
      <c r="C37" s="16">
        <f t="shared" si="1"/>
        <v>215832.89104910605</v>
      </c>
      <c r="D37" s="16">
        <f t="shared" si="2"/>
        <v>189891.15542519637</v>
      </c>
      <c r="E37" s="16">
        <f t="shared" si="3"/>
        <v>190359.57756316391</v>
      </c>
      <c r="F37" s="16">
        <f t="shared" si="4"/>
        <v>743669.57883656083</v>
      </c>
      <c r="G37" s="16">
        <f t="shared" si="5"/>
        <v>1339753.2028740272</v>
      </c>
      <c r="I37" s="12" t="s">
        <v>16</v>
      </c>
      <c r="J37" s="3">
        <v>42086960.74666667</v>
      </c>
      <c r="K37" s="14">
        <f t="shared" si="6"/>
        <v>0.28820719319772575</v>
      </c>
      <c r="L37" s="3">
        <v>35440016.923333339</v>
      </c>
      <c r="M37" s="14">
        <f t="shared" si="7"/>
        <v>0.25026478090623577</v>
      </c>
      <c r="N37" s="3">
        <v>40774220.559999995</v>
      </c>
      <c r="O37" s="14">
        <f t="shared" si="8"/>
        <v>0.25134987642838891</v>
      </c>
      <c r="P37" s="3">
        <v>51732424.390000001</v>
      </c>
      <c r="Q37" s="14">
        <f t="shared" si="9"/>
        <v>0.2804304955153743</v>
      </c>
    </row>
    <row r="38" spans="2:17" x14ac:dyDescent="0.25">
      <c r="B38" s="12" t="s">
        <v>17</v>
      </c>
      <c r="C38" s="16">
        <f t="shared" si="1"/>
        <v>23547.92012472231</v>
      </c>
      <c r="D38" s="16">
        <f t="shared" si="2"/>
        <v>22681.046319556131</v>
      </c>
      <c r="E38" s="16">
        <f t="shared" si="3"/>
        <v>23375.495180705904</v>
      </c>
      <c r="F38" s="16">
        <f t="shared" si="4"/>
        <v>71590.374897568356</v>
      </c>
      <c r="G38" s="16">
        <f t="shared" si="5"/>
        <v>141194.83652255271</v>
      </c>
      <c r="I38" s="12" t="s">
        <v>17</v>
      </c>
      <c r="J38" s="3">
        <v>4591795</v>
      </c>
      <c r="K38" s="14">
        <f t="shared" si="6"/>
        <v>3.1444141492069248E-2</v>
      </c>
      <c r="L38" s="3">
        <v>4233038.9933333332</v>
      </c>
      <c r="M38" s="14">
        <f t="shared" si="7"/>
        <v>2.989221417489319E-2</v>
      </c>
      <c r="N38" s="3">
        <v>5006932.7133333338</v>
      </c>
      <c r="O38" s="14">
        <f t="shared" si="8"/>
        <v>3.0864892118040565E-2</v>
      </c>
      <c r="P38" s="3">
        <v>4980092.99</v>
      </c>
      <c r="Q38" s="14">
        <f t="shared" si="9"/>
        <v>2.6996027372888837E-2</v>
      </c>
    </row>
    <row r="39" spans="2:17" x14ac:dyDescent="0.25">
      <c r="B39" s="12" t="s">
        <v>18</v>
      </c>
      <c r="C39" s="16">
        <f t="shared" si="1"/>
        <v>100938.69469303108</v>
      </c>
      <c r="D39" s="16">
        <f t="shared" si="2"/>
        <v>109301.83319706385</v>
      </c>
      <c r="E39" s="16">
        <f t="shared" si="3"/>
        <v>103856.61006290652</v>
      </c>
      <c r="F39" s="16">
        <f t="shared" si="4"/>
        <v>351906.06787408295</v>
      </c>
      <c r="G39" s="16">
        <f t="shared" si="5"/>
        <v>666003.20582708437</v>
      </c>
      <c r="I39" s="12" t="s">
        <v>18</v>
      </c>
      <c r="J39" s="3">
        <v>19682833.606666669</v>
      </c>
      <c r="K39" s="14">
        <f t="shared" si="6"/>
        <v>0.13478602700967321</v>
      </c>
      <c r="L39" s="3">
        <v>20399364.096666668</v>
      </c>
      <c r="M39" s="14">
        <f t="shared" si="7"/>
        <v>0.14405304594867666</v>
      </c>
      <c r="N39" s="3">
        <v>22245648.890000001</v>
      </c>
      <c r="O39" s="14">
        <f t="shared" si="8"/>
        <v>0.13713177156490142</v>
      </c>
      <c r="P39" s="3">
        <v>24479896.135000002</v>
      </c>
      <c r="Q39" s="14">
        <f t="shared" si="9"/>
        <v>0.13270032255882347</v>
      </c>
    </row>
    <row r="40" spans="2:17" x14ac:dyDescent="0.25">
      <c r="B40" s="15" t="s">
        <v>24</v>
      </c>
      <c r="C40" s="16">
        <f>$C$21-(C18+C19+C20)</f>
        <v>748881</v>
      </c>
      <c r="D40" s="16">
        <f>$D$21-(D18+D19+D20)</f>
        <v>758761</v>
      </c>
      <c r="E40" s="16">
        <f>$E$21-(E18+E19+E20)</f>
        <v>757349</v>
      </c>
      <c r="F40" s="16">
        <f>$F$21-(F18+F19+F20)</f>
        <v>2651885.5499999998</v>
      </c>
      <c r="G40" s="16">
        <f>$C$21-(G18+G19+G20)</f>
        <v>743238</v>
      </c>
      <c r="I40" s="15" t="s">
        <v>24</v>
      </c>
      <c r="J40" s="3">
        <f t="shared" ref="J40:Q40" si="10">SUM(J26:J39)</f>
        <v>146030223.18666673</v>
      </c>
      <c r="K40" s="19">
        <f t="shared" si="10"/>
        <v>1</v>
      </c>
      <c r="L40" s="3">
        <f t="shared" si="10"/>
        <v>141610085.10666668</v>
      </c>
      <c r="M40" s="19">
        <f t="shared" si="10"/>
        <v>0.99999999999999978</v>
      </c>
      <c r="N40" s="3">
        <f t="shared" si="10"/>
        <v>162220969.19000006</v>
      </c>
      <c r="O40" s="19">
        <f t="shared" si="10"/>
        <v>0.99999999999999989</v>
      </c>
      <c r="P40" s="3">
        <f t="shared" si="10"/>
        <v>184475031.13</v>
      </c>
      <c r="Q40" s="19">
        <f t="shared" si="10"/>
        <v>1</v>
      </c>
    </row>
    <row r="43" spans="2:17" ht="15.75" x14ac:dyDescent="0.25">
      <c r="B43" s="44" t="s">
        <v>144</v>
      </c>
      <c r="C43" s="44"/>
      <c r="D43" s="44"/>
      <c r="E43" s="44"/>
      <c r="F43" s="44"/>
      <c r="G43" s="44"/>
      <c r="I43" s="44" t="s">
        <v>168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-1470.5198252689952</v>
      </c>
      <c r="D45" s="16">
        <f>D26-D4</f>
        <v>-86.940934892503719</v>
      </c>
      <c r="E45" s="16">
        <f>E26-E4</f>
        <v>965.38661560467153</v>
      </c>
      <c r="F45" s="16">
        <f>F26-F4</f>
        <v>10264.821081289556</v>
      </c>
      <c r="G45" s="16">
        <f t="shared" ref="G45:G59" si="11">SUM(C45+D45+E45+F45)</f>
        <v>9672.7469367327285</v>
      </c>
      <c r="I45" s="15" t="s">
        <v>153</v>
      </c>
      <c r="J45" s="12" t="s">
        <v>155</v>
      </c>
    </row>
    <row r="46" spans="2:17" x14ac:dyDescent="0.25">
      <c r="B46" s="12" t="s">
        <v>8</v>
      </c>
      <c r="C46" s="16">
        <f t="shared" ref="C46:F58" si="12">C27-C5</f>
        <v>-3500.8715068174788</v>
      </c>
      <c r="D46" s="16">
        <f t="shared" si="12"/>
        <v>-228.91802415414713</v>
      </c>
      <c r="E46" s="16">
        <f t="shared" si="12"/>
        <v>2478.8947578329535</v>
      </c>
      <c r="F46" s="16">
        <f t="shared" si="12"/>
        <v>27477.281317818386</v>
      </c>
      <c r="G46" s="16">
        <f t="shared" si="11"/>
        <v>26226.386544679714</v>
      </c>
      <c r="I46" s="15" t="s">
        <v>154</v>
      </c>
      <c r="J46" t="s">
        <v>188</v>
      </c>
    </row>
    <row r="47" spans="2:17" x14ac:dyDescent="0.25">
      <c r="B47" s="12" t="s">
        <v>9</v>
      </c>
      <c r="C47" s="16">
        <f t="shared" si="12"/>
        <v>-569.9073459905303</v>
      </c>
      <c r="D47" s="16">
        <f t="shared" si="12"/>
        <v>-65.639736985765921</v>
      </c>
      <c r="E47" s="16">
        <f t="shared" si="12"/>
        <v>884.31617555012053</v>
      </c>
      <c r="F47" s="16">
        <f t="shared" si="12"/>
        <v>10291.684849961806</v>
      </c>
      <c r="G47" s="16">
        <f t="shared" si="11"/>
        <v>10540.453942535631</v>
      </c>
      <c r="I47" s="15"/>
    </row>
    <row r="48" spans="2:17" x14ac:dyDescent="0.25">
      <c r="B48" s="12" t="s">
        <v>10</v>
      </c>
      <c r="C48" s="16">
        <f t="shared" si="12"/>
        <v>-661.07055543144452</v>
      </c>
      <c r="D48" s="16">
        <f t="shared" si="12"/>
        <v>-31.25016069067533</v>
      </c>
      <c r="E48" s="16">
        <f t="shared" si="12"/>
        <v>361.27185756715517</v>
      </c>
      <c r="F48" s="16">
        <f t="shared" si="12"/>
        <v>4327.2854973057401</v>
      </c>
      <c r="G48" s="16">
        <f t="shared" si="11"/>
        <v>3996.2366387507755</v>
      </c>
    </row>
    <row r="49" spans="2:7" x14ac:dyDescent="0.25">
      <c r="B49" s="12" t="s">
        <v>11</v>
      </c>
      <c r="C49" s="16">
        <f t="shared" si="12"/>
        <v>-597.8770634453831</v>
      </c>
      <c r="D49" s="16">
        <f t="shared" si="12"/>
        <v>1395.7791691130624</v>
      </c>
      <c r="E49" s="16">
        <f t="shared" si="12"/>
        <v>456.77533103897804</v>
      </c>
      <c r="F49" s="16">
        <f t="shared" si="12"/>
        <v>5601.3055997686752</v>
      </c>
      <c r="G49" s="16">
        <f t="shared" si="11"/>
        <v>6855.9830364753325</v>
      </c>
    </row>
    <row r="50" spans="2:7" x14ac:dyDescent="0.25">
      <c r="B50" s="12" t="s">
        <v>12</v>
      </c>
      <c r="C50" s="16">
        <f t="shared" si="12"/>
        <v>-1511.4809339877975</v>
      </c>
      <c r="D50" s="16">
        <f t="shared" si="12"/>
        <v>-88.338362960559607</v>
      </c>
      <c r="E50" s="16">
        <f t="shared" si="12"/>
        <v>958.76547074799601</v>
      </c>
      <c r="F50" s="16">
        <f t="shared" si="12"/>
        <v>10096.544921536813</v>
      </c>
      <c r="G50" s="16">
        <f t="shared" si="11"/>
        <v>9455.4910953364524</v>
      </c>
    </row>
    <row r="51" spans="2:7" x14ac:dyDescent="0.25">
      <c r="B51" s="12" t="s">
        <v>22</v>
      </c>
      <c r="C51" s="16">
        <f t="shared" si="12"/>
        <v>-43.827495323454968</v>
      </c>
      <c r="D51" s="16">
        <f t="shared" si="12"/>
        <v>-0.60950405779118455</v>
      </c>
      <c r="E51" s="16">
        <f t="shared" si="12"/>
        <v>71.101984514984906</v>
      </c>
      <c r="F51" s="16">
        <f t="shared" si="12"/>
        <v>-71288.690379243926</v>
      </c>
      <c r="G51" s="16">
        <f t="shared" si="11"/>
        <v>-71262.025394110184</v>
      </c>
    </row>
    <row r="52" spans="2:7" x14ac:dyDescent="0.25">
      <c r="B52" s="12" t="s">
        <v>21</v>
      </c>
      <c r="C52" s="16">
        <f t="shared" si="12"/>
        <v>-5.2148054874224385</v>
      </c>
      <c r="D52" s="16">
        <f t="shared" si="12"/>
        <v>-1.032042983637723</v>
      </c>
      <c r="E52" s="16">
        <f t="shared" si="12"/>
        <v>13.623350124698504</v>
      </c>
      <c r="F52" s="16">
        <f t="shared" si="12"/>
        <v>132.45687632694467</v>
      </c>
      <c r="G52" s="16">
        <f t="shared" si="11"/>
        <v>139.83337798058301</v>
      </c>
    </row>
    <row r="53" spans="2:7" x14ac:dyDescent="0.25">
      <c r="B53" s="12" t="s">
        <v>13</v>
      </c>
      <c r="C53" s="16">
        <f t="shared" si="12"/>
        <v>-922.39381304205381</v>
      </c>
      <c r="D53" s="16">
        <f t="shared" si="12"/>
        <v>-60.063657693593996</v>
      </c>
      <c r="E53" s="16">
        <f t="shared" si="12"/>
        <v>679.31966834374543</v>
      </c>
      <c r="F53" s="16">
        <f t="shared" si="12"/>
        <v>7570.3203844770469</v>
      </c>
      <c r="G53" s="16">
        <f t="shared" si="11"/>
        <v>7267.1825820851445</v>
      </c>
    </row>
    <row r="54" spans="2:7" x14ac:dyDescent="0.25">
      <c r="B54" s="12" t="s">
        <v>14</v>
      </c>
      <c r="C54" s="16">
        <f t="shared" si="12"/>
        <v>-1011.5531441366693</v>
      </c>
      <c r="D54" s="16">
        <f t="shared" si="12"/>
        <v>-80.960045390915184</v>
      </c>
      <c r="E54" s="16">
        <f t="shared" si="12"/>
        <v>729.13327163985014</v>
      </c>
      <c r="F54" s="16">
        <f t="shared" si="12"/>
        <v>9564.3458914967196</v>
      </c>
      <c r="G54" s="16">
        <f t="shared" si="11"/>
        <v>9200.9659736089852</v>
      </c>
    </row>
    <row r="55" spans="2:7" x14ac:dyDescent="0.25">
      <c r="B55" s="12" t="s">
        <v>15</v>
      </c>
      <c r="C55" s="16">
        <f t="shared" si="12"/>
        <v>22589.210622071667</v>
      </c>
      <c r="D55" s="16">
        <f t="shared" si="12"/>
        <v>15902.938358880128</v>
      </c>
      <c r="E55" s="16">
        <f t="shared" si="12"/>
        <v>15704.728710258394</v>
      </c>
      <c r="F55" s="16">
        <f t="shared" si="12"/>
        <v>-12654.8276489501</v>
      </c>
      <c r="G55" s="16">
        <f t="shared" si="11"/>
        <v>41542.050042260089</v>
      </c>
    </row>
    <row r="56" spans="2:7" x14ac:dyDescent="0.25">
      <c r="B56" s="12" t="s">
        <v>16</v>
      </c>
      <c r="C56" s="16">
        <f t="shared" si="12"/>
        <v>-7569.1089508939476</v>
      </c>
      <c r="D56" s="16">
        <f t="shared" si="12"/>
        <v>-17700.844574803632</v>
      </c>
      <c r="E56" s="16">
        <f t="shared" si="12"/>
        <v>-26155.422436836088</v>
      </c>
      <c r="F56" s="16">
        <f t="shared" si="12"/>
        <v>-30826.971163439215</v>
      </c>
      <c r="G56" s="16">
        <f t="shared" si="11"/>
        <v>-82252.347125972883</v>
      </c>
    </row>
    <row r="57" spans="2:7" x14ac:dyDescent="0.25">
      <c r="B57" s="12" t="s">
        <v>17</v>
      </c>
      <c r="C57" s="16">
        <f t="shared" si="12"/>
        <v>-1185.07987527769</v>
      </c>
      <c r="D57" s="16">
        <f t="shared" si="12"/>
        <v>-45.953680443868507</v>
      </c>
      <c r="E57" s="16">
        <f t="shared" si="12"/>
        <v>524.4951807059042</v>
      </c>
      <c r="F57" s="16">
        <f t="shared" si="12"/>
        <v>4977.3748975683557</v>
      </c>
      <c r="G57" s="16">
        <f t="shared" si="11"/>
        <v>4270.8365225527014</v>
      </c>
    </row>
    <row r="58" spans="2:7" x14ac:dyDescent="0.25">
      <c r="B58" s="12" t="s">
        <v>18</v>
      </c>
      <c r="C58" s="16">
        <f t="shared" si="12"/>
        <v>-3540.3053069689195</v>
      </c>
      <c r="D58" s="16">
        <f t="shared" si="12"/>
        <v>1091.8331970638537</v>
      </c>
      <c r="E58" s="16">
        <f t="shared" si="12"/>
        <v>2327.6100629065186</v>
      </c>
      <c r="F58" s="16">
        <f t="shared" si="12"/>
        <v>24467.067874082946</v>
      </c>
      <c r="G58" s="16">
        <f t="shared" si="11"/>
        <v>24346.205827084399</v>
      </c>
    </row>
    <row r="59" spans="2:7" x14ac:dyDescent="0.25">
      <c r="B59" s="15" t="s">
        <v>24</v>
      </c>
      <c r="C59" s="16">
        <f>SUM(C45:C58)</f>
        <v>-1.2005330063402653E-10</v>
      </c>
      <c r="D59" s="16">
        <f>SUM(D45:D58)</f>
        <v>-4.7293724492192268E-11</v>
      </c>
      <c r="E59" s="16">
        <f>SUM(E45:E58)</f>
        <v>-1.1641532182693481E-10</v>
      </c>
      <c r="F59" s="16">
        <f>SUM(F45:F58)</f>
        <v>-2.5102053768932819E-10</v>
      </c>
      <c r="G59" s="16">
        <f t="shared" si="11"/>
        <v>-5.347828846424818E-10</v>
      </c>
    </row>
  </sheetData>
  <sheetProtection algorithmName="SHA-512" hashValue="OkUW2priu8H3TfTgrfgNI5oy9JlGynF/jSCw0EqpeJijJ1Ys7cs7AcHuFZh0Z/9fvQx3z49wtuyGUA2H/iAuBA==" saltValue="bf2PyEHUXE0o7RT1qHXHog==" spinCount="100000" sheet="1" objects="1" scenarios="1"/>
  <mergeCells count="6">
    <mergeCell ref="B2:G2"/>
    <mergeCell ref="I2:Q2"/>
    <mergeCell ref="B24:G24"/>
    <mergeCell ref="I24:Q24"/>
    <mergeCell ref="B43:G43"/>
    <mergeCell ref="I43:Q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2441-DC19-4777-97D0-CE6BFE4C4263}">
  <dimension ref="B2:Q59"/>
  <sheetViews>
    <sheetView workbookViewId="0">
      <selection activeCell="B3" sqref="B3"/>
    </sheetView>
  </sheetViews>
  <sheetFormatPr defaultColWidth="9.140625" defaultRowHeight="15" x14ac:dyDescent="0.25"/>
  <cols>
    <col min="1" max="2" width="9.140625" style="12"/>
    <col min="3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50</v>
      </c>
      <c r="C2" s="44"/>
      <c r="D2" s="44"/>
      <c r="E2" s="44"/>
      <c r="F2" s="44"/>
      <c r="G2" s="44"/>
      <c r="H2" s="11"/>
      <c r="I2" s="44" t="s">
        <v>51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2</v>
      </c>
      <c r="K3" s="13"/>
      <c r="L3" s="13" t="s">
        <v>3</v>
      </c>
      <c r="M3" s="13"/>
      <c r="N3" s="13" t="s">
        <v>4</v>
      </c>
      <c r="O3" s="13"/>
      <c r="P3" s="13" t="s">
        <v>26</v>
      </c>
      <c r="Q3" s="13"/>
    </row>
    <row r="4" spans="2:17" x14ac:dyDescent="0.25">
      <c r="B4" s="12" t="s">
        <v>7</v>
      </c>
      <c r="C4" s="3">
        <v>67666</v>
      </c>
      <c r="D4" s="5">
        <v>76796</v>
      </c>
      <c r="E4" s="5">
        <v>60713</v>
      </c>
      <c r="F4" s="5">
        <v>192415</v>
      </c>
      <c r="G4" s="5">
        <f t="shared" ref="G4:G20" si="0">C4+D4+E4+F4</f>
        <v>397590</v>
      </c>
      <c r="I4" s="12" t="s">
        <v>7</v>
      </c>
      <c r="J4" s="3">
        <v>9324036.7966666669</v>
      </c>
      <c r="K4" s="14"/>
      <c r="L4" s="3">
        <v>13023822.383333333</v>
      </c>
      <c r="M4" s="14"/>
      <c r="N4" s="3">
        <v>12459442.306666667</v>
      </c>
      <c r="O4" s="14"/>
      <c r="P4" s="3">
        <v>12180812.109999999</v>
      </c>
      <c r="Q4" s="14"/>
    </row>
    <row r="5" spans="2:17" x14ac:dyDescent="0.25">
      <c r="B5" s="12" t="s">
        <v>8</v>
      </c>
      <c r="C5" s="3">
        <v>179826</v>
      </c>
      <c r="D5" s="3">
        <v>167012</v>
      </c>
      <c r="E5" s="3">
        <v>157227</v>
      </c>
      <c r="F5" s="3">
        <v>435145</v>
      </c>
      <c r="G5" s="5">
        <f t="shared" si="0"/>
        <v>939210</v>
      </c>
      <c r="I5" s="12" t="s">
        <v>8</v>
      </c>
      <c r="J5" s="3">
        <v>24779117.546666667</v>
      </c>
      <c r="K5" s="14"/>
      <c r="L5" s="3">
        <v>28323464.623333335</v>
      </c>
      <c r="M5" s="14"/>
      <c r="N5" s="3">
        <v>26611537.813333333</v>
      </c>
      <c r="O5" s="14"/>
      <c r="P5" s="3">
        <v>27546768.700000003</v>
      </c>
      <c r="Q5" s="14"/>
    </row>
    <row r="6" spans="2:17" x14ac:dyDescent="0.25">
      <c r="B6" s="12" t="s">
        <v>9</v>
      </c>
      <c r="C6" s="3">
        <v>14376</v>
      </c>
      <c r="D6" s="3">
        <v>24229</v>
      </c>
      <c r="E6" s="3">
        <v>30722</v>
      </c>
      <c r="F6" s="3">
        <v>57334</v>
      </c>
      <c r="G6" s="5">
        <f t="shared" si="0"/>
        <v>126661</v>
      </c>
      <c r="I6" s="12" t="s">
        <v>9</v>
      </c>
      <c r="J6" s="3">
        <v>1981006.0533333335</v>
      </c>
      <c r="K6" s="14"/>
      <c r="L6" s="3">
        <v>4109094.2666666671</v>
      </c>
      <c r="M6" s="14"/>
      <c r="N6" s="3">
        <v>4804319.0766666671</v>
      </c>
      <c r="O6" s="14"/>
      <c r="P6" s="3">
        <v>3629538.3250000002</v>
      </c>
      <c r="Q6" s="14"/>
    </row>
    <row r="7" spans="2:17" x14ac:dyDescent="0.25">
      <c r="B7" s="12" t="s">
        <v>10</v>
      </c>
      <c r="C7" s="3">
        <v>43926</v>
      </c>
      <c r="D7" s="3">
        <v>39612</v>
      </c>
      <c r="E7" s="3">
        <v>34458</v>
      </c>
      <c r="F7" s="3">
        <v>90634</v>
      </c>
      <c r="G7" s="5">
        <f t="shared" si="0"/>
        <v>208630</v>
      </c>
      <c r="I7" s="12" t="s">
        <v>10</v>
      </c>
      <c r="J7" s="3">
        <v>6052804.2433333332</v>
      </c>
      <c r="K7" s="14"/>
      <c r="L7" s="3">
        <v>6717712.3033333337</v>
      </c>
      <c r="M7" s="14"/>
      <c r="N7" s="3">
        <v>5329462.7533333339</v>
      </c>
      <c r="O7" s="14"/>
      <c r="P7" s="3">
        <v>5737582.0149999997</v>
      </c>
      <c r="Q7" s="14"/>
    </row>
    <row r="8" spans="2:17" x14ac:dyDescent="0.25">
      <c r="B8" s="12" t="s">
        <v>11</v>
      </c>
      <c r="C8" s="3">
        <v>37474</v>
      </c>
      <c r="D8" s="3">
        <v>39055</v>
      </c>
      <c r="E8" s="3">
        <v>35819</v>
      </c>
      <c r="F8" s="3">
        <v>97898</v>
      </c>
      <c r="G8" s="5">
        <f t="shared" si="0"/>
        <v>210246</v>
      </c>
      <c r="I8" s="12" t="s">
        <v>11</v>
      </c>
      <c r="J8" s="3">
        <v>5163805.1499999994</v>
      </c>
      <c r="K8" s="14"/>
      <c r="L8" s="3">
        <v>6623383.4500000002</v>
      </c>
      <c r="M8" s="14"/>
      <c r="N8" s="3">
        <v>5690732.916666667</v>
      </c>
      <c r="O8" s="14"/>
      <c r="P8" s="3">
        <v>6197427.6349999998</v>
      </c>
      <c r="Q8" s="14"/>
    </row>
    <row r="9" spans="2:17" x14ac:dyDescent="0.25">
      <c r="B9" s="12" t="s">
        <v>12</v>
      </c>
      <c r="C9" s="3">
        <v>78533</v>
      </c>
      <c r="D9" s="3">
        <v>68222</v>
      </c>
      <c r="E9" s="3">
        <v>64852</v>
      </c>
      <c r="F9" s="3">
        <v>184042</v>
      </c>
      <c r="G9" s="5">
        <f t="shared" si="0"/>
        <v>395649</v>
      </c>
      <c r="I9" s="12" t="s">
        <v>12</v>
      </c>
      <c r="J9" s="3">
        <v>10821519.206666665</v>
      </c>
      <c r="K9" s="14"/>
      <c r="L9" s="3">
        <v>11569769.380000001</v>
      </c>
      <c r="M9" s="14"/>
      <c r="N9" s="3">
        <v>11272979.166666666</v>
      </c>
      <c r="O9" s="14"/>
      <c r="P9" s="3">
        <v>11650743.314999999</v>
      </c>
      <c r="Q9" s="14"/>
    </row>
    <row r="10" spans="2:17" x14ac:dyDescent="0.25">
      <c r="B10" s="12" t="s">
        <v>22</v>
      </c>
      <c r="C10" s="3">
        <v>473</v>
      </c>
      <c r="D10" s="3">
        <v>159</v>
      </c>
      <c r="E10" s="3">
        <v>1630</v>
      </c>
      <c r="F10" s="3">
        <v>9425</v>
      </c>
      <c r="G10" s="5">
        <f t="shared" si="0"/>
        <v>11687</v>
      </c>
      <c r="I10" s="12" t="s">
        <v>22</v>
      </c>
      <c r="J10" s="3">
        <v>65236.783333333333</v>
      </c>
      <c r="K10" s="14"/>
      <c r="L10" s="3">
        <v>27011.520000000004</v>
      </c>
      <c r="M10" s="14"/>
      <c r="N10" s="3">
        <v>283800.02333333337</v>
      </c>
      <c r="O10" s="14"/>
      <c r="P10" s="3">
        <v>596653.02500000002</v>
      </c>
      <c r="Q10" s="14"/>
    </row>
    <row r="11" spans="2:17" x14ac:dyDescent="0.25">
      <c r="B11" s="12" t="s">
        <v>21</v>
      </c>
      <c r="C11" s="3">
        <v>1033</v>
      </c>
      <c r="D11" s="3">
        <v>667</v>
      </c>
      <c r="E11" s="3">
        <v>492</v>
      </c>
      <c r="F11" s="3">
        <v>2554</v>
      </c>
      <c r="G11" s="5">
        <f t="shared" si="0"/>
        <v>4746</v>
      </c>
      <c r="I11" s="12" t="s">
        <v>21</v>
      </c>
      <c r="J11" s="3">
        <v>142443.36666666667</v>
      </c>
      <c r="K11" s="14"/>
      <c r="L11" s="3">
        <v>112385.78666666667</v>
      </c>
      <c r="M11" s="14"/>
      <c r="N11" s="3">
        <v>132384.42666666667</v>
      </c>
      <c r="O11" s="14"/>
      <c r="P11" s="3">
        <v>161707.42499999999</v>
      </c>
      <c r="Q11" s="14"/>
    </row>
    <row r="12" spans="2:17" x14ac:dyDescent="0.25">
      <c r="B12" s="12" t="s">
        <v>13</v>
      </c>
      <c r="C12" s="3">
        <v>38830</v>
      </c>
      <c r="D12" s="3">
        <v>38940</v>
      </c>
      <c r="E12" s="3">
        <v>35917</v>
      </c>
      <c r="F12" s="3">
        <v>110206</v>
      </c>
      <c r="G12" s="5">
        <f t="shared" si="0"/>
        <v>223893</v>
      </c>
      <c r="I12" s="12" t="s">
        <v>13</v>
      </c>
      <c r="J12" s="3">
        <v>5350580.84</v>
      </c>
      <c r="K12" s="14"/>
      <c r="L12" s="3">
        <v>6603767.080000001</v>
      </c>
      <c r="M12" s="14"/>
      <c r="N12" s="3">
        <v>6172822.166666667</v>
      </c>
      <c r="O12" s="14"/>
      <c r="P12" s="3">
        <v>6976555.8849999998</v>
      </c>
      <c r="Q12" s="14"/>
    </row>
    <row r="13" spans="2:17" x14ac:dyDescent="0.25">
      <c r="B13" s="12" t="s">
        <v>14</v>
      </c>
      <c r="C13" s="3">
        <v>13325</v>
      </c>
      <c r="D13" s="3">
        <v>13143</v>
      </c>
      <c r="E13" s="3">
        <v>11377</v>
      </c>
      <c r="F13" s="3">
        <v>51613</v>
      </c>
      <c r="G13" s="5">
        <f t="shared" si="0"/>
        <v>89458</v>
      </c>
      <c r="I13" s="12" t="s">
        <v>14</v>
      </c>
      <c r="J13" s="3">
        <v>1836223.7266666666</v>
      </c>
      <c r="K13" s="14"/>
      <c r="L13" s="3">
        <v>2228835.5066666668</v>
      </c>
      <c r="M13" s="14"/>
      <c r="N13" s="3">
        <v>1997608.03</v>
      </c>
      <c r="O13" s="14"/>
      <c r="P13" s="3">
        <v>3267378.625</v>
      </c>
      <c r="Q13" s="14"/>
    </row>
    <row r="14" spans="2:17" x14ac:dyDescent="0.25">
      <c r="B14" s="12" t="s">
        <v>15</v>
      </c>
      <c r="C14" s="3">
        <v>110150.37</v>
      </c>
      <c r="D14" s="3">
        <v>102146</v>
      </c>
      <c r="E14" s="3">
        <v>103170</v>
      </c>
      <c r="F14" s="3">
        <v>368859</v>
      </c>
      <c r="G14" s="5">
        <f t="shared" si="0"/>
        <v>684325.37</v>
      </c>
      <c r="I14" s="12" t="s">
        <v>15</v>
      </c>
      <c r="J14" s="3">
        <v>13178184.016666666</v>
      </c>
      <c r="K14" s="14"/>
      <c r="L14" s="3">
        <v>15322840.953333333</v>
      </c>
      <c r="M14" s="14"/>
      <c r="N14" s="3">
        <v>16223557.703333333</v>
      </c>
      <c r="O14" s="14"/>
      <c r="P14" s="3">
        <v>21350534</v>
      </c>
      <c r="Q14" s="14"/>
    </row>
    <row r="15" spans="2:17" x14ac:dyDescent="0.25">
      <c r="B15" s="12" t="s">
        <v>16</v>
      </c>
      <c r="C15" s="3">
        <v>203546</v>
      </c>
      <c r="D15" s="3">
        <v>233769</v>
      </c>
      <c r="E15" s="3">
        <v>283437</v>
      </c>
      <c r="F15" s="3">
        <v>880357</v>
      </c>
      <c r="G15" s="5">
        <f t="shared" si="0"/>
        <v>1601109</v>
      </c>
      <c r="I15" s="12" t="s">
        <v>16</v>
      </c>
      <c r="J15" s="3">
        <v>28047556.333333332</v>
      </c>
      <c r="K15" s="14"/>
      <c r="L15" s="3">
        <v>39644792.673333324</v>
      </c>
      <c r="M15" s="14"/>
      <c r="N15" s="3">
        <v>55608391.116666667</v>
      </c>
      <c r="O15" s="14"/>
      <c r="P15" s="3">
        <v>55188373.689999998</v>
      </c>
      <c r="Q15" s="14"/>
    </row>
    <row r="16" spans="2:17" x14ac:dyDescent="0.25">
      <c r="B16" s="12" t="s">
        <v>17</v>
      </c>
      <c r="C16" s="3">
        <v>30983</v>
      </c>
      <c r="D16" s="3">
        <v>23470</v>
      </c>
      <c r="E16" s="3">
        <v>29995</v>
      </c>
      <c r="F16" s="3">
        <v>92261</v>
      </c>
      <c r="G16" s="5">
        <f t="shared" si="0"/>
        <v>176709</v>
      </c>
      <c r="I16" s="12" t="s">
        <v>17</v>
      </c>
      <c r="J16" s="3">
        <v>4269288.7633333327</v>
      </c>
      <c r="K16" s="14"/>
      <c r="L16" s="3">
        <v>3980338.6566666663</v>
      </c>
      <c r="M16" s="14"/>
      <c r="N16" s="3">
        <v>6164856.0333333341</v>
      </c>
      <c r="O16" s="14"/>
      <c r="P16" s="3">
        <v>5840560.8700000001</v>
      </c>
      <c r="Q16" s="14"/>
    </row>
    <row r="17" spans="2:17" x14ac:dyDescent="0.25">
      <c r="B17" s="12" t="s">
        <v>18</v>
      </c>
      <c r="C17" s="3">
        <v>156920</v>
      </c>
      <c r="D17" s="3">
        <v>147083</v>
      </c>
      <c r="E17" s="3">
        <v>132634</v>
      </c>
      <c r="F17" s="3">
        <v>387333</v>
      </c>
      <c r="G17" s="5">
        <f t="shared" si="0"/>
        <v>823970</v>
      </c>
      <c r="I17" s="12" t="s">
        <v>18</v>
      </c>
      <c r="J17" s="3">
        <v>21622662.66</v>
      </c>
      <c r="K17" s="14"/>
      <c r="L17" s="3">
        <v>24943733.103333335</v>
      </c>
      <c r="M17" s="14"/>
      <c r="N17" s="3">
        <v>22914324.856666666</v>
      </c>
      <c r="O17" s="14"/>
      <c r="P17" s="3">
        <v>24519987.184999999</v>
      </c>
      <c r="Q17" s="14"/>
    </row>
    <row r="18" spans="2:17" x14ac:dyDescent="0.25">
      <c r="B18" s="29" t="s">
        <v>19</v>
      </c>
      <c r="C18" s="30">
        <v>1151</v>
      </c>
      <c r="D18" s="30">
        <v>837</v>
      </c>
      <c r="E18" s="30">
        <v>0</v>
      </c>
      <c r="F18" s="30">
        <v>0</v>
      </c>
      <c r="G18" s="31">
        <f t="shared" si="0"/>
        <v>1988</v>
      </c>
      <c r="I18" s="29" t="s">
        <v>19</v>
      </c>
      <c r="J18" s="30">
        <v>147079.38999999998</v>
      </c>
      <c r="K18" s="32"/>
      <c r="L18" s="30">
        <v>142030.32333333333</v>
      </c>
      <c r="M18" s="32"/>
      <c r="N18" s="30">
        <v>95500.659999999989</v>
      </c>
      <c r="O18" s="32"/>
      <c r="P18" s="30">
        <v>0</v>
      </c>
      <c r="Q18" s="14"/>
    </row>
    <row r="19" spans="2:17" x14ac:dyDescent="0.25">
      <c r="B19" s="29" t="s">
        <v>20</v>
      </c>
      <c r="C19" s="30">
        <v>2640</v>
      </c>
      <c r="D19" s="30">
        <v>3685</v>
      </c>
      <c r="E19" s="30">
        <v>1762</v>
      </c>
      <c r="F19" s="30">
        <v>5470</v>
      </c>
      <c r="G19" s="31">
        <f t="shared" si="0"/>
        <v>13557</v>
      </c>
      <c r="I19" s="29" t="s">
        <v>20</v>
      </c>
      <c r="J19" s="30">
        <v>305850.44</v>
      </c>
      <c r="K19" s="32"/>
      <c r="L19" s="30">
        <v>628436.69500000007</v>
      </c>
      <c r="M19" s="32"/>
      <c r="N19" s="30">
        <v>237470.79333333333</v>
      </c>
      <c r="O19" s="32"/>
      <c r="P19" s="30">
        <v>346308.92</v>
      </c>
      <c r="Q19" s="14"/>
    </row>
    <row r="20" spans="2:17" x14ac:dyDescent="0.25">
      <c r="B20" s="29" t="s">
        <v>23</v>
      </c>
      <c r="C20" s="30">
        <v>33662</v>
      </c>
      <c r="D20" s="30">
        <v>32968</v>
      </c>
      <c r="E20" s="30">
        <v>27286</v>
      </c>
      <c r="F20" s="30">
        <v>0</v>
      </c>
      <c r="G20" s="31">
        <f t="shared" si="0"/>
        <v>93916</v>
      </c>
      <c r="I20" s="29" t="s">
        <v>23</v>
      </c>
      <c r="J20" s="30">
        <v>4637532.583333333</v>
      </c>
      <c r="K20" s="32"/>
      <c r="L20" s="30">
        <v>5591051.3500000006</v>
      </c>
      <c r="M20" s="32"/>
      <c r="N20" s="30">
        <v>4749015.62</v>
      </c>
      <c r="O20" s="32"/>
      <c r="P20" s="30">
        <v>4180725.1550000003</v>
      </c>
      <c r="Q20" s="14"/>
    </row>
    <row r="21" spans="2:17" x14ac:dyDescent="0.25">
      <c r="B21" s="15" t="s">
        <v>24</v>
      </c>
      <c r="C21" s="16">
        <f>SUM(C4:C20)</f>
        <v>1014514.37</v>
      </c>
      <c r="D21" s="3">
        <f>SUM(D4:D20)</f>
        <v>1011793</v>
      </c>
      <c r="E21" s="3">
        <f>SUM(E4:E20)</f>
        <v>1011491</v>
      </c>
      <c r="F21" s="3">
        <f>SUM(F4:F20)</f>
        <v>2965546</v>
      </c>
      <c r="G21" s="3">
        <f>SUM(G4:G20)</f>
        <v>6003344.3700000001</v>
      </c>
      <c r="I21" s="15" t="s">
        <v>24</v>
      </c>
      <c r="J21" s="3">
        <f>SUM(J4:J20)</f>
        <v>137724927.89999998</v>
      </c>
      <c r="K21" s="17"/>
      <c r="L21" s="3">
        <f>SUM(L4:L20)</f>
        <v>169592470.05499995</v>
      </c>
      <c r="M21" s="14"/>
      <c r="N21" s="3">
        <f>SUM(N4:N20)</f>
        <v>180748205.46333331</v>
      </c>
      <c r="O21" s="14"/>
      <c r="P21" s="3">
        <f>SUM(P4:P20)</f>
        <v>189371656.88</v>
      </c>
      <c r="Q21" s="18"/>
    </row>
    <row r="24" spans="2:17" ht="15.75" x14ac:dyDescent="0.25">
      <c r="B24" s="44" t="s">
        <v>124</v>
      </c>
      <c r="C24" s="44"/>
      <c r="D24" s="44"/>
      <c r="E24" s="44"/>
      <c r="F24" s="44"/>
      <c r="G24" s="44"/>
      <c r="I24" s="44" t="s">
        <v>52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2</v>
      </c>
      <c r="K25" s="13"/>
      <c r="L25" s="13" t="s">
        <v>3</v>
      </c>
      <c r="M25" s="13"/>
      <c r="N25" s="13" t="s">
        <v>4</v>
      </c>
      <c r="O25" s="13"/>
      <c r="P25" s="13" t="s">
        <v>26</v>
      </c>
    </row>
    <row r="26" spans="2:17" x14ac:dyDescent="0.25">
      <c r="B26" s="12" t="s">
        <v>7</v>
      </c>
      <c r="C26" s="16">
        <f t="shared" ref="C26:C39" si="1">$C$40*K26</f>
        <v>67665.854605288681</v>
      </c>
      <c r="D26" s="16">
        <f t="shared" ref="D26:D39" si="2">$D$40*M26</f>
        <v>75877.994423687342</v>
      </c>
      <c r="E26" s="16">
        <f t="shared" ref="E26:E39" si="3">$E$40*O26</f>
        <v>67753.075185670983</v>
      </c>
      <c r="F26" s="16">
        <f t="shared" ref="F26:F39" si="4">$F$40*Q26</f>
        <v>189924.4184775021</v>
      </c>
      <c r="G26" s="16">
        <f t="shared" ref="G26:G39" si="5">SUM(C26+D26+E26+F26)</f>
        <v>401221.3426921491</v>
      </c>
      <c r="I26" s="12" t="s">
        <v>7</v>
      </c>
      <c r="J26" s="3">
        <v>9324036.7966666669</v>
      </c>
      <c r="K26" s="14">
        <f t="shared" ref="K26:K39" si="6">J26/$J$40</f>
        <v>6.9254456969564435E-2</v>
      </c>
      <c r="L26" s="3">
        <v>13023822.383333333</v>
      </c>
      <c r="M26" s="14">
        <f t="shared" ref="M26:M39" si="7">L26/$L$40</f>
        <v>7.7879257709036448E-2</v>
      </c>
      <c r="N26" s="3">
        <v>12459442.306666667</v>
      </c>
      <c r="O26" s="14">
        <f t="shared" ref="O26:O39" si="8">N26/$N$40</f>
        <v>6.8963873920085933E-2</v>
      </c>
      <c r="P26" s="3">
        <v>12180812.109999999</v>
      </c>
      <c r="Q26" s="14">
        <f t="shared" ref="Q26:Q39" si="9">P26/$P$40</f>
        <v>6.4162007488153039E-2</v>
      </c>
    </row>
    <row r="27" spans="2:17" x14ac:dyDescent="0.25">
      <c r="B27" s="12" t="s">
        <v>8</v>
      </c>
      <c r="C27" s="16">
        <f t="shared" si="1"/>
        <v>179825.56286774011</v>
      </c>
      <c r="D27" s="16">
        <f t="shared" si="2"/>
        <v>165015.12593561201</v>
      </c>
      <c r="E27" s="16">
        <f t="shared" si="3"/>
        <v>144710.61207196748</v>
      </c>
      <c r="F27" s="16">
        <f t="shared" si="4"/>
        <v>429511.92244289175</v>
      </c>
      <c r="G27" s="16">
        <f t="shared" si="5"/>
        <v>919063.22331821139</v>
      </c>
      <c r="I27" s="12" t="s">
        <v>8</v>
      </c>
      <c r="J27" s="3">
        <v>24779117.546666667</v>
      </c>
      <c r="K27" s="14">
        <f t="shared" si="6"/>
        <v>0.18404735709461129</v>
      </c>
      <c r="L27" s="3">
        <v>28323464.623333335</v>
      </c>
      <c r="M27" s="14">
        <f t="shared" si="7"/>
        <v>0.16936735895877567</v>
      </c>
      <c r="N27" s="3">
        <v>26611537.813333333</v>
      </c>
      <c r="O27" s="14">
        <f t="shared" si="8"/>
        <v>0.14729670023804686</v>
      </c>
      <c r="P27" s="3">
        <v>27546768.700000003</v>
      </c>
      <c r="Q27" s="14">
        <f t="shared" si="9"/>
        <v>0.14510165362068128</v>
      </c>
    </row>
    <row r="28" spans="2:17" x14ac:dyDescent="0.25">
      <c r="B28" s="12" t="s">
        <v>9</v>
      </c>
      <c r="C28" s="16">
        <f t="shared" si="1"/>
        <v>14376.441288281008</v>
      </c>
      <c r="D28" s="16">
        <f t="shared" si="2"/>
        <v>23939.963451247491</v>
      </c>
      <c r="E28" s="16">
        <f t="shared" si="3"/>
        <v>26125.358070254959</v>
      </c>
      <c r="F28" s="16">
        <f t="shared" si="4"/>
        <v>56592.117955050868</v>
      </c>
      <c r="G28" s="16">
        <f t="shared" si="5"/>
        <v>121033.88076483432</v>
      </c>
      <c r="I28" s="12" t="s">
        <v>9</v>
      </c>
      <c r="J28" s="3">
        <v>1981006.0533333335</v>
      </c>
      <c r="K28" s="14">
        <f t="shared" si="6"/>
        <v>1.4713959357825199E-2</v>
      </c>
      <c r="L28" s="3">
        <v>4109094.2666666671</v>
      </c>
      <c r="M28" s="14">
        <f t="shared" si="7"/>
        <v>2.457137405021589E-2</v>
      </c>
      <c r="N28" s="3">
        <v>4804319.0766666671</v>
      </c>
      <c r="O28" s="14">
        <f t="shared" si="8"/>
        <v>2.6592237992692665E-2</v>
      </c>
      <c r="P28" s="3">
        <v>3629538.3250000002</v>
      </c>
      <c r="Q28" s="14">
        <f t="shared" si="9"/>
        <v>1.9118467889017332E-2</v>
      </c>
    </row>
    <row r="29" spans="2:17" x14ac:dyDescent="0.25">
      <c r="B29" s="12" t="s">
        <v>10</v>
      </c>
      <c r="C29" s="16">
        <f t="shared" si="1"/>
        <v>43926.057008922122</v>
      </c>
      <c r="D29" s="16">
        <f t="shared" si="2"/>
        <v>39138.013533151585</v>
      </c>
      <c r="E29" s="16">
        <f t="shared" si="3"/>
        <v>28981.031553283854</v>
      </c>
      <c r="F29" s="16">
        <f t="shared" si="4"/>
        <v>89460.942162570616</v>
      </c>
      <c r="G29" s="16">
        <f t="shared" si="5"/>
        <v>201506.04425792818</v>
      </c>
      <c r="I29" s="12" t="s">
        <v>10</v>
      </c>
      <c r="J29" s="3">
        <v>6052804.2433333332</v>
      </c>
      <c r="K29" s="14">
        <f t="shared" si="6"/>
        <v>4.4957316252224898E-2</v>
      </c>
      <c r="L29" s="3">
        <v>6717712.3033333337</v>
      </c>
      <c r="M29" s="14">
        <f t="shared" si="7"/>
        <v>4.0170268933947227E-2</v>
      </c>
      <c r="N29" s="3">
        <v>5329462.7533333339</v>
      </c>
      <c r="O29" s="14">
        <f t="shared" si="8"/>
        <v>2.9498944522261195E-2</v>
      </c>
      <c r="P29" s="3">
        <v>5737582.0149999997</v>
      </c>
      <c r="Q29" s="14">
        <f t="shared" si="9"/>
        <v>3.0222515287638092E-2</v>
      </c>
    </row>
    <row r="30" spans="2:17" x14ac:dyDescent="0.25">
      <c r="B30" s="12" t="s">
        <v>11</v>
      </c>
      <c r="C30" s="16">
        <f t="shared" si="1"/>
        <v>37474.464774190477</v>
      </c>
      <c r="D30" s="16">
        <f t="shared" si="2"/>
        <v>38588.444904483942</v>
      </c>
      <c r="E30" s="16">
        <f t="shared" si="3"/>
        <v>30945.57891713865</v>
      </c>
      <c r="F30" s="16">
        <f t="shared" si="4"/>
        <v>96630.900222774726</v>
      </c>
      <c r="G30" s="16">
        <f t="shared" si="5"/>
        <v>203639.38881858782</v>
      </c>
      <c r="I30" s="12" t="s">
        <v>11</v>
      </c>
      <c r="J30" s="3">
        <v>5163805.1499999994</v>
      </c>
      <c r="K30" s="14">
        <f t="shared" si="6"/>
        <v>3.8354258928679656E-2</v>
      </c>
      <c r="L30" s="3">
        <v>6623383.4500000002</v>
      </c>
      <c r="M30" s="14">
        <f t="shared" si="7"/>
        <v>3.9606205568990284E-2</v>
      </c>
      <c r="N30" s="3">
        <v>5690732.916666667</v>
      </c>
      <c r="O30" s="14">
        <f t="shared" si="8"/>
        <v>3.1498599834431769E-2</v>
      </c>
      <c r="P30" s="3">
        <v>6197427.6349999998</v>
      </c>
      <c r="Q30" s="14">
        <f t="shared" si="9"/>
        <v>3.2644736223926253E-2</v>
      </c>
    </row>
    <row r="31" spans="2:17" x14ac:dyDescent="0.25">
      <c r="B31" s="12" t="s">
        <v>12</v>
      </c>
      <c r="C31" s="16">
        <f t="shared" si="1"/>
        <v>78533.296383860579</v>
      </c>
      <c r="D31" s="16">
        <f t="shared" si="2"/>
        <v>67406.547068887478</v>
      </c>
      <c r="E31" s="16">
        <f t="shared" si="3"/>
        <v>61301.219287880522</v>
      </c>
      <c r="F31" s="16">
        <f t="shared" si="4"/>
        <v>181659.53377734352</v>
      </c>
      <c r="G31" s="16">
        <f t="shared" si="5"/>
        <v>388900.59651797207</v>
      </c>
      <c r="I31" s="12" t="s">
        <v>12</v>
      </c>
      <c r="J31" s="3">
        <v>10821519.206666665</v>
      </c>
      <c r="K31" s="14">
        <f t="shared" si="6"/>
        <v>8.0377035460792584E-2</v>
      </c>
      <c r="L31" s="3">
        <v>11569769.380000001</v>
      </c>
      <c r="M31" s="14">
        <f t="shared" si="7"/>
        <v>6.9184378031154042E-2</v>
      </c>
      <c r="N31" s="3">
        <v>11272979.166666666</v>
      </c>
      <c r="O31" s="14">
        <f t="shared" si="8"/>
        <v>6.2396718474130836E-2</v>
      </c>
      <c r="P31" s="3">
        <v>11650743.314999999</v>
      </c>
      <c r="Q31" s="14">
        <f t="shared" si="9"/>
        <v>6.1369888400616579E-2</v>
      </c>
    </row>
    <row r="32" spans="2:17" x14ac:dyDescent="0.25">
      <c r="B32" s="12" t="s">
        <v>22</v>
      </c>
      <c r="C32" s="16">
        <f t="shared" si="1"/>
        <v>473.43256919880037</v>
      </c>
      <c r="D32" s="16">
        <f t="shared" si="2"/>
        <v>157.37161515333469</v>
      </c>
      <c r="E32" s="16">
        <f t="shared" si="3"/>
        <v>1543.2732738214154</v>
      </c>
      <c r="F32" s="16">
        <f t="shared" si="4"/>
        <v>9303.0725523577203</v>
      </c>
      <c r="G32" s="16">
        <f t="shared" si="5"/>
        <v>11477.15001053127</v>
      </c>
      <c r="I32" s="12" t="s">
        <v>22</v>
      </c>
      <c r="J32" s="3">
        <v>65236.783333333333</v>
      </c>
      <c r="K32" s="14">
        <f t="shared" si="6"/>
        <v>4.8454742325837767E-4</v>
      </c>
      <c r="L32" s="3">
        <v>27011.520000000004</v>
      </c>
      <c r="M32" s="14">
        <f t="shared" si="7"/>
        <v>1.6152225247518964E-4</v>
      </c>
      <c r="N32" s="3">
        <v>283800.02333333337</v>
      </c>
      <c r="O32" s="14">
        <f t="shared" si="8"/>
        <v>1.5708527352949896E-3</v>
      </c>
      <c r="P32" s="3">
        <v>596653.02500000002</v>
      </c>
      <c r="Q32" s="14">
        <f t="shared" si="9"/>
        <v>3.1428492215597572E-3</v>
      </c>
    </row>
    <row r="33" spans="2:17" x14ac:dyDescent="0.25">
      <c r="B33" s="12" t="s">
        <v>21</v>
      </c>
      <c r="C33" s="16">
        <f t="shared" si="1"/>
        <v>1033.73167100759</v>
      </c>
      <c r="D33" s="16">
        <f t="shared" si="2"/>
        <v>654.76999324774908</v>
      </c>
      <c r="E33" s="16">
        <f t="shared" si="3"/>
        <v>719.89193357068098</v>
      </c>
      <c r="F33" s="16">
        <f t="shared" si="4"/>
        <v>2521.3580489765295</v>
      </c>
      <c r="G33" s="16">
        <f t="shared" si="5"/>
        <v>4929.7516468025497</v>
      </c>
      <c r="I33" s="12" t="s">
        <v>21</v>
      </c>
      <c r="J33" s="3">
        <v>142443.36666666667</v>
      </c>
      <c r="K33" s="14">
        <f t="shared" si="6"/>
        <v>1.0580007589570243E-3</v>
      </c>
      <c r="L33" s="3">
        <v>112385.78666666667</v>
      </c>
      <c r="M33" s="14">
        <f t="shared" si="7"/>
        <v>6.7203938943814095E-4</v>
      </c>
      <c r="N33" s="3">
        <v>132384.42666666667</v>
      </c>
      <c r="O33" s="14">
        <f t="shared" si="8"/>
        <v>7.327569472943275E-4</v>
      </c>
      <c r="P33" s="3">
        <v>161707.42499999999</v>
      </c>
      <c r="Q33" s="14">
        <f t="shared" si="9"/>
        <v>8.5178828144160128E-4</v>
      </c>
    </row>
    <row r="34" spans="2:17" x14ac:dyDescent="0.25">
      <c r="B34" s="12" t="s">
        <v>13</v>
      </c>
      <c r="C34" s="16">
        <f t="shared" si="1"/>
        <v>38829.922389701038</v>
      </c>
      <c r="D34" s="16">
        <f t="shared" si="2"/>
        <v>38474.158117574305</v>
      </c>
      <c r="E34" s="16">
        <f t="shared" si="3"/>
        <v>33567.127169260406</v>
      </c>
      <c r="F34" s="16">
        <f t="shared" si="4"/>
        <v>108779.14440094093</v>
      </c>
      <c r="G34" s="16">
        <f t="shared" si="5"/>
        <v>219650.35207747668</v>
      </c>
      <c r="I34" s="12" t="s">
        <v>13</v>
      </c>
      <c r="J34" s="3">
        <v>5350580.84</v>
      </c>
      <c r="K34" s="14">
        <f t="shared" si="6"/>
        <v>3.9741538844894703E-2</v>
      </c>
      <c r="L34" s="3">
        <v>6603767.080000001</v>
      </c>
      <c r="M34" s="14">
        <f t="shared" si="7"/>
        <v>3.9488904496418779E-2</v>
      </c>
      <c r="N34" s="3">
        <v>6172822.166666667</v>
      </c>
      <c r="O34" s="14">
        <f t="shared" si="8"/>
        <v>3.4166997138012488E-2</v>
      </c>
      <c r="P34" s="3">
        <v>6976555.8849999998</v>
      </c>
      <c r="Q34" s="14">
        <f t="shared" si="9"/>
        <v>3.6748767396830667E-2</v>
      </c>
    </row>
    <row r="35" spans="2:17" x14ac:dyDescent="0.25">
      <c r="B35" s="12" t="s">
        <v>14</v>
      </c>
      <c r="C35" s="16">
        <f t="shared" si="1"/>
        <v>13325.735453535222</v>
      </c>
      <c r="D35" s="16">
        <f t="shared" si="2"/>
        <v>12985.4019172277</v>
      </c>
      <c r="E35" s="16">
        <f t="shared" si="3"/>
        <v>10862.772483457915</v>
      </c>
      <c r="F35" s="16">
        <f t="shared" si="4"/>
        <v>50945.288351463249</v>
      </c>
      <c r="G35" s="16">
        <f t="shared" si="5"/>
        <v>88119.198205684079</v>
      </c>
      <c r="I35" s="12" t="s">
        <v>14</v>
      </c>
      <c r="J35" s="3">
        <v>1836223.7266666666</v>
      </c>
      <c r="K35" s="14">
        <f t="shared" si="6"/>
        <v>1.3638585929904508E-2</v>
      </c>
      <c r="L35" s="3">
        <v>2228835.5066666668</v>
      </c>
      <c r="M35" s="14">
        <f t="shared" si="7"/>
        <v>1.3327888672443481E-2</v>
      </c>
      <c r="N35" s="3">
        <v>1997608.03</v>
      </c>
      <c r="O35" s="14">
        <f t="shared" si="8"/>
        <v>1.1056898449536426E-2</v>
      </c>
      <c r="P35" s="3">
        <v>3267378.625</v>
      </c>
      <c r="Q35" s="14">
        <f t="shared" si="9"/>
        <v>1.7210804165657654E-2</v>
      </c>
    </row>
    <row r="36" spans="2:17" x14ac:dyDescent="0.25">
      <c r="B36" s="12" t="s">
        <v>15</v>
      </c>
      <c r="C36" s="16">
        <f t="shared" si="1"/>
        <v>110150.22948121061</v>
      </c>
      <c r="D36" s="16">
        <f t="shared" si="2"/>
        <v>112576.65952071792</v>
      </c>
      <c r="E36" s="16">
        <f t="shared" si="3"/>
        <v>115411.36957726898</v>
      </c>
      <c r="F36" s="16">
        <f t="shared" si="4"/>
        <v>410860.11353980633</v>
      </c>
      <c r="G36" s="16">
        <f t="shared" si="5"/>
        <v>748998.37211900391</v>
      </c>
      <c r="I36" s="12" t="s">
        <v>27</v>
      </c>
      <c r="J36" s="3">
        <f>13178184.0166667+2000000</f>
        <v>15178184.016666699</v>
      </c>
      <c r="K36" s="14">
        <f t="shared" si="6"/>
        <v>0.11273624448094864</v>
      </c>
      <c r="L36" s="3">
        <f>15322840.9533333+4000000</f>
        <v>19322840.9533333</v>
      </c>
      <c r="M36" s="14">
        <f t="shared" si="7"/>
        <v>0.11554584099681302</v>
      </c>
      <c r="N36" s="3">
        <f>16223557.7033333+5000000</f>
        <v>21223557.7033333</v>
      </c>
      <c r="O36" s="14">
        <f t="shared" si="8"/>
        <v>0.11747385810400093</v>
      </c>
      <c r="P36" s="3">
        <f>21350534+5000000</f>
        <v>26350534</v>
      </c>
      <c r="Q36" s="14">
        <f t="shared" si="9"/>
        <v>0.1388005286147404</v>
      </c>
    </row>
    <row r="37" spans="2:17" x14ac:dyDescent="0.25">
      <c r="B37" s="12" t="s">
        <v>16</v>
      </c>
      <c r="C37" s="16">
        <f t="shared" si="1"/>
        <v>203545.08570402255</v>
      </c>
      <c r="D37" s="16">
        <f t="shared" si="2"/>
        <v>230974.23082527579</v>
      </c>
      <c r="E37" s="16">
        <f t="shared" si="3"/>
        <v>302392.30709915212</v>
      </c>
      <c r="F37" s="16">
        <f t="shared" si="4"/>
        <v>860502.54163162899</v>
      </c>
      <c r="G37" s="16">
        <f t="shared" si="5"/>
        <v>1597414.1652600793</v>
      </c>
      <c r="I37" s="12" t="s">
        <v>16</v>
      </c>
      <c r="J37" s="3">
        <v>28047556.333333332</v>
      </c>
      <c r="K37" s="14">
        <f t="shared" si="6"/>
        <v>0.20832374705799961</v>
      </c>
      <c r="L37" s="3">
        <v>39644792.673333324</v>
      </c>
      <c r="M37" s="14">
        <f t="shared" si="7"/>
        <v>0.23706611888219148</v>
      </c>
      <c r="N37" s="3">
        <v>55608391.116666667</v>
      </c>
      <c r="O37" s="14">
        <f t="shared" si="8"/>
        <v>0.30779628650125462</v>
      </c>
      <c r="P37" s="3">
        <v>55188373.689999998</v>
      </c>
      <c r="Q37" s="14">
        <f t="shared" si="9"/>
        <v>0.29070285412659302</v>
      </c>
    </row>
    <row r="38" spans="2:17" x14ac:dyDescent="0.25">
      <c r="B38" s="12" t="s">
        <v>17</v>
      </c>
      <c r="C38" s="16">
        <f t="shared" si="1"/>
        <v>30982.832760911246</v>
      </c>
      <c r="D38" s="16">
        <f t="shared" si="2"/>
        <v>23189.821352404</v>
      </c>
      <c r="E38" s="16">
        <f t="shared" si="3"/>
        <v>33523.808213452598</v>
      </c>
      <c r="F38" s="16">
        <f t="shared" si="4"/>
        <v>91066.598581431026</v>
      </c>
      <c r="G38" s="16">
        <f t="shared" si="5"/>
        <v>178763.06090819888</v>
      </c>
      <c r="I38" s="12" t="s">
        <v>17</v>
      </c>
      <c r="J38" s="3">
        <v>4269288.7633333327</v>
      </c>
      <c r="K38" s="14">
        <f t="shared" si="6"/>
        <v>3.1710221806140228E-2</v>
      </c>
      <c r="L38" s="3">
        <v>3980338.6566666663</v>
      </c>
      <c r="M38" s="14">
        <f t="shared" si="7"/>
        <v>2.380144713954899E-2</v>
      </c>
      <c r="N38" s="3">
        <v>6164856.0333333341</v>
      </c>
      <c r="O38" s="14">
        <f t="shared" si="8"/>
        <v>3.4122904039677208E-2</v>
      </c>
      <c r="P38" s="3">
        <v>5840560.8700000001</v>
      </c>
      <c r="Q38" s="14">
        <f t="shared" si="9"/>
        <v>3.0764952853045334E-2</v>
      </c>
    </row>
    <row r="39" spans="2:17" x14ac:dyDescent="0.25">
      <c r="B39" s="12" t="s">
        <v>18</v>
      </c>
      <c r="C39" s="16">
        <f t="shared" si="1"/>
        <v>156918.72304212986</v>
      </c>
      <c r="D39" s="16">
        <f t="shared" si="2"/>
        <v>145324.49734132946</v>
      </c>
      <c r="E39" s="16">
        <f t="shared" si="3"/>
        <v>124605.57516381949</v>
      </c>
      <c r="F39" s="16">
        <f t="shared" si="4"/>
        <v>382318.04785526148</v>
      </c>
      <c r="G39" s="16">
        <f t="shared" si="5"/>
        <v>809166.84340254031</v>
      </c>
      <c r="I39" s="12" t="s">
        <v>18</v>
      </c>
      <c r="J39" s="3">
        <v>21622662.66</v>
      </c>
      <c r="K39" s="14">
        <f t="shared" si="6"/>
        <v>0.16060272963419878</v>
      </c>
      <c r="L39" s="3">
        <v>24943733.103333335</v>
      </c>
      <c r="M39" s="14">
        <f t="shared" si="7"/>
        <v>0.14915739491855148</v>
      </c>
      <c r="N39" s="3">
        <v>22914324.856666666</v>
      </c>
      <c r="O39" s="14">
        <f t="shared" si="8"/>
        <v>0.12683237110327977</v>
      </c>
      <c r="P39" s="3">
        <v>24519987.184999999</v>
      </c>
      <c r="Q39" s="14">
        <f t="shared" si="9"/>
        <v>0.12915818643009891</v>
      </c>
    </row>
    <row r="40" spans="2:17" x14ac:dyDescent="0.25">
      <c r="B40" s="15" t="s">
        <v>24</v>
      </c>
      <c r="C40" s="16">
        <f>$C$21-(C18+C19+C20)</f>
        <v>977061.37</v>
      </c>
      <c r="D40" s="16">
        <f>$D$21-(D18+D19+D20)</f>
        <v>974303</v>
      </c>
      <c r="E40" s="16">
        <f>$E$21-(E18+E19+E20)</f>
        <v>982443</v>
      </c>
      <c r="F40" s="16">
        <f>$F$21-(F18+F19+F20)</f>
        <v>2960076</v>
      </c>
      <c r="G40" s="16">
        <f>$C$21-(G18+G19+G20)</f>
        <v>905053.37</v>
      </c>
      <c r="I40" s="15" t="s">
        <v>24</v>
      </c>
      <c r="J40" s="3">
        <f t="shared" ref="J40:Q40" si="10">SUM(J26:J39)</f>
        <v>134634465.48666671</v>
      </c>
      <c r="K40" s="19">
        <f t="shared" si="10"/>
        <v>0.99999999999999989</v>
      </c>
      <c r="L40" s="3">
        <f t="shared" si="10"/>
        <v>167230951.68666661</v>
      </c>
      <c r="M40" s="19">
        <f t="shared" si="10"/>
        <v>1.0000000000000002</v>
      </c>
      <c r="N40" s="3">
        <f t="shared" si="10"/>
        <v>180666218.38999996</v>
      </c>
      <c r="O40" s="19">
        <f t="shared" si="10"/>
        <v>1</v>
      </c>
      <c r="P40" s="3">
        <f t="shared" si="10"/>
        <v>189844622.80500001</v>
      </c>
      <c r="Q40" s="19">
        <f t="shared" si="10"/>
        <v>1</v>
      </c>
    </row>
    <row r="43" spans="2:17" ht="15.75" x14ac:dyDescent="0.25">
      <c r="B43" s="44" t="s">
        <v>143</v>
      </c>
      <c r="C43" s="44"/>
      <c r="D43" s="44"/>
      <c r="E43" s="44"/>
      <c r="F43" s="44"/>
      <c r="G43" s="44"/>
      <c r="I43" s="44" t="s">
        <v>167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-0.14539471131865866</v>
      </c>
      <c r="D45" s="16">
        <f>D26-D4</f>
        <v>-918.00557631265838</v>
      </c>
      <c r="E45" s="16">
        <f>E26-E4</f>
        <v>7040.075185670983</v>
      </c>
      <c r="F45" s="16">
        <f>F26-F4</f>
        <v>-2490.5815224979015</v>
      </c>
      <c r="G45" s="16">
        <f t="shared" ref="G45:G59" si="11">SUM(C45+D45+E45+F45)</f>
        <v>3631.3426921491046</v>
      </c>
      <c r="I45" s="15" t="s">
        <v>153</v>
      </c>
      <c r="J45" s="12" t="s">
        <v>155</v>
      </c>
    </row>
    <row r="46" spans="2:17" x14ac:dyDescent="0.25">
      <c r="B46" s="12" t="s">
        <v>8</v>
      </c>
      <c r="C46" s="16">
        <f t="shared" ref="C46:F58" si="12">C27-C5</f>
        <v>-0.43713225988904014</v>
      </c>
      <c r="D46" s="16">
        <f t="shared" si="12"/>
        <v>-1996.8740643879864</v>
      </c>
      <c r="E46" s="16">
        <f t="shared" si="12"/>
        <v>-12516.38792803252</v>
      </c>
      <c r="F46" s="16">
        <f t="shared" si="12"/>
        <v>-5633.0775571082486</v>
      </c>
      <c r="G46" s="16">
        <f t="shared" si="11"/>
        <v>-20146.776681788644</v>
      </c>
      <c r="I46" s="15" t="s">
        <v>154</v>
      </c>
      <c r="J46" t="s">
        <v>189</v>
      </c>
    </row>
    <row r="47" spans="2:17" x14ac:dyDescent="0.25">
      <c r="B47" s="12" t="s">
        <v>9</v>
      </c>
      <c r="C47" s="16">
        <f t="shared" si="12"/>
        <v>0.44128828100838291</v>
      </c>
      <c r="D47" s="16">
        <f t="shared" si="12"/>
        <v>-289.03654875250868</v>
      </c>
      <c r="E47" s="16">
        <f t="shared" si="12"/>
        <v>-4596.6419297450411</v>
      </c>
      <c r="F47" s="16">
        <f t="shared" si="12"/>
        <v>-741.88204494913225</v>
      </c>
      <c r="G47" s="16">
        <f t="shared" si="11"/>
        <v>-5627.1192351656737</v>
      </c>
      <c r="I47" s="15" t="s">
        <v>154</v>
      </c>
      <c r="J47" s="12" t="s">
        <v>156</v>
      </c>
    </row>
    <row r="48" spans="2:17" x14ac:dyDescent="0.25">
      <c r="B48" s="12" t="s">
        <v>10</v>
      </c>
      <c r="C48" s="16">
        <f t="shared" si="12"/>
        <v>5.7008922121895012E-2</v>
      </c>
      <c r="D48" s="16">
        <f t="shared" si="12"/>
        <v>-473.98646684841515</v>
      </c>
      <c r="E48" s="16">
        <f t="shared" si="12"/>
        <v>-5476.968446716146</v>
      </c>
      <c r="F48" s="16">
        <f t="shared" si="12"/>
        <v>-1173.0578374293837</v>
      </c>
      <c r="G48" s="16">
        <f t="shared" si="11"/>
        <v>-7123.9557420718229</v>
      </c>
    </row>
    <row r="49" spans="2:7" x14ac:dyDescent="0.25">
      <c r="B49" s="12" t="s">
        <v>11</v>
      </c>
      <c r="C49" s="16">
        <f t="shared" si="12"/>
        <v>0.46477419047732837</v>
      </c>
      <c r="D49" s="16">
        <f t="shared" si="12"/>
        <v>-466.55509551605792</v>
      </c>
      <c r="E49" s="16">
        <f t="shared" si="12"/>
        <v>-4873.4210828613504</v>
      </c>
      <c r="F49" s="16">
        <f t="shared" si="12"/>
        <v>-1267.099777225274</v>
      </c>
      <c r="G49" s="16">
        <f t="shared" si="11"/>
        <v>-6606.611181412205</v>
      </c>
    </row>
    <row r="50" spans="2:7" x14ac:dyDescent="0.25">
      <c r="B50" s="12" t="s">
        <v>12</v>
      </c>
      <c r="C50" s="16">
        <f t="shared" si="12"/>
        <v>0.29638386057922617</v>
      </c>
      <c r="D50" s="16">
        <f t="shared" si="12"/>
        <v>-815.45293111252249</v>
      </c>
      <c r="E50" s="16">
        <f t="shared" si="12"/>
        <v>-3550.7807121194783</v>
      </c>
      <c r="F50" s="16">
        <f t="shared" si="12"/>
        <v>-2382.4662226564833</v>
      </c>
      <c r="G50" s="16">
        <f t="shared" si="11"/>
        <v>-6748.4034820279048</v>
      </c>
    </row>
    <row r="51" spans="2:7" x14ac:dyDescent="0.25">
      <c r="B51" s="12" t="s">
        <v>22</v>
      </c>
      <c r="C51" s="16">
        <f t="shared" si="12"/>
        <v>0.43256919880036548</v>
      </c>
      <c r="D51" s="16">
        <f t="shared" si="12"/>
        <v>-1.6283848466653126</v>
      </c>
      <c r="E51" s="16">
        <f t="shared" si="12"/>
        <v>-86.726726178584613</v>
      </c>
      <c r="F51" s="16">
        <f t="shared" si="12"/>
        <v>-121.92744764227973</v>
      </c>
      <c r="G51" s="16">
        <f t="shared" si="11"/>
        <v>-209.84998946872929</v>
      </c>
    </row>
    <row r="52" spans="2:7" x14ac:dyDescent="0.25">
      <c r="B52" s="12" t="s">
        <v>21</v>
      </c>
      <c r="C52" s="16">
        <f t="shared" si="12"/>
        <v>0.73167100758996639</v>
      </c>
      <c r="D52" s="16">
        <f t="shared" si="12"/>
        <v>-12.230006752250915</v>
      </c>
      <c r="E52" s="16">
        <f t="shared" si="12"/>
        <v>227.89193357068098</v>
      </c>
      <c r="F52" s="16">
        <f t="shared" si="12"/>
        <v>-32.641951023470483</v>
      </c>
      <c r="G52" s="16">
        <f t="shared" si="11"/>
        <v>183.75164680254954</v>
      </c>
    </row>
    <row r="53" spans="2:7" x14ac:dyDescent="0.25">
      <c r="B53" s="12" t="s">
        <v>13</v>
      </c>
      <c r="C53" s="16">
        <f t="shared" si="12"/>
        <v>-7.7610298962099478E-2</v>
      </c>
      <c r="D53" s="16">
        <f t="shared" si="12"/>
        <v>-465.84188242569508</v>
      </c>
      <c r="E53" s="16">
        <f t="shared" si="12"/>
        <v>-2349.8728307395941</v>
      </c>
      <c r="F53" s="16">
        <f t="shared" si="12"/>
        <v>-1426.8555990590685</v>
      </c>
      <c r="G53" s="16">
        <f t="shared" si="11"/>
        <v>-4242.6479225233197</v>
      </c>
    </row>
    <row r="54" spans="2:7" x14ac:dyDescent="0.25">
      <c r="B54" s="12" t="s">
        <v>14</v>
      </c>
      <c r="C54" s="16">
        <f t="shared" si="12"/>
        <v>0.73545353522240475</v>
      </c>
      <c r="D54" s="16">
        <f t="shared" si="12"/>
        <v>-157.59808277229968</v>
      </c>
      <c r="E54" s="16">
        <f t="shared" si="12"/>
        <v>-514.22751654208514</v>
      </c>
      <c r="F54" s="16">
        <f t="shared" si="12"/>
        <v>-667.71164853675145</v>
      </c>
      <c r="G54" s="16">
        <f t="shared" si="11"/>
        <v>-1338.8017943159139</v>
      </c>
    </row>
    <row r="55" spans="2:7" x14ac:dyDescent="0.25">
      <c r="B55" s="12" t="s">
        <v>15</v>
      </c>
      <c r="C55" s="16">
        <f t="shared" si="12"/>
        <v>-0.14051878938334994</v>
      </c>
      <c r="D55" s="16">
        <f t="shared" si="12"/>
        <v>10430.65952071792</v>
      </c>
      <c r="E55" s="16">
        <f t="shared" si="12"/>
        <v>12241.369577268983</v>
      </c>
      <c r="F55" s="16">
        <f t="shared" si="12"/>
        <v>42001.113539806334</v>
      </c>
      <c r="G55" s="16">
        <f t="shared" si="11"/>
        <v>64673.002119003853</v>
      </c>
    </row>
    <row r="56" spans="2:7" x14ac:dyDescent="0.25">
      <c r="B56" s="12" t="s">
        <v>16</v>
      </c>
      <c r="C56" s="16">
        <f t="shared" si="12"/>
        <v>-0.91429597744718194</v>
      </c>
      <c r="D56" s="16">
        <f t="shared" si="12"/>
        <v>-2794.7691747242061</v>
      </c>
      <c r="E56" s="16">
        <f t="shared" si="12"/>
        <v>18955.307099152124</v>
      </c>
      <c r="F56" s="16">
        <f t="shared" si="12"/>
        <v>-19854.458368371008</v>
      </c>
      <c r="G56" s="16">
        <f t="shared" si="11"/>
        <v>-3694.8347399205377</v>
      </c>
    </row>
    <row r="57" spans="2:7" x14ac:dyDescent="0.25">
      <c r="B57" s="12" t="s">
        <v>17</v>
      </c>
      <c r="C57" s="16">
        <f t="shared" si="12"/>
        <v>-0.16723908875428606</v>
      </c>
      <c r="D57" s="16">
        <f t="shared" si="12"/>
        <v>-280.17864759599979</v>
      </c>
      <c r="E57" s="16">
        <f t="shared" si="12"/>
        <v>3528.8082134525976</v>
      </c>
      <c r="F57" s="16">
        <f t="shared" si="12"/>
        <v>-1194.4014185689739</v>
      </c>
      <c r="G57" s="16">
        <f t="shared" si="11"/>
        <v>2054.0609081988696</v>
      </c>
    </row>
    <row r="58" spans="2:7" x14ac:dyDescent="0.25">
      <c r="B58" s="12" t="s">
        <v>18</v>
      </c>
      <c r="C58" s="16">
        <f t="shared" si="12"/>
        <v>-1.2769578701409046</v>
      </c>
      <c r="D58" s="16">
        <f t="shared" si="12"/>
        <v>-1758.5026586705353</v>
      </c>
      <c r="E58" s="16">
        <f t="shared" si="12"/>
        <v>-8028.4248361805076</v>
      </c>
      <c r="F58" s="16">
        <f t="shared" si="12"/>
        <v>-5014.9521447385196</v>
      </c>
      <c r="G58" s="16">
        <f t="shared" si="11"/>
        <v>-14803.156597459703</v>
      </c>
    </row>
    <row r="59" spans="2:7" x14ac:dyDescent="0.25">
      <c r="B59" s="15" t="s">
        <v>24</v>
      </c>
      <c r="C59" s="16">
        <f>SUM(C45:C58)</f>
        <v>-9.5951691037043929E-11</v>
      </c>
      <c r="D59" s="16">
        <f>SUM(D45:D58)</f>
        <v>1.1823431123048067E-10</v>
      </c>
      <c r="E59" s="16">
        <f>SUM(E45:E58)</f>
        <v>5.8207660913467407E-11</v>
      </c>
      <c r="F59" s="16">
        <f>SUM(F45:F58)</f>
        <v>-1.6007106751203537E-10</v>
      </c>
      <c r="G59" s="16">
        <f t="shared" si="11"/>
        <v>-7.9580786405131221E-11</v>
      </c>
    </row>
  </sheetData>
  <sheetProtection algorithmName="SHA-512" hashValue="1f3JQ4I/RHDobLAQ8bU1aZ/7LluoeMb2kfIqIh+eOFi+zwzT3+IwntVIg4KU2yj0f5768eqJAPw0BzutiOHY7g==" saltValue="YjjZNK/8YWW28loDAMCHMw==" spinCount="100000" sheet="1" objects="1" scenarios="1"/>
  <mergeCells count="6">
    <mergeCell ref="B2:G2"/>
    <mergeCell ref="I2:Q2"/>
    <mergeCell ref="B24:G24"/>
    <mergeCell ref="I24:Q24"/>
    <mergeCell ref="B43:G43"/>
    <mergeCell ref="I43:Q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BB573-91A8-43FE-96CE-453E1215DDBD}">
  <dimension ref="B2:Q59"/>
  <sheetViews>
    <sheetView workbookViewId="0">
      <selection activeCell="B3" sqref="B3"/>
    </sheetView>
  </sheetViews>
  <sheetFormatPr defaultColWidth="9.140625" defaultRowHeight="15" x14ac:dyDescent="0.25"/>
  <cols>
    <col min="1" max="2" width="9.140625" style="12"/>
    <col min="3" max="3" width="13.42578125" style="12" bestFit="1" customWidth="1"/>
    <col min="4" max="5" width="12.5703125" style="12" bestFit="1" customWidth="1"/>
    <col min="6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53</v>
      </c>
      <c r="C2" s="44"/>
      <c r="D2" s="44"/>
      <c r="E2" s="44"/>
      <c r="F2" s="44"/>
      <c r="G2" s="44"/>
      <c r="H2" s="11"/>
      <c r="I2" s="44" t="s">
        <v>54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2</v>
      </c>
      <c r="K3" s="13"/>
      <c r="L3" s="13" t="s">
        <v>3</v>
      </c>
      <c r="M3" s="13"/>
      <c r="N3" s="13" t="s">
        <v>4</v>
      </c>
      <c r="O3" s="13"/>
      <c r="P3" s="13" t="s">
        <v>26</v>
      </c>
      <c r="Q3" s="13"/>
    </row>
    <row r="4" spans="2:17" x14ac:dyDescent="0.25">
      <c r="B4" s="12" t="s">
        <v>7</v>
      </c>
      <c r="C4" s="3">
        <v>33811</v>
      </c>
      <c r="D4" s="5">
        <v>27850</v>
      </c>
      <c r="E4" s="5">
        <v>26256</v>
      </c>
      <c r="F4" s="5">
        <v>165000</v>
      </c>
      <c r="G4" s="5">
        <f t="shared" ref="G4:G20" si="0">C4+D4+E4+F4</f>
        <v>252917</v>
      </c>
      <c r="I4" s="12" t="s">
        <v>7</v>
      </c>
      <c r="J4" s="3">
        <v>6036623.1033333326</v>
      </c>
      <c r="K4" s="14"/>
      <c r="L4" s="3">
        <v>6380903.6000000006</v>
      </c>
      <c r="M4" s="14"/>
      <c r="N4" s="3">
        <v>6665468.4699999997</v>
      </c>
      <c r="O4" s="14"/>
      <c r="P4" s="3">
        <v>7145786.1900000004</v>
      </c>
      <c r="Q4" s="14"/>
    </row>
    <row r="5" spans="2:17" x14ac:dyDescent="0.25">
      <c r="B5" s="12" t="s">
        <v>8</v>
      </c>
      <c r="C5" s="3">
        <v>153413</v>
      </c>
      <c r="D5" s="3">
        <v>123219</v>
      </c>
      <c r="E5" s="3">
        <v>115226</v>
      </c>
      <c r="F5" s="3">
        <v>724390</v>
      </c>
      <c r="G5" s="5">
        <f t="shared" si="0"/>
        <v>1116248</v>
      </c>
      <c r="I5" s="12" t="s">
        <v>8</v>
      </c>
      <c r="J5" s="3">
        <v>27273374.760000002</v>
      </c>
      <c r="K5" s="14"/>
      <c r="L5" s="3">
        <v>28230777.553333331</v>
      </c>
      <c r="M5" s="14"/>
      <c r="N5" s="3">
        <v>29250455.633333329</v>
      </c>
      <c r="O5" s="14"/>
      <c r="P5" s="3">
        <v>31452378.965</v>
      </c>
      <c r="Q5" s="14"/>
    </row>
    <row r="6" spans="2:17" x14ac:dyDescent="0.25">
      <c r="B6" s="12" t="s">
        <v>9</v>
      </c>
      <c r="C6" s="3">
        <v>11478</v>
      </c>
      <c r="D6" s="3">
        <v>21523</v>
      </c>
      <c r="E6" s="3">
        <v>18363</v>
      </c>
      <c r="F6" s="3">
        <v>51372</v>
      </c>
      <c r="G6" s="5">
        <f t="shared" si="0"/>
        <v>102736</v>
      </c>
      <c r="I6" s="12" t="s">
        <v>9</v>
      </c>
      <c r="J6" s="3">
        <v>2748862.95</v>
      </c>
      <c r="K6" s="14"/>
      <c r="L6" s="3">
        <v>4931338.0200000005</v>
      </c>
      <c r="M6" s="14"/>
      <c r="N6" s="3">
        <v>4661699.7</v>
      </c>
      <c r="O6" s="14"/>
      <c r="P6" s="3">
        <v>2231582.7399999998</v>
      </c>
      <c r="Q6" s="14"/>
    </row>
    <row r="7" spans="2:17" x14ac:dyDescent="0.25">
      <c r="B7" s="12" t="s">
        <v>10</v>
      </c>
      <c r="C7" s="3">
        <v>27053</v>
      </c>
      <c r="D7" s="3">
        <v>22811</v>
      </c>
      <c r="E7" s="3">
        <v>29385</v>
      </c>
      <c r="F7" s="3">
        <v>189503</v>
      </c>
      <c r="G7" s="5">
        <f t="shared" si="0"/>
        <v>268752</v>
      </c>
      <c r="I7" s="12" t="s">
        <v>10</v>
      </c>
      <c r="J7" s="3">
        <v>4471378.47</v>
      </c>
      <c r="K7" s="14"/>
      <c r="L7" s="3">
        <v>5226275.5866666669</v>
      </c>
      <c r="M7" s="14"/>
      <c r="N7" s="3">
        <v>7459646.330000001</v>
      </c>
      <c r="O7" s="14"/>
      <c r="P7" s="3">
        <v>8231977.875</v>
      </c>
      <c r="Q7" s="14"/>
    </row>
    <row r="8" spans="2:17" x14ac:dyDescent="0.25">
      <c r="B8" s="12" t="s">
        <v>11</v>
      </c>
      <c r="C8" s="3">
        <v>42061</v>
      </c>
      <c r="D8" s="3">
        <v>30700</v>
      </c>
      <c r="E8" s="3">
        <v>27450</v>
      </c>
      <c r="F8" s="3">
        <v>174000</v>
      </c>
      <c r="G8" s="5">
        <f t="shared" si="0"/>
        <v>274211</v>
      </c>
      <c r="I8" s="12" t="s">
        <v>11</v>
      </c>
      <c r="J8" s="3">
        <v>7391010.6366666667</v>
      </c>
      <c r="K8" s="14"/>
      <c r="L8" s="3">
        <v>7033646.0766666671</v>
      </c>
      <c r="M8" s="14"/>
      <c r="N8" s="3">
        <v>6968407.5266666664</v>
      </c>
      <c r="O8" s="14"/>
      <c r="P8" s="3">
        <v>7558546.9699999997</v>
      </c>
      <c r="Q8" s="14"/>
    </row>
    <row r="9" spans="2:17" x14ac:dyDescent="0.25">
      <c r="B9" s="12" t="s">
        <v>12</v>
      </c>
      <c r="C9" s="3">
        <v>65364</v>
      </c>
      <c r="D9" s="3">
        <v>49288</v>
      </c>
      <c r="E9" s="3">
        <v>43340</v>
      </c>
      <c r="F9" s="3">
        <v>278795</v>
      </c>
      <c r="G9" s="5">
        <f t="shared" si="0"/>
        <v>436787</v>
      </c>
      <c r="I9" s="12" t="s">
        <v>12</v>
      </c>
      <c r="J9" s="3">
        <v>11774371.296666667</v>
      </c>
      <c r="K9" s="14"/>
      <c r="L9" s="3">
        <v>11292598.273333333</v>
      </c>
      <c r="M9" s="14"/>
      <c r="N9" s="3">
        <v>11002564.743333334</v>
      </c>
      <c r="O9" s="14"/>
      <c r="P9" s="3">
        <v>11465905.6</v>
      </c>
      <c r="Q9" s="14"/>
    </row>
    <row r="10" spans="2:17" x14ac:dyDescent="0.25">
      <c r="B10" s="12" t="s">
        <v>22</v>
      </c>
      <c r="C10" s="3">
        <v>0</v>
      </c>
      <c r="D10" s="3">
        <v>0</v>
      </c>
      <c r="E10" s="3">
        <v>0</v>
      </c>
      <c r="F10" s="3">
        <v>0</v>
      </c>
      <c r="G10" s="5">
        <f t="shared" si="0"/>
        <v>0</v>
      </c>
      <c r="I10" s="12" t="s">
        <v>22</v>
      </c>
      <c r="J10" s="3">
        <v>0</v>
      </c>
      <c r="K10" s="14"/>
      <c r="L10" s="3">
        <v>0</v>
      </c>
      <c r="M10" s="14"/>
      <c r="N10" s="3">
        <v>0</v>
      </c>
      <c r="O10" s="14"/>
      <c r="P10" s="3">
        <v>352618.42</v>
      </c>
      <c r="Q10" s="14"/>
    </row>
    <row r="11" spans="2:17" x14ac:dyDescent="0.25">
      <c r="B11" s="12" t="s">
        <v>21</v>
      </c>
      <c r="C11" s="3">
        <v>0</v>
      </c>
      <c r="D11" s="3">
        <v>0</v>
      </c>
      <c r="E11" s="3">
        <v>0</v>
      </c>
      <c r="F11" s="3">
        <v>0</v>
      </c>
      <c r="G11" s="5">
        <f t="shared" si="0"/>
        <v>0</v>
      </c>
      <c r="I11" s="12" t="s">
        <v>21</v>
      </c>
      <c r="J11" s="3">
        <v>0</v>
      </c>
      <c r="K11" s="14"/>
      <c r="L11" s="3">
        <v>0</v>
      </c>
      <c r="M11" s="14"/>
      <c r="N11" s="3">
        <v>0</v>
      </c>
      <c r="O11" s="14"/>
      <c r="P11" s="3">
        <v>139694.57999999999</v>
      </c>
      <c r="Q11" s="14"/>
    </row>
    <row r="12" spans="2:17" x14ac:dyDescent="0.25">
      <c r="B12" s="12" t="s">
        <v>13</v>
      </c>
      <c r="C12" s="3">
        <v>27719</v>
      </c>
      <c r="D12" s="3">
        <v>26137</v>
      </c>
      <c r="E12" s="3">
        <v>24150</v>
      </c>
      <c r="F12" s="3">
        <v>157969</v>
      </c>
      <c r="G12" s="5">
        <f t="shared" si="0"/>
        <v>235975</v>
      </c>
      <c r="I12" s="12" t="s">
        <v>13</v>
      </c>
      <c r="J12" s="3">
        <v>4955511.4366666665</v>
      </c>
      <c r="K12" s="14"/>
      <c r="L12" s="3">
        <v>5988305.126666666</v>
      </c>
      <c r="M12" s="14"/>
      <c r="N12" s="3">
        <v>6130981.2999999998</v>
      </c>
      <c r="O12" s="14"/>
      <c r="P12" s="3">
        <v>6862158.7750000004</v>
      </c>
      <c r="Q12" s="14"/>
    </row>
    <row r="13" spans="2:17" x14ac:dyDescent="0.25">
      <c r="B13" s="12" t="s">
        <v>14</v>
      </c>
      <c r="C13" s="3">
        <v>10553</v>
      </c>
      <c r="D13" s="3">
        <v>8610</v>
      </c>
      <c r="E13" s="3">
        <v>7734</v>
      </c>
      <c r="F13" s="3">
        <v>49052</v>
      </c>
      <c r="G13" s="5">
        <f t="shared" si="0"/>
        <v>75949</v>
      </c>
      <c r="I13" s="12" t="s">
        <v>14</v>
      </c>
      <c r="J13" s="3">
        <v>1908664.13</v>
      </c>
      <c r="K13" s="14"/>
      <c r="L13" s="3">
        <v>1972666.0966666667</v>
      </c>
      <c r="M13" s="14"/>
      <c r="N13" s="3">
        <v>1963593.38</v>
      </c>
      <c r="O13" s="14"/>
      <c r="P13" s="3">
        <v>2130811.17</v>
      </c>
      <c r="Q13" s="14"/>
    </row>
    <row r="14" spans="2:17" x14ac:dyDescent="0.25">
      <c r="B14" s="12" t="s">
        <v>15</v>
      </c>
      <c r="C14" s="3">
        <v>76650</v>
      </c>
      <c r="D14" s="3">
        <v>65264</v>
      </c>
      <c r="E14" s="3">
        <v>61056</v>
      </c>
      <c r="F14" s="3">
        <v>392270</v>
      </c>
      <c r="G14" s="5">
        <f t="shared" si="0"/>
        <v>595240</v>
      </c>
      <c r="I14" s="12" t="s">
        <v>15</v>
      </c>
      <c r="J14" s="3">
        <v>11654990.783333331</v>
      </c>
      <c r="K14" s="14"/>
      <c r="L14" s="3">
        <v>12952972.206666669</v>
      </c>
      <c r="M14" s="14"/>
      <c r="N14" s="3">
        <v>13499954.786666667</v>
      </c>
      <c r="O14" s="14"/>
      <c r="P14" s="3">
        <v>15040149.094999999</v>
      </c>
      <c r="Q14" s="14"/>
    </row>
    <row r="15" spans="2:17" x14ac:dyDescent="0.25">
      <c r="B15" s="12" t="s">
        <v>16</v>
      </c>
      <c r="C15" s="3">
        <v>143908</v>
      </c>
      <c r="D15" s="3">
        <v>134327</v>
      </c>
      <c r="E15" s="3">
        <v>127573</v>
      </c>
      <c r="F15" s="3">
        <v>837242</v>
      </c>
      <c r="G15" s="5">
        <f t="shared" si="0"/>
        <v>1243050</v>
      </c>
      <c r="I15" s="12" t="s">
        <v>16</v>
      </c>
      <c r="J15" s="3">
        <v>25647550.583333332</v>
      </c>
      <c r="K15" s="14"/>
      <c r="L15" s="3">
        <v>30775601.173333336</v>
      </c>
      <c r="M15" s="14"/>
      <c r="N15" s="3">
        <v>32385802.793333333</v>
      </c>
      <c r="O15" s="14"/>
      <c r="P15" s="3">
        <v>36370127.730000004</v>
      </c>
      <c r="Q15" s="14"/>
    </row>
    <row r="16" spans="2:17" x14ac:dyDescent="0.25">
      <c r="B16" s="12" t="s">
        <v>17</v>
      </c>
      <c r="C16" s="3">
        <v>17915</v>
      </c>
      <c r="D16" s="3">
        <v>22782</v>
      </c>
      <c r="E16" s="3">
        <v>18095</v>
      </c>
      <c r="F16" s="3">
        <v>106863</v>
      </c>
      <c r="G16" s="5">
        <f t="shared" si="0"/>
        <v>165655</v>
      </c>
      <c r="I16" s="12" t="s">
        <v>17</v>
      </c>
      <c r="J16" s="3">
        <v>3244385.31</v>
      </c>
      <c r="K16" s="14"/>
      <c r="L16" s="3">
        <v>5217604.5566666676</v>
      </c>
      <c r="M16" s="14"/>
      <c r="N16" s="3">
        <v>4593734.47</v>
      </c>
      <c r="O16" s="14"/>
      <c r="P16" s="3">
        <v>4642107.5949999997</v>
      </c>
      <c r="Q16" s="14"/>
    </row>
    <row r="17" spans="2:17" x14ac:dyDescent="0.25">
      <c r="B17" s="12" t="s">
        <v>18</v>
      </c>
      <c r="C17" s="3">
        <v>127017</v>
      </c>
      <c r="D17" s="3">
        <v>102739</v>
      </c>
      <c r="E17" s="3">
        <v>90864</v>
      </c>
      <c r="F17" s="3">
        <v>573523</v>
      </c>
      <c r="G17" s="5">
        <f t="shared" si="0"/>
        <v>894143</v>
      </c>
      <c r="I17" s="12" t="s">
        <v>18</v>
      </c>
      <c r="J17" s="3">
        <v>23043012.906666666</v>
      </c>
      <c r="K17" s="14"/>
      <c r="L17" s="3">
        <v>23538789.849999998</v>
      </c>
      <c r="M17" s="14"/>
      <c r="N17" s="3">
        <v>23066825.449999999</v>
      </c>
      <c r="O17" s="14"/>
      <c r="P17" s="3">
        <v>24913756.68</v>
      </c>
      <c r="Q17" s="14"/>
    </row>
    <row r="18" spans="2:17" x14ac:dyDescent="0.25">
      <c r="B18" s="29" t="s">
        <v>19</v>
      </c>
      <c r="C18" s="30">
        <v>1079</v>
      </c>
      <c r="D18" s="30">
        <v>821</v>
      </c>
      <c r="E18" s="30">
        <v>700</v>
      </c>
      <c r="F18" s="30">
        <v>4256</v>
      </c>
      <c r="G18" s="31">
        <f t="shared" si="0"/>
        <v>6856</v>
      </c>
      <c r="I18" s="29" t="s">
        <v>19</v>
      </c>
      <c r="J18" s="30">
        <v>194966.72333333336</v>
      </c>
      <c r="K18" s="32"/>
      <c r="L18" s="30">
        <v>188049.72666666668</v>
      </c>
      <c r="M18" s="32"/>
      <c r="N18" s="30">
        <v>177679.77</v>
      </c>
      <c r="O18" s="32"/>
      <c r="P18" s="30">
        <v>184913.495</v>
      </c>
      <c r="Q18" s="14"/>
    </row>
    <row r="19" spans="2:17" x14ac:dyDescent="0.25">
      <c r="B19" s="29" t="s">
        <v>20</v>
      </c>
      <c r="C19" s="30">
        <v>1108</v>
      </c>
      <c r="D19" s="30">
        <v>971</v>
      </c>
      <c r="E19" s="30">
        <v>1153</v>
      </c>
      <c r="F19" s="30">
        <v>8708</v>
      </c>
      <c r="G19" s="31">
        <f t="shared" si="0"/>
        <v>11940</v>
      </c>
      <c r="I19" s="29" t="s">
        <v>20</v>
      </c>
      <c r="J19" s="30">
        <v>191692.99333333332</v>
      </c>
      <c r="K19" s="32"/>
      <c r="L19" s="30">
        <v>223501.99333333332</v>
      </c>
      <c r="M19" s="32"/>
      <c r="N19" s="30">
        <v>292748.78333333333</v>
      </c>
      <c r="O19" s="32"/>
      <c r="P19" s="30">
        <v>399882.61</v>
      </c>
      <c r="Q19" s="14"/>
    </row>
    <row r="20" spans="2:17" x14ac:dyDescent="0.25">
      <c r="B20" s="29" t="s">
        <v>23</v>
      </c>
      <c r="C20" s="30">
        <v>21572</v>
      </c>
      <c r="D20" s="30">
        <v>21688</v>
      </c>
      <c r="E20" s="30">
        <v>16533</v>
      </c>
      <c r="F20" s="30">
        <v>83098</v>
      </c>
      <c r="G20" s="31">
        <f t="shared" si="0"/>
        <v>142891</v>
      </c>
      <c r="I20" s="29" t="s">
        <v>23</v>
      </c>
      <c r="J20" s="30">
        <v>4460897.5233333334</v>
      </c>
      <c r="K20" s="32"/>
      <c r="L20" s="30">
        <v>4968901.6433333335</v>
      </c>
      <c r="M20" s="32"/>
      <c r="N20" s="30">
        <v>4196972.8066666666</v>
      </c>
      <c r="O20" s="32"/>
      <c r="P20" s="30">
        <v>3609745.1100000003</v>
      </c>
      <c r="Q20" s="14"/>
    </row>
    <row r="21" spans="2:17" x14ac:dyDescent="0.25">
      <c r="B21" s="15" t="s">
        <v>24</v>
      </c>
      <c r="C21" s="16">
        <f>SUM(C4:C20)</f>
        <v>760701</v>
      </c>
      <c r="D21" s="3">
        <f>SUM(D4:D20)</f>
        <v>658730</v>
      </c>
      <c r="E21" s="3">
        <f>SUM(E4:E20)</f>
        <v>607878</v>
      </c>
      <c r="F21" s="3">
        <f>SUM(F4:F20)</f>
        <v>3796041</v>
      </c>
      <c r="G21" s="3">
        <f>SUM(G4:G20)</f>
        <v>5823350</v>
      </c>
      <c r="I21" s="15" t="s">
        <v>24</v>
      </c>
      <c r="J21" s="3">
        <f>SUM(J4:J20)</f>
        <v>134997293.60666665</v>
      </c>
      <c r="K21" s="17"/>
      <c r="L21" s="3">
        <f>SUM(L4:L20)</f>
        <v>148921931.48333335</v>
      </c>
      <c r="M21" s="14"/>
      <c r="N21" s="3">
        <f>SUM(N4:N20)</f>
        <v>152316535.94333333</v>
      </c>
      <c r="O21" s="14"/>
      <c r="P21" s="3">
        <f>SUM(P4:P20)</f>
        <v>162732143.60000005</v>
      </c>
      <c r="Q21" s="18"/>
    </row>
    <row r="24" spans="2:17" ht="15.75" x14ac:dyDescent="0.25">
      <c r="B24" s="44" t="s">
        <v>125</v>
      </c>
      <c r="C24" s="44"/>
      <c r="D24" s="44"/>
      <c r="E24" s="44"/>
      <c r="F24" s="44"/>
      <c r="G24" s="44"/>
      <c r="I24" s="44" t="s">
        <v>55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2</v>
      </c>
      <c r="K25" s="13"/>
      <c r="L25" s="13" t="s">
        <v>3</v>
      </c>
      <c r="M25" s="13"/>
      <c r="N25" s="13" t="s">
        <v>4</v>
      </c>
      <c r="O25" s="13"/>
      <c r="P25" s="13" t="s">
        <v>26</v>
      </c>
    </row>
    <row r="26" spans="2:17" x14ac:dyDescent="0.25">
      <c r="B26" s="12" t="s">
        <v>7</v>
      </c>
      <c r="C26" s="16">
        <f t="shared" ref="C26:C39" si="1">$C$40*K26</f>
        <v>33663.639635824467</v>
      </c>
      <c r="D26" s="16">
        <f t="shared" ref="D26:D39" si="2">$D$40*M26</f>
        <v>27850.953997855409</v>
      </c>
      <c r="E26" s="16">
        <f t="shared" ref="E26:E39" si="3">$E$40*O26</f>
        <v>26256.351901114467</v>
      </c>
      <c r="F26" s="16">
        <f t="shared" ref="F26:F31" si="4">$F$40*Q26</f>
        <v>165198.60686363938</v>
      </c>
      <c r="G26" s="16">
        <f t="shared" ref="G26:G39" si="5">SUM(C26+D26+E26+F26)</f>
        <v>252969.55239843373</v>
      </c>
      <c r="I26" s="12" t="s">
        <v>7</v>
      </c>
      <c r="J26" s="3">
        <v>6036623.1033333326</v>
      </c>
      <c r="K26" s="14">
        <f t="shared" ref="K26:K39" si="6">J26/$J$40</f>
        <v>4.5680175150587789E-2</v>
      </c>
      <c r="L26" s="3">
        <v>6380903.6000000006</v>
      </c>
      <c r="M26" s="14">
        <f t="shared" ref="M26:M39" si="7">L26/$L$40</f>
        <v>4.384250924495145E-2</v>
      </c>
      <c r="N26" s="3">
        <v>6665468.4699999997</v>
      </c>
      <c r="O26" s="14">
        <f t="shared" ref="O26:O39" si="8">N26/$N$40</f>
        <v>4.4540641605169309E-2</v>
      </c>
      <c r="P26" s="3">
        <v>7145786.1900000004</v>
      </c>
      <c r="Q26" s="14">
        <f t="shared" ref="Q26:Q39" si="9">P26/$P$40</f>
        <v>4.4648525535858276E-2</v>
      </c>
    </row>
    <row r="27" spans="2:17" x14ac:dyDescent="0.25">
      <c r="B27" s="12" t="s">
        <v>8</v>
      </c>
      <c r="C27" s="16">
        <f t="shared" si="1"/>
        <v>152091.83078971057</v>
      </c>
      <c r="D27" s="16">
        <f t="shared" si="2"/>
        <v>123219.86606435734</v>
      </c>
      <c r="E27" s="16">
        <f t="shared" si="3"/>
        <v>115222.24729340531</v>
      </c>
      <c r="F27" s="16">
        <f t="shared" si="4"/>
        <v>727126.31604294269</v>
      </c>
      <c r="G27" s="16">
        <f t="shared" si="5"/>
        <v>1117660.2601904159</v>
      </c>
      <c r="I27" s="12" t="s">
        <v>8</v>
      </c>
      <c r="J27" s="3">
        <v>27273374.760000002</v>
      </c>
      <c r="K27" s="14">
        <f t="shared" si="6"/>
        <v>0.20638236223435572</v>
      </c>
      <c r="L27" s="3">
        <v>28230777.553333331</v>
      </c>
      <c r="M27" s="14">
        <f t="shared" si="7"/>
        <v>0.19397066676797692</v>
      </c>
      <c r="N27" s="3">
        <v>29250455.633333329</v>
      </c>
      <c r="O27" s="14">
        <f t="shared" si="8"/>
        <v>0.19546023914388203</v>
      </c>
      <c r="P27" s="3">
        <v>31452378.965</v>
      </c>
      <c r="Q27" s="14">
        <f t="shared" si="9"/>
        <v>0.19652174135121919</v>
      </c>
    </row>
    <row r="28" spans="2:17" x14ac:dyDescent="0.25">
      <c r="B28" s="12" t="s">
        <v>9</v>
      </c>
      <c r="C28" s="16">
        <f t="shared" si="1"/>
        <v>15329.221349925256</v>
      </c>
      <c r="D28" s="16">
        <f t="shared" si="2"/>
        <v>21523.984211718129</v>
      </c>
      <c r="E28" s="16">
        <f t="shared" si="3"/>
        <v>18363.184573059687</v>
      </c>
      <c r="F28" s="16">
        <f t="shared" si="4"/>
        <v>51590.454842442334</v>
      </c>
      <c r="G28" s="16">
        <f t="shared" si="5"/>
        <v>106806.8449771454</v>
      </c>
      <c r="I28" s="12" t="s">
        <v>9</v>
      </c>
      <c r="J28" s="3">
        <v>2748862.95</v>
      </c>
      <c r="K28" s="14">
        <f t="shared" si="6"/>
        <v>2.0801123222621665E-2</v>
      </c>
      <c r="L28" s="3">
        <v>4931338.0200000005</v>
      </c>
      <c r="M28" s="14">
        <f t="shared" si="7"/>
        <v>3.3882698483617676E-2</v>
      </c>
      <c r="N28" s="3">
        <v>4661699.7</v>
      </c>
      <c r="O28" s="14">
        <f t="shared" si="8"/>
        <v>3.1150863070337997E-2</v>
      </c>
      <c r="P28" s="3">
        <v>2231582.7399999998</v>
      </c>
      <c r="Q28" s="14">
        <f t="shared" si="9"/>
        <v>1.3943445312106456E-2</v>
      </c>
    </row>
    <row r="29" spans="2:17" x14ac:dyDescent="0.25">
      <c r="B29" s="12" t="s">
        <v>10</v>
      </c>
      <c r="C29" s="16">
        <f t="shared" si="1"/>
        <v>24934.946395170457</v>
      </c>
      <c r="D29" s="16">
        <f t="shared" si="2"/>
        <v>22811.308565195704</v>
      </c>
      <c r="E29" s="16">
        <f t="shared" si="3"/>
        <v>29384.746170487411</v>
      </c>
      <c r="F29" s="16">
        <f t="shared" si="4"/>
        <v>190309.53914985555</v>
      </c>
      <c r="G29" s="16">
        <f t="shared" si="5"/>
        <v>267440.54028070916</v>
      </c>
      <c r="I29" s="12" t="s">
        <v>10</v>
      </c>
      <c r="J29" s="3">
        <v>4471378.47</v>
      </c>
      <c r="K29" s="14">
        <f t="shared" si="6"/>
        <v>3.383569723963413E-2</v>
      </c>
      <c r="L29" s="3">
        <v>5226275.5866666669</v>
      </c>
      <c r="M29" s="14">
        <f t="shared" si="7"/>
        <v>3.590918310144936E-2</v>
      </c>
      <c r="N29" s="3">
        <v>7459646.330000001</v>
      </c>
      <c r="O29" s="14">
        <f t="shared" si="8"/>
        <v>4.9847574132452027E-2</v>
      </c>
      <c r="P29" s="3">
        <v>8231977.875</v>
      </c>
      <c r="Q29" s="14">
        <f t="shared" si="9"/>
        <v>5.1435302511137378E-2</v>
      </c>
    </row>
    <row r="30" spans="2:17" x14ac:dyDescent="0.25">
      <c r="B30" s="12" t="s">
        <v>11</v>
      </c>
      <c r="C30" s="16">
        <f t="shared" si="1"/>
        <v>41216.473905734485</v>
      </c>
      <c r="D30" s="16">
        <f t="shared" si="2"/>
        <v>30700.002005740924</v>
      </c>
      <c r="E30" s="16">
        <f t="shared" si="3"/>
        <v>27449.677548401141</v>
      </c>
      <c r="F30" s="16">
        <f t="shared" si="4"/>
        <v>174740.94468496577</v>
      </c>
      <c r="G30" s="16">
        <f t="shared" si="5"/>
        <v>274107.09814484231</v>
      </c>
      <c r="I30" s="12" t="s">
        <v>11</v>
      </c>
      <c r="J30" s="3">
        <v>7391010.6366666667</v>
      </c>
      <c r="K30" s="14">
        <f t="shared" si="6"/>
        <v>5.5929060775114572E-2</v>
      </c>
      <c r="L30" s="3">
        <v>7033646.0766666671</v>
      </c>
      <c r="M30" s="14">
        <f t="shared" si="7"/>
        <v>4.8327433303016018E-2</v>
      </c>
      <c r="N30" s="3">
        <v>6968407.5266666664</v>
      </c>
      <c r="O30" s="14">
        <f t="shared" si="8"/>
        <v>4.6564970429456447E-2</v>
      </c>
      <c r="P30" s="3">
        <v>7558546.9699999997</v>
      </c>
      <c r="Q30" s="14">
        <f t="shared" si="9"/>
        <v>4.7227550395547047E-2</v>
      </c>
    </row>
    <row r="31" spans="2:17" x14ac:dyDescent="0.25">
      <c r="B31" s="12" t="s">
        <v>12</v>
      </c>
      <c r="C31" s="16">
        <f t="shared" si="1"/>
        <v>65660.58299225496</v>
      </c>
      <c r="D31" s="16">
        <f t="shared" si="2"/>
        <v>49289.200204633722</v>
      </c>
      <c r="E31" s="16">
        <f t="shared" si="3"/>
        <v>43340.871390507855</v>
      </c>
      <c r="F31" s="16">
        <f t="shared" si="4"/>
        <v>265072.53102544911</v>
      </c>
      <c r="G31" s="16">
        <f t="shared" si="5"/>
        <v>423363.18561284564</v>
      </c>
      <c r="I31" s="12" t="s">
        <v>12</v>
      </c>
      <c r="J31" s="3">
        <v>11774371.296666667</v>
      </c>
      <c r="K31" s="14">
        <f t="shared" si="6"/>
        <v>8.9098711964109734E-2</v>
      </c>
      <c r="L31" s="3">
        <v>11292598.273333333</v>
      </c>
      <c r="M31" s="14">
        <f t="shared" si="7"/>
        <v>7.7590240385098347E-2</v>
      </c>
      <c r="N31" s="3">
        <v>11002564.743333334</v>
      </c>
      <c r="O31" s="14">
        <f t="shared" si="8"/>
        <v>7.3522408091217281E-2</v>
      </c>
      <c r="P31" s="3">
        <v>11465905.6</v>
      </c>
      <c r="Q31" s="14">
        <f t="shared" si="9"/>
        <v>7.1641631216136398E-2</v>
      </c>
    </row>
    <row r="32" spans="2:17" x14ac:dyDescent="0.25">
      <c r="B32" s="12" t="s">
        <v>22</v>
      </c>
      <c r="C32" s="16">
        <f t="shared" si="1"/>
        <v>0</v>
      </c>
      <c r="D32" s="16">
        <f t="shared" si="2"/>
        <v>0</v>
      </c>
      <c r="E32" s="16">
        <f t="shared" si="3"/>
        <v>0</v>
      </c>
      <c r="F32" s="16">
        <v>0</v>
      </c>
      <c r="G32" s="16">
        <f t="shared" si="5"/>
        <v>0</v>
      </c>
      <c r="I32" s="12" t="s">
        <v>22</v>
      </c>
      <c r="J32" s="3">
        <v>0</v>
      </c>
      <c r="K32" s="14">
        <f t="shared" si="6"/>
        <v>0</v>
      </c>
      <c r="L32" s="3">
        <v>0</v>
      </c>
      <c r="M32" s="14">
        <f t="shared" si="7"/>
        <v>0</v>
      </c>
      <c r="N32" s="3">
        <v>0</v>
      </c>
      <c r="O32" s="14">
        <f t="shared" si="8"/>
        <v>0</v>
      </c>
      <c r="P32" s="3">
        <v>352618.42</v>
      </c>
      <c r="Q32" s="14">
        <f t="shared" si="9"/>
        <v>2.2032414784277218E-3</v>
      </c>
    </row>
    <row r="33" spans="2:17" x14ac:dyDescent="0.25">
      <c r="B33" s="12" t="s">
        <v>21</v>
      </c>
      <c r="C33" s="16">
        <f t="shared" si="1"/>
        <v>0</v>
      </c>
      <c r="D33" s="16">
        <f t="shared" si="2"/>
        <v>0</v>
      </c>
      <c r="E33" s="16">
        <f t="shared" si="3"/>
        <v>0</v>
      </c>
      <c r="F33" s="16">
        <v>0</v>
      </c>
      <c r="G33" s="16">
        <f t="shared" si="5"/>
        <v>0</v>
      </c>
      <c r="I33" s="12" t="s">
        <v>21</v>
      </c>
      <c r="J33" s="3">
        <v>0</v>
      </c>
      <c r="K33" s="14">
        <f t="shared" si="6"/>
        <v>0</v>
      </c>
      <c r="L33" s="3">
        <v>0</v>
      </c>
      <c r="M33" s="14">
        <f t="shared" si="7"/>
        <v>0</v>
      </c>
      <c r="N33" s="3">
        <v>0</v>
      </c>
      <c r="O33" s="14">
        <f t="shared" si="8"/>
        <v>0</v>
      </c>
      <c r="P33" s="3">
        <v>139694.57999999999</v>
      </c>
      <c r="Q33" s="14">
        <f t="shared" si="9"/>
        <v>8.7284405893356225E-4</v>
      </c>
    </row>
    <row r="34" spans="2:17" x14ac:dyDescent="0.25">
      <c r="B34" s="12" t="s">
        <v>13</v>
      </c>
      <c r="C34" s="16">
        <f t="shared" si="1"/>
        <v>27634.746837687719</v>
      </c>
      <c r="D34" s="16">
        <f t="shared" si="2"/>
        <v>26137.365655847709</v>
      </c>
      <c r="E34" s="16">
        <f t="shared" si="3"/>
        <v>24150.921009750458</v>
      </c>
      <c r="F34" s="16">
        <f t="shared" ref="F34:F39" si="10">$F$40*Q34</f>
        <v>158641.61613084844</v>
      </c>
      <c r="G34" s="16">
        <f t="shared" si="5"/>
        <v>236564.64963413432</v>
      </c>
      <c r="I34" s="12" t="s">
        <v>13</v>
      </c>
      <c r="J34" s="3">
        <v>4955511.4366666665</v>
      </c>
      <c r="K34" s="14">
        <f t="shared" si="6"/>
        <v>3.7499215457509165E-2</v>
      </c>
      <c r="L34" s="3">
        <v>5988305.126666666</v>
      </c>
      <c r="M34" s="14">
        <f t="shared" si="7"/>
        <v>4.1145006935612294E-2</v>
      </c>
      <c r="N34" s="3">
        <v>6130981.2999999998</v>
      </c>
      <c r="O34" s="14">
        <f t="shared" si="8"/>
        <v>4.0969039460671999E-2</v>
      </c>
      <c r="P34" s="3">
        <v>6862158.7750000004</v>
      </c>
      <c r="Q34" s="14">
        <f t="shared" si="9"/>
        <v>4.2876355820086663E-2</v>
      </c>
    </row>
    <row r="35" spans="2:17" x14ac:dyDescent="0.25">
      <c r="B35" s="12" t="s">
        <v>14</v>
      </c>
      <c r="C35" s="16">
        <f t="shared" si="1"/>
        <v>10643.795439649879</v>
      </c>
      <c r="D35" s="16">
        <f t="shared" si="2"/>
        <v>8610.1649790465908</v>
      </c>
      <c r="E35" s="16">
        <f t="shared" si="3"/>
        <v>7734.9100079050822</v>
      </c>
      <c r="F35" s="16">
        <f t="shared" si="10"/>
        <v>49260.784945691383</v>
      </c>
      <c r="G35" s="16">
        <f t="shared" si="5"/>
        <v>76249.655372292938</v>
      </c>
      <c r="I35" s="12" t="s">
        <v>14</v>
      </c>
      <c r="J35" s="3">
        <v>1908664.13</v>
      </c>
      <c r="K35" s="14">
        <f t="shared" si="6"/>
        <v>1.4443192869520095E-2</v>
      </c>
      <c r="L35" s="3">
        <v>1972666.0966666667</v>
      </c>
      <c r="M35" s="14">
        <f t="shared" si="7"/>
        <v>1.3553978715539695E-2</v>
      </c>
      <c r="N35" s="3">
        <v>1963593.38</v>
      </c>
      <c r="O35" s="14">
        <f t="shared" si="8"/>
        <v>1.3121314636848477E-2</v>
      </c>
      <c r="P35" s="3">
        <v>2130811.17</v>
      </c>
      <c r="Q35" s="14">
        <f t="shared" si="9"/>
        <v>1.3313801225815439E-2</v>
      </c>
    </row>
    <row r="36" spans="2:17" x14ac:dyDescent="0.25">
      <c r="B36" s="12" t="s">
        <v>15</v>
      </c>
      <c r="C36" s="16">
        <f t="shared" si="1"/>
        <v>76147.985569417127</v>
      </c>
      <c r="D36" s="16">
        <f t="shared" si="2"/>
        <v>65265.762839464413</v>
      </c>
      <c r="E36" s="16">
        <f t="shared" si="3"/>
        <v>61056.813810130363</v>
      </c>
      <c r="F36" s="16">
        <f t="shared" si="10"/>
        <v>393939.70325925812</v>
      </c>
      <c r="G36" s="16">
        <f t="shared" si="5"/>
        <v>596410.26547827001</v>
      </c>
      <c r="I36" s="12" t="s">
        <v>27</v>
      </c>
      <c r="J36" s="3">
        <f>11654990.7833333+2000000</f>
        <v>13654990.7833333</v>
      </c>
      <c r="K36" s="14">
        <f t="shared" si="6"/>
        <v>0.10332968614818687</v>
      </c>
      <c r="L36" s="3">
        <f>12952972.2066667+2000000</f>
        <v>14952972.206666701</v>
      </c>
      <c r="M36" s="14">
        <f t="shared" si="7"/>
        <v>0.10274027995193138</v>
      </c>
      <c r="N36" s="3">
        <f>13499954.7866667+2000000</f>
        <v>15499954.786666701</v>
      </c>
      <c r="O36" s="14">
        <f t="shared" si="8"/>
        <v>0.10357530519520258</v>
      </c>
      <c r="P36" s="3">
        <f>15040149.095+2000000</f>
        <v>17040149.094999999</v>
      </c>
      <c r="Q36" s="14">
        <f t="shared" si="9"/>
        <v>0.1064707943637675</v>
      </c>
    </row>
    <row r="37" spans="2:17" x14ac:dyDescent="0.25">
      <c r="B37" s="12" t="s">
        <v>16</v>
      </c>
      <c r="C37" s="16">
        <f t="shared" si="1"/>
        <v>143025.3116021376</v>
      </c>
      <c r="D37" s="16">
        <f t="shared" si="2"/>
        <v>134327.34707586738</v>
      </c>
      <c r="E37" s="16">
        <f t="shared" si="3"/>
        <v>127572.88382190125</v>
      </c>
      <c r="F37" s="16">
        <f t="shared" si="10"/>
        <v>840816.42980821105</v>
      </c>
      <c r="G37" s="16">
        <f t="shared" si="5"/>
        <v>1245741.9723081174</v>
      </c>
      <c r="I37" s="12" t="s">
        <v>16</v>
      </c>
      <c r="J37" s="3">
        <v>25647550.583333332</v>
      </c>
      <c r="K37" s="14">
        <f t="shared" si="6"/>
        <v>0.19407946840068502</v>
      </c>
      <c r="L37" s="3">
        <v>30775601.173333336</v>
      </c>
      <c r="M37" s="14">
        <f t="shared" si="7"/>
        <v>0.21145587890730794</v>
      </c>
      <c r="N37" s="3">
        <v>32385802.793333333</v>
      </c>
      <c r="O37" s="14">
        <f t="shared" si="8"/>
        <v>0.21641156083865642</v>
      </c>
      <c r="P37" s="3">
        <v>36370127.730000004</v>
      </c>
      <c r="Q37" s="14">
        <f t="shared" si="9"/>
        <v>0.22724897352342027</v>
      </c>
    </row>
    <row r="38" spans="2:17" x14ac:dyDescent="0.25">
      <c r="B38" s="12" t="s">
        <v>17</v>
      </c>
      <c r="C38" s="16">
        <f t="shared" si="1"/>
        <v>18092.535519617617</v>
      </c>
      <c r="D38" s="16">
        <f t="shared" si="2"/>
        <v>22773.46181608575</v>
      </c>
      <c r="E38" s="16">
        <f t="shared" si="3"/>
        <v>18095.458605417356</v>
      </c>
      <c r="F38" s="16">
        <f t="shared" si="10"/>
        <v>107317.75163918237</v>
      </c>
      <c r="G38" s="16">
        <f t="shared" si="5"/>
        <v>166279.2075803031</v>
      </c>
      <c r="I38" s="12" t="s">
        <v>17</v>
      </c>
      <c r="J38" s="3">
        <v>3244385.31</v>
      </c>
      <c r="K38" s="14">
        <f t="shared" si="6"/>
        <v>2.4550826957369262E-2</v>
      </c>
      <c r="L38" s="3">
        <v>5217604.5566666676</v>
      </c>
      <c r="M38" s="14">
        <f t="shared" si="7"/>
        <v>3.5849605377545453E-2</v>
      </c>
      <c r="N38" s="3">
        <v>4593734.47</v>
      </c>
      <c r="O38" s="14">
        <f t="shared" si="8"/>
        <v>3.0696699201036411E-2</v>
      </c>
      <c r="P38" s="3">
        <v>4642107.5949999997</v>
      </c>
      <c r="Q38" s="14">
        <f t="shared" si="9"/>
        <v>2.900496236307892E-2</v>
      </c>
    </row>
    <row r="39" spans="2:17" x14ac:dyDescent="0.25">
      <c r="B39" s="12" t="s">
        <v>18</v>
      </c>
      <c r="C39" s="16">
        <f t="shared" si="1"/>
        <v>128500.92996286988</v>
      </c>
      <c r="D39" s="16">
        <f t="shared" si="2"/>
        <v>102740.58258418694</v>
      </c>
      <c r="E39" s="16">
        <f t="shared" si="3"/>
        <v>90863.933867919564</v>
      </c>
      <c r="F39" s="16">
        <f t="shared" si="10"/>
        <v>575964.32160751359</v>
      </c>
      <c r="G39" s="16">
        <f t="shared" si="5"/>
        <v>898069.76802248997</v>
      </c>
      <c r="I39" s="12" t="s">
        <v>18</v>
      </c>
      <c r="J39" s="3">
        <v>23043012.906666666</v>
      </c>
      <c r="K39" s="14">
        <f t="shared" si="6"/>
        <v>0.17437047958030602</v>
      </c>
      <c r="L39" s="3">
        <v>23538789.849999998</v>
      </c>
      <c r="M39" s="14">
        <f t="shared" si="7"/>
        <v>0.16173251882595346</v>
      </c>
      <c r="N39" s="3">
        <v>23066825.449999999</v>
      </c>
      <c r="O39" s="14">
        <f t="shared" si="8"/>
        <v>0.15413938419506892</v>
      </c>
      <c r="P39" s="3">
        <v>24913756.68</v>
      </c>
      <c r="Q39" s="14">
        <f t="shared" si="9"/>
        <v>0.15566691638182636</v>
      </c>
    </row>
    <row r="40" spans="2:17" x14ac:dyDescent="0.25">
      <c r="B40" s="15" t="s">
        <v>24</v>
      </c>
      <c r="C40" s="16">
        <f>$C$21-(C18+C19+C20)</f>
        <v>736942</v>
      </c>
      <c r="D40" s="16">
        <f>$D$21-(D18+D19+D20)</f>
        <v>635250</v>
      </c>
      <c r="E40" s="16">
        <f>$E$21-(E18+E19+E20)</f>
        <v>589492</v>
      </c>
      <c r="F40" s="16">
        <f>$F$21-(F18+F19+F20)</f>
        <v>3699979</v>
      </c>
      <c r="G40" s="16">
        <f>$C$21-(G18+G19+G20)</f>
        <v>599014</v>
      </c>
      <c r="I40" s="15" t="s">
        <v>24</v>
      </c>
      <c r="J40" s="3">
        <f t="shared" ref="J40:O40" si="11">SUM(J26:J39)</f>
        <v>132149736.36666663</v>
      </c>
      <c r="K40" s="19">
        <f t="shared" si="11"/>
        <v>1</v>
      </c>
      <c r="L40" s="3">
        <f t="shared" si="11"/>
        <v>145541478.12000003</v>
      </c>
      <c r="M40" s="19">
        <f t="shared" si="11"/>
        <v>1</v>
      </c>
      <c r="N40" s="3">
        <f t="shared" si="11"/>
        <v>149649134.58333337</v>
      </c>
      <c r="O40" s="19">
        <f t="shared" si="11"/>
        <v>0.99999999999999989</v>
      </c>
      <c r="P40" s="3">
        <f>SUM(P26:P39)-(P32+P33)</f>
        <v>160045289.38500002</v>
      </c>
      <c r="Q40" s="19">
        <f>SUM(Q26:Q39)-(Q32+Q33)</f>
        <v>0.99999999999999978</v>
      </c>
    </row>
    <row r="43" spans="2:17" ht="15.75" x14ac:dyDescent="0.25">
      <c r="B43" s="44" t="s">
        <v>142</v>
      </c>
      <c r="C43" s="44"/>
      <c r="D43" s="44"/>
      <c r="E43" s="44"/>
      <c r="F43" s="44"/>
      <c r="G43" s="44"/>
      <c r="I43" s="44" t="s">
        <v>166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-147.3603641755326</v>
      </c>
      <c r="D45" s="16">
        <f>D26-D4</f>
        <v>0.95399785540939774</v>
      </c>
      <c r="E45" s="16">
        <f>E26-E4</f>
        <v>0.3519011144671822</v>
      </c>
      <c r="F45" s="16">
        <f>F26-F4</f>
        <v>198.60686363937566</v>
      </c>
      <c r="G45" s="16">
        <f t="shared" ref="G45:G59" si="12">SUM(C45+D45+E45+F45)</f>
        <v>52.552398433719645</v>
      </c>
      <c r="I45" s="15" t="s">
        <v>153</v>
      </c>
      <c r="J45" s="12" t="s">
        <v>155</v>
      </c>
    </row>
    <row r="46" spans="2:17" x14ac:dyDescent="0.25">
      <c r="B46" s="12" t="s">
        <v>8</v>
      </c>
      <c r="C46" s="16">
        <f t="shared" ref="C46:F58" si="13">C27-C5</f>
        <v>-1321.1692102894303</v>
      </c>
      <c r="D46" s="16">
        <f t="shared" si="13"/>
        <v>0.8660643573384732</v>
      </c>
      <c r="E46" s="16">
        <f t="shared" si="13"/>
        <v>-3.7527065946924267</v>
      </c>
      <c r="F46" s="16">
        <f t="shared" si="13"/>
        <v>2736.3160429426935</v>
      </c>
      <c r="G46" s="16">
        <f t="shared" si="12"/>
        <v>1412.2601904159092</v>
      </c>
      <c r="I46" s="15" t="s">
        <v>154</v>
      </c>
      <c r="J46" t="s">
        <v>189</v>
      </c>
    </row>
    <row r="47" spans="2:17" x14ac:dyDescent="0.25">
      <c r="B47" s="12" t="s">
        <v>9</v>
      </c>
      <c r="C47" s="16">
        <f t="shared" si="13"/>
        <v>3851.2213499252557</v>
      </c>
      <c r="D47" s="16">
        <f t="shared" si="13"/>
        <v>0.98421171812879038</v>
      </c>
      <c r="E47" s="16">
        <f t="shared" si="13"/>
        <v>0.18457305968695437</v>
      </c>
      <c r="F47" s="16">
        <f t="shared" si="13"/>
        <v>218.45484244233376</v>
      </c>
      <c r="G47" s="16">
        <f t="shared" si="12"/>
        <v>4070.8449771454052</v>
      </c>
    </row>
    <row r="48" spans="2:17" x14ac:dyDescent="0.25">
      <c r="B48" s="12" t="s">
        <v>10</v>
      </c>
      <c r="C48" s="16">
        <f t="shared" si="13"/>
        <v>-2118.0536048295435</v>
      </c>
      <c r="D48" s="16">
        <f t="shared" si="13"/>
        <v>0.30856519570443197</v>
      </c>
      <c r="E48" s="16">
        <f t="shared" si="13"/>
        <v>-0.25382951258870889</v>
      </c>
      <c r="F48" s="16">
        <f t="shared" si="13"/>
        <v>806.53914985555457</v>
      </c>
      <c r="G48" s="16">
        <f t="shared" si="12"/>
        <v>-1311.4597192908732</v>
      </c>
    </row>
    <row r="49" spans="2:7" x14ac:dyDescent="0.25">
      <c r="B49" s="12" t="s">
        <v>11</v>
      </c>
      <c r="C49" s="16">
        <f t="shared" si="13"/>
        <v>-844.52609426551498</v>
      </c>
      <c r="D49" s="16">
        <f t="shared" si="13"/>
        <v>2.0057409237779211E-3</v>
      </c>
      <c r="E49" s="16">
        <f t="shared" si="13"/>
        <v>-0.3224515988586063</v>
      </c>
      <c r="F49" s="16">
        <f t="shared" si="13"/>
        <v>740.94468496576883</v>
      </c>
      <c r="G49" s="16">
        <f t="shared" si="12"/>
        <v>-103.90185515768098</v>
      </c>
    </row>
    <row r="50" spans="2:7" x14ac:dyDescent="0.25">
      <c r="B50" s="12" t="s">
        <v>12</v>
      </c>
      <c r="C50" s="16">
        <f t="shared" si="13"/>
        <v>296.58299225496012</v>
      </c>
      <c r="D50" s="16">
        <f t="shared" si="13"/>
        <v>1.2002046337220236</v>
      </c>
      <c r="E50" s="16">
        <f t="shared" si="13"/>
        <v>0.87139050785481231</v>
      </c>
      <c r="F50" s="16">
        <f t="shared" si="13"/>
        <v>-13722.468974550895</v>
      </c>
      <c r="G50" s="16">
        <f t="shared" si="12"/>
        <v>-13423.814387154358</v>
      </c>
    </row>
    <row r="51" spans="2:7" x14ac:dyDescent="0.25">
      <c r="B51" s="12" t="s">
        <v>22</v>
      </c>
      <c r="C51" s="16">
        <f t="shared" si="13"/>
        <v>0</v>
      </c>
      <c r="D51" s="16">
        <f t="shared" si="13"/>
        <v>0</v>
      </c>
      <c r="E51" s="16">
        <f t="shared" si="13"/>
        <v>0</v>
      </c>
      <c r="F51" s="16">
        <f t="shared" si="13"/>
        <v>0</v>
      </c>
      <c r="G51" s="16">
        <f t="shared" si="12"/>
        <v>0</v>
      </c>
    </row>
    <row r="52" spans="2:7" x14ac:dyDescent="0.25">
      <c r="B52" s="12" t="s">
        <v>21</v>
      </c>
      <c r="C52" s="16">
        <f t="shared" si="13"/>
        <v>0</v>
      </c>
      <c r="D52" s="16">
        <f t="shared" si="13"/>
        <v>0</v>
      </c>
      <c r="E52" s="16">
        <f t="shared" si="13"/>
        <v>0</v>
      </c>
      <c r="F52" s="16">
        <f t="shared" si="13"/>
        <v>0</v>
      </c>
      <c r="G52" s="16">
        <f t="shared" si="12"/>
        <v>0</v>
      </c>
    </row>
    <row r="53" spans="2:7" x14ac:dyDescent="0.25">
      <c r="B53" s="12" t="s">
        <v>13</v>
      </c>
      <c r="C53" s="16">
        <f t="shared" si="13"/>
        <v>-84.253162312281347</v>
      </c>
      <c r="D53" s="16">
        <f t="shared" si="13"/>
        <v>0.36565584770869464</v>
      </c>
      <c r="E53" s="16">
        <f t="shared" si="13"/>
        <v>0.92100975045832456</v>
      </c>
      <c r="F53" s="16">
        <f t="shared" si="13"/>
        <v>672.6161308484443</v>
      </c>
      <c r="G53" s="16">
        <f t="shared" si="12"/>
        <v>589.64963413432997</v>
      </c>
    </row>
    <row r="54" spans="2:7" x14ac:dyDescent="0.25">
      <c r="B54" s="12" t="s">
        <v>14</v>
      </c>
      <c r="C54" s="16">
        <f t="shared" si="13"/>
        <v>90.795439649878972</v>
      </c>
      <c r="D54" s="16">
        <f t="shared" si="13"/>
        <v>0.16497904659081541</v>
      </c>
      <c r="E54" s="16">
        <f t="shared" si="13"/>
        <v>0.91000790508223872</v>
      </c>
      <c r="F54" s="16">
        <f t="shared" si="13"/>
        <v>208.78494569138275</v>
      </c>
      <c r="G54" s="16">
        <f t="shared" si="12"/>
        <v>300.65537229293477</v>
      </c>
    </row>
    <row r="55" spans="2:7" x14ac:dyDescent="0.25">
      <c r="B55" s="12" t="s">
        <v>15</v>
      </c>
      <c r="C55" s="16">
        <f t="shared" si="13"/>
        <v>-502.01443058287259</v>
      </c>
      <c r="D55" s="16">
        <f t="shared" si="13"/>
        <v>1.7628394644125365</v>
      </c>
      <c r="E55" s="16">
        <f t="shared" si="13"/>
        <v>0.813810130362981</v>
      </c>
      <c r="F55" s="16">
        <f t="shared" si="13"/>
        <v>1669.7032592581236</v>
      </c>
      <c r="G55" s="16">
        <f t="shared" si="12"/>
        <v>1170.2654782700265</v>
      </c>
    </row>
    <row r="56" spans="2:7" x14ac:dyDescent="0.25">
      <c r="B56" s="12" t="s">
        <v>16</v>
      </c>
      <c r="C56" s="16">
        <f t="shared" si="13"/>
        <v>-882.6883978623955</v>
      </c>
      <c r="D56" s="16">
        <f t="shared" si="13"/>
        <v>0.34707586737931706</v>
      </c>
      <c r="E56" s="16">
        <f t="shared" si="13"/>
        <v>-0.11617809874587692</v>
      </c>
      <c r="F56" s="16">
        <f t="shared" si="13"/>
        <v>3574.4298082110472</v>
      </c>
      <c r="G56" s="16">
        <f t="shared" si="12"/>
        <v>2691.9723081172851</v>
      </c>
    </row>
    <row r="57" spans="2:7" x14ac:dyDescent="0.25">
      <c r="B57" s="12" t="s">
        <v>17</v>
      </c>
      <c r="C57" s="16">
        <f t="shared" si="13"/>
        <v>177.53551961761696</v>
      </c>
      <c r="D57" s="16">
        <f t="shared" si="13"/>
        <v>-8.5381839142501121</v>
      </c>
      <c r="E57" s="16">
        <f t="shared" si="13"/>
        <v>0.45860541735601146</v>
      </c>
      <c r="F57" s="16">
        <f t="shared" si="13"/>
        <v>454.75163918237376</v>
      </c>
      <c r="G57" s="16">
        <f t="shared" si="12"/>
        <v>624.20758030309662</v>
      </c>
    </row>
    <row r="58" spans="2:7" x14ac:dyDescent="0.25">
      <c r="B58" s="12" t="s">
        <v>18</v>
      </c>
      <c r="C58" s="16">
        <f t="shared" si="13"/>
        <v>1483.9299628698791</v>
      </c>
      <c r="D58" s="16">
        <f t="shared" si="13"/>
        <v>1.5825841869373107</v>
      </c>
      <c r="E58" s="16">
        <f t="shared" si="13"/>
        <v>-6.6132080435636453E-2</v>
      </c>
      <c r="F58" s="16">
        <f t="shared" si="13"/>
        <v>2441.3216075135861</v>
      </c>
      <c r="G58" s="16">
        <f t="shared" si="12"/>
        <v>3926.7680224899668</v>
      </c>
    </row>
    <row r="59" spans="2:7" x14ac:dyDescent="0.25">
      <c r="B59" s="15" t="s">
        <v>24</v>
      </c>
      <c r="C59" s="16">
        <f>SUM(C45:C58)</f>
        <v>2.0008883439004421E-11</v>
      </c>
      <c r="D59" s="16">
        <f>SUM(D45:D58)</f>
        <v>5.4569682106375694E-12</v>
      </c>
      <c r="E59" s="16">
        <f>SUM(E45:E58)</f>
        <v>-5.2750692702829838E-11</v>
      </c>
      <c r="F59" s="16">
        <f>SUM(F45:F58)</f>
        <v>-2.1100277081131935E-10</v>
      </c>
      <c r="G59" s="16">
        <f t="shared" si="12"/>
        <v>-2.382876118645072E-10</v>
      </c>
    </row>
  </sheetData>
  <sheetProtection algorithmName="SHA-512" hashValue="umoZ/eAAXO2D//egr/XbqVU7asiAAAn6BNGPew3fc+EJZEsXH5EtJJOcs2TKAqFuBjK00DZZgCe+C/e+cvPsng==" saltValue="0PJ3yE4YHKrHGv69cMwFpA==" spinCount="100000" sheet="1" objects="1" scenarios="1"/>
  <mergeCells count="6">
    <mergeCell ref="B2:G2"/>
    <mergeCell ref="I2:Q2"/>
    <mergeCell ref="B24:G24"/>
    <mergeCell ref="I24:Q24"/>
    <mergeCell ref="B43:G43"/>
    <mergeCell ref="I43:Q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8195-9324-4DF6-8DFC-3C40139D7487}">
  <dimension ref="B2:Q59"/>
  <sheetViews>
    <sheetView workbookViewId="0">
      <selection activeCell="B3" sqref="B3"/>
    </sheetView>
  </sheetViews>
  <sheetFormatPr defaultColWidth="9.140625" defaultRowHeight="15" x14ac:dyDescent="0.25"/>
  <cols>
    <col min="1" max="2" width="9.140625" style="12"/>
    <col min="3" max="3" width="13.42578125" style="12" bestFit="1" customWidth="1"/>
    <col min="4" max="4" width="12.5703125" style="12" bestFit="1" customWidth="1"/>
    <col min="5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56</v>
      </c>
      <c r="C2" s="44"/>
      <c r="D2" s="44"/>
      <c r="E2" s="44"/>
      <c r="F2" s="44"/>
      <c r="G2" s="44"/>
      <c r="H2" s="11"/>
      <c r="I2" s="44" t="s">
        <v>57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2</v>
      </c>
      <c r="K3" s="13"/>
      <c r="L3" s="13" t="s">
        <v>3</v>
      </c>
      <c r="M3" s="13"/>
      <c r="N3" s="13" t="s">
        <v>4</v>
      </c>
      <c r="O3" s="13"/>
      <c r="P3" s="13" t="s">
        <v>26</v>
      </c>
      <c r="Q3" s="13"/>
    </row>
    <row r="4" spans="2:17" x14ac:dyDescent="0.25">
      <c r="B4" s="12" t="s">
        <v>7</v>
      </c>
      <c r="C4" s="3">
        <v>35837</v>
      </c>
      <c r="D4" s="5">
        <v>27635</v>
      </c>
      <c r="E4" s="5">
        <v>65667</v>
      </c>
      <c r="F4" s="5">
        <v>319690</v>
      </c>
      <c r="G4" s="5">
        <f t="shared" ref="G4:G20" si="0">C4+D4+E4+F4</f>
        <v>448829</v>
      </c>
      <c r="I4" s="12" t="s">
        <v>7</v>
      </c>
      <c r="J4" s="3">
        <v>8084552.9100000001</v>
      </c>
      <c r="K4" s="14"/>
      <c r="L4" s="3">
        <v>8110268.9733333327</v>
      </c>
      <c r="M4" s="14"/>
      <c r="N4" s="3">
        <v>7929678.8833333328</v>
      </c>
      <c r="O4" s="14"/>
      <c r="P4" s="3">
        <v>8339356.7250000006</v>
      </c>
      <c r="Q4" s="14"/>
    </row>
    <row r="5" spans="2:17" x14ac:dyDescent="0.25">
      <c r="B5" s="12" t="s">
        <v>8</v>
      </c>
      <c r="C5" s="3">
        <v>116826</v>
      </c>
      <c r="D5" s="3">
        <v>97643</v>
      </c>
      <c r="E5" s="3">
        <v>249708</v>
      </c>
      <c r="F5" s="3">
        <v>1240841</v>
      </c>
      <c r="G5" s="5">
        <f t="shared" si="0"/>
        <v>1705018</v>
      </c>
      <c r="I5" s="12" t="s">
        <v>8</v>
      </c>
      <c r="J5" s="3">
        <v>26354733.903333336</v>
      </c>
      <c r="K5" s="14"/>
      <c r="L5" s="3">
        <v>29128855.016666669</v>
      </c>
      <c r="M5" s="14"/>
      <c r="N5" s="3">
        <v>30153909.206666667</v>
      </c>
      <c r="O5" s="14"/>
      <c r="P5" s="3">
        <v>32643958.170000002</v>
      </c>
      <c r="Q5" s="14"/>
    </row>
    <row r="6" spans="2:17" x14ac:dyDescent="0.25">
      <c r="B6" s="12" t="s">
        <v>9</v>
      </c>
      <c r="C6" s="3">
        <v>22121</v>
      </c>
      <c r="D6" s="3">
        <v>15673</v>
      </c>
      <c r="E6" s="3">
        <v>33136</v>
      </c>
      <c r="F6" s="3">
        <v>193020</v>
      </c>
      <c r="G6" s="5">
        <f t="shared" si="0"/>
        <v>263950</v>
      </c>
      <c r="I6" s="12" t="s">
        <v>9</v>
      </c>
      <c r="J6" s="3">
        <v>4990431.793333333</v>
      </c>
      <c r="K6" s="14"/>
      <c r="L6" s="3">
        <v>4675496.8833333338</v>
      </c>
      <c r="M6" s="14"/>
      <c r="N6" s="3">
        <v>4001395.78</v>
      </c>
      <c r="O6" s="14"/>
      <c r="P6" s="3">
        <v>4440707.3149999995</v>
      </c>
      <c r="Q6" s="14"/>
    </row>
    <row r="7" spans="2:17" x14ac:dyDescent="0.25">
      <c r="B7" s="12" t="s">
        <v>10</v>
      </c>
      <c r="C7" s="3">
        <v>39979</v>
      </c>
      <c r="D7" s="3">
        <v>27943</v>
      </c>
      <c r="E7" s="3">
        <v>62500</v>
      </c>
      <c r="F7" s="3">
        <v>319475</v>
      </c>
      <c r="G7" s="5">
        <f t="shared" si="0"/>
        <v>449897</v>
      </c>
      <c r="I7" s="12" t="s">
        <v>10</v>
      </c>
      <c r="J7" s="3">
        <v>9018817.5333333332</v>
      </c>
      <c r="K7" s="14"/>
      <c r="L7" s="3">
        <v>8335774.5000000009</v>
      </c>
      <c r="M7" s="14"/>
      <c r="N7" s="3">
        <v>7357496.169999999</v>
      </c>
      <c r="O7" s="14"/>
      <c r="P7" s="3">
        <v>7832954.8250000002</v>
      </c>
      <c r="Q7" s="14"/>
    </row>
    <row r="8" spans="2:17" x14ac:dyDescent="0.25">
      <c r="B8" s="12" t="s">
        <v>11</v>
      </c>
      <c r="C8" s="3">
        <v>27865</v>
      </c>
      <c r="D8" s="3">
        <v>25947</v>
      </c>
      <c r="E8" s="3">
        <v>63063</v>
      </c>
      <c r="F8" s="3">
        <v>323738</v>
      </c>
      <c r="G8" s="5">
        <f t="shared" si="0"/>
        <v>440613</v>
      </c>
      <c r="I8" s="12" t="s">
        <v>11</v>
      </c>
      <c r="J8" s="3">
        <v>6286038.1200000001</v>
      </c>
      <c r="K8" s="14"/>
      <c r="L8" s="3">
        <v>7740365.9233333329</v>
      </c>
      <c r="M8" s="14"/>
      <c r="N8" s="3">
        <v>7615319.1133333333</v>
      </c>
      <c r="O8" s="14"/>
      <c r="P8" s="3">
        <v>8251586.9649999999</v>
      </c>
      <c r="Q8" s="14"/>
    </row>
    <row r="9" spans="2:17" x14ac:dyDescent="0.25">
      <c r="B9" s="12" t="s">
        <v>12</v>
      </c>
      <c r="C9" s="3">
        <v>27882</v>
      </c>
      <c r="D9" s="3">
        <v>19625</v>
      </c>
      <c r="E9" s="3">
        <v>50675</v>
      </c>
      <c r="F9" s="3">
        <v>258926</v>
      </c>
      <c r="G9" s="5">
        <f t="shared" si="0"/>
        <v>357108</v>
      </c>
      <c r="I9" s="12" t="s">
        <v>12</v>
      </c>
      <c r="J9" s="3">
        <v>6289947.8099999996</v>
      </c>
      <c r="K9" s="14"/>
      <c r="L9" s="3">
        <v>5854355.336666666</v>
      </c>
      <c r="M9" s="14"/>
      <c r="N9" s="3">
        <v>6119472.3433333337</v>
      </c>
      <c r="O9" s="14"/>
      <c r="P9" s="3">
        <v>10276820.154999999</v>
      </c>
      <c r="Q9" s="14"/>
    </row>
    <row r="10" spans="2:17" x14ac:dyDescent="0.25">
      <c r="B10" s="12" t="s">
        <v>22</v>
      </c>
      <c r="C10" s="3">
        <v>0</v>
      </c>
      <c r="D10" s="3">
        <v>0</v>
      </c>
      <c r="E10" s="3">
        <v>0</v>
      </c>
      <c r="F10" s="3">
        <v>0</v>
      </c>
      <c r="G10" s="5">
        <f t="shared" si="0"/>
        <v>0</v>
      </c>
      <c r="I10" s="12" t="s">
        <v>22</v>
      </c>
      <c r="J10" s="3">
        <v>0</v>
      </c>
      <c r="K10" s="14"/>
      <c r="L10" s="3">
        <v>0</v>
      </c>
      <c r="M10" s="14"/>
      <c r="N10" s="3">
        <v>0</v>
      </c>
      <c r="O10" s="14"/>
      <c r="P10" s="3">
        <v>0</v>
      </c>
      <c r="Q10" s="14"/>
    </row>
    <row r="11" spans="2:17" x14ac:dyDescent="0.25">
      <c r="B11" s="12" t="s">
        <v>21</v>
      </c>
      <c r="C11" s="3">
        <v>0</v>
      </c>
      <c r="D11" s="3">
        <v>0</v>
      </c>
      <c r="E11" s="3">
        <v>0</v>
      </c>
      <c r="F11" s="3">
        <v>0</v>
      </c>
      <c r="G11" s="5">
        <f t="shared" si="0"/>
        <v>0</v>
      </c>
      <c r="I11" s="12" t="s">
        <v>21</v>
      </c>
      <c r="J11" s="3">
        <v>0</v>
      </c>
      <c r="K11" s="14"/>
      <c r="L11" s="3">
        <v>0</v>
      </c>
      <c r="M11" s="14"/>
      <c r="N11" s="3">
        <v>0</v>
      </c>
      <c r="O11" s="14"/>
      <c r="P11" s="3">
        <v>0</v>
      </c>
      <c r="Q11" s="14"/>
    </row>
    <row r="12" spans="2:17" x14ac:dyDescent="0.25">
      <c r="B12" s="12" t="s">
        <v>13</v>
      </c>
      <c r="C12" s="3">
        <v>22340</v>
      </c>
      <c r="D12" s="3">
        <v>20022</v>
      </c>
      <c r="E12" s="3">
        <v>49490</v>
      </c>
      <c r="F12" s="3">
        <v>256752</v>
      </c>
      <c r="G12" s="5">
        <f t="shared" si="0"/>
        <v>348604</v>
      </c>
      <c r="I12" s="12" t="s">
        <v>13</v>
      </c>
      <c r="J12" s="3">
        <v>5039785.8099999996</v>
      </c>
      <c r="K12" s="14"/>
      <c r="L12" s="3">
        <v>5972934.7266666666</v>
      </c>
      <c r="M12" s="14"/>
      <c r="N12" s="3">
        <v>5976289.9766666666</v>
      </c>
      <c r="O12" s="14"/>
      <c r="P12" s="3">
        <v>6642235.1850000005</v>
      </c>
      <c r="Q12" s="14"/>
    </row>
    <row r="13" spans="2:17" x14ac:dyDescent="0.25">
      <c r="B13" s="12" t="s">
        <v>14</v>
      </c>
      <c r="C13" s="3">
        <v>8149</v>
      </c>
      <c r="D13" s="3">
        <v>6460</v>
      </c>
      <c r="E13" s="3">
        <v>16034</v>
      </c>
      <c r="F13" s="3">
        <v>86539</v>
      </c>
      <c r="G13" s="5">
        <f t="shared" si="0"/>
        <v>117182</v>
      </c>
      <c r="I13" s="12" t="s">
        <v>14</v>
      </c>
      <c r="J13" s="3">
        <v>1838367.5166666666</v>
      </c>
      <c r="K13" s="14"/>
      <c r="L13" s="3">
        <v>1927177.67</v>
      </c>
      <c r="M13" s="14"/>
      <c r="N13" s="3">
        <v>1936209.6900000002</v>
      </c>
      <c r="O13" s="14"/>
      <c r="P13" s="3">
        <v>2241465.13</v>
      </c>
      <c r="Q13" s="14"/>
    </row>
    <row r="14" spans="2:17" x14ac:dyDescent="0.25">
      <c r="B14" s="12" t="s">
        <v>15</v>
      </c>
      <c r="C14" s="3">
        <v>56563</v>
      </c>
      <c r="D14" s="3">
        <v>57101</v>
      </c>
      <c r="E14" s="3">
        <v>137822.24</v>
      </c>
      <c r="F14" s="3">
        <v>674427</v>
      </c>
      <c r="G14" s="5">
        <f t="shared" si="0"/>
        <v>925913.24</v>
      </c>
      <c r="I14" s="12" t="s">
        <v>15</v>
      </c>
      <c r="J14" s="3">
        <v>10760304.953333333</v>
      </c>
      <c r="K14" s="14"/>
      <c r="L14" s="3">
        <v>15034464.556666667</v>
      </c>
      <c r="M14" s="14"/>
      <c r="N14" s="3">
        <v>14642976.719999999</v>
      </c>
      <c r="O14" s="14"/>
      <c r="P14" s="3">
        <v>15636572.445</v>
      </c>
      <c r="Q14" s="14"/>
    </row>
    <row r="15" spans="2:17" x14ac:dyDescent="0.25">
      <c r="B15" s="12" t="s">
        <v>16</v>
      </c>
      <c r="C15" s="3">
        <v>115957</v>
      </c>
      <c r="D15" s="3">
        <v>106204</v>
      </c>
      <c r="E15" s="3">
        <v>286292</v>
      </c>
      <c r="F15" s="3">
        <v>1509210</v>
      </c>
      <c r="G15" s="5">
        <f t="shared" si="0"/>
        <v>2017663</v>
      </c>
      <c r="I15" s="12" t="s">
        <v>16</v>
      </c>
      <c r="J15" s="3">
        <v>26158703.313333333</v>
      </c>
      <c r="K15" s="14"/>
      <c r="L15" s="3">
        <v>31682612.363333333</v>
      </c>
      <c r="M15" s="14"/>
      <c r="N15" s="3">
        <v>34571663.550000004</v>
      </c>
      <c r="O15" s="14"/>
      <c r="P15" s="3">
        <v>37891079.530000001</v>
      </c>
      <c r="Q15" s="14"/>
    </row>
    <row r="16" spans="2:17" x14ac:dyDescent="0.25">
      <c r="B16" s="12" t="s">
        <v>17</v>
      </c>
      <c r="C16" s="3">
        <v>12237</v>
      </c>
      <c r="D16" s="3">
        <v>9565</v>
      </c>
      <c r="E16" s="3">
        <v>36343</v>
      </c>
      <c r="F16" s="3">
        <v>174431</v>
      </c>
      <c r="G16" s="5">
        <f t="shared" si="0"/>
        <v>232576</v>
      </c>
      <c r="I16" s="12" t="s">
        <v>17</v>
      </c>
      <c r="J16" s="3">
        <v>2760567.7733333334</v>
      </c>
      <c r="K16" s="14"/>
      <c r="L16" s="3">
        <v>2853433.6966666668</v>
      </c>
      <c r="M16" s="14"/>
      <c r="N16" s="3">
        <v>4389040.7666666666</v>
      </c>
      <c r="O16" s="14"/>
      <c r="P16" s="3">
        <v>4492991.3149999995</v>
      </c>
      <c r="Q16" s="14"/>
    </row>
    <row r="17" spans="2:17" x14ac:dyDescent="0.25">
      <c r="B17" s="12" t="s">
        <v>18</v>
      </c>
      <c r="C17" s="3">
        <v>95736</v>
      </c>
      <c r="D17" s="3">
        <v>77710</v>
      </c>
      <c r="E17" s="3">
        <v>185302</v>
      </c>
      <c r="F17" s="3">
        <v>938481</v>
      </c>
      <c r="G17" s="5">
        <f t="shared" si="0"/>
        <v>1297229</v>
      </c>
      <c r="I17" s="12" t="s">
        <v>18</v>
      </c>
      <c r="J17" s="3">
        <v>21597015.883333333</v>
      </c>
      <c r="K17" s="14"/>
      <c r="L17" s="3">
        <v>23182172.236666668</v>
      </c>
      <c r="M17" s="14"/>
      <c r="N17" s="3">
        <v>22376427.893333334</v>
      </c>
      <c r="O17" s="14"/>
      <c r="P17" s="3">
        <v>24447509.690000001</v>
      </c>
      <c r="Q17" s="14"/>
    </row>
    <row r="18" spans="2:17" x14ac:dyDescent="0.25">
      <c r="B18" s="29" t="s">
        <v>19</v>
      </c>
      <c r="C18" s="30">
        <v>545</v>
      </c>
      <c r="D18" s="30">
        <v>493</v>
      </c>
      <c r="E18" s="30">
        <v>1377</v>
      </c>
      <c r="F18" s="30">
        <v>7068</v>
      </c>
      <c r="G18" s="31">
        <f t="shared" si="0"/>
        <v>9483</v>
      </c>
      <c r="I18" s="29" t="s">
        <v>19</v>
      </c>
      <c r="J18" s="30">
        <v>122965.25666666667</v>
      </c>
      <c r="K18" s="32"/>
      <c r="L18" s="30">
        <v>147001.82333333333</v>
      </c>
      <c r="M18" s="32"/>
      <c r="N18" s="30">
        <v>166270.80666666667</v>
      </c>
      <c r="O18" s="32"/>
      <c r="P18" s="30">
        <v>188220.39</v>
      </c>
      <c r="Q18" s="14"/>
    </row>
    <row r="19" spans="2:17" x14ac:dyDescent="0.25">
      <c r="B19" s="29" t="s">
        <v>20</v>
      </c>
      <c r="C19" s="30">
        <v>745</v>
      </c>
      <c r="D19" s="30">
        <v>751</v>
      </c>
      <c r="E19" s="30">
        <v>2491</v>
      </c>
      <c r="F19" s="30">
        <v>9251</v>
      </c>
      <c r="G19" s="31">
        <f t="shared" si="0"/>
        <v>13238</v>
      </c>
      <c r="I19" s="29" t="s">
        <v>20</v>
      </c>
      <c r="J19" s="30">
        <v>166272.84333333335</v>
      </c>
      <c r="K19" s="32"/>
      <c r="L19" s="30">
        <v>224073.99</v>
      </c>
      <c r="M19" s="32"/>
      <c r="N19" s="30">
        <v>300789.18333333335</v>
      </c>
      <c r="O19" s="32"/>
      <c r="P19" s="30">
        <v>191865.16499999998</v>
      </c>
      <c r="Q19" s="14"/>
    </row>
    <row r="20" spans="2:17" x14ac:dyDescent="0.25">
      <c r="B20" s="29" t="s">
        <v>23</v>
      </c>
      <c r="C20" s="30">
        <v>17218</v>
      </c>
      <c r="D20" s="30">
        <v>13932</v>
      </c>
      <c r="E20" s="30">
        <v>26662</v>
      </c>
      <c r="F20" s="30">
        <v>112197</v>
      </c>
      <c r="G20" s="31">
        <f t="shared" si="0"/>
        <v>170009</v>
      </c>
      <c r="I20" s="29" t="s">
        <v>23</v>
      </c>
      <c r="J20" s="30">
        <v>3884220.8566666669</v>
      </c>
      <c r="K20" s="32"/>
      <c r="L20" s="30">
        <v>4156196.8366666664</v>
      </c>
      <c r="M20" s="32"/>
      <c r="N20" s="30">
        <v>3409251.51</v>
      </c>
      <c r="O20" s="32"/>
      <c r="P20" s="30">
        <v>2940294.585</v>
      </c>
      <c r="Q20" s="14"/>
    </row>
    <row r="21" spans="2:17" x14ac:dyDescent="0.25">
      <c r="B21" s="15" t="s">
        <v>24</v>
      </c>
      <c r="C21" s="16">
        <f>SUM(C4:C20)</f>
        <v>600000</v>
      </c>
      <c r="D21" s="3">
        <f>SUM(D4:D20)</f>
        <v>506704</v>
      </c>
      <c r="E21" s="3">
        <f>SUM(E4:E20)</f>
        <v>1266562.24</v>
      </c>
      <c r="F21" s="3">
        <f>SUM(F4:F20)</f>
        <v>6424046</v>
      </c>
      <c r="G21" s="3">
        <f>SUM(G4:G20)</f>
        <v>8797312.2400000002</v>
      </c>
      <c r="I21" s="15" t="s">
        <v>24</v>
      </c>
      <c r="J21" s="3">
        <f>SUM(J4:J20)</f>
        <v>133352726.27666666</v>
      </c>
      <c r="K21" s="17"/>
      <c r="L21" s="3">
        <f>SUM(L4:L20)</f>
        <v>149025184.53333336</v>
      </c>
      <c r="M21" s="14"/>
      <c r="N21" s="3">
        <f>SUM(N4:N20)</f>
        <v>150946191.59333333</v>
      </c>
      <c r="O21" s="14"/>
      <c r="P21" s="3">
        <f>SUM(P4:P20)</f>
        <v>166457617.58999997</v>
      </c>
      <c r="Q21" s="18"/>
    </row>
    <row r="24" spans="2:17" ht="15.75" x14ac:dyDescent="0.25">
      <c r="B24" s="44" t="s">
        <v>126</v>
      </c>
      <c r="C24" s="44"/>
      <c r="D24" s="44"/>
      <c r="E24" s="44"/>
      <c r="F24" s="44"/>
      <c r="G24" s="44"/>
      <c r="I24" s="44" t="s">
        <v>58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2</v>
      </c>
      <c r="K25" s="13"/>
      <c r="L25" s="13" t="s">
        <v>3</v>
      </c>
      <c r="M25" s="13"/>
      <c r="N25" s="13" t="s">
        <v>4</v>
      </c>
      <c r="O25" s="13"/>
      <c r="P25" s="13" t="s">
        <v>26</v>
      </c>
    </row>
    <row r="26" spans="2:17" x14ac:dyDescent="0.25">
      <c r="B26" s="12" t="s">
        <v>7</v>
      </c>
      <c r="C26" s="16">
        <f t="shared" ref="C26:C39" si="1">$C$40*K26</f>
        <v>35837.239655210185</v>
      </c>
      <c r="D26" s="16">
        <f t="shared" ref="D26:D39" si="2">$D$40*M26</f>
        <v>27211.475144432483</v>
      </c>
      <c r="E26" s="16">
        <f t="shared" ref="E26:E39" si="3">$E$40*O26</f>
        <v>65749.96066616902</v>
      </c>
      <c r="F26" s="16">
        <f t="shared" ref="F26:F39" si="4">$F$40*Q26</f>
        <v>317921.45280882111</v>
      </c>
      <c r="G26" s="16">
        <f t="shared" ref="G26:G39" si="5">SUM(C26+D26+E26+F26)</f>
        <v>446720.12827463279</v>
      </c>
      <c r="I26" s="12" t="s">
        <v>7</v>
      </c>
      <c r="J26" s="3">
        <v>8084552.9100000001</v>
      </c>
      <c r="K26" s="14">
        <f t="shared" ref="K26:K39" si="6">J26/$J$40</f>
        <v>6.1629806867867801E-2</v>
      </c>
      <c r="L26" s="3">
        <v>8110268.9733333327</v>
      </c>
      <c r="M26" s="14">
        <f t="shared" ref="M26:M39" si="7">L26/$L$40</f>
        <v>5.5360986850052252E-2</v>
      </c>
      <c r="N26" s="3">
        <v>7929678.8833333328</v>
      </c>
      <c r="O26" s="14">
        <f t="shared" ref="O26:O39" si="8">N26/$N$40</f>
        <v>5.3194373527157363E-2</v>
      </c>
      <c r="P26" s="3">
        <v>8339356.7250000006</v>
      </c>
      <c r="Q26" s="14">
        <f t="shared" ref="Q26:Q39" si="9">P26/$P$40</f>
        <v>5.0499553303505994E-2</v>
      </c>
    </row>
    <row r="27" spans="2:17" x14ac:dyDescent="0.25">
      <c r="B27" s="12" t="s">
        <v>8</v>
      </c>
      <c r="C27" s="16">
        <f t="shared" si="1"/>
        <v>116825.37370431406</v>
      </c>
      <c r="D27" s="16">
        <f t="shared" si="2"/>
        <v>97732.777652382429</v>
      </c>
      <c r="E27" s="16">
        <f t="shared" si="3"/>
        <v>250025.04810587593</v>
      </c>
      <c r="F27" s="16">
        <f t="shared" si="4"/>
        <v>1244486.2294623551</v>
      </c>
      <c r="G27" s="16">
        <f t="shared" si="5"/>
        <v>1709069.4289249275</v>
      </c>
      <c r="I27" s="12" t="s">
        <v>8</v>
      </c>
      <c r="J27" s="3">
        <v>26354733.903333336</v>
      </c>
      <c r="K27" s="14">
        <f t="shared" si="6"/>
        <v>0.2009062441173981</v>
      </c>
      <c r="L27" s="3">
        <v>29128855.016666669</v>
      </c>
      <c r="M27" s="14">
        <f t="shared" si="7"/>
        <v>0.19883460891827612</v>
      </c>
      <c r="N27" s="3">
        <v>30153909.206666667</v>
      </c>
      <c r="O27" s="14">
        <f t="shared" si="8"/>
        <v>0.20228036131636495</v>
      </c>
      <c r="P27" s="3">
        <v>32643958.170000002</v>
      </c>
      <c r="Q27" s="14">
        <f t="shared" si="9"/>
        <v>0.19767775381299987</v>
      </c>
    </row>
    <row r="28" spans="2:17" x14ac:dyDescent="0.25">
      <c r="B28" s="12" t="s">
        <v>9</v>
      </c>
      <c r="C28" s="16">
        <f t="shared" si="1"/>
        <v>22121.606742093423</v>
      </c>
      <c r="D28" s="16">
        <f t="shared" si="2"/>
        <v>15687.169888818866</v>
      </c>
      <c r="E28" s="16">
        <f t="shared" si="3"/>
        <v>33178.091952467694</v>
      </c>
      <c r="F28" s="16">
        <f t="shared" si="4"/>
        <v>169293.16824296885</v>
      </c>
      <c r="G28" s="16">
        <f t="shared" si="5"/>
        <v>240280.03682634883</v>
      </c>
      <c r="I28" s="12" t="s">
        <v>9</v>
      </c>
      <c r="J28" s="3">
        <v>4990431.793333333</v>
      </c>
      <c r="K28" s="14">
        <f t="shared" si="6"/>
        <v>3.8042839354786348E-2</v>
      </c>
      <c r="L28" s="3">
        <v>4675496.8833333338</v>
      </c>
      <c r="M28" s="14">
        <f t="shared" si="7"/>
        <v>3.1915109391161572E-2</v>
      </c>
      <c r="N28" s="3">
        <v>4001395.78</v>
      </c>
      <c r="O28" s="14">
        <f t="shared" si="8"/>
        <v>2.6842416304988691E-2</v>
      </c>
      <c r="P28" s="3">
        <v>4440707.3149999995</v>
      </c>
      <c r="Q28" s="14">
        <f t="shared" si="9"/>
        <v>2.689101127990318E-2</v>
      </c>
    </row>
    <row r="29" spans="2:17" x14ac:dyDescent="0.25">
      <c r="B29" s="12" t="s">
        <v>10</v>
      </c>
      <c r="C29" s="16">
        <f t="shared" si="1"/>
        <v>39978.651750660407</v>
      </c>
      <c r="D29" s="16">
        <f t="shared" si="2"/>
        <v>27968.088526059968</v>
      </c>
      <c r="E29" s="16">
        <f t="shared" si="3"/>
        <v>61005.633506263373</v>
      </c>
      <c r="F29" s="16">
        <f t="shared" si="4"/>
        <v>298615.8836789495</v>
      </c>
      <c r="G29" s="16">
        <f t="shared" si="5"/>
        <v>427568.25746193324</v>
      </c>
      <c r="I29" s="12" t="s">
        <v>10</v>
      </c>
      <c r="J29" s="3">
        <v>9018817.5333333332</v>
      </c>
      <c r="K29" s="14">
        <f t="shared" si="6"/>
        <v>6.8751851703308747E-2</v>
      </c>
      <c r="L29" s="3">
        <v>8335774.5000000009</v>
      </c>
      <c r="M29" s="14">
        <f t="shared" si="7"/>
        <v>5.6900295661813705E-2</v>
      </c>
      <c r="N29" s="3">
        <v>7357496.169999999</v>
      </c>
      <c r="O29" s="14">
        <f t="shared" si="8"/>
        <v>4.935602125253899E-2</v>
      </c>
      <c r="P29" s="3">
        <v>7832954.8250000002</v>
      </c>
      <c r="Q29" s="14">
        <f t="shared" si="9"/>
        <v>4.7433001459599028E-2</v>
      </c>
    </row>
    <row r="30" spans="2:17" x14ac:dyDescent="0.25">
      <c r="B30" s="12" t="s">
        <v>11</v>
      </c>
      <c r="C30" s="16">
        <f t="shared" si="1"/>
        <v>27864.775838077469</v>
      </c>
      <c r="D30" s="16">
        <f t="shared" si="2"/>
        <v>25970.380960747501</v>
      </c>
      <c r="E30" s="16">
        <f t="shared" si="3"/>
        <v>63143.405871627649</v>
      </c>
      <c r="F30" s="16">
        <f t="shared" si="4"/>
        <v>314575.40460246115</v>
      </c>
      <c r="G30" s="16">
        <f t="shared" si="5"/>
        <v>431553.96727291378</v>
      </c>
      <c r="I30" s="12" t="s">
        <v>11</v>
      </c>
      <c r="J30" s="3">
        <v>6286038.1200000001</v>
      </c>
      <c r="K30" s="14">
        <f t="shared" si="6"/>
        <v>4.7919448312405792E-2</v>
      </c>
      <c r="L30" s="3">
        <v>7740365.9233333329</v>
      </c>
      <c r="M30" s="14">
        <f t="shared" si="7"/>
        <v>5.2836015365854035E-2</v>
      </c>
      <c r="N30" s="3">
        <v>7615319.1133333333</v>
      </c>
      <c r="O30" s="14">
        <f t="shared" si="8"/>
        <v>5.1085565431228275E-2</v>
      </c>
      <c r="P30" s="3">
        <v>8251586.9649999999</v>
      </c>
      <c r="Q30" s="14">
        <f t="shared" si="9"/>
        <v>4.9968057431615948E-2</v>
      </c>
    </row>
    <row r="31" spans="2:17" x14ac:dyDescent="0.25">
      <c r="B31" s="12" t="s">
        <v>12</v>
      </c>
      <c r="C31" s="16">
        <f t="shared" si="1"/>
        <v>27882.106728117687</v>
      </c>
      <c r="D31" s="16">
        <f t="shared" si="2"/>
        <v>19642.461335644923</v>
      </c>
      <c r="E31" s="16">
        <f t="shared" si="3"/>
        <v>50740.398418597899</v>
      </c>
      <c r="F31" s="16">
        <f t="shared" si="4"/>
        <v>391783.40748249658</v>
      </c>
      <c r="G31" s="16">
        <f t="shared" si="5"/>
        <v>490048.37396485708</v>
      </c>
      <c r="I31" s="12" t="s">
        <v>12</v>
      </c>
      <c r="J31" s="3">
        <v>6289947.8099999996</v>
      </c>
      <c r="K31" s="14">
        <f t="shared" si="6"/>
        <v>4.7949252488628712E-2</v>
      </c>
      <c r="L31" s="3">
        <v>5854355.336666666</v>
      </c>
      <c r="M31" s="14">
        <f t="shared" si="7"/>
        <v>3.9962039468036253E-2</v>
      </c>
      <c r="N31" s="3">
        <v>6119472.3433333337</v>
      </c>
      <c r="O31" s="14">
        <f t="shared" si="8"/>
        <v>4.1051031499467927E-2</v>
      </c>
      <c r="P31" s="3">
        <v>10276820.154999999</v>
      </c>
      <c r="Q31" s="14">
        <f t="shared" si="9"/>
        <v>6.2231997541509071E-2</v>
      </c>
    </row>
    <row r="32" spans="2:17" x14ac:dyDescent="0.25">
      <c r="B32" s="12" t="s">
        <v>22</v>
      </c>
      <c r="C32" s="16">
        <f t="shared" si="1"/>
        <v>0</v>
      </c>
      <c r="D32" s="16">
        <f t="shared" si="2"/>
        <v>0</v>
      </c>
      <c r="E32" s="16">
        <f t="shared" si="3"/>
        <v>0</v>
      </c>
      <c r="F32" s="16">
        <f t="shared" si="4"/>
        <v>0</v>
      </c>
      <c r="G32" s="16">
        <f t="shared" si="5"/>
        <v>0</v>
      </c>
      <c r="I32" s="12" t="s">
        <v>22</v>
      </c>
      <c r="J32" s="3">
        <v>0</v>
      </c>
      <c r="K32" s="14">
        <f t="shared" si="6"/>
        <v>0</v>
      </c>
      <c r="L32" s="3">
        <v>0</v>
      </c>
      <c r="M32" s="14">
        <f t="shared" si="7"/>
        <v>0</v>
      </c>
      <c r="N32" s="3">
        <v>0</v>
      </c>
      <c r="O32" s="14">
        <f t="shared" si="8"/>
        <v>0</v>
      </c>
      <c r="P32" s="3">
        <v>0</v>
      </c>
      <c r="Q32" s="14">
        <f t="shared" si="9"/>
        <v>0</v>
      </c>
    </row>
    <row r="33" spans="2:17" x14ac:dyDescent="0.25">
      <c r="B33" s="12" t="s">
        <v>21</v>
      </c>
      <c r="C33" s="16">
        <f t="shared" si="1"/>
        <v>0</v>
      </c>
      <c r="D33" s="16">
        <f t="shared" si="2"/>
        <v>0</v>
      </c>
      <c r="E33" s="16">
        <f t="shared" si="3"/>
        <v>0</v>
      </c>
      <c r="F33" s="16">
        <f t="shared" si="4"/>
        <v>0</v>
      </c>
      <c r="G33" s="16">
        <f t="shared" si="5"/>
        <v>0</v>
      </c>
      <c r="I33" s="12" t="s">
        <v>21</v>
      </c>
      <c r="J33" s="3">
        <v>0</v>
      </c>
      <c r="K33" s="14">
        <f t="shared" si="6"/>
        <v>0</v>
      </c>
      <c r="L33" s="3">
        <v>0</v>
      </c>
      <c r="M33" s="14">
        <f t="shared" si="7"/>
        <v>0</v>
      </c>
      <c r="N33" s="3">
        <v>0</v>
      </c>
      <c r="O33" s="14">
        <f t="shared" si="8"/>
        <v>0</v>
      </c>
      <c r="P33" s="3">
        <v>0</v>
      </c>
      <c r="Q33" s="14">
        <f t="shared" si="9"/>
        <v>0</v>
      </c>
    </row>
    <row r="34" spans="2:17" x14ac:dyDescent="0.25">
      <c r="B34" s="12" t="s">
        <v>13</v>
      </c>
      <c r="C34" s="16">
        <f t="shared" si="1"/>
        <v>22340.383431778115</v>
      </c>
      <c r="D34" s="16">
        <f t="shared" si="2"/>
        <v>20040.317452900283</v>
      </c>
      <c r="E34" s="16">
        <f t="shared" si="3"/>
        <v>49553.183259581907</v>
      </c>
      <c r="F34" s="16">
        <f t="shared" si="4"/>
        <v>253222.05651456511</v>
      </c>
      <c r="G34" s="16">
        <f t="shared" si="5"/>
        <v>345155.94065882545</v>
      </c>
      <c r="I34" s="12" t="s">
        <v>13</v>
      </c>
      <c r="J34" s="3">
        <v>5039785.8099999996</v>
      </c>
      <c r="K34" s="14">
        <f t="shared" si="6"/>
        <v>3.8419072716010048E-2</v>
      </c>
      <c r="L34" s="3">
        <v>5972934.7266666666</v>
      </c>
      <c r="M34" s="14">
        <f t="shared" si="7"/>
        <v>4.0771466636489236E-2</v>
      </c>
      <c r="N34" s="3">
        <v>5976289.9766666666</v>
      </c>
      <c r="O34" s="14">
        <f t="shared" si="8"/>
        <v>4.0090526489488583E-2</v>
      </c>
      <c r="P34" s="3">
        <v>6642235.1850000005</v>
      </c>
      <c r="Q34" s="14">
        <f t="shared" si="9"/>
        <v>4.0222516057355794E-2</v>
      </c>
    </row>
    <row r="35" spans="2:17" x14ac:dyDescent="0.25">
      <c r="B35" s="12" t="s">
        <v>14</v>
      </c>
      <c r="C35" s="16">
        <f t="shared" si="1"/>
        <v>8149.123149116348</v>
      </c>
      <c r="D35" s="16">
        <f t="shared" si="2"/>
        <v>6466.0429189880278</v>
      </c>
      <c r="E35" s="16">
        <f t="shared" si="3"/>
        <v>16054.333704045386</v>
      </c>
      <c r="F35" s="16">
        <f t="shared" si="4"/>
        <v>85451.417183489408</v>
      </c>
      <c r="G35" s="16">
        <f t="shared" si="5"/>
        <v>116120.91695563917</v>
      </c>
      <c r="I35" s="12" t="s">
        <v>14</v>
      </c>
      <c r="J35" s="3">
        <v>1838367.5166666666</v>
      </c>
      <c r="K35" s="14">
        <f t="shared" si="6"/>
        <v>1.4014162102172253E-2</v>
      </c>
      <c r="L35" s="3">
        <v>1927177.67</v>
      </c>
      <c r="M35" s="14">
        <f t="shared" si="7"/>
        <v>1.3154983884922178E-2</v>
      </c>
      <c r="N35" s="3">
        <v>1936209.6900000002</v>
      </c>
      <c r="O35" s="14">
        <f t="shared" si="8"/>
        <v>1.2988604329645468E-2</v>
      </c>
      <c r="P35" s="3">
        <v>2241465.13</v>
      </c>
      <c r="Q35" s="14">
        <f t="shared" si="9"/>
        <v>1.3573347626568281E-2</v>
      </c>
    </row>
    <row r="36" spans="2:17" x14ac:dyDescent="0.25">
      <c r="B36" s="12" t="s">
        <v>15</v>
      </c>
      <c r="C36" s="16">
        <f t="shared" si="1"/>
        <v>56563.932696949974</v>
      </c>
      <c r="D36" s="16">
        <f t="shared" si="2"/>
        <v>57153.82688373889</v>
      </c>
      <c r="E36" s="16">
        <f t="shared" si="3"/>
        <v>137997.399492169</v>
      </c>
      <c r="F36" s="16">
        <f t="shared" si="4"/>
        <v>672359.38204603211</v>
      </c>
      <c r="G36" s="16">
        <f t="shared" si="5"/>
        <v>924074.54111889005</v>
      </c>
      <c r="I36" s="12" t="s">
        <v>27</v>
      </c>
      <c r="J36" s="3">
        <f>10760304.9533333+2000000</f>
        <v>12760304.9533333</v>
      </c>
      <c r="K36" s="14">
        <f t="shared" si="6"/>
        <v>9.7273793443331938E-2</v>
      </c>
      <c r="L36" s="3">
        <f>15034464.5566667+2000000</f>
        <v>17034464.556666702</v>
      </c>
      <c r="M36" s="14">
        <f t="shared" si="7"/>
        <v>0.11627786592775771</v>
      </c>
      <c r="N36" s="3">
        <f>14642976.72+2000000</f>
        <v>16642976.720000001</v>
      </c>
      <c r="O36" s="14">
        <f t="shared" si="8"/>
        <v>0.11164546928983747</v>
      </c>
      <c r="P36" s="3">
        <f>15636572.445+2000000</f>
        <v>17636572.445</v>
      </c>
      <c r="Q36" s="14">
        <f t="shared" si="9"/>
        <v>0.10679948821561204</v>
      </c>
    </row>
    <row r="37" spans="2:17" x14ac:dyDescent="0.25">
      <c r="B37" s="12" t="s">
        <v>16</v>
      </c>
      <c r="C37" s="16">
        <f t="shared" si="1"/>
        <v>115956.40849228697</v>
      </c>
      <c r="D37" s="16">
        <f t="shared" si="2"/>
        <v>106301.1130296949</v>
      </c>
      <c r="E37" s="16">
        <f t="shared" si="3"/>
        <v>286655.43107352307</v>
      </c>
      <c r="F37" s="16">
        <f t="shared" si="4"/>
        <v>1444522.3354649313</v>
      </c>
      <c r="G37" s="16">
        <f t="shared" si="5"/>
        <v>1953435.2880604363</v>
      </c>
      <c r="I37" s="12" t="s">
        <v>16</v>
      </c>
      <c r="J37" s="3">
        <v>26158703.313333333</v>
      </c>
      <c r="K37" s="14">
        <f t="shared" si="6"/>
        <v>0.19941187237706962</v>
      </c>
      <c r="L37" s="3">
        <v>31682612.363333333</v>
      </c>
      <c r="M37" s="14">
        <f t="shared" si="7"/>
        <v>0.21626664814556831</v>
      </c>
      <c r="N37" s="3">
        <v>34571663.550000004</v>
      </c>
      <c r="O37" s="14">
        <f t="shared" si="8"/>
        <v>0.2319158204753001</v>
      </c>
      <c r="P37" s="3">
        <v>37891079.530000001</v>
      </c>
      <c r="Q37" s="14">
        <f t="shared" si="9"/>
        <v>0.22945206129824358</v>
      </c>
    </row>
    <row r="38" spans="2:17" x14ac:dyDescent="0.25">
      <c r="B38" s="12" t="s">
        <v>17</v>
      </c>
      <c r="C38" s="16">
        <f t="shared" si="1"/>
        <v>12237.056269991883</v>
      </c>
      <c r="D38" s="16">
        <f t="shared" si="2"/>
        <v>9573.805797123694</v>
      </c>
      <c r="E38" s="16">
        <f t="shared" si="3"/>
        <v>36392.300623557909</v>
      </c>
      <c r="F38" s="16">
        <f t="shared" si="4"/>
        <v>171286.39215541116</v>
      </c>
      <c r="G38" s="16">
        <f t="shared" si="5"/>
        <v>229489.55484608465</v>
      </c>
      <c r="I38" s="12" t="s">
        <v>17</v>
      </c>
      <c r="J38" s="3">
        <v>2760567.7733333334</v>
      </c>
      <c r="K38" s="14">
        <f t="shared" si="6"/>
        <v>2.1044238390196052E-2</v>
      </c>
      <c r="L38" s="3">
        <v>2853433.6966666668</v>
      </c>
      <c r="M38" s="14">
        <f t="shared" si="7"/>
        <v>1.9477640738927781E-2</v>
      </c>
      <c r="N38" s="3">
        <v>4389040.7666666666</v>
      </c>
      <c r="O38" s="14">
        <f t="shared" si="8"/>
        <v>2.9442840927480909E-2</v>
      </c>
      <c r="P38" s="3">
        <v>4492991.3149999995</v>
      </c>
      <c r="Q38" s="14">
        <f t="shared" si="9"/>
        <v>2.7207620669810351E-2</v>
      </c>
    </row>
    <row r="39" spans="2:17" x14ac:dyDescent="0.25">
      <c r="B39" s="12" t="s">
        <v>18</v>
      </c>
      <c r="C39" s="16">
        <f t="shared" si="1"/>
        <v>95735.341541403497</v>
      </c>
      <c r="D39" s="16">
        <f t="shared" si="2"/>
        <v>77780.540409467998</v>
      </c>
      <c r="E39" s="16">
        <f t="shared" si="3"/>
        <v>185537.05332612121</v>
      </c>
      <c r="F39" s="16">
        <f t="shared" si="4"/>
        <v>932012.87035751925</v>
      </c>
      <c r="G39" s="16">
        <f t="shared" si="5"/>
        <v>1291065.8056345121</v>
      </c>
      <c r="I39" s="12" t="s">
        <v>18</v>
      </c>
      <c r="J39" s="3">
        <v>21597015.883333333</v>
      </c>
      <c r="K39" s="14">
        <f t="shared" si="6"/>
        <v>0.16463741812682461</v>
      </c>
      <c r="L39" s="3">
        <v>23182172.236666668</v>
      </c>
      <c r="M39" s="14">
        <f t="shared" si="7"/>
        <v>0.15824233901114076</v>
      </c>
      <c r="N39" s="3">
        <v>22376427.893333334</v>
      </c>
      <c r="O39" s="14">
        <f t="shared" si="8"/>
        <v>0.15010696915650129</v>
      </c>
      <c r="P39" s="3">
        <v>24447509.690000001</v>
      </c>
      <c r="Q39" s="14">
        <f t="shared" si="9"/>
        <v>0.14804359130327696</v>
      </c>
    </row>
    <row r="40" spans="2:17" x14ac:dyDescent="0.25">
      <c r="B40" s="15" t="s">
        <v>24</v>
      </c>
      <c r="C40" s="16">
        <f>$C$21-(C18+C19+C20)</f>
        <v>581492</v>
      </c>
      <c r="D40" s="16">
        <f>$D$21-(D18+D19+D20)</f>
        <v>491528</v>
      </c>
      <c r="E40" s="16">
        <f>$E$21-(E18+E19+E20)</f>
        <v>1236032.24</v>
      </c>
      <c r="F40" s="16">
        <f>$F$21-(F18+F19+F20)</f>
        <v>6295530</v>
      </c>
      <c r="G40" s="16">
        <f>$C$21-(G18+G19+G20)</f>
        <v>407270</v>
      </c>
      <c r="I40" s="15" t="s">
        <v>24</v>
      </c>
      <c r="J40" s="3">
        <f t="shared" ref="J40:Q40" si="10">SUM(J26:J39)</f>
        <v>131179267.31999996</v>
      </c>
      <c r="K40" s="19">
        <f t="shared" si="10"/>
        <v>1</v>
      </c>
      <c r="L40" s="3">
        <f t="shared" si="10"/>
        <v>146497911.88333338</v>
      </c>
      <c r="M40" s="19">
        <f t="shared" si="10"/>
        <v>1</v>
      </c>
      <c r="N40" s="3">
        <f t="shared" si="10"/>
        <v>149069880.09333333</v>
      </c>
      <c r="O40" s="19">
        <f t="shared" si="10"/>
        <v>1</v>
      </c>
      <c r="P40" s="3">
        <f t="shared" si="10"/>
        <v>165137237.44999999</v>
      </c>
      <c r="Q40" s="19">
        <f t="shared" si="10"/>
        <v>1</v>
      </c>
    </row>
    <row r="43" spans="2:17" ht="15.75" x14ac:dyDescent="0.25">
      <c r="B43" s="44" t="s">
        <v>141</v>
      </c>
      <c r="C43" s="44"/>
      <c r="D43" s="44"/>
      <c r="E43" s="44"/>
      <c r="F43" s="44"/>
      <c r="G43" s="44"/>
      <c r="I43" s="44" t="s">
        <v>165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0.23965521018544678</v>
      </c>
      <c r="D45" s="16">
        <f>D26-D4</f>
        <v>-423.52485556751708</v>
      </c>
      <c r="E45" s="16">
        <f>E26-E4</f>
        <v>82.960666169019532</v>
      </c>
      <c r="F45" s="16">
        <f>F26-F4</f>
        <v>-1768.5471911788918</v>
      </c>
      <c r="G45" s="16">
        <f t="shared" ref="G45:G59" si="11">SUM(C45+D45+E45+F45)</f>
        <v>-2108.8717253672039</v>
      </c>
      <c r="I45" s="15" t="s">
        <v>153</v>
      </c>
      <c r="J45" s="12" t="s">
        <v>155</v>
      </c>
    </row>
    <row r="46" spans="2:17" x14ac:dyDescent="0.25">
      <c r="B46" s="12" t="s">
        <v>8</v>
      </c>
      <c r="C46" s="16">
        <f t="shared" ref="C46:F58" si="12">C27-C5</f>
        <v>-0.62629568594275042</v>
      </c>
      <c r="D46" s="16">
        <f t="shared" si="12"/>
        <v>89.777652382428641</v>
      </c>
      <c r="E46" s="16">
        <f t="shared" si="12"/>
        <v>317.04810587593238</v>
      </c>
      <c r="F46" s="16">
        <f t="shared" si="12"/>
        <v>3645.2294623551425</v>
      </c>
      <c r="G46" s="16">
        <f t="shared" si="11"/>
        <v>4051.4289249275607</v>
      </c>
      <c r="I46" s="15" t="s">
        <v>154</v>
      </c>
      <c r="J46" t="s">
        <v>189</v>
      </c>
    </row>
    <row r="47" spans="2:17" x14ac:dyDescent="0.25">
      <c r="B47" s="12" t="s">
        <v>9</v>
      </c>
      <c r="C47" s="16">
        <f t="shared" si="12"/>
        <v>0.60674209342323593</v>
      </c>
      <c r="D47" s="16">
        <f t="shared" si="12"/>
        <v>14.169888818865729</v>
      </c>
      <c r="E47" s="16">
        <f t="shared" si="12"/>
        <v>42.091952467693773</v>
      </c>
      <c r="F47" s="16">
        <f t="shared" si="12"/>
        <v>-23726.831757031148</v>
      </c>
      <c r="G47" s="16">
        <f t="shared" si="11"/>
        <v>-23669.963173651166</v>
      </c>
    </row>
    <row r="48" spans="2:17" x14ac:dyDescent="0.25">
      <c r="B48" s="12" t="s">
        <v>10</v>
      </c>
      <c r="C48" s="16">
        <f t="shared" si="12"/>
        <v>-0.34824933959316695</v>
      </c>
      <c r="D48" s="16">
        <f t="shared" si="12"/>
        <v>25.08852605996799</v>
      </c>
      <c r="E48" s="16">
        <f t="shared" si="12"/>
        <v>-1494.3664937366266</v>
      </c>
      <c r="F48" s="16">
        <f t="shared" si="12"/>
        <v>-20859.116321050504</v>
      </c>
      <c r="G48" s="16">
        <f t="shared" si="11"/>
        <v>-22328.742538066756</v>
      </c>
    </row>
    <row r="49" spans="2:7" x14ac:dyDescent="0.25">
      <c r="B49" s="12" t="s">
        <v>11</v>
      </c>
      <c r="C49" s="16">
        <f t="shared" si="12"/>
        <v>-0.22416192253149347</v>
      </c>
      <c r="D49" s="16">
        <f t="shared" si="12"/>
        <v>23.380960747501376</v>
      </c>
      <c r="E49" s="16">
        <f t="shared" si="12"/>
        <v>80.405871627648594</v>
      </c>
      <c r="F49" s="16">
        <f t="shared" si="12"/>
        <v>-9162.5953975388547</v>
      </c>
      <c r="G49" s="16">
        <f t="shared" si="11"/>
        <v>-9059.0327270862363</v>
      </c>
    </row>
    <row r="50" spans="2:7" x14ac:dyDescent="0.25">
      <c r="B50" s="12" t="s">
        <v>12</v>
      </c>
      <c r="C50" s="16">
        <f t="shared" si="12"/>
        <v>0.10672811768745305</v>
      </c>
      <c r="D50" s="16">
        <f t="shared" si="12"/>
        <v>17.461335644922656</v>
      </c>
      <c r="E50" s="16">
        <f t="shared" si="12"/>
        <v>65.398418597898853</v>
      </c>
      <c r="F50" s="16">
        <f t="shared" si="12"/>
        <v>132857.40748249658</v>
      </c>
      <c r="G50" s="16">
        <f t="shared" si="11"/>
        <v>132940.37396485708</v>
      </c>
    </row>
    <row r="51" spans="2:7" x14ac:dyDescent="0.25">
      <c r="B51" s="12" t="s">
        <v>22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6">
        <f t="shared" si="11"/>
        <v>0</v>
      </c>
    </row>
    <row r="52" spans="2:7" x14ac:dyDescent="0.25">
      <c r="B52" s="12" t="s">
        <v>21</v>
      </c>
      <c r="C52" s="16">
        <f t="shared" si="12"/>
        <v>0</v>
      </c>
      <c r="D52" s="16">
        <f t="shared" si="12"/>
        <v>0</v>
      </c>
      <c r="E52" s="16">
        <f t="shared" si="12"/>
        <v>0</v>
      </c>
      <c r="F52" s="16">
        <f t="shared" si="12"/>
        <v>0</v>
      </c>
      <c r="G52" s="16">
        <f t="shared" si="11"/>
        <v>0</v>
      </c>
    </row>
    <row r="53" spans="2:7" x14ac:dyDescent="0.25">
      <c r="B53" s="12" t="s">
        <v>13</v>
      </c>
      <c r="C53" s="16">
        <f t="shared" si="12"/>
        <v>0.38343177811475471</v>
      </c>
      <c r="D53" s="16">
        <f t="shared" si="12"/>
        <v>18.31745290028266</v>
      </c>
      <c r="E53" s="16">
        <f t="shared" si="12"/>
        <v>63.183259581906896</v>
      </c>
      <c r="F53" s="16">
        <f t="shared" si="12"/>
        <v>-3529.9434854348947</v>
      </c>
      <c r="G53" s="16">
        <f t="shared" si="11"/>
        <v>-3448.0593411745904</v>
      </c>
    </row>
    <row r="54" spans="2:7" x14ac:dyDescent="0.25">
      <c r="B54" s="12" t="s">
        <v>14</v>
      </c>
      <c r="C54" s="16">
        <f t="shared" si="12"/>
        <v>0.12314911634803138</v>
      </c>
      <c r="D54" s="16">
        <f t="shared" si="12"/>
        <v>6.04291898802785</v>
      </c>
      <c r="E54" s="16">
        <f t="shared" si="12"/>
        <v>20.333704045386185</v>
      </c>
      <c r="F54" s="16">
        <f t="shared" si="12"/>
        <v>-1087.5828165105922</v>
      </c>
      <c r="G54" s="16">
        <f t="shared" si="11"/>
        <v>-1061.0830443608302</v>
      </c>
    </row>
    <row r="55" spans="2:7" x14ac:dyDescent="0.25">
      <c r="B55" s="12" t="s">
        <v>15</v>
      </c>
      <c r="C55" s="16">
        <f t="shared" si="12"/>
        <v>0.93269694997434271</v>
      </c>
      <c r="D55" s="16">
        <f t="shared" si="12"/>
        <v>52.826883738889592</v>
      </c>
      <c r="E55" s="16">
        <f t="shared" si="12"/>
        <v>175.15949216901208</v>
      </c>
      <c r="F55" s="16">
        <f t="shared" si="12"/>
        <v>-2067.6179539678851</v>
      </c>
      <c r="G55" s="16">
        <f t="shared" si="11"/>
        <v>-1838.6988811100091</v>
      </c>
    </row>
    <row r="56" spans="2:7" x14ac:dyDescent="0.25">
      <c r="B56" s="12" t="s">
        <v>16</v>
      </c>
      <c r="C56" s="16">
        <f t="shared" si="12"/>
        <v>-0.59150771303393412</v>
      </c>
      <c r="D56" s="16">
        <f t="shared" si="12"/>
        <v>97.113029694897705</v>
      </c>
      <c r="E56" s="16">
        <f t="shared" si="12"/>
        <v>363.43107352306833</v>
      </c>
      <c r="F56" s="16">
        <f t="shared" si="12"/>
        <v>-64687.664535068674</v>
      </c>
      <c r="G56" s="16">
        <f t="shared" si="11"/>
        <v>-64227.711939563742</v>
      </c>
    </row>
    <row r="57" spans="2:7" x14ac:dyDescent="0.25">
      <c r="B57" s="12" t="s">
        <v>17</v>
      </c>
      <c r="C57" s="16">
        <f t="shared" si="12"/>
        <v>5.6269991882800241E-2</v>
      </c>
      <c r="D57" s="16">
        <f t="shared" si="12"/>
        <v>8.805797123693992</v>
      </c>
      <c r="E57" s="16">
        <f t="shared" si="12"/>
        <v>49.300623557908693</v>
      </c>
      <c r="F57" s="16">
        <f t="shared" si="12"/>
        <v>-3144.6078445888415</v>
      </c>
      <c r="G57" s="16">
        <f t="shared" si="11"/>
        <v>-3086.4451539153561</v>
      </c>
    </row>
    <row r="58" spans="2:7" x14ac:dyDescent="0.25">
      <c r="B58" s="12" t="s">
        <v>18</v>
      </c>
      <c r="C58" s="16">
        <f t="shared" si="12"/>
        <v>-0.6584585965028964</v>
      </c>
      <c r="D58" s="16">
        <f t="shared" si="12"/>
        <v>70.540409467997961</v>
      </c>
      <c r="E58" s="16">
        <f t="shared" si="12"/>
        <v>235.05332612121128</v>
      </c>
      <c r="F58" s="16">
        <f t="shared" si="12"/>
        <v>-6468.1296424807515</v>
      </c>
      <c r="G58" s="16">
        <f t="shared" si="11"/>
        <v>-6163.1943654880452</v>
      </c>
    </row>
    <row r="59" spans="2:7" x14ac:dyDescent="0.25">
      <c r="B59" s="15" t="s">
        <v>24</v>
      </c>
      <c r="C59" s="16">
        <f>SUM(C45:C58)</f>
        <v>1.1823431123048067E-11</v>
      </c>
      <c r="D59" s="16">
        <f>SUM(D45:D58)</f>
        <v>-4.0927261579781771E-11</v>
      </c>
      <c r="E59" s="16">
        <f>SUM(E45:E58)</f>
        <v>6.0026650317013264E-11</v>
      </c>
      <c r="F59" s="16">
        <f>SUM(F45:F58)</f>
        <v>6.8394001573324203E-10</v>
      </c>
      <c r="G59" s="16">
        <f t="shared" si="11"/>
        <v>7.148628355935216E-10</v>
      </c>
    </row>
  </sheetData>
  <sheetProtection algorithmName="SHA-512" hashValue="LqIRsl4xRpjZtgEdnM0ZSkvd2eH7znIWldEz0uIGtrk3hcJKSXEIwfBZbNxuVXbiGde29iQIsWJSwd7unT5X3g==" saltValue="lTEbTB5Z/QR1uLsVds+7aA==" spinCount="100000" sheet="1" objects="1" scenarios="1"/>
  <mergeCells count="6">
    <mergeCell ref="B2:G2"/>
    <mergeCell ref="I2:Q2"/>
    <mergeCell ref="B24:G24"/>
    <mergeCell ref="I24:Q24"/>
    <mergeCell ref="B43:G43"/>
    <mergeCell ref="I43:Q4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331B8-793B-4B68-B8A3-862246FFF4FB}">
  <dimension ref="B2:Q59"/>
  <sheetViews>
    <sheetView workbookViewId="0">
      <selection activeCell="B3" sqref="B3"/>
    </sheetView>
  </sheetViews>
  <sheetFormatPr defaultColWidth="9.140625" defaultRowHeight="15" x14ac:dyDescent="0.25"/>
  <cols>
    <col min="1" max="2" width="9.140625" style="12"/>
    <col min="3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59</v>
      </c>
      <c r="C2" s="44"/>
      <c r="D2" s="44"/>
      <c r="E2" s="44"/>
      <c r="F2" s="44"/>
      <c r="G2" s="44"/>
      <c r="H2" s="11"/>
      <c r="I2" s="44" t="s">
        <v>60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2</v>
      </c>
      <c r="K3" s="13"/>
      <c r="L3" s="13" t="s">
        <v>3</v>
      </c>
      <c r="M3" s="13"/>
      <c r="N3" s="13" t="s">
        <v>4</v>
      </c>
      <c r="O3" s="13"/>
      <c r="P3" s="13" t="s">
        <v>26</v>
      </c>
      <c r="Q3" s="13"/>
    </row>
    <row r="4" spans="2:17" x14ac:dyDescent="0.25">
      <c r="B4" s="12" t="s">
        <v>7</v>
      </c>
      <c r="C4" s="3">
        <v>57848</v>
      </c>
      <c r="D4" s="5">
        <v>88043</v>
      </c>
      <c r="E4" s="5">
        <v>125741</v>
      </c>
      <c r="F4" s="5">
        <v>237561</v>
      </c>
      <c r="G4" s="5">
        <f t="shared" ref="G4:G20" si="0">C4+D4+E4+F4</f>
        <v>509193</v>
      </c>
      <c r="I4" s="12" t="s">
        <v>7</v>
      </c>
      <c r="J4" s="3">
        <v>7600151.456666667</v>
      </c>
      <c r="K4" s="14"/>
      <c r="L4" s="3">
        <v>9099573.3300000001</v>
      </c>
      <c r="M4" s="14"/>
      <c r="N4" s="3">
        <v>9431087.6899999995</v>
      </c>
      <c r="O4" s="14"/>
      <c r="P4" s="3">
        <v>10016594.49</v>
      </c>
      <c r="Q4" s="14"/>
    </row>
    <row r="5" spans="2:17" x14ac:dyDescent="0.25">
      <c r="B5" s="12" t="s">
        <v>8</v>
      </c>
      <c r="C5" s="3">
        <v>97941</v>
      </c>
      <c r="D5" s="3">
        <v>164667</v>
      </c>
      <c r="E5" s="3">
        <v>214153</v>
      </c>
      <c r="F5" s="3">
        <v>427246</v>
      </c>
      <c r="G5" s="5">
        <f t="shared" si="0"/>
        <v>904007</v>
      </c>
      <c r="I5" s="12" t="s">
        <v>8</v>
      </c>
      <c r="J5" s="3">
        <v>12867595.763333334</v>
      </c>
      <c r="K5" s="14"/>
      <c r="L5" s="3">
        <v>17019068.486666668</v>
      </c>
      <c r="M5" s="14"/>
      <c r="N5" s="3">
        <v>16055631.160000002</v>
      </c>
      <c r="O5" s="14"/>
      <c r="P5" s="3">
        <v>18014465.359999999</v>
      </c>
      <c r="Q5" s="14"/>
    </row>
    <row r="6" spans="2:17" x14ac:dyDescent="0.25">
      <c r="B6" s="12" t="s">
        <v>9</v>
      </c>
      <c r="C6" s="3">
        <v>72734</v>
      </c>
      <c r="D6" s="3">
        <v>111450</v>
      </c>
      <c r="E6" s="3">
        <v>129102</v>
      </c>
      <c r="F6" s="3">
        <v>235329</v>
      </c>
      <c r="G6" s="5">
        <f t="shared" si="0"/>
        <v>548615</v>
      </c>
      <c r="I6" s="12" t="s">
        <v>9</v>
      </c>
      <c r="J6" s="3">
        <v>9556035.4466666654</v>
      </c>
      <c r="K6" s="14"/>
      <c r="L6" s="3">
        <v>11518832.68</v>
      </c>
      <c r="M6" s="14"/>
      <c r="N6" s="3">
        <v>9683104.7566666659</v>
      </c>
      <c r="O6" s="14"/>
      <c r="P6" s="3">
        <v>9922452.0399999991</v>
      </c>
      <c r="Q6" s="14"/>
    </row>
    <row r="7" spans="2:17" x14ac:dyDescent="0.25">
      <c r="B7" s="12" t="s">
        <v>10</v>
      </c>
      <c r="C7" s="3">
        <v>118960</v>
      </c>
      <c r="D7" s="3">
        <v>146871</v>
      </c>
      <c r="E7" s="3">
        <v>179648</v>
      </c>
      <c r="F7" s="3">
        <v>329311</v>
      </c>
      <c r="G7" s="5">
        <f t="shared" si="0"/>
        <v>774790</v>
      </c>
      <c r="I7" s="12" t="s">
        <v>10</v>
      </c>
      <c r="J7" s="3">
        <v>15629161.153333334</v>
      </c>
      <c r="K7" s="14"/>
      <c r="L7" s="3">
        <v>15179679.9</v>
      </c>
      <c r="M7" s="14"/>
      <c r="N7" s="3">
        <v>13474320.356666667</v>
      </c>
      <c r="O7" s="14"/>
      <c r="P7" s="3">
        <v>13885122.9</v>
      </c>
      <c r="Q7" s="14"/>
    </row>
    <row r="8" spans="2:17" x14ac:dyDescent="0.25">
      <c r="B8" s="12" t="s">
        <v>11</v>
      </c>
      <c r="C8" s="3">
        <v>47931</v>
      </c>
      <c r="D8" s="3">
        <v>80564</v>
      </c>
      <c r="E8" s="3">
        <v>107390</v>
      </c>
      <c r="F8" s="3">
        <v>207081</v>
      </c>
      <c r="G8" s="5">
        <f t="shared" si="0"/>
        <v>442966</v>
      </c>
      <c r="I8" s="12" t="s">
        <v>11</v>
      </c>
      <c r="J8" s="3">
        <v>6297255.0599999996</v>
      </c>
      <c r="K8" s="14"/>
      <c r="L8" s="3">
        <v>8326648.1733333329</v>
      </c>
      <c r="M8" s="14"/>
      <c r="N8" s="3">
        <v>8054667.2866666662</v>
      </c>
      <c r="O8" s="14"/>
      <c r="P8" s="3">
        <v>8731404.2300000004</v>
      </c>
      <c r="Q8" s="14"/>
    </row>
    <row r="9" spans="2:17" x14ac:dyDescent="0.25">
      <c r="B9" s="12" t="s">
        <v>12</v>
      </c>
      <c r="C9" s="3">
        <v>49172</v>
      </c>
      <c r="D9" s="3">
        <v>78656</v>
      </c>
      <c r="E9" s="3">
        <v>99371</v>
      </c>
      <c r="F9" s="3">
        <v>192247</v>
      </c>
      <c r="G9" s="5">
        <f t="shared" si="0"/>
        <v>419446</v>
      </c>
      <c r="I9" s="12" t="s">
        <v>12</v>
      </c>
      <c r="J9" s="3">
        <v>6460323.0066666668</v>
      </c>
      <c r="K9" s="14"/>
      <c r="L9" s="3">
        <v>8129390.6466666656</v>
      </c>
      <c r="M9" s="14"/>
      <c r="N9" s="3">
        <v>7453234.0999999987</v>
      </c>
      <c r="O9" s="14"/>
      <c r="P9" s="3">
        <v>8105941.2750000004</v>
      </c>
      <c r="Q9" s="14"/>
    </row>
    <row r="10" spans="2:17" x14ac:dyDescent="0.25">
      <c r="B10" s="12" t="s">
        <v>22</v>
      </c>
      <c r="C10" s="3">
        <v>0</v>
      </c>
      <c r="D10" s="3">
        <v>0</v>
      </c>
      <c r="E10" s="3">
        <v>0</v>
      </c>
      <c r="F10" s="3">
        <v>0</v>
      </c>
      <c r="G10" s="5">
        <f t="shared" si="0"/>
        <v>0</v>
      </c>
      <c r="I10" s="12" t="s">
        <v>22</v>
      </c>
      <c r="J10" s="3">
        <v>0</v>
      </c>
      <c r="K10" s="14"/>
      <c r="L10" s="3">
        <v>0</v>
      </c>
      <c r="M10" s="14"/>
      <c r="N10" s="3">
        <v>0</v>
      </c>
      <c r="O10" s="14"/>
      <c r="P10" s="3">
        <v>0</v>
      </c>
      <c r="Q10" s="14"/>
    </row>
    <row r="11" spans="2:17" x14ac:dyDescent="0.25">
      <c r="B11" s="12" t="s">
        <v>21</v>
      </c>
      <c r="C11" s="3">
        <v>0</v>
      </c>
      <c r="D11" s="3">
        <v>0</v>
      </c>
      <c r="E11" s="3">
        <v>0</v>
      </c>
      <c r="F11" s="3">
        <v>0</v>
      </c>
      <c r="G11" s="5">
        <f t="shared" si="0"/>
        <v>0</v>
      </c>
      <c r="I11" s="12" t="s">
        <v>21</v>
      </c>
      <c r="J11" s="3">
        <v>0</v>
      </c>
      <c r="K11" s="14"/>
      <c r="L11" s="3">
        <v>0</v>
      </c>
      <c r="M11" s="14"/>
      <c r="N11" s="3">
        <v>0</v>
      </c>
      <c r="O11" s="14"/>
      <c r="P11" s="3">
        <v>0</v>
      </c>
      <c r="Q11" s="14"/>
    </row>
    <row r="12" spans="2:17" x14ac:dyDescent="0.25">
      <c r="B12" s="12" t="s">
        <v>13</v>
      </c>
      <c r="C12" s="3">
        <v>34337</v>
      </c>
      <c r="D12" s="3">
        <v>63150</v>
      </c>
      <c r="E12" s="3">
        <v>80132</v>
      </c>
      <c r="F12" s="3">
        <v>157669</v>
      </c>
      <c r="G12" s="5">
        <f t="shared" si="0"/>
        <v>335288</v>
      </c>
      <c r="I12" s="12" t="s">
        <v>13</v>
      </c>
      <c r="J12" s="3">
        <v>4511318.7399999993</v>
      </c>
      <c r="K12" s="14"/>
      <c r="L12" s="3">
        <v>6526792.0366666662</v>
      </c>
      <c r="M12" s="14"/>
      <c r="N12" s="3">
        <v>6010222.5266666673</v>
      </c>
      <c r="O12" s="14"/>
      <c r="P12" s="3">
        <v>6647963.6699999999</v>
      </c>
      <c r="Q12" s="14"/>
    </row>
    <row r="13" spans="2:17" x14ac:dyDescent="0.25">
      <c r="B13" s="12" t="s">
        <v>14</v>
      </c>
      <c r="C13" s="3">
        <v>12617</v>
      </c>
      <c r="D13" s="3">
        <v>20449</v>
      </c>
      <c r="E13" s="3">
        <v>26615</v>
      </c>
      <c r="F13" s="3">
        <v>54324</v>
      </c>
      <c r="G13" s="5">
        <f t="shared" si="0"/>
        <v>114005</v>
      </c>
      <c r="I13" s="12" t="s">
        <v>14</v>
      </c>
      <c r="J13" s="3">
        <v>1657672.5599999998</v>
      </c>
      <c r="K13" s="14"/>
      <c r="L13" s="3">
        <v>2113480.98</v>
      </c>
      <c r="M13" s="14"/>
      <c r="N13" s="3">
        <v>1996247.9766666666</v>
      </c>
      <c r="O13" s="14"/>
      <c r="P13" s="3">
        <v>2290539.2050000001</v>
      </c>
      <c r="Q13" s="14"/>
    </row>
    <row r="14" spans="2:17" x14ac:dyDescent="0.25">
      <c r="B14" s="12" t="s">
        <v>15</v>
      </c>
      <c r="C14" s="3">
        <v>82482</v>
      </c>
      <c r="D14" s="3">
        <v>126882.96</v>
      </c>
      <c r="E14" s="3">
        <v>165398</v>
      </c>
      <c r="F14" s="3">
        <v>324542</v>
      </c>
      <c r="G14" s="5">
        <f t="shared" si="0"/>
        <v>699304.95999999996</v>
      </c>
      <c r="I14" s="12" t="s">
        <v>15</v>
      </c>
      <c r="J14" s="3">
        <v>8836723.9333333336</v>
      </c>
      <c r="K14" s="14"/>
      <c r="L14" s="3">
        <v>11113854.860000001</v>
      </c>
      <c r="M14" s="14"/>
      <c r="N14" s="3">
        <v>10405489.796666665</v>
      </c>
      <c r="O14" s="14"/>
      <c r="P14" s="3">
        <v>11684087.390000001</v>
      </c>
      <c r="Q14" s="14"/>
    </row>
    <row r="15" spans="2:17" x14ac:dyDescent="0.25">
      <c r="B15" s="12" t="s">
        <v>16</v>
      </c>
      <c r="C15" s="3">
        <v>215254</v>
      </c>
      <c r="D15" s="3">
        <v>325821</v>
      </c>
      <c r="E15" s="3">
        <v>452209</v>
      </c>
      <c r="F15" s="3">
        <v>889420</v>
      </c>
      <c r="G15" s="5">
        <f t="shared" si="0"/>
        <v>1882704</v>
      </c>
      <c r="I15" s="12" t="s">
        <v>16</v>
      </c>
      <c r="J15" s="3">
        <v>28280407.683333334</v>
      </c>
      <c r="K15" s="14"/>
      <c r="L15" s="3">
        <v>33674900.149999999</v>
      </c>
      <c r="M15" s="14"/>
      <c r="N15" s="3">
        <v>33917419.806666665</v>
      </c>
      <c r="O15" s="14"/>
      <c r="P15" s="3">
        <v>37501662.234999999</v>
      </c>
      <c r="Q15" s="14"/>
    </row>
    <row r="16" spans="2:17" x14ac:dyDescent="0.25">
      <c r="B16" s="12" t="s">
        <v>17</v>
      </c>
      <c r="C16" s="3">
        <v>25003</v>
      </c>
      <c r="D16" s="3">
        <v>25898</v>
      </c>
      <c r="E16" s="3">
        <v>52117</v>
      </c>
      <c r="F16" s="3">
        <v>92043</v>
      </c>
      <c r="G16" s="5">
        <f t="shared" si="0"/>
        <v>195061</v>
      </c>
      <c r="I16" s="12" t="s">
        <v>17</v>
      </c>
      <c r="J16" s="3">
        <v>3285037.6300000004</v>
      </c>
      <c r="K16" s="14"/>
      <c r="L16" s="3">
        <v>2676655.02</v>
      </c>
      <c r="M16" s="14"/>
      <c r="N16" s="3">
        <v>3909281.8666666667</v>
      </c>
      <c r="O16" s="14"/>
      <c r="P16" s="3">
        <v>3880920.6749999998</v>
      </c>
      <c r="Q16" s="14"/>
    </row>
    <row r="17" spans="2:17" x14ac:dyDescent="0.25">
      <c r="B17" s="12" t="s">
        <v>18</v>
      </c>
      <c r="C17" s="3">
        <v>165162</v>
      </c>
      <c r="D17" s="3">
        <v>241801</v>
      </c>
      <c r="E17" s="3">
        <v>318045</v>
      </c>
      <c r="F17" s="3">
        <v>629660</v>
      </c>
      <c r="G17" s="5">
        <f t="shared" si="0"/>
        <v>1354668</v>
      </c>
      <c r="I17" s="12" t="s">
        <v>18</v>
      </c>
      <c r="J17" s="3">
        <v>21699226.539999999</v>
      </c>
      <c r="K17" s="14"/>
      <c r="L17" s="3">
        <v>24991154.959999997</v>
      </c>
      <c r="M17" s="14"/>
      <c r="N17" s="3">
        <v>23854625.640000001</v>
      </c>
      <c r="O17" s="14"/>
      <c r="P17" s="3">
        <v>26549103.975000001</v>
      </c>
      <c r="Q17" s="14"/>
    </row>
    <row r="18" spans="2:17" x14ac:dyDescent="0.25">
      <c r="B18" s="29" t="s">
        <v>19</v>
      </c>
      <c r="C18" s="30">
        <v>542</v>
      </c>
      <c r="D18" s="30">
        <v>767</v>
      </c>
      <c r="E18" s="30">
        <v>1272</v>
      </c>
      <c r="F18" s="30">
        <v>2791</v>
      </c>
      <c r="G18" s="31">
        <f t="shared" si="0"/>
        <v>5372</v>
      </c>
      <c r="I18" s="29" t="s">
        <v>19</v>
      </c>
      <c r="J18" s="30">
        <v>71075.876666666663</v>
      </c>
      <c r="K18" s="32"/>
      <c r="L18" s="30">
        <v>79298.05</v>
      </c>
      <c r="M18" s="32"/>
      <c r="N18" s="30">
        <v>95442.016666666663</v>
      </c>
      <c r="O18" s="32"/>
      <c r="P18" s="30">
        <v>117680.77499999999</v>
      </c>
      <c r="Q18" s="14"/>
    </row>
    <row r="19" spans="2:17" x14ac:dyDescent="0.25">
      <c r="B19" s="29" t="s">
        <v>20</v>
      </c>
      <c r="C19" s="30">
        <v>11505</v>
      </c>
      <c r="D19" s="30">
        <v>11016</v>
      </c>
      <c r="E19" s="30">
        <v>10841</v>
      </c>
      <c r="F19" s="30">
        <v>10478</v>
      </c>
      <c r="G19" s="31">
        <f t="shared" si="0"/>
        <v>43840</v>
      </c>
      <c r="I19" s="29" t="s">
        <v>20</v>
      </c>
      <c r="J19" s="30">
        <v>1511405.26</v>
      </c>
      <c r="K19" s="32"/>
      <c r="L19" s="30">
        <v>1138559.3899999999</v>
      </c>
      <c r="M19" s="32"/>
      <c r="N19" s="30">
        <v>813112.91333333345</v>
      </c>
      <c r="O19" s="32"/>
      <c r="P19" s="30">
        <v>441793.95</v>
      </c>
      <c r="Q19" s="14"/>
    </row>
    <row r="20" spans="2:17" x14ac:dyDescent="0.25">
      <c r="B20" s="29" t="s">
        <v>23</v>
      </c>
      <c r="C20" s="30">
        <v>23734</v>
      </c>
      <c r="D20" s="30">
        <v>33315</v>
      </c>
      <c r="E20" s="30">
        <v>37966</v>
      </c>
      <c r="F20" s="30">
        <v>57731</v>
      </c>
      <c r="G20" s="31">
        <f t="shared" si="0"/>
        <v>152746</v>
      </c>
      <c r="I20" s="29" t="s">
        <v>23</v>
      </c>
      <c r="J20" s="30">
        <v>3118184.69</v>
      </c>
      <c r="K20" s="32"/>
      <c r="L20" s="30">
        <v>3443168.8833333333</v>
      </c>
      <c r="M20" s="32"/>
      <c r="N20" s="30">
        <v>2847349.043333333</v>
      </c>
      <c r="O20" s="32"/>
      <c r="P20" s="30">
        <v>2434200.9749999996</v>
      </c>
      <c r="Q20" s="14"/>
    </row>
    <row r="21" spans="2:17" x14ac:dyDescent="0.25">
      <c r="B21" s="15" t="s">
        <v>24</v>
      </c>
      <c r="C21" s="16">
        <f>SUM(C4:C20)</f>
        <v>1015222</v>
      </c>
      <c r="D21" s="3">
        <f>SUM(D4:D20)</f>
        <v>1519350.96</v>
      </c>
      <c r="E21" s="3">
        <f>SUM(E4:E20)</f>
        <v>2000000</v>
      </c>
      <c r="F21" s="3">
        <f>SUM(F4:F20)</f>
        <v>3847433</v>
      </c>
      <c r="G21" s="3">
        <f>SUM(G4:G20)</f>
        <v>8382005.96</v>
      </c>
      <c r="I21" s="15" t="s">
        <v>24</v>
      </c>
      <c r="J21" s="3">
        <f>SUM(J4:J20)</f>
        <v>131381574.8</v>
      </c>
      <c r="K21" s="17"/>
      <c r="L21" s="3">
        <f>SUM(L4:L20)</f>
        <v>155031057.54666665</v>
      </c>
      <c r="M21" s="14"/>
      <c r="N21" s="3">
        <f>SUM(N4:N20)</f>
        <v>148001236.93666667</v>
      </c>
      <c r="O21" s="14"/>
      <c r="P21" s="3">
        <f>SUM(P4:P20)</f>
        <v>160223933.14499998</v>
      </c>
      <c r="Q21" s="18"/>
    </row>
    <row r="24" spans="2:17" ht="15.75" x14ac:dyDescent="0.25">
      <c r="B24" s="44" t="s">
        <v>127</v>
      </c>
      <c r="C24" s="44"/>
      <c r="D24" s="44"/>
      <c r="E24" s="44"/>
      <c r="F24" s="44"/>
      <c r="G24" s="44"/>
      <c r="I24" s="44" t="s">
        <v>61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2</v>
      </c>
      <c r="K25" s="13"/>
      <c r="L25" s="13" t="s">
        <v>3</v>
      </c>
      <c r="M25" s="13"/>
      <c r="N25" s="13" t="s">
        <v>4</v>
      </c>
      <c r="O25" s="13"/>
      <c r="P25" s="13" t="s">
        <v>26</v>
      </c>
    </row>
    <row r="26" spans="2:17" x14ac:dyDescent="0.25">
      <c r="B26" s="12" t="s">
        <v>7</v>
      </c>
      <c r="C26" s="16">
        <f t="shared" ref="C26:C39" si="1">$C$40*K26</f>
        <v>57847.741380282474</v>
      </c>
      <c r="D26" s="16">
        <f t="shared" ref="D26:D39" si="2">$D$40*M26</f>
        <v>88042.72604516751</v>
      </c>
      <c r="E26" s="16">
        <f t="shared" ref="E26:E39" si="3">$E$40*O26</f>
        <v>125746.75421733424</v>
      </c>
      <c r="F26" s="16">
        <f t="shared" ref="F26:F39" si="4">$F$40*Q26</f>
        <v>237561.6204270728</v>
      </c>
      <c r="G26" s="16">
        <f t="shared" ref="G26:G39" si="5">SUM(C26+D26+E26+F26)</f>
        <v>509198.842069857</v>
      </c>
      <c r="I26" s="12" t="s">
        <v>7</v>
      </c>
      <c r="J26" s="3">
        <v>7600151.456666667</v>
      </c>
      <c r="K26" s="14">
        <f t="shared" ref="K26:K39" si="6">J26/$J$40</f>
        <v>5.906199697611441E-2</v>
      </c>
      <c r="L26" s="3">
        <v>9099573.3300000001</v>
      </c>
      <c r="M26" s="14">
        <f t="shared" ref="M26:M39" si="7">L26/$L$40</f>
        <v>5.9720230132804017E-2</v>
      </c>
      <c r="N26" s="3">
        <v>9431087.6899999995</v>
      </c>
      <c r="O26" s="14">
        <f t="shared" ref="O26:O39" si="8">N26/$N$40</f>
        <v>6.448812757918615E-2</v>
      </c>
      <c r="P26" s="3">
        <v>10016594.49</v>
      </c>
      <c r="Q26" s="14">
        <f t="shared" ref="Q26:Q39" si="9">P26/$P$40</f>
        <v>6.2906351159168664E-2</v>
      </c>
    </row>
    <row r="27" spans="2:17" x14ac:dyDescent="0.25">
      <c r="B27" s="12" t="s">
        <v>8</v>
      </c>
      <c r="C27" s="16">
        <f t="shared" si="1"/>
        <v>97940.331340422112</v>
      </c>
      <c r="D27" s="16">
        <f t="shared" si="2"/>
        <v>164667.63110480225</v>
      </c>
      <c r="E27" s="16">
        <f t="shared" si="3"/>
        <v>214073.24071659576</v>
      </c>
      <c r="F27" s="16">
        <f t="shared" si="4"/>
        <v>427245.56597768102</v>
      </c>
      <c r="G27" s="16">
        <f t="shared" si="5"/>
        <v>903926.76913950103</v>
      </c>
      <c r="I27" s="12" t="s">
        <v>8</v>
      </c>
      <c r="J27" s="3">
        <v>12867595.763333334</v>
      </c>
      <c r="K27" s="14">
        <f t="shared" si="6"/>
        <v>9.9996152234205132E-2</v>
      </c>
      <c r="L27" s="3">
        <v>17019068.486666668</v>
      </c>
      <c r="M27" s="14">
        <f t="shared" si="7"/>
        <v>0.11169564218124566</v>
      </c>
      <c r="N27" s="3">
        <v>16055631.160000002</v>
      </c>
      <c r="O27" s="14">
        <f t="shared" si="8"/>
        <v>0.10978559680961217</v>
      </c>
      <c r="P27" s="3">
        <v>18014465.359999999</v>
      </c>
      <c r="Q27" s="14">
        <f t="shared" si="9"/>
        <v>0.11313468714463649</v>
      </c>
    </row>
    <row r="28" spans="2:17" x14ac:dyDescent="0.25">
      <c r="B28" s="12" t="s">
        <v>9</v>
      </c>
      <c r="C28" s="16">
        <f t="shared" si="1"/>
        <v>72734.743549707418</v>
      </c>
      <c r="D28" s="16">
        <f t="shared" si="2"/>
        <v>111450.21785382576</v>
      </c>
      <c r="E28" s="16">
        <f t="shared" si="3"/>
        <v>129106.95286910892</v>
      </c>
      <c r="F28" s="16">
        <f t="shared" si="4"/>
        <v>235328.86227805293</v>
      </c>
      <c r="G28" s="16">
        <f t="shared" si="5"/>
        <v>548620.77655069507</v>
      </c>
      <c r="I28" s="12" t="s">
        <v>9</v>
      </c>
      <c r="J28" s="3">
        <v>9556035.4466666654</v>
      </c>
      <c r="K28" s="14">
        <f t="shared" si="6"/>
        <v>7.4261485428634727E-2</v>
      </c>
      <c r="L28" s="3">
        <v>11518832.68</v>
      </c>
      <c r="M28" s="14">
        <f t="shared" si="7"/>
        <v>7.5597757561107939E-2</v>
      </c>
      <c r="N28" s="3">
        <v>9683104.7566666659</v>
      </c>
      <c r="O28" s="14">
        <f t="shared" si="8"/>
        <v>6.6211376188629656E-2</v>
      </c>
      <c r="P28" s="3">
        <v>9922452.0399999991</v>
      </c>
      <c r="Q28" s="14">
        <f t="shared" si="9"/>
        <v>6.2315116481095501E-2</v>
      </c>
    </row>
    <row r="29" spans="2:17" x14ac:dyDescent="0.25">
      <c r="B29" s="12" t="s">
        <v>10</v>
      </c>
      <c r="C29" s="16">
        <f t="shared" si="1"/>
        <v>118959.69146716404</v>
      </c>
      <c r="D29" s="16">
        <f t="shared" si="2"/>
        <v>146870.66639519413</v>
      </c>
      <c r="E29" s="16">
        <f t="shared" si="3"/>
        <v>179656.0593887752</v>
      </c>
      <c r="F29" s="16">
        <f t="shared" si="4"/>
        <v>329310.75519191317</v>
      </c>
      <c r="G29" s="16">
        <f t="shared" si="5"/>
        <v>774797.17244304647</v>
      </c>
      <c r="I29" s="12" t="s">
        <v>10</v>
      </c>
      <c r="J29" s="3">
        <v>15629161.153333334</v>
      </c>
      <c r="K29" s="14">
        <f t="shared" si="6"/>
        <v>0.12145672017728892</v>
      </c>
      <c r="L29" s="3">
        <v>15179679.9</v>
      </c>
      <c r="M29" s="14">
        <f t="shared" si="7"/>
        <v>9.9623789390386672E-2</v>
      </c>
      <c r="N29" s="3">
        <v>13474320.356666667</v>
      </c>
      <c r="O29" s="14">
        <f t="shared" si="8"/>
        <v>9.2135045157611617E-2</v>
      </c>
      <c r="P29" s="3">
        <v>13885122.9</v>
      </c>
      <c r="Q29" s="14">
        <f t="shared" si="9"/>
        <v>8.7201535203170075E-2</v>
      </c>
    </row>
    <row r="30" spans="2:17" x14ac:dyDescent="0.25">
      <c r="B30" s="12" t="s">
        <v>11</v>
      </c>
      <c r="C30" s="16">
        <f t="shared" si="1"/>
        <v>47930.884561124891</v>
      </c>
      <c r="D30" s="16">
        <f t="shared" si="2"/>
        <v>80564.305315541773</v>
      </c>
      <c r="E30" s="16">
        <f t="shared" si="3"/>
        <v>107394.64003423721</v>
      </c>
      <c r="F30" s="16">
        <f t="shared" si="4"/>
        <v>207081.01336770775</v>
      </c>
      <c r="G30" s="16">
        <f t="shared" si="5"/>
        <v>442970.84327861166</v>
      </c>
      <c r="I30" s="12" t="s">
        <v>11</v>
      </c>
      <c r="J30" s="3">
        <v>6297255.0599999996</v>
      </c>
      <c r="K30" s="14">
        <f t="shared" si="6"/>
        <v>4.8936979931537367E-2</v>
      </c>
      <c r="L30" s="3">
        <v>8326648.1733333329</v>
      </c>
      <c r="M30" s="14">
        <f t="shared" si="7"/>
        <v>5.4647545232360782E-2</v>
      </c>
      <c r="N30" s="3">
        <v>8054667.2866666662</v>
      </c>
      <c r="O30" s="14">
        <f t="shared" si="8"/>
        <v>5.507640567706959E-2</v>
      </c>
      <c r="P30" s="3">
        <v>8731404.2300000004</v>
      </c>
      <c r="Q30" s="14">
        <f t="shared" si="9"/>
        <v>5.4835082038449445E-2</v>
      </c>
    </row>
    <row r="31" spans="2:17" x14ac:dyDescent="0.25">
      <c r="B31" s="12" t="s">
        <v>12</v>
      </c>
      <c r="C31" s="16">
        <f t="shared" si="1"/>
        <v>49172.058827186731</v>
      </c>
      <c r="D31" s="16">
        <f t="shared" si="2"/>
        <v>78655.74435879846</v>
      </c>
      <c r="E31" s="16">
        <f t="shared" si="3"/>
        <v>99375.599856918954</v>
      </c>
      <c r="F31" s="16">
        <f t="shared" si="4"/>
        <v>192247.03029539261</v>
      </c>
      <c r="G31" s="16">
        <f t="shared" si="5"/>
        <v>419450.43333829677</v>
      </c>
      <c r="I31" s="12" t="s">
        <v>12</v>
      </c>
      <c r="J31" s="3">
        <v>6460323.0066666668</v>
      </c>
      <c r="K31" s="14">
        <f t="shared" si="6"/>
        <v>5.0204207121395499E-2</v>
      </c>
      <c r="L31" s="3">
        <v>8129390.6466666656</v>
      </c>
      <c r="M31" s="14">
        <f t="shared" si="7"/>
        <v>5.3352949929840035E-2</v>
      </c>
      <c r="N31" s="3">
        <v>7453234.0999999987</v>
      </c>
      <c r="O31" s="14">
        <f t="shared" si="8"/>
        <v>5.0963910772241008E-2</v>
      </c>
      <c r="P31" s="3">
        <v>8105941.2750000004</v>
      </c>
      <c r="Q31" s="14">
        <f t="shared" si="9"/>
        <v>5.0907041193473473E-2</v>
      </c>
    </row>
    <row r="32" spans="2:17" x14ac:dyDescent="0.25">
      <c r="B32" s="12" t="s">
        <v>22</v>
      </c>
      <c r="C32" s="16">
        <f t="shared" si="1"/>
        <v>0</v>
      </c>
      <c r="D32" s="16">
        <f t="shared" si="2"/>
        <v>0</v>
      </c>
      <c r="E32" s="16">
        <f t="shared" si="3"/>
        <v>0</v>
      </c>
      <c r="F32" s="16">
        <f t="shared" si="4"/>
        <v>0</v>
      </c>
      <c r="G32" s="16">
        <f t="shared" si="5"/>
        <v>0</v>
      </c>
      <c r="I32" s="12" t="s">
        <v>22</v>
      </c>
      <c r="J32" s="3">
        <v>0</v>
      </c>
      <c r="K32" s="14">
        <f t="shared" si="6"/>
        <v>0</v>
      </c>
      <c r="L32" s="3">
        <v>0</v>
      </c>
      <c r="M32" s="14">
        <f t="shared" si="7"/>
        <v>0</v>
      </c>
      <c r="N32" s="3">
        <v>0</v>
      </c>
      <c r="O32" s="14">
        <f t="shared" si="8"/>
        <v>0</v>
      </c>
      <c r="P32" s="3">
        <v>0</v>
      </c>
      <c r="Q32" s="14">
        <f t="shared" si="9"/>
        <v>0</v>
      </c>
    </row>
    <row r="33" spans="2:17" x14ac:dyDescent="0.25">
      <c r="B33" s="12" t="s">
        <v>21</v>
      </c>
      <c r="C33" s="16">
        <f t="shared" si="1"/>
        <v>0</v>
      </c>
      <c r="D33" s="16">
        <f t="shared" si="2"/>
        <v>0</v>
      </c>
      <c r="E33" s="16">
        <f t="shared" si="3"/>
        <v>0</v>
      </c>
      <c r="F33" s="16">
        <f t="shared" si="4"/>
        <v>0</v>
      </c>
      <c r="G33" s="16">
        <f t="shared" si="5"/>
        <v>0</v>
      </c>
      <c r="I33" s="12" t="s">
        <v>21</v>
      </c>
      <c r="J33" s="3">
        <v>0</v>
      </c>
      <c r="K33" s="14">
        <f t="shared" si="6"/>
        <v>0</v>
      </c>
      <c r="L33" s="3">
        <v>0</v>
      </c>
      <c r="M33" s="14">
        <f t="shared" si="7"/>
        <v>0</v>
      </c>
      <c r="N33" s="3">
        <v>0</v>
      </c>
      <c r="O33" s="14">
        <f t="shared" si="8"/>
        <v>0</v>
      </c>
      <c r="P33" s="3">
        <v>0</v>
      </c>
      <c r="Q33" s="14">
        <f t="shared" si="9"/>
        <v>0</v>
      </c>
    </row>
    <row r="34" spans="2:17" x14ac:dyDescent="0.25">
      <c r="B34" s="12" t="s">
        <v>13</v>
      </c>
      <c r="C34" s="16">
        <f t="shared" si="1"/>
        <v>34337.420937397983</v>
      </c>
      <c r="D34" s="16">
        <f t="shared" si="2"/>
        <v>63149.835975663729</v>
      </c>
      <c r="E34" s="16">
        <f t="shared" si="3"/>
        <v>80135.611044481659</v>
      </c>
      <c r="F34" s="16">
        <f t="shared" si="4"/>
        <v>157668.4594312163</v>
      </c>
      <c r="G34" s="16">
        <f t="shared" si="5"/>
        <v>335291.3273887597</v>
      </c>
      <c r="I34" s="12" t="s">
        <v>13</v>
      </c>
      <c r="J34" s="3">
        <v>4511318.7399999993</v>
      </c>
      <c r="K34" s="14">
        <f t="shared" si="6"/>
        <v>3.5058182103258881E-2</v>
      </c>
      <c r="L34" s="3">
        <v>6526792.0366666662</v>
      </c>
      <c r="M34" s="14">
        <f t="shared" si="7"/>
        <v>4.2835142739454789E-2</v>
      </c>
      <c r="N34" s="3">
        <v>6010222.5266666673</v>
      </c>
      <c r="O34" s="14">
        <f t="shared" si="8"/>
        <v>4.1096850100327993E-2</v>
      </c>
      <c r="P34" s="3">
        <v>6647963.6699999999</v>
      </c>
      <c r="Q34" s="14">
        <f t="shared" si="9"/>
        <v>4.1750630669527646E-2</v>
      </c>
    </row>
    <row r="35" spans="2:17" x14ac:dyDescent="0.25">
      <c r="B35" s="12" t="s">
        <v>14</v>
      </c>
      <c r="C35" s="16">
        <f t="shared" si="1"/>
        <v>12617.197708600415</v>
      </c>
      <c r="D35" s="16">
        <f t="shared" si="2"/>
        <v>20448.93976625739</v>
      </c>
      <c r="E35" s="16">
        <f t="shared" si="3"/>
        <v>26616.410739656061</v>
      </c>
      <c r="F35" s="16">
        <f t="shared" si="4"/>
        <v>54324.272160042194</v>
      </c>
      <c r="G35" s="16">
        <f t="shared" si="5"/>
        <v>114006.82037455606</v>
      </c>
      <c r="I35" s="12" t="s">
        <v>14</v>
      </c>
      <c r="J35" s="3">
        <v>1657672.5599999998</v>
      </c>
      <c r="K35" s="14">
        <f t="shared" si="6"/>
        <v>1.2882039559912659E-2</v>
      </c>
      <c r="L35" s="3">
        <v>2113480.98</v>
      </c>
      <c r="M35" s="14">
        <f t="shared" si="7"/>
        <v>1.3870713046597776E-2</v>
      </c>
      <c r="N35" s="3">
        <v>1996247.9766666666</v>
      </c>
      <c r="O35" s="14">
        <f t="shared" si="8"/>
        <v>1.3649994404725146E-2</v>
      </c>
      <c r="P35" s="3">
        <v>2290539.2050000001</v>
      </c>
      <c r="Q35" s="14">
        <f t="shared" si="9"/>
        <v>1.4385075058935826E-2</v>
      </c>
    </row>
    <row r="36" spans="2:17" x14ac:dyDescent="0.25">
      <c r="B36" s="12" t="s">
        <v>15</v>
      </c>
      <c r="C36" s="16">
        <f t="shared" si="1"/>
        <v>82482.567232933245</v>
      </c>
      <c r="D36" s="16">
        <f t="shared" si="2"/>
        <v>126882.82065144568</v>
      </c>
      <c r="E36" s="16">
        <f t="shared" si="3"/>
        <v>165405.10783937958</v>
      </c>
      <c r="F36" s="16">
        <f t="shared" si="4"/>
        <v>324542.83516014367</v>
      </c>
      <c r="G36" s="16">
        <f t="shared" si="5"/>
        <v>699313.33088390215</v>
      </c>
      <c r="I36" s="12" t="s">
        <v>27</v>
      </c>
      <c r="J36" s="3">
        <f>8836723.93333333+2000000</f>
        <v>10836723.93333333</v>
      </c>
      <c r="K36" s="14">
        <f t="shared" si="6"/>
        <v>8.4213921239700243E-2</v>
      </c>
      <c r="L36" s="3">
        <f>11113854.86+2000000</f>
        <v>13113854.859999999</v>
      </c>
      <c r="M36" s="14">
        <f t="shared" si="7"/>
        <v>8.6065840865902479E-2</v>
      </c>
      <c r="N36" s="3">
        <f>10405489.7966667+2000000</f>
        <v>12405489.7966667</v>
      </c>
      <c r="O36" s="14">
        <f t="shared" si="8"/>
        <v>8.4826568788878925E-2</v>
      </c>
      <c r="P36" s="3">
        <f>11684087.39+2000000</f>
        <v>13684087.390000001</v>
      </c>
      <c r="Q36" s="14">
        <f t="shared" si="9"/>
        <v>8.5938989294962645E-2</v>
      </c>
    </row>
    <row r="37" spans="2:17" x14ac:dyDescent="0.25">
      <c r="B37" s="12" t="s">
        <v>16</v>
      </c>
      <c r="C37" s="16">
        <f t="shared" si="1"/>
        <v>215253.30371665134</v>
      </c>
      <c r="D37" s="16">
        <f t="shared" si="2"/>
        <v>325820.77213776571</v>
      </c>
      <c r="E37" s="16">
        <f t="shared" si="3"/>
        <v>452228.37410761655</v>
      </c>
      <c r="F37" s="16">
        <f t="shared" si="4"/>
        <v>889419.61842915334</v>
      </c>
      <c r="G37" s="16">
        <f t="shared" si="5"/>
        <v>1882722.0683911871</v>
      </c>
      <c r="I37" s="12" t="s">
        <v>16</v>
      </c>
      <c r="J37" s="3">
        <v>28280407.683333334</v>
      </c>
      <c r="K37" s="14">
        <f t="shared" si="6"/>
        <v>0.21977158779002648</v>
      </c>
      <c r="L37" s="3">
        <v>33674900.149999999</v>
      </c>
      <c r="M37" s="14">
        <f t="shared" si="7"/>
        <v>0.22100737185412586</v>
      </c>
      <c r="N37" s="3">
        <v>33917419.806666665</v>
      </c>
      <c r="O37" s="14">
        <f t="shared" si="8"/>
        <v>0.2319213825111974</v>
      </c>
      <c r="P37" s="3">
        <v>37501662.234999999</v>
      </c>
      <c r="Q37" s="14">
        <f t="shared" si="9"/>
        <v>0.23551844251682827</v>
      </c>
    </row>
    <row r="38" spans="2:17" x14ac:dyDescent="0.25">
      <c r="B38" s="12" t="s">
        <v>17</v>
      </c>
      <c r="C38" s="16">
        <f t="shared" si="1"/>
        <v>25003.713192852843</v>
      </c>
      <c r="D38" s="16">
        <f t="shared" si="2"/>
        <v>25897.918077800947</v>
      </c>
      <c r="E38" s="16">
        <f t="shared" si="3"/>
        <v>52123.309867561511</v>
      </c>
      <c r="F38" s="16">
        <f t="shared" si="4"/>
        <v>92043.039700005771</v>
      </c>
      <c r="G38" s="16">
        <f t="shared" si="5"/>
        <v>195067.98083822109</v>
      </c>
      <c r="I38" s="12" t="s">
        <v>17</v>
      </c>
      <c r="J38" s="3">
        <v>3285037.6300000004</v>
      </c>
      <c r="K38" s="14">
        <f t="shared" si="6"/>
        <v>2.5528554749957213E-2</v>
      </c>
      <c r="L38" s="3">
        <v>2676655.02</v>
      </c>
      <c r="M38" s="14">
        <f t="shared" si="7"/>
        <v>1.7566807583551298E-2</v>
      </c>
      <c r="N38" s="3">
        <v>3909281.8666666667</v>
      </c>
      <c r="O38" s="14">
        <f t="shared" si="8"/>
        <v>2.6730985443800807E-2</v>
      </c>
      <c r="P38" s="3">
        <v>3880920.6749999998</v>
      </c>
      <c r="Q38" s="14">
        <f t="shared" si="9"/>
        <v>2.4373010112983807E-2</v>
      </c>
    </row>
    <row r="39" spans="2:17" x14ac:dyDescent="0.25">
      <c r="B39" s="12" t="s">
        <v>18</v>
      </c>
      <c r="C39" s="16">
        <f t="shared" si="1"/>
        <v>165161.34608567649</v>
      </c>
      <c r="D39" s="16">
        <f t="shared" si="2"/>
        <v>241801.38231773657</v>
      </c>
      <c r="E39" s="16">
        <f t="shared" si="3"/>
        <v>318058.93931833433</v>
      </c>
      <c r="F39" s="16">
        <f t="shared" si="4"/>
        <v>629659.92758161866</v>
      </c>
      <c r="G39" s="16">
        <f t="shared" si="5"/>
        <v>1354681.595303366</v>
      </c>
      <c r="I39" s="12" t="s">
        <v>18</v>
      </c>
      <c r="J39" s="3">
        <v>21699226.539999999</v>
      </c>
      <c r="K39" s="14">
        <f t="shared" si="6"/>
        <v>0.16862817268796843</v>
      </c>
      <c r="L39" s="3">
        <v>24991154.959999997</v>
      </c>
      <c r="M39" s="14">
        <f t="shared" si="7"/>
        <v>0.16401620948262269</v>
      </c>
      <c r="N39" s="3">
        <v>23854625.640000001</v>
      </c>
      <c r="O39" s="14">
        <f t="shared" si="8"/>
        <v>0.16311375656671953</v>
      </c>
      <c r="P39" s="3">
        <v>26549103.975000001</v>
      </c>
      <c r="Q39" s="14">
        <f t="shared" si="9"/>
        <v>0.16673403912676821</v>
      </c>
    </row>
    <row r="40" spans="2:17" x14ac:dyDescent="0.25">
      <c r="B40" s="15" t="s">
        <v>24</v>
      </c>
      <c r="C40" s="16">
        <f>$C$21-(C18+C19+C20)</f>
        <v>979441</v>
      </c>
      <c r="D40" s="16">
        <f>$D$21-(D18+D19+D20)</f>
        <v>1474252.96</v>
      </c>
      <c r="E40" s="16">
        <f>$E$21-(E18+E19+E20)</f>
        <v>1949921</v>
      </c>
      <c r="F40" s="16">
        <f>$F$21-(F18+F19+F20)</f>
        <v>3776433</v>
      </c>
      <c r="G40" s="16">
        <f>$C$21-(G18+G19+G20)</f>
        <v>813264</v>
      </c>
      <c r="I40" s="15" t="s">
        <v>24</v>
      </c>
      <c r="J40" s="3">
        <f t="shared" ref="J40:Q40" si="10">SUM(J26:J39)</f>
        <v>128680908.97333333</v>
      </c>
      <c r="K40" s="19">
        <f t="shared" si="10"/>
        <v>1</v>
      </c>
      <c r="L40" s="3">
        <f t="shared" si="10"/>
        <v>152370031.22333333</v>
      </c>
      <c r="M40" s="19">
        <f t="shared" si="10"/>
        <v>1</v>
      </c>
      <c r="N40" s="3">
        <f t="shared" si="10"/>
        <v>146245332.96333337</v>
      </c>
      <c r="O40" s="19">
        <f t="shared" si="10"/>
        <v>1</v>
      </c>
      <c r="P40" s="3">
        <f t="shared" si="10"/>
        <v>159230257.44499999</v>
      </c>
      <c r="Q40" s="19">
        <f t="shared" si="10"/>
        <v>1</v>
      </c>
    </row>
    <row r="43" spans="2:17" ht="15.75" x14ac:dyDescent="0.25">
      <c r="B43" s="44" t="s">
        <v>140</v>
      </c>
      <c r="C43" s="44"/>
      <c r="D43" s="44"/>
      <c r="E43" s="44"/>
      <c r="F43" s="44"/>
      <c r="G43" s="44"/>
      <c r="I43" s="44" t="s">
        <v>164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-0.25861971752601676</v>
      </c>
      <c r="D45" s="16">
        <f>D26-D4</f>
        <v>-0.2739548324898351</v>
      </c>
      <c r="E45" s="16">
        <f>E26-E4</f>
        <v>5.7542173342371825</v>
      </c>
      <c r="F45" s="16">
        <f>F26-F4</f>
        <v>0.62042707280488685</v>
      </c>
      <c r="G45" s="16">
        <f t="shared" ref="G45:G59" si="11">SUM(C45+D45+E45+F45)</f>
        <v>5.8420698570262175</v>
      </c>
      <c r="I45" s="15" t="s">
        <v>153</v>
      </c>
      <c r="J45" s="12" t="s">
        <v>155</v>
      </c>
    </row>
    <row r="46" spans="2:17" x14ac:dyDescent="0.25">
      <c r="B46" s="12" t="s">
        <v>8</v>
      </c>
      <c r="C46" s="16">
        <f t="shared" ref="C46:F58" si="12">C27-C5</f>
        <v>-0.6686595778883202</v>
      </c>
      <c r="D46" s="16">
        <f t="shared" si="12"/>
        <v>0.63110480224713683</v>
      </c>
      <c r="E46" s="16">
        <f t="shared" si="12"/>
        <v>-79.759283404244343</v>
      </c>
      <c r="F46" s="16">
        <f t="shared" si="12"/>
        <v>-0.43402231897925958</v>
      </c>
      <c r="G46" s="16">
        <f t="shared" si="11"/>
        <v>-80.230860498864786</v>
      </c>
      <c r="I46" s="15" t="s">
        <v>154</v>
      </c>
      <c r="J46" t="s">
        <v>189</v>
      </c>
    </row>
    <row r="47" spans="2:17" x14ac:dyDescent="0.25">
      <c r="B47" s="12" t="s">
        <v>9</v>
      </c>
      <c r="C47" s="16">
        <f t="shared" si="12"/>
        <v>0.74354970741842408</v>
      </c>
      <c r="D47" s="16">
        <f t="shared" si="12"/>
        <v>0.21785382575762924</v>
      </c>
      <c r="E47" s="16">
        <f t="shared" si="12"/>
        <v>4.9528691089217318</v>
      </c>
      <c r="F47" s="16">
        <f t="shared" si="12"/>
        <v>-0.13772194707416929</v>
      </c>
      <c r="G47" s="16">
        <f t="shared" si="11"/>
        <v>5.7765506950236158</v>
      </c>
    </row>
    <row r="48" spans="2:17" x14ac:dyDescent="0.25">
      <c r="B48" s="12" t="s">
        <v>10</v>
      </c>
      <c r="C48" s="16">
        <f t="shared" si="12"/>
        <v>-0.30853283595934045</v>
      </c>
      <c r="D48" s="16">
        <f t="shared" si="12"/>
        <v>-0.33360480586998165</v>
      </c>
      <c r="E48" s="16">
        <f t="shared" si="12"/>
        <v>8.0593887752038427</v>
      </c>
      <c r="F48" s="16">
        <f t="shared" si="12"/>
        <v>-0.24480808683438227</v>
      </c>
      <c r="G48" s="16">
        <f t="shared" si="11"/>
        <v>7.1724430465401383</v>
      </c>
    </row>
    <row r="49" spans="2:7" x14ac:dyDescent="0.25">
      <c r="B49" s="12" t="s">
        <v>11</v>
      </c>
      <c r="C49" s="16">
        <f t="shared" si="12"/>
        <v>-0.11543887510924833</v>
      </c>
      <c r="D49" s="16">
        <f t="shared" si="12"/>
        <v>0.30531554177287035</v>
      </c>
      <c r="E49" s="16">
        <f t="shared" si="12"/>
        <v>4.6400342372071464</v>
      </c>
      <c r="F49" s="16">
        <f t="shared" si="12"/>
        <v>1.3367707753786817E-2</v>
      </c>
      <c r="G49" s="16">
        <f t="shared" si="11"/>
        <v>4.8432786116245552</v>
      </c>
    </row>
    <row r="50" spans="2:7" x14ac:dyDescent="0.25">
      <c r="B50" s="12" t="s">
        <v>12</v>
      </c>
      <c r="C50" s="16">
        <f t="shared" si="12"/>
        <v>5.8827186730923131E-2</v>
      </c>
      <c r="D50" s="16">
        <f t="shared" si="12"/>
        <v>-0.25564120154012926</v>
      </c>
      <c r="E50" s="16">
        <f t="shared" si="12"/>
        <v>4.599856918954174</v>
      </c>
      <c r="F50" s="16">
        <f t="shared" si="12"/>
        <v>3.0295392614789307E-2</v>
      </c>
      <c r="G50" s="16">
        <f t="shared" si="11"/>
        <v>4.4333382967597572</v>
      </c>
    </row>
    <row r="51" spans="2:7" x14ac:dyDescent="0.25">
      <c r="B51" s="12" t="s">
        <v>22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6">
        <f t="shared" si="11"/>
        <v>0</v>
      </c>
    </row>
    <row r="52" spans="2:7" x14ac:dyDescent="0.25">
      <c r="B52" s="12" t="s">
        <v>21</v>
      </c>
      <c r="C52" s="16">
        <f t="shared" si="12"/>
        <v>0</v>
      </c>
      <c r="D52" s="16">
        <f t="shared" si="12"/>
        <v>0</v>
      </c>
      <c r="E52" s="16">
        <f t="shared" si="12"/>
        <v>0</v>
      </c>
      <c r="F52" s="16">
        <f t="shared" si="12"/>
        <v>0</v>
      </c>
      <c r="G52" s="16">
        <f t="shared" si="11"/>
        <v>0</v>
      </c>
    </row>
    <row r="53" spans="2:7" x14ac:dyDescent="0.25">
      <c r="B53" s="12" t="s">
        <v>13</v>
      </c>
      <c r="C53" s="16">
        <f t="shared" si="12"/>
        <v>0.42093739798292518</v>
      </c>
      <c r="D53" s="16">
        <f t="shared" si="12"/>
        <v>-0.16402433627081336</v>
      </c>
      <c r="E53" s="16">
        <f t="shared" si="12"/>
        <v>3.6110444816586096</v>
      </c>
      <c r="F53" s="16">
        <f t="shared" si="12"/>
        <v>-0.54056878370465711</v>
      </c>
      <c r="G53" s="16">
        <f t="shared" si="11"/>
        <v>3.3273887596660643</v>
      </c>
    </row>
    <row r="54" spans="2:7" x14ac:dyDescent="0.25">
      <c r="B54" s="12" t="s">
        <v>14</v>
      </c>
      <c r="C54" s="16">
        <f t="shared" si="12"/>
        <v>0.19770860041535343</v>
      </c>
      <c r="D54" s="16">
        <f t="shared" si="12"/>
        <v>-6.0233742609852925E-2</v>
      </c>
      <c r="E54" s="16">
        <f t="shared" si="12"/>
        <v>1.410739656061196</v>
      </c>
      <c r="F54" s="16">
        <f t="shared" si="12"/>
        <v>0.27216004219371825</v>
      </c>
      <c r="G54" s="16">
        <f t="shared" si="11"/>
        <v>1.8203745560604148</v>
      </c>
    </row>
    <row r="55" spans="2:7" x14ac:dyDescent="0.25">
      <c r="B55" s="12" t="s">
        <v>15</v>
      </c>
      <c r="C55" s="16">
        <f t="shared" si="12"/>
        <v>0.56723293324466795</v>
      </c>
      <c r="D55" s="16">
        <f t="shared" si="12"/>
        <v>-0.13934855432307813</v>
      </c>
      <c r="E55" s="16">
        <f t="shared" si="12"/>
        <v>7.1078393795760348</v>
      </c>
      <c r="F55" s="16">
        <f t="shared" si="12"/>
        <v>0.83516014367341995</v>
      </c>
      <c r="G55" s="16">
        <f t="shared" si="11"/>
        <v>8.3708839021710446</v>
      </c>
    </row>
    <row r="56" spans="2:7" x14ac:dyDescent="0.25">
      <c r="B56" s="12" t="s">
        <v>16</v>
      </c>
      <c r="C56" s="16">
        <f t="shared" si="12"/>
        <v>-0.69628334866138175</v>
      </c>
      <c r="D56" s="16">
        <f t="shared" si="12"/>
        <v>-0.22786223428556696</v>
      </c>
      <c r="E56" s="16">
        <f t="shared" si="12"/>
        <v>19.374107616546098</v>
      </c>
      <c r="F56" s="16">
        <f t="shared" si="12"/>
        <v>-0.3815708466572687</v>
      </c>
      <c r="G56" s="16">
        <f t="shared" si="11"/>
        <v>18.068391186941881</v>
      </c>
    </row>
    <row r="57" spans="2:7" x14ac:dyDescent="0.25">
      <c r="B57" s="12" t="s">
        <v>17</v>
      </c>
      <c r="C57" s="16">
        <f t="shared" si="12"/>
        <v>0.7131928528433491</v>
      </c>
      <c r="D57" s="16">
        <f t="shared" si="12"/>
        <v>-8.1922199053224176E-2</v>
      </c>
      <c r="E57" s="16">
        <f t="shared" si="12"/>
        <v>6.3098675615110551</v>
      </c>
      <c r="F57" s="16">
        <f t="shared" si="12"/>
        <v>3.9700005771010183E-2</v>
      </c>
      <c r="G57" s="16">
        <f t="shared" si="11"/>
        <v>6.9808382210721902</v>
      </c>
    </row>
    <row r="58" spans="2:7" x14ac:dyDescent="0.25">
      <c r="B58" s="12" t="s">
        <v>18</v>
      </c>
      <c r="C58" s="16">
        <f t="shared" si="12"/>
        <v>-0.65391432351316325</v>
      </c>
      <c r="D58" s="16">
        <f t="shared" si="12"/>
        <v>0.38231773657025769</v>
      </c>
      <c r="E58" s="16">
        <f t="shared" si="12"/>
        <v>13.93931833433453</v>
      </c>
      <c r="F58" s="16">
        <f t="shared" si="12"/>
        <v>-7.2418381343595684E-2</v>
      </c>
      <c r="G58" s="16">
        <f t="shared" si="11"/>
        <v>13.595303366048029</v>
      </c>
    </row>
    <row r="59" spans="2:7" x14ac:dyDescent="0.25">
      <c r="B59" s="15" t="s">
        <v>24</v>
      </c>
      <c r="C59" s="16">
        <f>SUM(C45:C58)</f>
        <v>-2.1827872842550278E-11</v>
      </c>
      <c r="D59" s="16">
        <f>SUM(D45:D58)</f>
        <v>-9.4587448984384537E-11</v>
      </c>
      <c r="E59" s="16">
        <f>SUM(E45:E58)</f>
        <v>-3.2741809263825417E-11</v>
      </c>
      <c r="F59" s="16">
        <f>SUM(F45:F58)</f>
        <v>2.1827872842550278E-10</v>
      </c>
      <c r="G59" s="16">
        <f t="shared" si="11"/>
        <v>6.9121597334742546E-11</v>
      </c>
    </row>
  </sheetData>
  <sheetProtection algorithmName="SHA-512" hashValue="Iva8F+ZmONLji0x+HEde82EX0q/Iy6A9Nvm16Nl21lyE8p5G/8CDIc2lRRfuWiLzyN8TE0udJJtG9LNpptDQ4w==" saltValue="dNBHD2ud+Pe4Qta7OlgIvQ==" spinCount="100000" sheet="1" objects="1" scenarios="1"/>
  <mergeCells count="6">
    <mergeCell ref="B2:G2"/>
    <mergeCell ref="I2:Q2"/>
    <mergeCell ref="B24:G24"/>
    <mergeCell ref="I24:Q24"/>
    <mergeCell ref="B43:G43"/>
    <mergeCell ref="I43:Q4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9A2E0-F360-401C-9A4A-0B9E48748048}">
  <dimension ref="B2:Q59"/>
  <sheetViews>
    <sheetView zoomScaleNormal="100" workbookViewId="0">
      <selection activeCell="B3" sqref="B3"/>
    </sheetView>
  </sheetViews>
  <sheetFormatPr defaultColWidth="9.140625" defaultRowHeight="15" x14ac:dyDescent="0.25"/>
  <cols>
    <col min="1" max="2" width="9.140625" style="12"/>
    <col min="3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62</v>
      </c>
      <c r="C2" s="44"/>
      <c r="D2" s="44"/>
      <c r="E2" s="44"/>
      <c r="F2" s="44"/>
      <c r="G2" s="44"/>
      <c r="H2" s="11"/>
      <c r="I2" s="44" t="s">
        <v>63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2</v>
      </c>
      <c r="K3" s="13"/>
      <c r="L3" s="13" t="s">
        <v>3</v>
      </c>
      <c r="M3" s="13"/>
      <c r="N3" s="13" t="s">
        <v>4</v>
      </c>
      <c r="O3" s="13"/>
      <c r="P3" s="13" t="s">
        <v>26</v>
      </c>
      <c r="Q3" s="13"/>
    </row>
    <row r="4" spans="2:17" x14ac:dyDescent="0.25">
      <c r="B4" s="12" t="s">
        <v>7</v>
      </c>
      <c r="C4" s="3">
        <v>58811</v>
      </c>
      <c r="D4" s="5">
        <v>83204</v>
      </c>
      <c r="E4" s="5">
        <v>85006</v>
      </c>
      <c r="F4" s="5">
        <v>206846.53</v>
      </c>
      <c r="G4" s="5">
        <f t="shared" ref="G4:G20" si="0">C4+D4+E4+F4</f>
        <v>433867.53</v>
      </c>
      <c r="I4" s="12" t="s">
        <v>7</v>
      </c>
      <c r="J4" s="3">
        <v>7482785.7833333341</v>
      </c>
      <c r="K4" s="14"/>
      <c r="L4" s="3">
        <v>8195547.0300000003</v>
      </c>
      <c r="M4" s="14"/>
      <c r="N4" s="3">
        <v>8526915.5566666666</v>
      </c>
      <c r="O4" s="14"/>
      <c r="P4" s="3">
        <v>9122645.3850000016</v>
      </c>
      <c r="Q4" s="14"/>
    </row>
    <row r="5" spans="2:17" x14ac:dyDescent="0.25">
      <c r="B5" s="12" t="s">
        <v>8</v>
      </c>
      <c r="C5" s="3">
        <v>97690</v>
      </c>
      <c r="D5" s="3">
        <v>154654</v>
      </c>
      <c r="E5" s="3">
        <v>160807</v>
      </c>
      <c r="F5" s="3">
        <v>326443</v>
      </c>
      <c r="G5" s="5">
        <f t="shared" si="0"/>
        <v>739594</v>
      </c>
      <c r="I5" s="12" t="s">
        <v>8</v>
      </c>
      <c r="J5" s="3">
        <v>12429478.4</v>
      </c>
      <c r="K5" s="14"/>
      <c r="L5" s="3">
        <v>15233377.976666667</v>
      </c>
      <c r="M5" s="14"/>
      <c r="N5" s="3">
        <v>16130605.846666669</v>
      </c>
      <c r="O5" s="14"/>
      <c r="P5" s="3">
        <v>18444720.375</v>
      </c>
      <c r="Q5" s="14"/>
    </row>
    <row r="6" spans="2:17" x14ac:dyDescent="0.25">
      <c r="B6" s="12" t="s">
        <v>9</v>
      </c>
      <c r="C6" s="3">
        <v>102267</v>
      </c>
      <c r="D6" s="3">
        <v>127944</v>
      </c>
      <c r="E6" s="3">
        <v>121945</v>
      </c>
      <c r="F6" s="3">
        <v>249125</v>
      </c>
      <c r="G6" s="5">
        <f t="shared" si="0"/>
        <v>601281</v>
      </c>
      <c r="I6" s="12" t="s">
        <v>9</v>
      </c>
      <c r="J6" s="3">
        <v>13011822.743333334</v>
      </c>
      <c r="K6" s="14"/>
      <c r="L6" s="3">
        <v>12602445.689999999</v>
      </c>
      <c r="M6" s="14"/>
      <c r="N6" s="3">
        <v>12232370.576666668</v>
      </c>
      <c r="O6" s="14"/>
      <c r="P6" s="3">
        <v>14076032.310000001</v>
      </c>
      <c r="Q6" s="14"/>
    </row>
    <row r="7" spans="2:17" x14ac:dyDescent="0.25">
      <c r="B7" s="12" t="s">
        <v>10</v>
      </c>
      <c r="C7" s="3">
        <v>63413</v>
      </c>
      <c r="D7" s="3">
        <v>168631</v>
      </c>
      <c r="E7" s="3">
        <v>164373</v>
      </c>
      <c r="F7" s="3">
        <v>320564</v>
      </c>
      <c r="G7" s="5">
        <f t="shared" si="0"/>
        <v>716981</v>
      </c>
      <c r="I7" s="12" t="s">
        <v>10</v>
      </c>
      <c r="J7" s="3">
        <v>8068913.4333333336</v>
      </c>
      <c r="K7" s="14"/>
      <c r="L7" s="3">
        <v>16610162.463333333</v>
      </c>
      <c r="M7" s="14"/>
      <c r="N7" s="3">
        <v>16488226.530000001</v>
      </c>
      <c r="O7" s="14"/>
      <c r="P7" s="3">
        <v>18112528.295000002</v>
      </c>
      <c r="Q7" s="14"/>
    </row>
    <row r="8" spans="2:17" x14ac:dyDescent="0.25">
      <c r="B8" s="12" t="s">
        <v>11</v>
      </c>
      <c r="C8" s="3">
        <v>48896</v>
      </c>
      <c r="D8" s="3">
        <v>71872</v>
      </c>
      <c r="E8" s="3">
        <v>72148</v>
      </c>
      <c r="F8" s="3">
        <v>151321</v>
      </c>
      <c r="G8" s="5">
        <f t="shared" si="0"/>
        <v>344237</v>
      </c>
      <c r="I8" s="12" t="s">
        <v>11</v>
      </c>
      <c r="J8" s="3">
        <v>6221269.2033333331</v>
      </c>
      <c r="K8" s="14"/>
      <c r="L8" s="3">
        <v>7079380.1966666663</v>
      </c>
      <c r="M8" s="14"/>
      <c r="N8" s="3">
        <v>7237151.4500000002</v>
      </c>
      <c r="O8" s="14"/>
      <c r="P8" s="3">
        <v>8549960.0999999996</v>
      </c>
      <c r="Q8" s="14"/>
    </row>
    <row r="9" spans="2:17" x14ac:dyDescent="0.25">
      <c r="B9" s="12" t="s">
        <v>12</v>
      </c>
      <c r="C9" s="3">
        <v>55753</v>
      </c>
      <c r="D9" s="3">
        <v>76100</v>
      </c>
      <c r="E9" s="3">
        <v>71511</v>
      </c>
      <c r="F9" s="3">
        <v>142141</v>
      </c>
      <c r="G9" s="5">
        <f t="shared" si="0"/>
        <v>345505</v>
      </c>
      <c r="I9" s="12" t="s">
        <v>12</v>
      </c>
      <c r="J9" s="3">
        <v>7093746.1600000001</v>
      </c>
      <c r="K9" s="14"/>
      <c r="L9" s="3">
        <v>7495883.8866666667</v>
      </c>
      <c r="M9" s="14"/>
      <c r="N9" s="3">
        <v>7173307.1733333329</v>
      </c>
      <c r="O9" s="14"/>
      <c r="P9" s="3">
        <v>8031286.9400000004</v>
      </c>
      <c r="Q9" s="14"/>
    </row>
    <row r="10" spans="2:17" x14ac:dyDescent="0.25">
      <c r="B10" s="12" t="s">
        <v>22</v>
      </c>
      <c r="C10" s="3">
        <v>0</v>
      </c>
      <c r="D10" s="3">
        <v>0</v>
      </c>
      <c r="E10" s="3">
        <v>0</v>
      </c>
      <c r="F10" s="3">
        <v>0</v>
      </c>
      <c r="G10" s="5">
        <f t="shared" si="0"/>
        <v>0</v>
      </c>
      <c r="I10" s="12" t="s">
        <v>22</v>
      </c>
      <c r="J10" s="3">
        <v>0</v>
      </c>
      <c r="K10" s="14"/>
      <c r="L10" s="3">
        <v>0</v>
      </c>
      <c r="M10" s="14"/>
      <c r="N10" s="3">
        <v>0</v>
      </c>
      <c r="O10" s="14"/>
      <c r="P10" s="3">
        <v>0</v>
      </c>
      <c r="Q10" s="14"/>
    </row>
    <row r="11" spans="2:17" x14ac:dyDescent="0.25">
      <c r="B11" s="12" t="s">
        <v>21</v>
      </c>
      <c r="C11" s="3">
        <v>0</v>
      </c>
      <c r="D11" s="3">
        <v>0</v>
      </c>
      <c r="E11" s="3">
        <v>0</v>
      </c>
      <c r="F11" s="3">
        <v>0</v>
      </c>
      <c r="G11" s="5">
        <f t="shared" si="0"/>
        <v>0</v>
      </c>
      <c r="I11" s="12" t="s">
        <v>21</v>
      </c>
      <c r="J11" s="3">
        <v>0</v>
      </c>
      <c r="K11" s="14"/>
      <c r="L11" s="3">
        <v>0</v>
      </c>
      <c r="M11" s="14"/>
      <c r="N11" s="3">
        <v>0</v>
      </c>
      <c r="O11" s="14"/>
      <c r="P11" s="3">
        <v>0</v>
      </c>
      <c r="Q11" s="14"/>
    </row>
    <row r="12" spans="2:17" x14ac:dyDescent="0.25">
      <c r="B12" s="12" t="s">
        <v>13</v>
      </c>
      <c r="C12" s="3">
        <v>35813</v>
      </c>
      <c r="D12" s="3">
        <v>53291</v>
      </c>
      <c r="E12" s="3">
        <v>54345</v>
      </c>
      <c r="F12" s="3">
        <v>115629</v>
      </c>
      <c r="G12" s="5">
        <f t="shared" si="0"/>
        <v>259078</v>
      </c>
      <c r="I12" s="12" t="s">
        <v>13</v>
      </c>
      <c r="J12" s="3">
        <v>4556649.7233333336</v>
      </c>
      <c r="K12" s="14"/>
      <c r="L12" s="3">
        <v>5249185.6499999994</v>
      </c>
      <c r="M12" s="14"/>
      <c r="N12" s="3">
        <v>5451372.3133333335</v>
      </c>
      <c r="O12" s="14"/>
      <c r="P12" s="3">
        <v>6533281.9500000002</v>
      </c>
      <c r="Q12" s="14"/>
    </row>
    <row r="13" spans="2:17" x14ac:dyDescent="0.25">
      <c r="B13" s="12" t="s">
        <v>14</v>
      </c>
      <c r="C13" s="3">
        <v>12442</v>
      </c>
      <c r="D13" s="3">
        <v>17524</v>
      </c>
      <c r="E13" s="3">
        <v>17384</v>
      </c>
      <c r="F13" s="3">
        <v>36508</v>
      </c>
      <c r="G13" s="5">
        <f t="shared" si="0"/>
        <v>83858</v>
      </c>
      <c r="I13" s="12" t="s">
        <v>14</v>
      </c>
      <c r="J13" s="3">
        <v>1583025.49</v>
      </c>
      <c r="K13" s="14"/>
      <c r="L13" s="3">
        <v>1726150.3866666667</v>
      </c>
      <c r="M13" s="14"/>
      <c r="N13" s="3">
        <v>1752783.7666666666</v>
      </c>
      <c r="O13" s="14"/>
      <c r="P13" s="3">
        <v>2062770.34</v>
      </c>
      <c r="Q13" s="14"/>
    </row>
    <row r="14" spans="2:17" x14ac:dyDescent="0.25">
      <c r="B14" s="12" t="s">
        <v>15</v>
      </c>
      <c r="C14" s="3">
        <v>89355</v>
      </c>
      <c r="D14" s="3">
        <v>125233</v>
      </c>
      <c r="E14" s="3">
        <v>121843</v>
      </c>
      <c r="F14" s="3">
        <v>233597</v>
      </c>
      <c r="G14" s="5">
        <f t="shared" si="0"/>
        <v>570028</v>
      </c>
      <c r="I14" s="12" t="s">
        <v>15</v>
      </c>
      <c r="J14" s="3">
        <v>9369071.0399999991</v>
      </c>
      <c r="K14" s="14"/>
      <c r="L14" s="3">
        <v>10335394.126666667</v>
      </c>
      <c r="M14" s="14"/>
      <c r="N14" s="3">
        <v>10222160.823333332</v>
      </c>
      <c r="O14" s="14"/>
      <c r="P14" s="3">
        <v>11198668.335000001</v>
      </c>
      <c r="Q14" s="14"/>
    </row>
    <row r="15" spans="2:17" x14ac:dyDescent="0.25">
      <c r="B15" s="12" t="s">
        <v>16</v>
      </c>
      <c r="C15" s="3">
        <v>225480</v>
      </c>
      <c r="D15" s="3">
        <v>339433</v>
      </c>
      <c r="E15" s="3">
        <v>339985</v>
      </c>
      <c r="F15" s="3">
        <v>697259</v>
      </c>
      <c r="G15" s="5">
        <f t="shared" si="0"/>
        <v>1602157</v>
      </c>
      <c r="I15" s="12" t="s">
        <v>16</v>
      </c>
      <c r="J15" s="3">
        <v>28688882.776666671</v>
      </c>
      <c r="K15" s="14"/>
      <c r="L15" s="3">
        <v>33434128.016666666</v>
      </c>
      <c r="M15" s="14"/>
      <c r="N15" s="3">
        <v>34103881.483333327</v>
      </c>
      <c r="O15" s="14"/>
      <c r="P15" s="3">
        <v>39255270.530000001</v>
      </c>
      <c r="Q15" s="14"/>
    </row>
    <row r="16" spans="2:17" x14ac:dyDescent="0.25">
      <c r="B16" s="12" t="s">
        <v>17</v>
      </c>
      <c r="C16" s="3">
        <v>35332</v>
      </c>
      <c r="D16" s="3">
        <v>32881</v>
      </c>
      <c r="E16" s="3">
        <v>48711</v>
      </c>
      <c r="F16" s="3">
        <v>65853</v>
      </c>
      <c r="G16" s="5">
        <f t="shared" si="0"/>
        <v>182777</v>
      </c>
      <c r="I16" s="12" t="s">
        <v>17</v>
      </c>
      <c r="J16" s="3">
        <v>4495481.4533333331</v>
      </c>
      <c r="K16" s="14"/>
      <c r="L16" s="3">
        <v>3238790.89</v>
      </c>
      <c r="M16" s="14"/>
      <c r="N16" s="3">
        <v>4886266.2</v>
      </c>
      <c r="O16" s="14"/>
      <c r="P16" s="3">
        <v>3720805.5500000003</v>
      </c>
      <c r="Q16" s="14"/>
    </row>
    <row r="17" spans="2:17" x14ac:dyDescent="0.25">
      <c r="B17" s="12" t="s">
        <v>18</v>
      </c>
      <c r="C17" s="3">
        <v>156513</v>
      </c>
      <c r="D17" s="3">
        <v>221872</v>
      </c>
      <c r="E17" s="3">
        <v>220779</v>
      </c>
      <c r="F17" s="3">
        <v>470638</v>
      </c>
      <c r="G17" s="5">
        <f t="shared" si="0"/>
        <v>1069802</v>
      </c>
      <c r="I17" s="12" t="s">
        <v>18</v>
      </c>
      <c r="J17" s="3">
        <v>19913850.780000001</v>
      </c>
      <c r="K17" s="14"/>
      <c r="L17" s="3">
        <v>21854320.736666664</v>
      </c>
      <c r="M17" s="14"/>
      <c r="N17" s="3">
        <v>22146441.133333337</v>
      </c>
      <c r="O17" s="14"/>
      <c r="P17" s="3">
        <v>26591964.975000001</v>
      </c>
      <c r="Q17" s="14"/>
    </row>
    <row r="18" spans="2:17" x14ac:dyDescent="0.25">
      <c r="B18" s="29" t="s">
        <v>19</v>
      </c>
      <c r="C18" s="30">
        <v>295</v>
      </c>
      <c r="D18" s="30">
        <v>486</v>
      </c>
      <c r="E18" s="30">
        <v>562</v>
      </c>
      <c r="F18" s="30">
        <v>1194</v>
      </c>
      <c r="G18" s="31">
        <f t="shared" si="0"/>
        <v>2537</v>
      </c>
      <c r="I18" s="29" t="s">
        <v>19</v>
      </c>
      <c r="J18" s="30">
        <v>37508.726666666669</v>
      </c>
      <c r="K18" s="32"/>
      <c r="L18" s="30">
        <v>47829.406666666669</v>
      </c>
      <c r="M18" s="32"/>
      <c r="N18" s="30">
        <v>56396.69</v>
      </c>
      <c r="O18" s="32"/>
      <c r="P18" s="30">
        <v>67454.815000000002</v>
      </c>
      <c r="Q18" s="14"/>
    </row>
    <row r="19" spans="2:17" x14ac:dyDescent="0.25">
      <c r="B19" s="29" t="s">
        <v>20</v>
      </c>
      <c r="C19" s="30">
        <v>15045</v>
      </c>
      <c r="D19" s="30">
        <v>19389</v>
      </c>
      <c r="E19" s="30">
        <v>18807</v>
      </c>
      <c r="F19" s="30">
        <v>32852</v>
      </c>
      <c r="G19" s="31">
        <f t="shared" si="0"/>
        <v>86093</v>
      </c>
      <c r="I19" s="29" t="s">
        <v>20</v>
      </c>
      <c r="J19" s="30">
        <v>1914224.5566666666</v>
      </c>
      <c r="K19" s="32"/>
      <c r="L19" s="30">
        <v>1909827.47</v>
      </c>
      <c r="M19" s="32"/>
      <c r="N19" s="30">
        <v>1886543.6733333331</v>
      </c>
      <c r="O19" s="32"/>
      <c r="P19" s="30">
        <v>1856201.2850000001</v>
      </c>
      <c r="Q19" s="14"/>
    </row>
    <row r="20" spans="2:17" x14ac:dyDescent="0.25">
      <c r="B20" s="29" t="s">
        <v>23</v>
      </c>
      <c r="C20" s="30">
        <v>18614</v>
      </c>
      <c r="D20" s="30">
        <v>27791</v>
      </c>
      <c r="E20" s="30">
        <v>21642</v>
      </c>
      <c r="F20" s="30">
        <v>33316</v>
      </c>
      <c r="G20" s="31">
        <f t="shared" si="0"/>
        <v>101363</v>
      </c>
      <c r="I20" s="29" t="s">
        <v>23</v>
      </c>
      <c r="J20" s="30">
        <v>2611272.9499999997</v>
      </c>
      <c r="K20" s="32"/>
      <c r="L20" s="30">
        <v>2737361.436666667</v>
      </c>
      <c r="M20" s="32"/>
      <c r="N20" s="30">
        <v>2170648.5866666664</v>
      </c>
      <c r="O20" s="32"/>
      <c r="P20" s="30">
        <v>1882313.155</v>
      </c>
      <c r="Q20" s="14"/>
    </row>
    <row r="21" spans="2:17" x14ac:dyDescent="0.25">
      <c r="B21" s="15" t="s">
        <v>24</v>
      </c>
      <c r="C21" s="16">
        <f>SUM(C4:C20)</f>
        <v>1015719</v>
      </c>
      <c r="D21" s="3">
        <f>SUM(D4:D20)</f>
        <v>1520305</v>
      </c>
      <c r="E21" s="3">
        <f>SUM(E4:E20)</f>
        <v>1519848</v>
      </c>
      <c r="F21" s="3">
        <f>SUM(F4:F20)</f>
        <v>3083286.5300000003</v>
      </c>
      <c r="G21" s="3">
        <f>SUM(G4:G20)</f>
        <v>7139158.5300000003</v>
      </c>
      <c r="I21" s="15" t="s">
        <v>24</v>
      </c>
      <c r="J21" s="3">
        <f>SUM(J4:J20)</f>
        <v>127477983.22000001</v>
      </c>
      <c r="K21" s="17"/>
      <c r="L21" s="3">
        <f>SUM(L4:L20)</f>
        <v>147749785.36333334</v>
      </c>
      <c r="M21" s="14"/>
      <c r="N21" s="3">
        <f>SUM(N4:N20)</f>
        <v>150465071.80333337</v>
      </c>
      <c r="O21" s="14"/>
      <c r="P21" s="3">
        <f>SUM(P4:P20)</f>
        <v>169505904.34</v>
      </c>
      <c r="Q21" s="18"/>
    </row>
    <row r="24" spans="2:17" ht="15.75" x14ac:dyDescent="0.25">
      <c r="B24" s="44" t="s">
        <v>128</v>
      </c>
      <c r="C24" s="44"/>
      <c r="D24" s="44"/>
      <c r="E24" s="44"/>
      <c r="F24" s="44"/>
      <c r="G24" s="44"/>
      <c r="I24" s="44" t="s">
        <v>64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2</v>
      </c>
      <c r="K25" s="13"/>
      <c r="L25" s="13" t="s">
        <v>3</v>
      </c>
      <c r="M25" s="13"/>
      <c r="N25" s="13" t="s">
        <v>4</v>
      </c>
      <c r="O25" s="13"/>
      <c r="P25" s="13" t="s">
        <v>26</v>
      </c>
    </row>
    <row r="26" spans="2:17" x14ac:dyDescent="0.25">
      <c r="B26" s="12" t="s">
        <v>7</v>
      </c>
      <c r="C26" s="16">
        <f t="shared" ref="C26:C39" si="1">$C$40*K26</f>
        <v>58810.6995797501</v>
      </c>
      <c r="D26" s="16">
        <f t="shared" ref="D26:D39" si="2">$D$40*M26</f>
        <v>83203.623211858925</v>
      </c>
      <c r="E26" s="16">
        <f t="shared" ref="E26:E39" si="3">$E$40*O26</f>
        <v>85000.284314926423</v>
      </c>
      <c r="F26" s="16">
        <f t="shared" ref="F26:F39" si="4">$F$40*Q26</f>
        <v>164062.13861184573</v>
      </c>
      <c r="G26" s="16">
        <f t="shared" ref="G26:G39" si="5">SUM(C26+D26+E26+F26)</f>
        <v>391076.74571838119</v>
      </c>
      <c r="I26" s="12" t="s">
        <v>7</v>
      </c>
      <c r="J26" s="3">
        <v>7482785.7833333341</v>
      </c>
      <c r="K26" s="14">
        <f t="shared" ref="K26:K39" si="6">J26/$J$40</f>
        <v>5.9903031356536546E-2</v>
      </c>
      <c r="L26" s="3">
        <v>8195547.0300000003</v>
      </c>
      <c r="M26" s="14">
        <f t="shared" ref="M26:M39" si="7">L26/$L$40</f>
        <v>5.6499673858874395E-2</v>
      </c>
      <c r="N26" s="3">
        <v>8526915.5566666666</v>
      </c>
      <c r="O26" s="14">
        <f t="shared" ref="O26:O39" si="8">N26/$N$40</f>
        <v>5.7477791206824301E-2</v>
      </c>
      <c r="P26" s="3">
        <v>9122645.3850000016</v>
      </c>
      <c r="Q26" s="14">
        <f t="shared" ref="Q26:Q39" si="9">P26/$P$40</f>
        <v>5.4398622041064708E-2</v>
      </c>
    </row>
    <row r="27" spans="2:17" x14ac:dyDescent="0.25">
      <c r="B27" s="12" t="s">
        <v>8</v>
      </c>
      <c r="C27" s="16">
        <f t="shared" si="1"/>
        <v>97689.06143799331</v>
      </c>
      <c r="D27" s="16">
        <f t="shared" si="2"/>
        <v>154653.7695134675</v>
      </c>
      <c r="E27" s="16">
        <f t="shared" si="3"/>
        <v>160797.42716188842</v>
      </c>
      <c r="F27" s="16">
        <f t="shared" si="4"/>
        <v>331710.82982088148</v>
      </c>
      <c r="G27" s="16">
        <f t="shared" si="5"/>
        <v>744851.08793423069</v>
      </c>
      <c r="I27" s="12" t="s">
        <v>8</v>
      </c>
      <c r="J27" s="3">
        <v>12429478.4</v>
      </c>
      <c r="K27" s="14">
        <f t="shared" si="6"/>
        <v>9.9503507904634317E-2</v>
      </c>
      <c r="L27" s="3">
        <v>15233377.976666667</v>
      </c>
      <c r="M27" s="14">
        <f t="shared" si="7"/>
        <v>0.10501811340964588</v>
      </c>
      <c r="N27" s="3">
        <v>16130605.846666669</v>
      </c>
      <c r="O27" s="14">
        <f t="shared" si="8"/>
        <v>0.10873235330322978</v>
      </c>
      <c r="P27" s="3">
        <v>18444720.375</v>
      </c>
      <c r="Q27" s="14">
        <f t="shared" si="9"/>
        <v>0.10998644910417617</v>
      </c>
    </row>
    <row r="28" spans="2:17" x14ac:dyDescent="0.25">
      <c r="B28" s="12" t="s">
        <v>9</v>
      </c>
      <c r="C28" s="16">
        <f t="shared" si="1"/>
        <v>102265.97693703452</v>
      </c>
      <c r="D28" s="16">
        <f t="shared" si="2"/>
        <v>127943.76493727173</v>
      </c>
      <c r="E28" s="16">
        <f t="shared" si="3"/>
        <v>121937.99386805085</v>
      </c>
      <c r="F28" s="16">
        <f t="shared" si="4"/>
        <v>253144.11187627664</v>
      </c>
      <c r="G28" s="16">
        <f t="shared" si="5"/>
        <v>605291.84761863376</v>
      </c>
      <c r="I28" s="12" t="s">
        <v>9</v>
      </c>
      <c r="J28" s="3">
        <v>13011822.743333334</v>
      </c>
      <c r="K28" s="14">
        <f t="shared" si="6"/>
        <v>0.10416543361907842</v>
      </c>
      <c r="L28" s="3">
        <v>12602445.689999999</v>
      </c>
      <c r="M28" s="14">
        <f t="shared" si="7"/>
        <v>8.6880603418265936E-2</v>
      </c>
      <c r="N28" s="3">
        <v>12232370.576666668</v>
      </c>
      <c r="O28" s="14">
        <f t="shared" si="8"/>
        <v>8.2455330687594947E-2</v>
      </c>
      <c r="P28" s="3">
        <v>14076032.310000001</v>
      </c>
      <c r="Q28" s="14">
        <f t="shared" si="9"/>
        <v>8.3935824440632342E-2</v>
      </c>
    </row>
    <row r="29" spans="2:17" x14ac:dyDescent="0.25">
      <c r="B29" s="12" t="s">
        <v>10</v>
      </c>
      <c r="C29" s="16">
        <f t="shared" si="1"/>
        <v>63417.349848465856</v>
      </c>
      <c r="D29" s="16">
        <f t="shared" si="2"/>
        <v>168631.29380235515</v>
      </c>
      <c r="E29" s="16">
        <f t="shared" si="3"/>
        <v>164362.35747675065</v>
      </c>
      <c r="F29" s="16">
        <f t="shared" si="4"/>
        <v>325736.66982949019</v>
      </c>
      <c r="G29" s="16">
        <f t="shared" si="5"/>
        <v>722147.67095706193</v>
      </c>
      <c r="I29" s="12" t="s">
        <v>10</v>
      </c>
      <c r="J29" s="3">
        <v>8068913.4333333336</v>
      </c>
      <c r="K29" s="14">
        <f t="shared" si="6"/>
        <v>6.4595244125086812E-2</v>
      </c>
      <c r="L29" s="3">
        <v>16610162.463333333</v>
      </c>
      <c r="M29" s="14">
        <f t="shared" si="7"/>
        <v>0.11450959386676242</v>
      </c>
      <c r="N29" s="3">
        <v>16488226.530000001</v>
      </c>
      <c r="O29" s="14">
        <f t="shared" si="8"/>
        <v>0.11114298430236101</v>
      </c>
      <c r="P29" s="3">
        <v>18112528.295000002</v>
      </c>
      <c r="Q29" s="14">
        <f t="shared" si="9"/>
        <v>0.10800557725809212</v>
      </c>
    </row>
    <row r="30" spans="2:17" x14ac:dyDescent="0.25">
      <c r="B30" s="12" t="s">
        <v>11</v>
      </c>
      <c r="C30" s="16">
        <f t="shared" si="1"/>
        <v>48895.853057415959</v>
      </c>
      <c r="D30" s="16">
        <f t="shared" si="2"/>
        <v>71871.966605864145</v>
      </c>
      <c r="E30" s="16">
        <f t="shared" si="3"/>
        <v>72143.312173324695</v>
      </c>
      <c r="F30" s="16">
        <f t="shared" si="4"/>
        <v>153762.93606220779</v>
      </c>
      <c r="G30" s="16">
        <f t="shared" si="5"/>
        <v>346674.06789881259</v>
      </c>
      <c r="I30" s="12" t="s">
        <v>11</v>
      </c>
      <c r="J30" s="3">
        <v>6221269.2033333331</v>
      </c>
      <c r="K30" s="14">
        <f t="shared" si="6"/>
        <v>4.9804029536005011E-2</v>
      </c>
      <c r="L30" s="3">
        <v>7079380.1966666663</v>
      </c>
      <c r="M30" s="14">
        <f t="shared" si="7"/>
        <v>4.8804877913639487E-2</v>
      </c>
      <c r="N30" s="3">
        <v>7237151.4500000002</v>
      </c>
      <c r="O30" s="14">
        <f t="shared" si="8"/>
        <v>4.8783816048235673E-2</v>
      </c>
      <c r="P30" s="3">
        <v>8549960.0999999996</v>
      </c>
      <c r="Q30" s="14">
        <f t="shared" si="9"/>
        <v>5.0983681631518736E-2</v>
      </c>
    </row>
    <row r="31" spans="2:17" x14ac:dyDescent="0.25">
      <c r="B31" s="12" t="s">
        <v>12</v>
      </c>
      <c r="C31" s="16">
        <f t="shared" si="1"/>
        <v>55753.055932722738</v>
      </c>
      <c r="D31" s="16">
        <f t="shared" si="2"/>
        <v>76100.435549090849</v>
      </c>
      <c r="E31" s="16">
        <f t="shared" si="3"/>
        <v>71506.882548510985</v>
      </c>
      <c r="F31" s="16">
        <f t="shared" si="4"/>
        <v>144435.09043421905</v>
      </c>
      <c r="G31" s="16">
        <f t="shared" si="5"/>
        <v>347795.46446454362</v>
      </c>
      <c r="I31" s="12" t="s">
        <v>12</v>
      </c>
      <c r="J31" s="3">
        <v>7093746.1600000001</v>
      </c>
      <c r="K31" s="14">
        <f t="shared" si="6"/>
        <v>5.67885959804258E-2</v>
      </c>
      <c r="L31" s="3">
        <v>7495883.8866666667</v>
      </c>
      <c r="M31" s="14">
        <f t="shared" si="7"/>
        <v>5.1676232633449781E-2</v>
      </c>
      <c r="N31" s="3">
        <v>7173307.1733333329</v>
      </c>
      <c r="O31" s="14">
        <f t="shared" si="8"/>
        <v>4.8353457851346017E-2</v>
      </c>
      <c r="P31" s="3">
        <v>8031286.9400000004</v>
      </c>
      <c r="Q31" s="14">
        <f t="shared" si="9"/>
        <v>4.7890817226192012E-2</v>
      </c>
    </row>
    <row r="32" spans="2:17" x14ac:dyDescent="0.25">
      <c r="B32" s="12" t="s">
        <v>22</v>
      </c>
      <c r="C32" s="16">
        <f t="shared" si="1"/>
        <v>0</v>
      </c>
      <c r="D32" s="16">
        <f t="shared" si="2"/>
        <v>0</v>
      </c>
      <c r="E32" s="16">
        <f t="shared" si="3"/>
        <v>0</v>
      </c>
      <c r="F32" s="16">
        <f t="shared" si="4"/>
        <v>0</v>
      </c>
      <c r="G32" s="16">
        <f t="shared" si="5"/>
        <v>0</v>
      </c>
      <c r="I32" s="12" t="s">
        <v>22</v>
      </c>
      <c r="J32" s="3">
        <v>0</v>
      </c>
      <c r="K32" s="14">
        <f t="shared" si="6"/>
        <v>0</v>
      </c>
      <c r="L32" s="3">
        <v>0</v>
      </c>
      <c r="M32" s="14">
        <f t="shared" si="7"/>
        <v>0</v>
      </c>
      <c r="N32" s="3">
        <v>0</v>
      </c>
      <c r="O32" s="14">
        <f t="shared" si="8"/>
        <v>0</v>
      </c>
      <c r="P32" s="3">
        <v>0</v>
      </c>
      <c r="Q32" s="14">
        <f t="shared" si="9"/>
        <v>0</v>
      </c>
    </row>
    <row r="33" spans="2:17" x14ac:dyDescent="0.25">
      <c r="B33" s="12" t="s">
        <v>21</v>
      </c>
      <c r="C33" s="16">
        <f t="shared" si="1"/>
        <v>0</v>
      </c>
      <c r="D33" s="16">
        <f t="shared" si="2"/>
        <v>0</v>
      </c>
      <c r="E33" s="16">
        <f t="shared" si="3"/>
        <v>0</v>
      </c>
      <c r="F33" s="16">
        <f t="shared" si="4"/>
        <v>0</v>
      </c>
      <c r="G33" s="16">
        <f t="shared" si="5"/>
        <v>0</v>
      </c>
      <c r="I33" s="12" t="s">
        <v>21</v>
      </c>
      <c r="J33" s="3">
        <v>0</v>
      </c>
      <c r="K33" s="14">
        <f t="shared" si="6"/>
        <v>0</v>
      </c>
      <c r="L33" s="3">
        <v>0</v>
      </c>
      <c r="M33" s="14">
        <f t="shared" si="7"/>
        <v>0</v>
      </c>
      <c r="N33" s="3">
        <v>0</v>
      </c>
      <c r="O33" s="14">
        <f t="shared" si="8"/>
        <v>0</v>
      </c>
      <c r="P33" s="3">
        <v>0</v>
      </c>
      <c r="Q33" s="14">
        <f t="shared" si="9"/>
        <v>0</v>
      </c>
    </row>
    <row r="34" spans="2:17" x14ac:dyDescent="0.25">
      <c r="B34" s="12" t="s">
        <v>13</v>
      </c>
      <c r="C34" s="16">
        <f t="shared" si="1"/>
        <v>35812.833044878636</v>
      </c>
      <c r="D34" s="16">
        <f t="shared" si="2"/>
        <v>53291.288963745566</v>
      </c>
      <c r="E34" s="16">
        <f t="shared" si="3"/>
        <v>54341.830109666407</v>
      </c>
      <c r="F34" s="16">
        <f t="shared" si="4"/>
        <v>117494.88921641007</v>
      </c>
      <c r="G34" s="16">
        <f t="shared" si="5"/>
        <v>260940.84133470064</v>
      </c>
      <c r="I34" s="12" t="s">
        <v>13</v>
      </c>
      <c r="J34" s="3">
        <v>4556649.7233333336</v>
      </c>
      <c r="K34" s="14">
        <f t="shared" si="6"/>
        <v>3.6478009549004736E-2</v>
      </c>
      <c r="L34" s="3">
        <v>5249185.6499999994</v>
      </c>
      <c r="M34" s="14">
        <f t="shared" si="7"/>
        <v>3.6187612146456508E-2</v>
      </c>
      <c r="N34" s="3">
        <v>5451372.3133333335</v>
      </c>
      <c r="O34" s="14">
        <f t="shared" si="8"/>
        <v>3.6746328438946554E-2</v>
      </c>
      <c r="P34" s="3">
        <v>6533281.9500000002</v>
      </c>
      <c r="Q34" s="14">
        <f t="shared" si="9"/>
        <v>3.8958166243108897E-2</v>
      </c>
    </row>
    <row r="35" spans="2:17" x14ac:dyDescent="0.25">
      <c r="B35" s="12" t="s">
        <v>14</v>
      </c>
      <c r="C35" s="16">
        <f t="shared" si="1"/>
        <v>12441.73483181076</v>
      </c>
      <c r="D35" s="16">
        <f t="shared" si="2"/>
        <v>17524.39048345232</v>
      </c>
      <c r="E35" s="16">
        <f t="shared" si="3"/>
        <v>17472.568775794964</v>
      </c>
      <c r="F35" s="16">
        <f t="shared" si="4"/>
        <v>37096.971236209472</v>
      </c>
      <c r="G35" s="16">
        <f t="shared" si="5"/>
        <v>84535.665327267518</v>
      </c>
      <c r="I35" s="12" t="s">
        <v>14</v>
      </c>
      <c r="J35" s="3">
        <v>1583025.49</v>
      </c>
      <c r="K35" s="14">
        <f t="shared" si="6"/>
        <v>1.2672823773317198E-2</v>
      </c>
      <c r="L35" s="3">
        <v>1726150.3866666667</v>
      </c>
      <c r="M35" s="14">
        <f t="shared" si="7"/>
        <v>1.189999075364181E-2</v>
      </c>
      <c r="N35" s="3">
        <v>1752783.7666666666</v>
      </c>
      <c r="O35" s="14">
        <f t="shared" si="8"/>
        <v>1.1815074126353995E-2</v>
      </c>
      <c r="P35" s="3">
        <v>2062770.34</v>
      </c>
      <c r="Q35" s="14">
        <f t="shared" si="9"/>
        <v>1.2300364570531699E-2</v>
      </c>
    </row>
    <row r="36" spans="2:17" x14ac:dyDescent="0.25">
      <c r="B36" s="12" t="s">
        <v>15</v>
      </c>
      <c r="C36" s="16">
        <f t="shared" si="1"/>
        <v>89354.825969162994</v>
      </c>
      <c r="D36" s="16">
        <f t="shared" si="2"/>
        <v>125232.57829257478</v>
      </c>
      <c r="E36" s="16">
        <f t="shared" si="3"/>
        <v>121836.21826931831</v>
      </c>
      <c r="F36" s="16">
        <f t="shared" si="4"/>
        <v>237365.55160074861</v>
      </c>
      <c r="G36" s="16">
        <f t="shared" si="5"/>
        <v>573789.17413180461</v>
      </c>
      <c r="I36" s="12" t="s">
        <v>27</v>
      </c>
      <c r="J36" s="3">
        <f>9369071.04+2000000</f>
        <v>11369071.039999999</v>
      </c>
      <c r="K36" s="14">
        <f t="shared" si="6"/>
        <v>9.1014474919316732E-2</v>
      </c>
      <c r="L36" s="3">
        <f>10335394.1266667+2000000</f>
        <v>12335394.1266667</v>
      </c>
      <c r="M36" s="14">
        <f t="shared" si="7"/>
        <v>8.503956386634795E-2</v>
      </c>
      <c r="N36" s="3">
        <f>10222160.8233333+2000000</f>
        <v>12222160.823333301</v>
      </c>
      <c r="O36" s="14">
        <f t="shared" si="8"/>
        <v>8.2386509310571968E-2</v>
      </c>
      <c r="P36" s="3">
        <f>11198668.335+2000000</f>
        <v>13198668.335000001</v>
      </c>
      <c r="Q36" s="14">
        <f t="shared" si="9"/>
        <v>7.8704075396988996E-2</v>
      </c>
    </row>
    <row r="37" spans="2:17" x14ac:dyDescent="0.25">
      <c r="B37" s="12" t="s">
        <v>16</v>
      </c>
      <c r="C37" s="16">
        <f t="shared" si="1"/>
        <v>225479.29542700507</v>
      </c>
      <c r="D37" s="16">
        <f t="shared" si="2"/>
        <v>339433.17996136122</v>
      </c>
      <c r="E37" s="16">
        <f t="shared" si="3"/>
        <v>339963.44904101518</v>
      </c>
      <c r="F37" s="16">
        <f t="shared" si="4"/>
        <v>705968.86792595207</v>
      </c>
      <c r="G37" s="16">
        <f t="shared" si="5"/>
        <v>1610844.7923553335</v>
      </c>
      <c r="I37" s="12" t="s">
        <v>16</v>
      </c>
      <c r="J37" s="3">
        <v>28688882.776666671</v>
      </c>
      <c r="K37" s="14">
        <f t="shared" si="6"/>
        <v>0.22966727824581756</v>
      </c>
      <c r="L37" s="3">
        <v>33434128.016666666</v>
      </c>
      <c r="M37" s="14">
        <f t="shared" si="7"/>
        <v>0.23049313508698413</v>
      </c>
      <c r="N37" s="3">
        <v>34103881.483333327</v>
      </c>
      <c r="O37" s="14">
        <f t="shared" si="8"/>
        <v>0.22988567978824925</v>
      </c>
      <c r="P37" s="3">
        <v>39255270.530000001</v>
      </c>
      <c r="Q37" s="14">
        <f t="shared" si="9"/>
        <v>0.23408041577418121</v>
      </c>
    </row>
    <row r="38" spans="2:17" x14ac:dyDescent="0.25">
      <c r="B38" s="12" t="s">
        <v>17</v>
      </c>
      <c r="C38" s="16">
        <f t="shared" si="1"/>
        <v>35332.083113643726</v>
      </c>
      <c r="D38" s="16">
        <f t="shared" si="2"/>
        <v>32881.165331261756</v>
      </c>
      <c r="E38" s="16">
        <f t="shared" si="3"/>
        <v>48708.587938775971</v>
      </c>
      <c r="F38" s="16">
        <f t="shared" si="4"/>
        <v>66915.164421007998</v>
      </c>
      <c r="G38" s="16">
        <f t="shared" si="5"/>
        <v>183837.00080468945</v>
      </c>
      <c r="I38" s="12" t="s">
        <v>17</v>
      </c>
      <c r="J38" s="3">
        <v>4495481.4533333331</v>
      </c>
      <c r="K38" s="14">
        <f t="shared" si="6"/>
        <v>3.5988330316973745E-2</v>
      </c>
      <c r="L38" s="3">
        <v>3238790.89</v>
      </c>
      <c r="M38" s="14">
        <f t="shared" si="7"/>
        <v>2.232805550529475E-2</v>
      </c>
      <c r="N38" s="3">
        <v>4886266.2</v>
      </c>
      <c r="O38" s="14">
        <f t="shared" si="8"/>
        <v>3.2937090388444411E-2</v>
      </c>
      <c r="P38" s="3">
        <v>3720805.5500000003</v>
      </c>
      <c r="Q38" s="14">
        <f t="shared" si="9"/>
        <v>2.2187280800759292E-2</v>
      </c>
    </row>
    <row r="39" spans="2:17" x14ac:dyDescent="0.25">
      <c r="B39" s="12" t="s">
        <v>18</v>
      </c>
      <c r="C39" s="16">
        <f t="shared" si="1"/>
        <v>156512.23082011638</v>
      </c>
      <c r="D39" s="16">
        <f t="shared" si="2"/>
        <v>221871.54334769622</v>
      </c>
      <c r="E39" s="16">
        <f t="shared" si="3"/>
        <v>220766.08832197727</v>
      </c>
      <c r="F39" s="16">
        <f t="shared" si="4"/>
        <v>478231.30896475114</v>
      </c>
      <c r="G39" s="16">
        <f t="shared" si="5"/>
        <v>1077381.1714545409</v>
      </c>
      <c r="I39" s="12" t="s">
        <v>18</v>
      </c>
      <c r="J39" s="3">
        <v>19913850.780000001</v>
      </c>
      <c r="K39" s="14">
        <f t="shared" si="6"/>
        <v>0.1594192406738032</v>
      </c>
      <c r="L39" s="3">
        <v>21854320.736666664</v>
      </c>
      <c r="M39" s="14">
        <f t="shared" si="7"/>
        <v>0.15066254754063707</v>
      </c>
      <c r="N39" s="3">
        <v>22146441.133333337</v>
      </c>
      <c r="O39" s="14">
        <f t="shared" si="8"/>
        <v>0.14928358454784216</v>
      </c>
      <c r="P39" s="3">
        <v>26591964.975000001</v>
      </c>
      <c r="Q39" s="14">
        <f t="shared" si="9"/>
        <v>0.15856872551275383</v>
      </c>
    </row>
    <row r="40" spans="2:17" x14ac:dyDescent="0.25">
      <c r="B40" s="15" t="s">
        <v>24</v>
      </c>
      <c r="C40" s="16">
        <f>$C$21-(C18+C19+C20)</f>
        <v>981765</v>
      </c>
      <c r="D40" s="16">
        <f>$D$21-(D18+D19+D20)</f>
        <v>1472639</v>
      </c>
      <c r="E40" s="16">
        <f>$E$21-(E18+E19+E20)</f>
        <v>1478837</v>
      </c>
      <c r="F40" s="16">
        <f>$F$21-(F18+F19+F20)</f>
        <v>3015924.5300000003</v>
      </c>
      <c r="G40" s="16">
        <f>$C$21-(G18+G19+G20)</f>
        <v>825726</v>
      </c>
      <c r="I40" s="15" t="s">
        <v>24</v>
      </c>
      <c r="J40" s="3">
        <f t="shared" ref="J40:Q40" si="10">SUM(J26:J39)</f>
        <v>124914976.98666666</v>
      </c>
      <c r="K40" s="19">
        <f t="shared" si="10"/>
        <v>1</v>
      </c>
      <c r="L40" s="3">
        <f t="shared" si="10"/>
        <v>145054767.05000001</v>
      </c>
      <c r="M40" s="19">
        <f t="shared" si="10"/>
        <v>1</v>
      </c>
      <c r="N40" s="3">
        <f t="shared" si="10"/>
        <v>148351482.85333329</v>
      </c>
      <c r="O40" s="19">
        <f t="shared" si="10"/>
        <v>1</v>
      </c>
      <c r="P40" s="3">
        <f t="shared" si="10"/>
        <v>167699935.08500001</v>
      </c>
      <c r="Q40" s="19">
        <f t="shared" si="10"/>
        <v>0.99999999999999989</v>
      </c>
    </row>
    <row r="43" spans="2:17" ht="15.75" x14ac:dyDescent="0.25">
      <c r="B43" s="44" t="s">
        <v>139</v>
      </c>
      <c r="C43" s="44"/>
      <c r="D43" s="44"/>
      <c r="E43" s="44"/>
      <c r="F43" s="44"/>
      <c r="G43" s="44"/>
      <c r="I43" s="44" t="s">
        <v>163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-0.30042024989961646</v>
      </c>
      <c r="D45" s="16">
        <f>D26-D4</f>
        <v>-0.37678814107493963</v>
      </c>
      <c r="E45" s="16">
        <f>E26-E4</f>
        <v>-5.7156850735773332</v>
      </c>
      <c r="F45" s="16">
        <f>F26-F4</f>
        <v>-42784.391388154268</v>
      </c>
      <c r="G45" s="16">
        <f t="shared" ref="G45:G59" si="11">SUM(C45+D45+E45+F45)</f>
        <v>-42790.78428161882</v>
      </c>
      <c r="I45" s="15" t="s">
        <v>153</v>
      </c>
      <c r="J45" s="12" t="s">
        <v>155</v>
      </c>
    </row>
    <row r="46" spans="2:17" x14ac:dyDescent="0.25">
      <c r="B46" s="12" t="s">
        <v>8</v>
      </c>
      <c r="C46" s="16">
        <f t="shared" ref="C46:F58" si="12">C27-C5</f>
        <v>-0.9385620066896081</v>
      </c>
      <c r="D46" s="16">
        <f t="shared" si="12"/>
        <v>-0.23048653249861673</v>
      </c>
      <c r="E46" s="16">
        <f t="shared" si="12"/>
        <v>-9.572838111576857</v>
      </c>
      <c r="F46" s="16">
        <f t="shared" si="12"/>
        <v>5267.8298208814813</v>
      </c>
      <c r="G46" s="16">
        <f t="shared" si="11"/>
        <v>5257.0879342307162</v>
      </c>
      <c r="I46" s="15" t="s">
        <v>154</v>
      </c>
      <c r="J46" t="s">
        <v>189</v>
      </c>
    </row>
    <row r="47" spans="2:17" x14ac:dyDescent="0.25">
      <c r="B47" s="12" t="s">
        <v>9</v>
      </c>
      <c r="C47" s="16">
        <f t="shared" si="12"/>
        <v>-1.0230629654834047</v>
      </c>
      <c r="D47" s="16">
        <f t="shared" si="12"/>
        <v>-0.2350627282721689</v>
      </c>
      <c r="E47" s="16">
        <f t="shared" si="12"/>
        <v>-7.0061319491505856</v>
      </c>
      <c r="F47" s="16">
        <f t="shared" si="12"/>
        <v>4019.1118762766419</v>
      </c>
      <c r="G47" s="16">
        <f t="shared" si="11"/>
        <v>4010.8476186337357</v>
      </c>
    </row>
    <row r="48" spans="2:17" x14ac:dyDescent="0.25">
      <c r="B48" s="12" t="s">
        <v>10</v>
      </c>
      <c r="C48" s="16">
        <f t="shared" si="12"/>
        <v>4.3498484658557572</v>
      </c>
      <c r="D48" s="16">
        <f t="shared" si="12"/>
        <v>0.29380235515418462</v>
      </c>
      <c r="E48" s="16">
        <f t="shared" si="12"/>
        <v>-10.642523249349324</v>
      </c>
      <c r="F48" s="16">
        <f t="shared" si="12"/>
        <v>5172.6698294901871</v>
      </c>
      <c r="G48" s="16">
        <f t="shared" si="11"/>
        <v>5166.6709570618477</v>
      </c>
    </row>
    <row r="49" spans="2:7" x14ac:dyDescent="0.25">
      <c r="B49" s="12" t="s">
        <v>11</v>
      </c>
      <c r="C49" s="16">
        <f t="shared" si="12"/>
        <v>-0.14694258404051652</v>
      </c>
      <c r="D49" s="16">
        <f t="shared" si="12"/>
        <v>-3.3394135854905471E-2</v>
      </c>
      <c r="E49" s="16">
        <f t="shared" si="12"/>
        <v>-4.6878266753046773</v>
      </c>
      <c r="F49" s="16">
        <f t="shared" si="12"/>
        <v>2441.9360622077947</v>
      </c>
      <c r="G49" s="16">
        <f t="shared" si="11"/>
        <v>2437.0678988125946</v>
      </c>
    </row>
    <row r="50" spans="2:7" x14ac:dyDescent="0.25">
      <c r="B50" s="12" t="s">
        <v>12</v>
      </c>
      <c r="C50" s="16">
        <f t="shared" si="12"/>
        <v>5.5932722738361917E-2</v>
      </c>
      <c r="D50" s="16">
        <f t="shared" si="12"/>
        <v>0.43554909084923565</v>
      </c>
      <c r="E50" s="16">
        <f t="shared" si="12"/>
        <v>-4.117451489015366</v>
      </c>
      <c r="F50" s="16">
        <f t="shared" si="12"/>
        <v>2294.0904342190479</v>
      </c>
      <c r="G50" s="16">
        <f t="shared" si="11"/>
        <v>2290.4644645436201</v>
      </c>
    </row>
    <row r="51" spans="2:7" x14ac:dyDescent="0.25">
      <c r="B51" s="12" t="s">
        <v>22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6">
        <f t="shared" si="11"/>
        <v>0</v>
      </c>
    </row>
    <row r="52" spans="2:7" x14ac:dyDescent="0.25">
      <c r="B52" s="12" t="s">
        <v>21</v>
      </c>
      <c r="C52" s="16">
        <f t="shared" si="12"/>
        <v>0</v>
      </c>
      <c r="D52" s="16">
        <f t="shared" si="12"/>
        <v>0</v>
      </c>
      <c r="E52" s="16">
        <f t="shared" si="12"/>
        <v>0</v>
      </c>
      <c r="F52" s="16">
        <f t="shared" si="12"/>
        <v>0</v>
      </c>
      <c r="G52" s="16">
        <f t="shared" si="11"/>
        <v>0</v>
      </c>
    </row>
    <row r="53" spans="2:7" x14ac:dyDescent="0.25">
      <c r="B53" s="12" t="s">
        <v>13</v>
      </c>
      <c r="C53" s="16">
        <f t="shared" si="12"/>
        <v>-0.16695512136357138</v>
      </c>
      <c r="D53" s="16">
        <f t="shared" si="12"/>
        <v>0.28896374556643423</v>
      </c>
      <c r="E53" s="16">
        <f t="shared" si="12"/>
        <v>-3.1698903335927753</v>
      </c>
      <c r="F53" s="16">
        <f t="shared" si="12"/>
        <v>1865.8892164100689</v>
      </c>
      <c r="G53" s="16">
        <f t="shared" si="11"/>
        <v>1862.841334700679</v>
      </c>
    </row>
    <row r="54" spans="2:7" x14ac:dyDescent="0.25">
      <c r="B54" s="12" t="s">
        <v>14</v>
      </c>
      <c r="C54" s="16">
        <f t="shared" si="12"/>
        <v>-0.26516818924028485</v>
      </c>
      <c r="D54" s="16">
        <f t="shared" si="12"/>
        <v>0.39048345232004067</v>
      </c>
      <c r="E54" s="16">
        <f t="shared" si="12"/>
        <v>88.568775794963585</v>
      </c>
      <c r="F54" s="16">
        <f t="shared" si="12"/>
        <v>588.97123620947241</v>
      </c>
      <c r="G54" s="16">
        <f t="shared" si="11"/>
        <v>677.66532726751575</v>
      </c>
    </row>
    <row r="55" spans="2:7" x14ac:dyDescent="0.25">
      <c r="B55" s="12" t="s">
        <v>15</v>
      </c>
      <c r="C55" s="16">
        <f t="shared" si="12"/>
        <v>-0.17403083700628486</v>
      </c>
      <c r="D55" s="16">
        <f t="shared" si="12"/>
        <v>-0.42170742522284854</v>
      </c>
      <c r="E55" s="16">
        <f t="shared" si="12"/>
        <v>-6.781730681686895</v>
      </c>
      <c r="F55" s="16">
        <f t="shared" si="12"/>
        <v>3768.5516007486149</v>
      </c>
      <c r="G55" s="16">
        <f t="shared" si="11"/>
        <v>3761.1741318046988</v>
      </c>
    </row>
    <row r="56" spans="2:7" x14ac:dyDescent="0.25">
      <c r="B56" s="12" t="s">
        <v>16</v>
      </c>
      <c r="C56" s="16">
        <f t="shared" si="12"/>
        <v>-0.70457299493136816</v>
      </c>
      <c r="D56" s="16">
        <f t="shared" si="12"/>
        <v>0.17996136122383177</v>
      </c>
      <c r="E56" s="16">
        <f t="shared" si="12"/>
        <v>-21.5509589848225</v>
      </c>
      <c r="F56" s="16">
        <f t="shared" si="12"/>
        <v>8709.8679259520723</v>
      </c>
      <c r="G56" s="16">
        <f t="shared" si="11"/>
        <v>8687.7923553335422</v>
      </c>
    </row>
    <row r="57" spans="2:7" x14ac:dyDescent="0.25">
      <c r="B57" s="12" t="s">
        <v>17</v>
      </c>
      <c r="C57" s="16">
        <f t="shared" si="12"/>
        <v>8.3113643726392183E-2</v>
      </c>
      <c r="D57" s="16">
        <f t="shared" si="12"/>
        <v>0.16533126175636426</v>
      </c>
      <c r="E57" s="16">
        <f t="shared" si="12"/>
        <v>-2.4120612240294577</v>
      </c>
      <c r="F57" s="16">
        <f t="shared" si="12"/>
        <v>1062.1644210079976</v>
      </c>
      <c r="G57" s="16">
        <f t="shared" si="11"/>
        <v>1060.0008046894509</v>
      </c>
    </row>
    <row r="58" spans="2:7" x14ac:dyDescent="0.25">
      <c r="B58" s="12" t="s">
        <v>18</v>
      </c>
      <c r="C58" s="16">
        <f t="shared" si="12"/>
        <v>-0.76917988361674361</v>
      </c>
      <c r="D58" s="16">
        <f t="shared" si="12"/>
        <v>-0.45665230377926491</v>
      </c>
      <c r="E58" s="16">
        <f t="shared" si="12"/>
        <v>-12.911678022734122</v>
      </c>
      <c r="F58" s="16">
        <f t="shared" si="12"/>
        <v>7593.308964751137</v>
      </c>
      <c r="G58" s="16">
        <f t="shared" si="11"/>
        <v>7579.1714545410068</v>
      </c>
    </row>
    <row r="59" spans="2:7" x14ac:dyDescent="0.25">
      <c r="B59" s="15" t="s">
        <v>24</v>
      </c>
      <c r="C59" s="16">
        <f>SUM(C45:C58)</f>
        <v>4.9112713895738125E-11</v>
      </c>
      <c r="D59" s="16">
        <f>SUM(D45:D58)</f>
        <v>1.673470251262188E-10</v>
      </c>
      <c r="E59" s="16">
        <f>SUM(E45:E58)</f>
        <v>1.2369127944111824E-10</v>
      </c>
      <c r="F59" s="16">
        <f>SUM(F45:F58)</f>
        <v>2.4738255888223648E-10</v>
      </c>
      <c r="G59" s="16">
        <f t="shared" si="11"/>
        <v>5.8753357734531164E-10</v>
      </c>
    </row>
  </sheetData>
  <sheetProtection algorithmName="SHA-512" hashValue="DamcxDgHZ4ZokTzstvgTGBkPEk6ktCtBYZW9zsbxNqIKMtLUlipMoADsiSiOCdYJqmsA/SeqMmmAPK67sPeQgw==" saltValue="S+dt9CV1c8+sWQPCXZjCEg==" spinCount="100000" sheet="1" objects="1" scenarios="1"/>
  <mergeCells count="6">
    <mergeCell ref="B2:G2"/>
    <mergeCell ref="I2:Q2"/>
    <mergeCell ref="B24:G24"/>
    <mergeCell ref="I24:Q24"/>
    <mergeCell ref="B43:G43"/>
    <mergeCell ref="I43:Q4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CED1-CBF4-41D0-8211-162DF66AAD8C}">
  <dimension ref="B2:Q59"/>
  <sheetViews>
    <sheetView workbookViewId="0">
      <selection activeCell="B3" sqref="B3"/>
    </sheetView>
  </sheetViews>
  <sheetFormatPr defaultColWidth="9.140625" defaultRowHeight="15" x14ac:dyDescent="0.25"/>
  <cols>
    <col min="1" max="2" width="9.140625" style="12"/>
    <col min="3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65</v>
      </c>
      <c r="C2" s="44"/>
      <c r="D2" s="44"/>
      <c r="E2" s="44"/>
      <c r="F2" s="44"/>
      <c r="G2" s="44"/>
      <c r="H2" s="11"/>
      <c r="I2" s="44" t="s">
        <v>66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2</v>
      </c>
      <c r="K3" s="13"/>
      <c r="L3" s="13" t="s">
        <v>3</v>
      </c>
      <c r="M3" s="13"/>
      <c r="N3" s="13" t="s">
        <v>4</v>
      </c>
      <c r="O3" s="13"/>
      <c r="P3" s="13" t="s">
        <v>26</v>
      </c>
      <c r="Q3" s="13"/>
    </row>
    <row r="4" spans="2:17" x14ac:dyDescent="0.25">
      <c r="B4" s="12" t="s">
        <v>7</v>
      </c>
      <c r="C4" s="3">
        <v>106284</v>
      </c>
      <c r="D4" s="5">
        <v>83432</v>
      </c>
      <c r="E4" s="5">
        <v>96230</v>
      </c>
      <c r="F4" s="5">
        <v>165779</v>
      </c>
      <c r="G4" s="5">
        <f t="shared" ref="G4:G20" si="0">C4+D4+E4+F4</f>
        <v>451725</v>
      </c>
      <c r="I4" s="12" t="s">
        <v>7</v>
      </c>
      <c r="J4" s="3">
        <v>8495752.9366666656</v>
      </c>
      <c r="K4" s="14"/>
      <c r="L4" s="3">
        <v>9347145.6500000004</v>
      </c>
      <c r="M4" s="14"/>
      <c r="N4" s="3">
        <v>9061185.2933333348</v>
      </c>
      <c r="O4" s="14"/>
      <c r="P4" s="3">
        <v>9048148.6600000001</v>
      </c>
      <c r="Q4" s="14"/>
    </row>
    <row r="5" spans="2:17" x14ac:dyDescent="0.25">
      <c r="B5" s="12" t="s">
        <v>8</v>
      </c>
      <c r="C5" s="3">
        <v>142805</v>
      </c>
      <c r="D5" s="3">
        <v>130075</v>
      </c>
      <c r="E5" s="3">
        <v>159982</v>
      </c>
      <c r="F5" s="3">
        <v>303326</v>
      </c>
      <c r="G5" s="5">
        <f t="shared" si="0"/>
        <v>736188</v>
      </c>
      <c r="I5" s="12" t="s">
        <v>8</v>
      </c>
      <c r="J5" s="3">
        <v>11415027.6</v>
      </c>
      <c r="K5" s="14"/>
      <c r="L5" s="3">
        <v>14572813.76</v>
      </c>
      <c r="M5" s="14"/>
      <c r="N5" s="3">
        <v>15064269.823333332</v>
      </c>
      <c r="O5" s="14"/>
      <c r="P5" s="3">
        <v>16555467.125</v>
      </c>
      <c r="Q5" s="14"/>
    </row>
    <row r="6" spans="2:17" x14ac:dyDescent="0.25">
      <c r="B6" s="12" t="s">
        <v>9</v>
      </c>
      <c r="C6" s="3">
        <v>132228</v>
      </c>
      <c r="D6" s="3">
        <v>108180</v>
      </c>
      <c r="E6" s="3">
        <v>142903</v>
      </c>
      <c r="F6" s="3">
        <v>322619</v>
      </c>
      <c r="G6" s="5">
        <f t="shared" si="0"/>
        <v>705930</v>
      </c>
      <c r="I6" s="12" t="s">
        <v>9</v>
      </c>
      <c r="J6" s="3">
        <v>10569580.090000002</v>
      </c>
      <c r="K6" s="14"/>
      <c r="L6" s="3">
        <v>12120167.99</v>
      </c>
      <c r="M6" s="14"/>
      <c r="N6" s="3">
        <v>13456018.433333332</v>
      </c>
      <c r="O6" s="14"/>
      <c r="P6" s="3">
        <v>17608454.255000003</v>
      </c>
      <c r="Q6" s="14"/>
    </row>
    <row r="7" spans="2:17" x14ac:dyDescent="0.25">
      <c r="B7" s="12" t="s">
        <v>10</v>
      </c>
      <c r="C7" s="3">
        <v>104197</v>
      </c>
      <c r="D7" s="3">
        <v>78171</v>
      </c>
      <c r="E7" s="3">
        <v>92104</v>
      </c>
      <c r="F7" s="3">
        <v>181621</v>
      </c>
      <c r="G7" s="5">
        <f t="shared" si="0"/>
        <v>456093</v>
      </c>
      <c r="I7" s="12" t="s">
        <v>10</v>
      </c>
      <c r="J7" s="3">
        <v>8328908.3099999996</v>
      </c>
      <c r="K7" s="14"/>
      <c r="L7" s="3">
        <v>8757745.8033333328</v>
      </c>
      <c r="M7" s="14"/>
      <c r="N7" s="3">
        <v>8672736.5766666662</v>
      </c>
      <c r="O7" s="14"/>
      <c r="P7" s="3">
        <v>9912833.4199999999</v>
      </c>
      <c r="Q7" s="14"/>
    </row>
    <row r="8" spans="2:17" x14ac:dyDescent="0.25">
      <c r="B8" s="12" t="s">
        <v>11</v>
      </c>
      <c r="C8" s="3">
        <v>73994</v>
      </c>
      <c r="D8" s="3">
        <v>62180</v>
      </c>
      <c r="E8" s="3">
        <v>81188</v>
      </c>
      <c r="F8" s="3">
        <v>152905</v>
      </c>
      <c r="G8" s="5">
        <f t="shared" si="0"/>
        <v>370267</v>
      </c>
      <c r="I8" s="12" t="s">
        <v>11</v>
      </c>
      <c r="J8" s="3">
        <v>5914666.8266666671</v>
      </c>
      <c r="K8" s="14"/>
      <c r="L8" s="3">
        <v>6966281.4933333332</v>
      </c>
      <c r="M8" s="14"/>
      <c r="N8" s="3">
        <v>7644818.2800000003</v>
      </c>
      <c r="O8" s="14"/>
      <c r="P8" s="3">
        <v>8345525.375</v>
      </c>
      <c r="Q8" s="14"/>
    </row>
    <row r="9" spans="2:17" x14ac:dyDescent="0.25">
      <c r="B9" s="12" t="s">
        <v>12</v>
      </c>
      <c r="C9" s="3">
        <v>83109</v>
      </c>
      <c r="D9" s="3">
        <v>68736</v>
      </c>
      <c r="E9" s="3">
        <v>74602</v>
      </c>
      <c r="F9" s="3">
        <v>137840</v>
      </c>
      <c r="G9" s="5">
        <f t="shared" si="0"/>
        <v>364287</v>
      </c>
      <c r="I9" s="12" t="s">
        <v>12</v>
      </c>
      <c r="J9" s="3">
        <v>6643292.6133333333</v>
      </c>
      <c r="K9" s="14"/>
      <c r="L9" s="3">
        <v>7700765.9000000013</v>
      </c>
      <c r="M9" s="14"/>
      <c r="N9" s="3">
        <v>7024672.2966666669</v>
      </c>
      <c r="O9" s="14"/>
      <c r="P9" s="3">
        <v>7523277.5549999997</v>
      </c>
      <c r="Q9" s="14"/>
    </row>
    <row r="10" spans="2:17" x14ac:dyDescent="0.25">
      <c r="B10" s="12" t="s">
        <v>22</v>
      </c>
      <c r="C10" s="3">
        <v>0</v>
      </c>
      <c r="D10" s="3">
        <v>0</v>
      </c>
      <c r="E10" s="3">
        <v>0</v>
      </c>
      <c r="F10" s="3">
        <v>0</v>
      </c>
      <c r="G10" s="5">
        <f t="shared" si="0"/>
        <v>0</v>
      </c>
      <c r="I10" s="12" t="s">
        <v>22</v>
      </c>
      <c r="J10" s="3">
        <v>0</v>
      </c>
      <c r="K10" s="14"/>
      <c r="L10" s="3">
        <v>0</v>
      </c>
      <c r="M10" s="14"/>
      <c r="N10" s="3">
        <v>0</v>
      </c>
      <c r="O10" s="14"/>
      <c r="P10" s="3">
        <v>0</v>
      </c>
      <c r="Q10" s="14"/>
    </row>
    <row r="11" spans="2:17" x14ac:dyDescent="0.25">
      <c r="B11" s="12" t="s">
        <v>21</v>
      </c>
      <c r="C11" s="3">
        <v>0</v>
      </c>
      <c r="D11" s="3">
        <v>0</v>
      </c>
      <c r="E11" s="3">
        <v>0</v>
      </c>
      <c r="F11" s="3">
        <v>0</v>
      </c>
      <c r="G11" s="5">
        <f t="shared" si="0"/>
        <v>0</v>
      </c>
      <c r="I11" s="12" t="s">
        <v>21</v>
      </c>
      <c r="J11" s="3">
        <v>0</v>
      </c>
      <c r="K11" s="14"/>
      <c r="L11" s="3">
        <v>0</v>
      </c>
      <c r="M11" s="14"/>
      <c r="N11" s="3">
        <v>0</v>
      </c>
      <c r="O11" s="14"/>
      <c r="P11" s="3">
        <v>0</v>
      </c>
      <c r="Q11" s="14"/>
    </row>
    <row r="12" spans="2:17" x14ac:dyDescent="0.25">
      <c r="B12" s="12" t="s">
        <v>13</v>
      </c>
      <c r="C12" s="3">
        <v>58715</v>
      </c>
      <c r="D12" s="3">
        <v>47039</v>
      </c>
      <c r="E12" s="3">
        <v>56156</v>
      </c>
      <c r="F12" s="3">
        <v>109801</v>
      </c>
      <c r="G12" s="5">
        <f t="shared" si="0"/>
        <v>271711</v>
      </c>
      <c r="I12" s="12" t="s">
        <v>13</v>
      </c>
      <c r="J12" s="3">
        <v>4693358.793333333</v>
      </c>
      <c r="K12" s="14"/>
      <c r="L12" s="3">
        <v>5328422.9433333334</v>
      </c>
      <c r="M12" s="14"/>
      <c r="N12" s="3">
        <v>5389337.5599999996</v>
      </c>
      <c r="O12" s="14"/>
      <c r="P12" s="3">
        <v>5992913.7850000001</v>
      </c>
      <c r="Q12" s="14"/>
    </row>
    <row r="13" spans="2:17" x14ac:dyDescent="0.25">
      <c r="B13" s="12" t="s">
        <v>14</v>
      </c>
      <c r="C13" s="3">
        <v>18415</v>
      </c>
      <c r="D13" s="3">
        <v>16319</v>
      </c>
      <c r="E13" s="3">
        <v>19723</v>
      </c>
      <c r="F13" s="3">
        <v>37137</v>
      </c>
      <c r="G13" s="5">
        <f t="shared" si="0"/>
        <v>91594</v>
      </c>
      <c r="I13" s="12" t="s">
        <v>14</v>
      </c>
      <c r="J13" s="3">
        <v>1471988.9333333333</v>
      </c>
      <c r="K13" s="14"/>
      <c r="L13" s="3">
        <v>1828281.8666666665</v>
      </c>
      <c r="M13" s="14"/>
      <c r="N13" s="3">
        <v>1857157.0266666666</v>
      </c>
      <c r="O13" s="14"/>
      <c r="P13" s="3">
        <v>2026930.0049999999</v>
      </c>
      <c r="Q13" s="14"/>
    </row>
    <row r="14" spans="2:17" x14ac:dyDescent="0.25">
      <c r="B14" s="12" t="s">
        <v>15</v>
      </c>
      <c r="C14" s="3">
        <v>82692</v>
      </c>
      <c r="D14" s="3">
        <v>118576</v>
      </c>
      <c r="E14" s="3">
        <v>105818</v>
      </c>
      <c r="F14" s="3">
        <v>210867</v>
      </c>
      <c r="G14" s="5">
        <f t="shared" si="0"/>
        <v>517953</v>
      </c>
      <c r="I14" s="12" t="s">
        <v>15</v>
      </c>
      <c r="J14" s="3">
        <v>6609909.7466666671</v>
      </c>
      <c r="K14" s="14"/>
      <c r="L14" s="3">
        <v>8481368.4999999981</v>
      </c>
      <c r="M14" s="14"/>
      <c r="N14" s="3">
        <v>8163972.9033333333</v>
      </c>
      <c r="O14" s="14"/>
      <c r="P14" s="3">
        <v>9509033.0500000007</v>
      </c>
      <c r="Q14" s="14"/>
    </row>
    <row r="15" spans="2:17" x14ac:dyDescent="0.25">
      <c r="B15" s="12" t="s">
        <v>16</v>
      </c>
      <c r="C15" s="3">
        <v>348608</v>
      </c>
      <c r="D15" s="3">
        <v>299602</v>
      </c>
      <c r="E15" s="3">
        <v>355085</v>
      </c>
      <c r="F15" s="3">
        <v>676909</v>
      </c>
      <c r="G15" s="5">
        <f t="shared" si="0"/>
        <v>1680204</v>
      </c>
      <c r="I15" s="12" t="s">
        <v>16</v>
      </c>
      <c r="J15" s="3">
        <v>27865770.430000003</v>
      </c>
      <c r="K15" s="14"/>
      <c r="L15" s="3">
        <v>33565521.893333331</v>
      </c>
      <c r="M15" s="14"/>
      <c r="N15" s="3">
        <v>30187852.420000002</v>
      </c>
      <c r="O15" s="14"/>
      <c r="P15" s="3">
        <v>35690814.479999997</v>
      </c>
      <c r="Q15" s="14"/>
    </row>
    <row r="16" spans="2:17" x14ac:dyDescent="0.25">
      <c r="B16" s="12" t="s">
        <v>17</v>
      </c>
      <c r="C16" s="3">
        <v>50350</v>
      </c>
      <c r="D16" s="3">
        <v>41127</v>
      </c>
      <c r="E16" s="3">
        <v>53889</v>
      </c>
      <c r="F16" s="3">
        <v>96964</v>
      </c>
      <c r="G16" s="5">
        <f t="shared" si="0"/>
        <v>242330</v>
      </c>
      <c r="I16" s="12" t="s">
        <v>17</v>
      </c>
      <c r="J16" s="3">
        <v>4024738.9333333336</v>
      </c>
      <c r="K16" s="14"/>
      <c r="L16" s="3">
        <v>4614224.1000000006</v>
      </c>
      <c r="M16" s="14"/>
      <c r="N16" s="3">
        <v>5074340.2600000007</v>
      </c>
      <c r="O16" s="14"/>
      <c r="P16" s="3">
        <v>5292289.0749999993</v>
      </c>
      <c r="Q16" s="14"/>
    </row>
    <row r="17" spans="2:17" x14ac:dyDescent="0.25">
      <c r="B17" s="12" t="s">
        <v>18</v>
      </c>
      <c r="C17" s="3">
        <v>245849</v>
      </c>
      <c r="D17" s="3">
        <v>199401</v>
      </c>
      <c r="E17" s="3">
        <v>240721</v>
      </c>
      <c r="F17" s="3">
        <v>451517</v>
      </c>
      <c r="G17" s="5">
        <f t="shared" si="0"/>
        <v>1137488</v>
      </c>
      <c r="I17" s="12" t="s">
        <v>18</v>
      </c>
      <c r="J17" s="3">
        <v>19651835.756666664</v>
      </c>
      <c r="K17" s="14"/>
      <c r="L17" s="3">
        <v>22339658.403333336</v>
      </c>
      <c r="M17" s="14"/>
      <c r="N17" s="3">
        <v>22666763.113333333</v>
      </c>
      <c r="O17" s="14"/>
      <c r="P17" s="3">
        <v>24643687.945</v>
      </c>
      <c r="Q17" s="14"/>
    </row>
    <row r="18" spans="2:17" x14ac:dyDescent="0.25">
      <c r="B18" s="29" t="s">
        <v>19</v>
      </c>
      <c r="C18" s="30">
        <v>914</v>
      </c>
      <c r="D18" s="30">
        <v>579</v>
      </c>
      <c r="E18" s="30">
        <v>499</v>
      </c>
      <c r="F18" s="30">
        <v>854</v>
      </c>
      <c r="G18" s="31">
        <f t="shared" si="0"/>
        <v>2846</v>
      </c>
      <c r="I18" s="29" t="s">
        <v>19</v>
      </c>
      <c r="J18" s="30">
        <v>73041.61</v>
      </c>
      <c r="K18" s="32"/>
      <c r="L18" s="30">
        <v>64819.126666666671</v>
      </c>
      <c r="M18" s="32"/>
      <c r="N18" s="30">
        <v>46915.32</v>
      </c>
      <c r="O18" s="32"/>
      <c r="P18" s="30">
        <v>46611.195</v>
      </c>
      <c r="Q18" s="14"/>
    </row>
    <row r="19" spans="2:17" x14ac:dyDescent="0.25">
      <c r="B19" s="29" t="s">
        <v>20</v>
      </c>
      <c r="C19" s="30">
        <v>27246</v>
      </c>
      <c r="D19" s="30">
        <v>18765</v>
      </c>
      <c r="E19" s="30">
        <v>22236</v>
      </c>
      <c r="F19" s="30">
        <v>39264</v>
      </c>
      <c r="G19" s="31">
        <f t="shared" si="0"/>
        <v>107511</v>
      </c>
      <c r="I19" s="29" t="s">
        <v>20</v>
      </c>
      <c r="J19" s="30">
        <v>2177897.3933333331</v>
      </c>
      <c r="K19" s="32"/>
      <c r="L19" s="30">
        <v>2102385.9133333336</v>
      </c>
      <c r="M19" s="32"/>
      <c r="N19" s="30">
        <v>2093854.0066666666</v>
      </c>
      <c r="O19" s="32"/>
      <c r="P19" s="30">
        <v>2143053.8499999996</v>
      </c>
      <c r="Q19" s="14"/>
    </row>
    <row r="20" spans="2:17" x14ac:dyDescent="0.25">
      <c r="B20" s="29" t="s">
        <v>23</v>
      </c>
      <c r="C20" s="30">
        <v>24594</v>
      </c>
      <c r="D20" s="30">
        <v>20690</v>
      </c>
      <c r="E20" s="30">
        <v>17980</v>
      </c>
      <c r="F20" s="30">
        <v>24241</v>
      </c>
      <c r="G20" s="31">
        <f t="shared" si="0"/>
        <v>87505</v>
      </c>
      <c r="I20" s="29" t="s">
        <v>23</v>
      </c>
      <c r="J20" s="30">
        <v>1965854.22</v>
      </c>
      <c r="K20" s="32"/>
      <c r="L20" s="30">
        <v>2317988.6866666665</v>
      </c>
      <c r="M20" s="32"/>
      <c r="N20" s="30">
        <v>1692809.95</v>
      </c>
      <c r="O20" s="32"/>
      <c r="P20" s="30">
        <v>1322948.095</v>
      </c>
      <c r="Q20" s="14"/>
    </row>
    <row r="21" spans="2:17" x14ac:dyDescent="0.25">
      <c r="B21" s="15" t="s">
        <v>24</v>
      </c>
      <c r="C21" s="16">
        <f>SUM(C4:C20)</f>
        <v>1500000</v>
      </c>
      <c r="D21" s="3">
        <f>SUM(D4:D20)</f>
        <v>1292872</v>
      </c>
      <c r="E21" s="3">
        <f>SUM(E4:E20)</f>
        <v>1519116</v>
      </c>
      <c r="F21" s="3">
        <f>SUM(F4:F20)</f>
        <v>2911644</v>
      </c>
      <c r="G21" s="3">
        <f>SUM(G4:G20)</f>
        <v>7223632</v>
      </c>
      <c r="I21" s="15" t="s">
        <v>24</v>
      </c>
      <c r="J21" s="3">
        <f>SUM(J4:J20)</f>
        <v>119901624.19333333</v>
      </c>
      <c r="K21" s="17"/>
      <c r="L21" s="3">
        <f>SUM(L4:L20)</f>
        <v>140107592.03</v>
      </c>
      <c r="M21" s="14"/>
      <c r="N21" s="3">
        <f>SUM(N4:N20)</f>
        <v>138096703.26333332</v>
      </c>
      <c r="O21" s="14"/>
      <c r="P21" s="3">
        <f>SUM(P4:P20)</f>
        <v>155661987.87</v>
      </c>
      <c r="Q21" s="18"/>
    </row>
    <row r="24" spans="2:17" ht="15.75" x14ac:dyDescent="0.25">
      <c r="B24" s="44" t="s">
        <v>129</v>
      </c>
      <c r="C24" s="44"/>
      <c r="D24" s="44"/>
      <c r="E24" s="44"/>
      <c r="F24" s="44"/>
      <c r="G24" s="44"/>
      <c r="I24" s="44" t="s">
        <v>67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2</v>
      </c>
      <c r="K25" s="13"/>
      <c r="L25" s="13" t="s">
        <v>3</v>
      </c>
      <c r="M25" s="13"/>
      <c r="N25" s="13" t="s">
        <v>4</v>
      </c>
      <c r="O25" s="13"/>
      <c r="P25" s="13" t="s">
        <v>26</v>
      </c>
    </row>
    <row r="26" spans="2:17" x14ac:dyDescent="0.25">
      <c r="B26" s="12" t="s">
        <v>7</v>
      </c>
      <c r="C26" s="16">
        <f t="shared" ref="C26:C39" si="1">$C$40*K26</f>
        <v>104477.76349617678</v>
      </c>
      <c r="D26" s="16">
        <f t="shared" ref="D26:D39" si="2">$D$40*M26</f>
        <v>85091.230833252106</v>
      </c>
      <c r="E26" s="16">
        <f t="shared" ref="E26:E39" si="3">$E$40*O26</f>
        <v>98310.276521769003</v>
      </c>
      <c r="F26" s="16">
        <f t="shared" ref="F26:F39" si="4">$F$40*Q26</f>
        <v>167127.87841347151</v>
      </c>
      <c r="G26" s="16">
        <f t="shared" ref="G26:G39" si="5">SUM(C26+D26+E26+F26)</f>
        <v>455007.1492646694</v>
      </c>
      <c r="I26" s="12" t="s">
        <v>7</v>
      </c>
      <c r="J26" s="3">
        <v>8495752.9366666656</v>
      </c>
      <c r="K26" s="14">
        <f t="shared" ref="K26:K39" si="6">J26/$J$40</f>
        <v>7.2190742621625337E-2</v>
      </c>
      <c r="L26" s="3">
        <v>9347145.6500000004</v>
      </c>
      <c r="M26" s="14">
        <f t="shared" ref="M26:M39" si="7">L26/$L$40</f>
        <v>6.791878186425708E-2</v>
      </c>
      <c r="N26" s="3">
        <v>9061185.2933333348</v>
      </c>
      <c r="O26" s="14">
        <f t="shared" ref="O26:O39" si="8">N26/$N$40</f>
        <v>6.6497706996795192E-2</v>
      </c>
      <c r="P26" s="3">
        <v>9048148.6600000001</v>
      </c>
      <c r="Q26" s="14">
        <f t="shared" ref="Q26:Q39" si="9">P26/$P$40</f>
        <v>5.8697277727193277E-2</v>
      </c>
    </row>
    <row r="27" spans="2:17" x14ac:dyDescent="0.25">
      <c r="B27" s="12" t="s">
        <v>8</v>
      </c>
      <c r="C27" s="16">
        <f t="shared" si="1"/>
        <v>140377.97035598085</v>
      </c>
      <c r="D27" s="16">
        <f t="shared" si="2"/>
        <v>132662.81557751831</v>
      </c>
      <c r="E27" s="16">
        <f t="shared" si="3"/>
        <v>163441.36931181056</v>
      </c>
      <c r="F27" s="16">
        <f t="shared" si="4"/>
        <v>305795.16326660622</v>
      </c>
      <c r="G27" s="16">
        <f t="shared" si="5"/>
        <v>742277.31851191586</v>
      </c>
      <c r="I27" s="12" t="s">
        <v>8</v>
      </c>
      <c r="J27" s="3">
        <v>11415027.6</v>
      </c>
      <c r="K27" s="14">
        <f t="shared" si="6"/>
        <v>9.6996620032793912E-2</v>
      </c>
      <c r="L27" s="3">
        <v>14572813.76</v>
      </c>
      <c r="M27" s="14">
        <f t="shared" si="7"/>
        <v>0.10588984016889519</v>
      </c>
      <c r="N27" s="3">
        <v>15064269.823333332</v>
      </c>
      <c r="O27" s="14">
        <f t="shared" si="8"/>
        <v>0.11055279948526182</v>
      </c>
      <c r="P27" s="3">
        <v>16555467.125</v>
      </c>
      <c r="Q27" s="14">
        <f t="shared" si="9"/>
        <v>0.10739886006023501</v>
      </c>
    </row>
    <row r="28" spans="2:17" x14ac:dyDescent="0.25">
      <c r="B28" s="12" t="s">
        <v>9</v>
      </c>
      <c r="C28" s="16">
        <f t="shared" si="1"/>
        <v>129980.95602932977</v>
      </c>
      <c r="D28" s="16">
        <f t="shared" si="2"/>
        <v>110335.28852467204</v>
      </c>
      <c r="E28" s="16">
        <f t="shared" si="3"/>
        <v>145992.477831383</v>
      </c>
      <c r="F28" s="16">
        <f t="shared" si="4"/>
        <v>325244.8332097602</v>
      </c>
      <c r="G28" s="16">
        <f t="shared" si="5"/>
        <v>711553.5555951451</v>
      </c>
      <c r="I28" s="12" t="s">
        <v>9</v>
      </c>
      <c r="J28" s="3">
        <v>10569580.090000002</v>
      </c>
      <c r="K28" s="14">
        <f t="shared" si="6"/>
        <v>8.9812620680471578E-2</v>
      </c>
      <c r="L28" s="3">
        <v>12120167.99</v>
      </c>
      <c r="M28" s="14">
        <f t="shared" si="7"/>
        <v>8.8068280595473669E-2</v>
      </c>
      <c r="N28" s="3">
        <v>13456018.433333332</v>
      </c>
      <c r="O28" s="14">
        <f t="shared" si="8"/>
        <v>9.8750256413099702E-2</v>
      </c>
      <c r="P28" s="3">
        <v>17608454.255000003</v>
      </c>
      <c r="Q28" s="14">
        <f t="shared" si="9"/>
        <v>0.11422981303584299</v>
      </c>
    </row>
    <row r="29" spans="2:17" x14ac:dyDescent="0.25">
      <c r="B29" s="12" t="s">
        <v>10</v>
      </c>
      <c r="C29" s="16">
        <f t="shared" si="1"/>
        <v>102425.5573918353</v>
      </c>
      <c r="D29" s="16">
        <f t="shared" si="2"/>
        <v>79725.661462264849</v>
      </c>
      <c r="E29" s="16">
        <f t="shared" si="3"/>
        <v>94095.761586496315</v>
      </c>
      <c r="F29" s="16">
        <f t="shared" si="4"/>
        <v>183099.42517575267</v>
      </c>
      <c r="G29" s="16">
        <f t="shared" si="5"/>
        <v>459346.40561634913</v>
      </c>
      <c r="I29" s="12" t="s">
        <v>10</v>
      </c>
      <c r="J29" s="3">
        <v>8328874.9766666666</v>
      </c>
      <c r="K29" s="14">
        <f t="shared" si="6"/>
        <v>7.0772734830039472E-2</v>
      </c>
      <c r="L29" s="3">
        <v>8757745.8033333328</v>
      </c>
      <c r="M29" s="14">
        <f t="shared" si="7"/>
        <v>6.3636049882159429E-2</v>
      </c>
      <c r="N29" s="3">
        <v>8672736.5766666662</v>
      </c>
      <c r="O29" s="14">
        <f t="shared" si="8"/>
        <v>6.3646981831381552E-2</v>
      </c>
      <c r="P29" s="3">
        <v>9912833.4199999999</v>
      </c>
      <c r="Q29" s="14">
        <f t="shared" si="9"/>
        <v>6.4306672909720197E-2</v>
      </c>
    </row>
    <row r="30" spans="2:17" x14ac:dyDescent="0.25">
      <c r="B30" s="12" t="s">
        <v>11</v>
      </c>
      <c r="C30" s="16">
        <f t="shared" si="1"/>
        <v>72736.479801355599</v>
      </c>
      <c r="D30" s="16">
        <f t="shared" si="2"/>
        <v>63417.163783966367</v>
      </c>
      <c r="E30" s="16">
        <f t="shared" si="3"/>
        <v>82943.254633411969</v>
      </c>
      <c r="F30" s="16">
        <f t="shared" si="4"/>
        <v>154149.7606394921</v>
      </c>
      <c r="G30" s="16">
        <f t="shared" si="5"/>
        <v>373246.65885822603</v>
      </c>
      <c r="I30" s="12" t="s">
        <v>11</v>
      </c>
      <c r="J30" s="3">
        <v>5914666.8266666671</v>
      </c>
      <c r="K30" s="14">
        <f t="shared" si="6"/>
        <v>5.0258546094689917E-2</v>
      </c>
      <c r="L30" s="3">
        <v>6966281.4933333332</v>
      </c>
      <c r="M30" s="14">
        <f t="shared" si="7"/>
        <v>5.0618806089826753E-2</v>
      </c>
      <c r="N30" s="3">
        <v>7644818.2800000003</v>
      </c>
      <c r="O30" s="14">
        <f t="shared" si="8"/>
        <v>5.6103353984076017E-2</v>
      </c>
      <c r="P30" s="3">
        <v>8345525.375</v>
      </c>
      <c r="Q30" s="14">
        <f t="shared" si="9"/>
        <v>5.4139210033239418E-2</v>
      </c>
    </row>
    <row r="31" spans="2:17" x14ac:dyDescent="0.25">
      <c r="B31" s="12" t="s">
        <v>12</v>
      </c>
      <c r="C31" s="16">
        <f t="shared" si="1"/>
        <v>81696.861910400752</v>
      </c>
      <c r="D31" s="16">
        <f t="shared" si="2"/>
        <v>70103.502537134045</v>
      </c>
      <c r="E31" s="16">
        <f t="shared" si="3"/>
        <v>76214.915996498763</v>
      </c>
      <c r="F31" s="16">
        <f t="shared" si="4"/>
        <v>138962.06436586546</v>
      </c>
      <c r="G31" s="16">
        <f t="shared" si="5"/>
        <v>366977.34480989899</v>
      </c>
      <c r="I31" s="12" t="s">
        <v>12</v>
      </c>
      <c r="J31" s="3">
        <v>6643292.6133333333</v>
      </c>
      <c r="K31" s="14">
        <f t="shared" si="6"/>
        <v>5.6449879226061601E-2</v>
      </c>
      <c r="L31" s="3">
        <v>7700765.9000000013</v>
      </c>
      <c r="M31" s="14">
        <f t="shared" si="7"/>
        <v>5.595576007203968E-2</v>
      </c>
      <c r="N31" s="3">
        <v>7024672.2966666669</v>
      </c>
      <c r="O31" s="14">
        <f t="shared" si="8"/>
        <v>5.1552262205246592E-2</v>
      </c>
      <c r="P31" s="3">
        <v>7523277.5549999997</v>
      </c>
      <c r="Q31" s="14">
        <f t="shared" si="9"/>
        <v>4.8805112366997139E-2</v>
      </c>
    </row>
    <row r="32" spans="2:17" x14ac:dyDescent="0.25">
      <c r="B32" s="12" t="s">
        <v>22</v>
      </c>
      <c r="C32" s="16">
        <f t="shared" si="1"/>
        <v>0</v>
      </c>
      <c r="D32" s="16">
        <f t="shared" si="2"/>
        <v>0</v>
      </c>
      <c r="E32" s="16">
        <f t="shared" si="3"/>
        <v>0</v>
      </c>
      <c r="F32" s="16">
        <f t="shared" si="4"/>
        <v>0</v>
      </c>
      <c r="G32" s="16">
        <f t="shared" si="5"/>
        <v>0</v>
      </c>
      <c r="I32" s="12" t="s">
        <v>22</v>
      </c>
      <c r="J32" s="3">
        <v>0</v>
      </c>
      <c r="K32" s="14">
        <f t="shared" si="6"/>
        <v>0</v>
      </c>
      <c r="L32" s="3">
        <v>0</v>
      </c>
      <c r="M32" s="14">
        <f t="shared" si="7"/>
        <v>0</v>
      </c>
      <c r="N32" s="3">
        <v>0</v>
      </c>
      <c r="O32" s="14">
        <f t="shared" si="8"/>
        <v>0</v>
      </c>
      <c r="P32" s="3">
        <v>0</v>
      </c>
      <c r="Q32" s="14">
        <f t="shared" si="9"/>
        <v>0</v>
      </c>
    </row>
    <row r="33" spans="2:17" x14ac:dyDescent="0.25">
      <c r="B33" s="12" t="s">
        <v>21</v>
      </c>
      <c r="C33" s="16">
        <f t="shared" si="1"/>
        <v>0</v>
      </c>
      <c r="D33" s="16">
        <f t="shared" si="2"/>
        <v>0</v>
      </c>
      <c r="E33" s="16">
        <f t="shared" si="3"/>
        <v>0</v>
      </c>
      <c r="F33" s="16">
        <f t="shared" si="4"/>
        <v>0</v>
      </c>
      <c r="G33" s="16">
        <f t="shared" si="5"/>
        <v>0</v>
      </c>
      <c r="I33" s="12" t="s">
        <v>21</v>
      </c>
      <c r="J33" s="3">
        <v>0</v>
      </c>
      <c r="K33" s="14">
        <f t="shared" si="6"/>
        <v>0</v>
      </c>
      <c r="L33" s="3">
        <v>0</v>
      </c>
      <c r="M33" s="14">
        <f t="shared" si="7"/>
        <v>0</v>
      </c>
      <c r="N33" s="3">
        <v>0</v>
      </c>
      <c r="O33" s="14">
        <f t="shared" si="8"/>
        <v>0</v>
      </c>
      <c r="P33" s="3">
        <v>0</v>
      </c>
      <c r="Q33" s="14">
        <f t="shared" si="9"/>
        <v>0</v>
      </c>
    </row>
    <row r="34" spans="2:17" x14ac:dyDescent="0.25">
      <c r="B34" s="12" t="s">
        <v>13</v>
      </c>
      <c r="C34" s="16">
        <f t="shared" si="1"/>
        <v>57717.265752430474</v>
      </c>
      <c r="D34" s="16">
        <f t="shared" si="2"/>
        <v>48507.007767486029</v>
      </c>
      <c r="E34" s="16">
        <f t="shared" si="3"/>
        <v>58472.180916835481</v>
      </c>
      <c r="F34" s="16">
        <f t="shared" si="4"/>
        <v>110694.79559168709</v>
      </c>
      <c r="G34" s="16">
        <f t="shared" si="5"/>
        <v>275391.2500284391</v>
      </c>
      <c r="I34" s="12" t="s">
        <v>13</v>
      </c>
      <c r="J34" s="3">
        <v>4693358.793333333</v>
      </c>
      <c r="K34" s="14">
        <f t="shared" si="6"/>
        <v>3.9880756797690563E-2</v>
      </c>
      <c r="L34" s="3">
        <v>5328422.9433333334</v>
      </c>
      <c r="M34" s="14">
        <f t="shared" si="7"/>
        <v>3.8717701544402412E-2</v>
      </c>
      <c r="N34" s="3">
        <v>5389337.5599999996</v>
      </c>
      <c r="O34" s="14">
        <f t="shared" si="8"/>
        <v>3.9550961421722174E-2</v>
      </c>
      <c r="P34" s="3">
        <v>5992913.7850000001</v>
      </c>
      <c r="Q34" s="14">
        <f t="shared" si="9"/>
        <v>3.8877314912868603E-2</v>
      </c>
    </row>
    <row r="35" spans="2:17" x14ac:dyDescent="0.25">
      <c r="B35" s="12" t="s">
        <v>14</v>
      </c>
      <c r="C35" s="16">
        <f t="shared" si="1"/>
        <v>18101.999056734523</v>
      </c>
      <c r="D35" s="16">
        <f t="shared" si="2"/>
        <v>16643.66429817881</v>
      </c>
      <c r="E35" s="16">
        <f t="shared" si="3"/>
        <v>20149.419190254917</v>
      </c>
      <c r="F35" s="16">
        <f t="shared" si="4"/>
        <v>37439.317606023636</v>
      </c>
      <c r="G35" s="16">
        <f t="shared" si="5"/>
        <v>92334.40015119189</v>
      </c>
      <c r="I35" s="12" t="s">
        <v>14</v>
      </c>
      <c r="J35" s="3">
        <v>1471988.9333333333</v>
      </c>
      <c r="K35" s="14">
        <f t="shared" si="6"/>
        <v>1.2507893652312408E-2</v>
      </c>
      <c r="L35" s="3">
        <v>1828281.8666666665</v>
      </c>
      <c r="M35" s="14">
        <f t="shared" si="7"/>
        <v>1.3284769697422021E-2</v>
      </c>
      <c r="N35" s="3">
        <v>1857157.0266666666</v>
      </c>
      <c r="O35" s="14">
        <f t="shared" si="8"/>
        <v>1.3629197484481489E-2</v>
      </c>
      <c r="P35" s="3">
        <v>2026930.0049999999</v>
      </c>
      <c r="Q35" s="14">
        <f t="shared" si="9"/>
        <v>1.3149128944248165E-2</v>
      </c>
    </row>
    <row r="36" spans="2:17" x14ac:dyDescent="0.25">
      <c r="B36" s="12" t="s">
        <v>15</v>
      </c>
      <c r="C36" s="16">
        <f t="shared" si="1"/>
        <v>105881.62355255666</v>
      </c>
      <c r="D36" s="16">
        <f t="shared" si="2"/>
        <v>95416.566712200249</v>
      </c>
      <c r="E36" s="16">
        <f t="shared" si="3"/>
        <v>110275.08591195391</v>
      </c>
      <c r="F36" s="16">
        <f t="shared" si="4"/>
        <v>212582.74466027896</v>
      </c>
      <c r="G36" s="16">
        <f t="shared" si="5"/>
        <v>524156.0208369898</v>
      </c>
      <c r="I36" s="12" t="s">
        <v>27</v>
      </c>
      <c r="J36" s="3">
        <f>6609909.74666667+2000000</f>
        <v>8609909.7466666698</v>
      </c>
      <c r="K36" s="14">
        <f t="shared" si="6"/>
        <v>7.3160764343143225E-2</v>
      </c>
      <c r="L36" s="3">
        <f>8481368.5+2000000</f>
        <v>10481368.5</v>
      </c>
      <c r="M36" s="14">
        <f t="shared" si="7"/>
        <v>7.6160338936239358E-2</v>
      </c>
      <c r="N36" s="3">
        <f>8163972.90333333+2000000</f>
        <v>10163972.903333329</v>
      </c>
      <c r="O36" s="14">
        <f t="shared" si="8"/>
        <v>7.4590781467243267E-2</v>
      </c>
      <c r="P36" s="3">
        <f>9509033.05+2000000</f>
        <v>11509033.050000001</v>
      </c>
      <c r="Q36" s="14">
        <f t="shared" si="9"/>
        <v>7.4661561684298883E-2</v>
      </c>
    </row>
    <row r="37" spans="2:17" x14ac:dyDescent="0.25">
      <c r="B37" s="12" t="s">
        <v>16</v>
      </c>
      <c r="C37" s="16">
        <f t="shared" si="1"/>
        <v>342683.3847838536</v>
      </c>
      <c r="D37" s="16">
        <f t="shared" si="2"/>
        <v>305561.89861706109</v>
      </c>
      <c r="E37" s="16">
        <f t="shared" si="3"/>
        <v>327526.25875469751</v>
      </c>
      <c r="F37" s="16">
        <f t="shared" si="4"/>
        <v>659243.15868736035</v>
      </c>
      <c r="G37" s="16">
        <f t="shared" si="5"/>
        <v>1635014.7008429724</v>
      </c>
      <c r="I37" s="12" t="s">
        <v>16</v>
      </c>
      <c r="J37" s="3">
        <v>27865770.430000003</v>
      </c>
      <c r="K37" s="14">
        <f t="shared" si="6"/>
        <v>0.23678309339521655</v>
      </c>
      <c r="L37" s="3">
        <v>33565521.893333331</v>
      </c>
      <c r="M37" s="14">
        <f t="shared" si="7"/>
        <v>0.24389577791946054</v>
      </c>
      <c r="N37" s="3">
        <v>30187852.420000002</v>
      </c>
      <c r="O37" s="14">
        <f t="shared" si="8"/>
        <v>0.22154088015003881</v>
      </c>
      <c r="P37" s="3">
        <v>35690814.479999997</v>
      </c>
      <c r="Q37" s="14">
        <f t="shared" si="9"/>
        <v>0.23153395557078424</v>
      </c>
    </row>
    <row r="38" spans="2:17" x14ac:dyDescent="0.25">
      <c r="B38" s="12" t="s">
        <v>17</v>
      </c>
      <c r="C38" s="16">
        <f t="shared" si="1"/>
        <v>49494.815297163957</v>
      </c>
      <c r="D38" s="16">
        <f t="shared" si="2"/>
        <v>42005.337534186707</v>
      </c>
      <c r="E38" s="16">
        <f t="shared" si="3"/>
        <v>55054.584800641453</v>
      </c>
      <c r="F38" s="16">
        <f t="shared" si="4"/>
        <v>97753.593391506409</v>
      </c>
      <c r="G38" s="16">
        <f t="shared" si="5"/>
        <v>244308.33102349853</v>
      </c>
      <c r="I38" s="12" t="s">
        <v>17</v>
      </c>
      <c r="J38" s="3">
        <v>4024738.9333333336</v>
      </c>
      <c r="K38" s="14">
        <f t="shared" si="6"/>
        <v>3.4199310481538008E-2</v>
      </c>
      <c r="L38" s="3">
        <v>4614224.1000000006</v>
      </c>
      <c r="M38" s="14">
        <f t="shared" si="7"/>
        <v>3.3528147720764144E-2</v>
      </c>
      <c r="N38" s="3">
        <v>5074340.2600000007</v>
      </c>
      <c r="O38" s="14">
        <f t="shared" si="8"/>
        <v>3.7239277300706274E-2</v>
      </c>
      <c r="P38" s="3">
        <v>5292289.0749999993</v>
      </c>
      <c r="Q38" s="14">
        <f t="shared" si="9"/>
        <v>3.4332212402870245E-2</v>
      </c>
    </row>
    <row r="39" spans="2:17" x14ac:dyDescent="0.25">
      <c r="B39" s="12" t="s">
        <v>18</v>
      </c>
      <c r="C39" s="16">
        <f t="shared" si="1"/>
        <v>241671.32257218176</v>
      </c>
      <c r="D39" s="16">
        <f t="shared" si="2"/>
        <v>203367.8623520793</v>
      </c>
      <c r="E39" s="16">
        <f t="shared" si="3"/>
        <v>245925.41454424689</v>
      </c>
      <c r="F39" s="16">
        <f t="shared" si="4"/>
        <v>455192.26499219495</v>
      </c>
      <c r="G39" s="16">
        <f t="shared" si="5"/>
        <v>1146156.864460703</v>
      </c>
      <c r="I39" s="12" t="s">
        <v>18</v>
      </c>
      <c r="J39" s="3">
        <v>19651835.756666664</v>
      </c>
      <c r="K39" s="14">
        <f t="shared" si="6"/>
        <v>0.16698703784441743</v>
      </c>
      <c r="L39" s="3">
        <v>22339658.403333336</v>
      </c>
      <c r="M39" s="14">
        <f t="shared" si="7"/>
        <v>0.16232574550905968</v>
      </c>
      <c r="N39" s="3">
        <v>22666763.113333333</v>
      </c>
      <c r="O39" s="14">
        <f t="shared" si="8"/>
        <v>0.16634554125994699</v>
      </c>
      <c r="P39" s="3">
        <v>24643687.945</v>
      </c>
      <c r="Q39" s="14">
        <f t="shared" si="9"/>
        <v>0.15986888035170169</v>
      </c>
    </row>
    <row r="40" spans="2:17" x14ac:dyDescent="0.25">
      <c r="B40" s="15" t="s">
        <v>24</v>
      </c>
      <c r="C40" s="16">
        <f>$C$21-(C18+C19+C20)</f>
        <v>1447246</v>
      </c>
      <c r="D40" s="16">
        <f>$D$21-(D18+D19+D20)</f>
        <v>1252838</v>
      </c>
      <c r="E40" s="16">
        <f>$E$21-(E18+E19+E20)</f>
        <v>1478401</v>
      </c>
      <c r="F40" s="16">
        <f>$F$21-(F18+F19+F20)</f>
        <v>2847285</v>
      </c>
      <c r="G40" s="16">
        <f>$C$21-(G18+G19+G20)</f>
        <v>1302138</v>
      </c>
      <c r="I40" s="15" t="s">
        <v>24</v>
      </c>
      <c r="J40" s="3">
        <f t="shared" ref="J40:Q40" si="10">SUM(J26:J39)</f>
        <v>117684797.63666667</v>
      </c>
      <c r="K40" s="19">
        <f t="shared" si="10"/>
        <v>1</v>
      </c>
      <c r="L40" s="3">
        <f t="shared" si="10"/>
        <v>137622398.30333334</v>
      </c>
      <c r="M40" s="19">
        <f t="shared" si="10"/>
        <v>1.0000000000000002</v>
      </c>
      <c r="N40" s="3">
        <f t="shared" si="10"/>
        <v>136263123.98666668</v>
      </c>
      <c r="O40" s="19">
        <f t="shared" si="10"/>
        <v>1</v>
      </c>
      <c r="P40" s="3">
        <f t="shared" si="10"/>
        <v>154149374.73000002</v>
      </c>
      <c r="Q40" s="19">
        <f t="shared" si="10"/>
        <v>0.99999999999999978</v>
      </c>
    </row>
    <row r="43" spans="2:17" ht="15.75" x14ac:dyDescent="0.25">
      <c r="B43" s="44" t="s">
        <v>138</v>
      </c>
      <c r="C43" s="44"/>
      <c r="D43" s="44"/>
      <c r="E43" s="44"/>
      <c r="F43" s="44"/>
      <c r="G43" s="44"/>
      <c r="I43" s="44" t="s">
        <v>162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-1806.2365038232238</v>
      </c>
      <c r="D45" s="16">
        <f>D26-D4</f>
        <v>1659.2308332521061</v>
      </c>
      <c r="E45" s="16">
        <f>E26-E4</f>
        <v>2080.276521769003</v>
      </c>
      <c r="F45" s="16">
        <f>F26-F4</f>
        <v>1348.8784134715097</v>
      </c>
      <c r="G45" s="16">
        <f t="shared" ref="G45:G59" si="11">SUM(C45+D45+E45+F45)</f>
        <v>3282.1492646693951</v>
      </c>
      <c r="I45" s="15" t="s">
        <v>153</v>
      </c>
      <c r="J45" s="12" t="s">
        <v>155</v>
      </c>
    </row>
    <row r="46" spans="2:17" x14ac:dyDescent="0.25">
      <c r="B46" s="12" t="s">
        <v>8</v>
      </c>
      <c r="C46" s="16">
        <f t="shared" ref="C46:F58" si="12">C27-C5</f>
        <v>-2427.0296440191451</v>
      </c>
      <c r="D46" s="16">
        <f t="shared" si="12"/>
        <v>2587.8155775183113</v>
      </c>
      <c r="E46" s="16">
        <f t="shared" si="12"/>
        <v>3459.3693118105584</v>
      </c>
      <c r="F46" s="16">
        <f t="shared" si="12"/>
        <v>2469.1632666062214</v>
      </c>
      <c r="G46" s="16">
        <f t="shared" si="11"/>
        <v>6089.3185119159461</v>
      </c>
      <c r="I46" s="15" t="s">
        <v>154</v>
      </c>
      <c r="J46" t="s">
        <v>189</v>
      </c>
    </row>
    <row r="47" spans="2:17" x14ac:dyDescent="0.25">
      <c r="B47" s="12" t="s">
        <v>9</v>
      </c>
      <c r="C47" s="16">
        <f t="shared" si="12"/>
        <v>-2247.0439706702309</v>
      </c>
      <c r="D47" s="16">
        <f t="shared" si="12"/>
        <v>2155.2885246720398</v>
      </c>
      <c r="E47" s="16">
        <f t="shared" si="12"/>
        <v>3089.4778313830029</v>
      </c>
      <c r="F47" s="16">
        <f t="shared" si="12"/>
        <v>2625.833209760196</v>
      </c>
      <c r="G47" s="16">
        <f t="shared" si="11"/>
        <v>5623.5555951450078</v>
      </c>
    </row>
    <row r="48" spans="2:17" x14ac:dyDescent="0.25">
      <c r="B48" s="12" t="s">
        <v>10</v>
      </c>
      <c r="C48" s="16">
        <f t="shared" si="12"/>
        <v>-1771.4426081646961</v>
      </c>
      <c r="D48" s="16">
        <f t="shared" si="12"/>
        <v>1554.6614622648485</v>
      </c>
      <c r="E48" s="16">
        <f t="shared" si="12"/>
        <v>1991.7615864963154</v>
      </c>
      <c r="F48" s="16">
        <f t="shared" si="12"/>
        <v>1478.4251757526654</v>
      </c>
      <c r="G48" s="16">
        <f t="shared" si="11"/>
        <v>3253.4056163491332</v>
      </c>
    </row>
    <row r="49" spans="2:7" x14ac:dyDescent="0.25">
      <c r="B49" s="12" t="s">
        <v>11</v>
      </c>
      <c r="C49" s="16">
        <f t="shared" si="12"/>
        <v>-1257.5201986444008</v>
      </c>
      <c r="D49" s="16">
        <f t="shared" si="12"/>
        <v>1237.1637839663672</v>
      </c>
      <c r="E49" s="16">
        <f t="shared" si="12"/>
        <v>1755.2546334119688</v>
      </c>
      <c r="F49" s="16">
        <f t="shared" si="12"/>
        <v>1244.7606394921022</v>
      </c>
      <c r="G49" s="16">
        <f t="shared" si="11"/>
        <v>2979.6588582260374</v>
      </c>
    </row>
    <row r="50" spans="2:7" x14ac:dyDescent="0.25">
      <c r="B50" s="12" t="s">
        <v>12</v>
      </c>
      <c r="C50" s="16">
        <f t="shared" si="12"/>
        <v>-1412.1380895992479</v>
      </c>
      <c r="D50" s="16">
        <f t="shared" si="12"/>
        <v>1367.5025371340453</v>
      </c>
      <c r="E50" s="16">
        <f t="shared" si="12"/>
        <v>1612.915996498763</v>
      </c>
      <c r="F50" s="16">
        <f t="shared" si="12"/>
        <v>1122.064365865459</v>
      </c>
      <c r="G50" s="16">
        <f t="shared" si="11"/>
        <v>2690.3448098990193</v>
      </c>
    </row>
    <row r="51" spans="2:7" x14ac:dyDescent="0.25">
      <c r="B51" s="12" t="s">
        <v>22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6">
        <f t="shared" si="11"/>
        <v>0</v>
      </c>
    </row>
    <row r="52" spans="2:7" x14ac:dyDescent="0.25">
      <c r="B52" s="12" t="s">
        <v>21</v>
      </c>
      <c r="C52" s="16">
        <f t="shared" si="12"/>
        <v>0</v>
      </c>
      <c r="D52" s="16">
        <f t="shared" si="12"/>
        <v>0</v>
      </c>
      <c r="E52" s="16">
        <f t="shared" si="12"/>
        <v>0</v>
      </c>
      <c r="F52" s="16">
        <f t="shared" si="12"/>
        <v>0</v>
      </c>
      <c r="G52" s="16">
        <f t="shared" si="11"/>
        <v>0</v>
      </c>
    </row>
    <row r="53" spans="2:7" x14ac:dyDescent="0.25">
      <c r="B53" s="12" t="s">
        <v>13</v>
      </c>
      <c r="C53" s="16">
        <f t="shared" si="12"/>
        <v>-997.73424756952591</v>
      </c>
      <c r="D53" s="16">
        <f t="shared" si="12"/>
        <v>1468.0077674860295</v>
      </c>
      <c r="E53" s="16">
        <f t="shared" si="12"/>
        <v>2316.1809168354812</v>
      </c>
      <c r="F53" s="16">
        <f t="shared" si="12"/>
        <v>893.79559168708511</v>
      </c>
      <c r="G53" s="16">
        <f t="shared" si="11"/>
        <v>3680.2500284390699</v>
      </c>
    </row>
    <row r="54" spans="2:7" x14ac:dyDescent="0.25">
      <c r="B54" s="12" t="s">
        <v>14</v>
      </c>
      <c r="C54" s="16">
        <f t="shared" si="12"/>
        <v>-313.00094326547696</v>
      </c>
      <c r="D54" s="16">
        <f t="shared" si="12"/>
        <v>324.66429817880999</v>
      </c>
      <c r="E54" s="16">
        <f t="shared" si="12"/>
        <v>426.41919025491734</v>
      </c>
      <c r="F54" s="16">
        <f t="shared" si="12"/>
        <v>302.31760602363647</v>
      </c>
      <c r="G54" s="16">
        <f t="shared" si="11"/>
        <v>740.40015119188683</v>
      </c>
    </row>
    <row r="55" spans="2:7" x14ac:dyDescent="0.25">
      <c r="B55" s="12" t="s">
        <v>15</v>
      </c>
      <c r="C55" s="16">
        <f t="shared" si="12"/>
        <v>23189.623552556659</v>
      </c>
      <c r="D55" s="16">
        <f t="shared" si="12"/>
        <v>-23159.433287799751</v>
      </c>
      <c r="E55" s="16">
        <f t="shared" si="12"/>
        <v>4457.0859119539091</v>
      </c>
      <c r="F55" s="16">
        <f t="shared" si="12"/>
        <v>1715.7446602789569</v>
      </c>
      <c r="G55" s="16">
        <f t="shared" si="11"/>
        <v>6203.0208369897737</v>
      </c>
    </row>
    <row r="56" spans="2:7" x14ac:dyDescent="0.25">
      <c r="B56" s="12" t="s">
        <v>16</v>
      </c>
      <c r="C56" s="16">
        <f t="shared" si="12"/>
        <v>-5924.6152161463979</v>
      </c>
      <c r="D56" s="16">
        <f t="shared" si="12"/>
        <v>5959.8986170610879</v>
      </c>
      <c r="E56" s="16">
        <f t="shared" si="12"/>
        <v>-27558.741245302488</v>
      </c>
      <c r="F56" s="16">
        <f t="shared" si="12"/>
        <v>-17665.841312639648</v>
      </c>
      <c r="G56" s="16">
        <f t="shared" si="11"/>
        <v>-45189.299157027446</v>
      </c>
    </row>
    <row r="57" spans="2:7" x14ac:dyDescent="0.25">
      <c r="B57" s="12" t="s">
        <v>17</v>
      </c>
      <c r="C57" s="16">
        <f t="shared" si="12"/>
        <v>-855.18470283604256</v>
      </c>
      <c r="D57" s="16">
        <f t="shared" si="12"/>
        <v>878.33753418670676</v>
      </c>
      <c r="E57" s="16">
        <f t="shared" si="12"/>
        <v>1165.5848006414526</v>
      </c>
      <c r="F57" s="16">
        <f t="shared" si="12"/>
        <v>789.59339150640881</v>
      </c>
      <c r="G57" s="16">
        <f t="shared" si="11"/>
        <v>1978.3310234985256</v>
      </c>
    </row>
    <row r="58" spans="2:7" x14ac:dyDescent="0.25">
      <c r="B58" s="12" t="s">
        <v>18</v>
      </c>
      <c r="C58" s="16">
        <f t="shared" si="12"/>
        <v>-4177.677427818242</v>
      </c>
      <c r="D58" s="16">
        <f t="shared" si="12"/>
        <v>3966.8623520793044</v>
      </c>
      <c r="E58" s="16">
        <f t="shared" si="12"/>
        <v>5204.4145442468871</v>
      </c>
      <c r="F58" s="16">
        <f t="shared" si="12"/>
        <v>3675.2649921949487</v>
      </c>
      <c r="G58" s="16">
        <f t="shared" si="11"/>
        <v>8668.8644607028982</v>
      </c>
    </row>
    <row r="59" spans="2:7" x14ac:dyDescent="0.25">
      <c r="B59" s="15" t="s">
        <v>24</v>
      </c>
      <c r="C59" s="16">
        <f>SUM(C45:C58)</f>
        <v>2.9103830456733704E-11</v>
      </c>
      <c r="D59" s="16">
        <f>SUM(D45:D58)</f>
        <v>-9.4587448984384537E-11</v>
      </c>
      <c r="E59" s="16">
        <f>SUM(E45:E58)</f>
        <v>-2.2919266484677792E-10</v>
      </c>
      <c r="F59" s="16">
        <f>SUM(F45:F58)</f>
        <v>-4.5838532969355583E-10</v>
      </c>
      <c r="G59" s="16">
        <f t="shared" si="11"/>
        <v>-7.5306161306798458E-10</v>
      </c>
    </row>
  </sheetData>
  <sheetProtection algorithmName="SHA-512" hashValue="e42cyDjtDCqLyg2WjuU+dE4ihonL6fdH2Y4VPXKy4YFDNj6X5oQmNoaeCoKbJRh9pm1cq45ZANB01ZwUG/cClA==" saltValue="RWn5uv3KI7exMOoknk9esw==" spinCount="100000" sheet="1" objects="1" scenarios="1"/>
  <mergeCells count="6">
    <mergeCell ref="B2:G2"/>
    <mergeCell ref="I2:Q2"/>
    <mergeCell ref="B24:G24"/>
    <mergeCell ref="I24:Q24"/>
    <mergeCell ref="B43:G43"/>
    <mergeCell ref="I43:Q4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1F8D-111F-40D5-9DE8-A43C35C4BB95}">
  <dimension ref="B2:Q59"/>
  <sheetViews>
    <sheetView workbookViewId="0">
      <selection activeCell="B3" sqref="B3"/>
    </sheetView>
  </sheetViews>
  <sheetFormatPr defaultColWidth="9.140625" defaultRowHeight="15" x14ac:dyDescent="0.25"/>
  <cols>
    <col min="1" max="2" width="9.140625" style="12"/>
    <col min="3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68</v>
      </c>
      <c r="C2" s="44"/>
      <c r="D2" s="44"/>
      <c r="E2" s="44"/>
      <c r="F2" s="44"/>
      <c r="G2" s="44"/>
      <c r="H2" s="11"/>
      <c r="I2" s="44" t="s">
        <v>69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2</v>
      </c>
      <c r="K3" s="13"/>
      <c r="L3" s="13" t="s">
        <v>3</v>
      </c>
      <c r="M3" s="13"/>
      <c r="N3" s="13" t="s">
        <v>4</v>
      </c>
      <c r="O3" s="13"/>
      <c r="P3" s="13" t="s">
        <v>26</v>
      </c>
      <c r="Q3" s="13"/>
    </row>
    <row r="4" spans="2:17" x14ac:dyDescent="0.25">
      <c r="B4" s="12" t="s">
        <v>7</v>
      </c>
      <c r="C4" s="3">
        <v>55988</v>
      </c>
      <c r="D4" s="5">
        <v>123376</v>
      </c>
      <c r="E4" s="5">
        <v>81171</v>
      </c>
      <c r="F4" s="5">
        <v>255781</v>
      </c>
      <c r="G4" s="5">
        <f t="shared" ref="G4:G20" si="0">C4+D4+E4+F4</f>
        <v>516316</v>
      </c>
      <c r="I4" s="12" t="s">
        <v>7</v>
      </c>
      <c r="J4" s="3">
        <v>7071112.2566666678</v>
      </c>
      <c r="K4" s="14"/>
      <c r="L4" s="3">
        <v>7892538.5966666667</v>
      </c>
      <c r="M4" s="14"/>
      <c r="N4" s="3">
        <v>7479821.2899999991</v>
      </c>
      <c r="O4" s="14"/>
      <c r="P4" s="3">
        <v>9841499.5549999997</v>
      </c>
      <c r="Q4" s="14"/>
    </row>
    <row r="5" spans="2:17" x14ac:dyDescent="0.25">
      <c r="B5" s="12" t="s">
        <v>8</v>
      </c>
      <c r="C5" s="3">
        <v>103284</v>
      </c>
      <c r="D5" s="3">
        <v>232422</v>
      </c>
      <c r="E5" s="3">
        <v>156220</v>
      </c>
      <c r="F5" s="3">
        <v>421645</v>
      </c>
      <c r="G5" s="5">
        <f t="shared" si="0"/>
        <v>913571</v>
      </c>
      <c r="I5" s="12" t="s">
        <v>8</v>
      </c>
      <c r="J5" s="3">
        <v>13044492.646666666</v>
      </c>
      <c r="K5" s="14"/>
      <c r="L5" s="3">
        <v>14801810.776666665</v>
      </c>
      <c r="M5" s="14"/>
      <c r="N5" s="3">
        <v>14395554.33</v>
      </c>
      <c r="O5" s="14"/>
      <c r="P5" s="3">
        <v>16223369.045</v>
      </c>
      <c r="Q5" s="14"/>
    </row>
    <row r="6" spans="2:17" x14ac:dyDescent="0.25">
      <c r="B6" s="12" t="s">
        <v>9</v>
      </c>
      <c r="C6" s="3">
        <v>98850</v>
      </c>
      <c r="D6" s="3">
        <v>198438</v>
      </c>
      <c r="E6" s="3">
        <v>131620</v>
      </c>
      <c r="F6" s="3">
        <v>338842</v>
      </c>
      <c r="G6" s="5">
        <f t="shared" si="0"/>
        <v>767750</v>
      </c>
      <c r="I6" s="12" t="s">
        <v>9</v>
      </c>
      <c r="J6" s="3">
        <v>12484447.723333335</v>
      </c>
      <c r="K6" s="14"/>
      <c r="L6" s="3">
        <v>12617673.160000002</v>
      </c>
      <c r="M6" s="14"/>
      <c r="N6" s="3">
        <v>12132102.643333333</v>
      </c>
      <c r="O6" s="14"/>
      <c r="P6" s="3">
        <v>13037374.184999999</v>
      </c>
      <c r="Q6" s="14"/>
    </row>
    <row r="7" spans="2:17" x14ac:dyDescent="0.25">
      <c r="B7" s="12" t="s">
        <v>10</v>
      </c>
      <c r="C7" s="3">
        <v>63043</v>
      </c>
      <c r="D7" s="3">
        <v>205926</v>
      </c>
      <c r="E7" s="3">
        <v>99027</v>
      </c>
      <c r="F7" s="3">
        <v>282150</v>
      </c>
      <c r="G7" s="5">
        <f t="shared" si="0"/>
        <v>650146</v>
      </c>
      <c r="I7" s="12" t="s">
        <v>10</v>
      </c>
      <c r="J7" s="3">
        <v>7962198.9033333333</v>
      </c>
      <c r="K7" s="14"/>
      <c r="L7" s="3">
        <v>9627103.3900000006</v>
      </c>
      <c r="M7" s="14"/>
      <c r="N7" s="3">
        <v>9125203.0299999993</v>
      </c>
      <c r="O7" s="14"/>
      <c r="P7" s="3">
        <v>10856068.594999999</v>
      </c>
      <c r="Q7" s="14"/>
    </row>
    <row r="8" spans="2:17" x14ac:dyDescent="0.25">
      <c r="B8" s="12" t="s">
        <v>11</v>
      </c>
      <c r="C8" s="3">
        <v>44875</v>
      </c>
      <c r="D8" s="3">
        <v>107868</v>
      </c>
      <c r="E8" s="3">
        <v>72950</v>
      </c>
      <c r="F8" s="3">
        <v>204240</v>
      </c>
      <c r="G8" s="5">
        <f t="shared" si="0"/>
        <v>429933</v>
      </c>
      <c r="I8" s="12" t="s">
        <v>11</v>
      </c>
      <c r="J8" s="3">
        <v>5667584.6066666665</v>
      </c>
      <c r="K8" s="14"/>
      <c r="L8" s="3">
        <v>6868540.0933333337</v>
      </c>
      <c r="M8" s="14"/>
      <c r="N8" s="3">
        <v>6722282.5599999996</v>
      </c>
      <c r="O8" s="14"/>
      <c r="P8" s="3">
        <v>7858402.4350000005</v>
      </c>
      <c r="Q8" s="14"/>
    </row>
    <row r="9" spans="2:17" x14ac:dyDescent="0.25">
      <c r="B9" s="12" t="s">
        <v>12</v>
      </c>
      <c r="C9" s="3">
        <v>59769</v>
      </c>
      <c r="D9" s="3">
        <v>124083</v>
      </c>
      <c r="E9" s="3">
        <v>76867</v>
      </c>
      <c r="F9" s="3">
        <v>191081</v>
      </c>
      <c r="G9" s="5">
        <f t="shared" si="0"/>
        <v>451800</v>
      </c>
      <c r="I9" s="12" t="s">
        <v>12</v>
      </c>
      <c r="J9" s="3">
        <v>8632474.083333334</v>
      </c>
      <c r="K9" s="14"/>
      <c r="L9" s="3">
        <v>8745077.5600000005</v>
      </c>
      <c r="M9" s="14"/>
      <c r="N9" s="3">
        <v>7612216.75</v>
      </c>
      <c r="O9" s="14"/>
      <c r="P9" s="3">
        <v>8036697.4550000001</v>
      </c>
      <c r="Q9" s="14"/>
    </row>
    <row r="10" spans="2:17" x14ac:dyDescent="0.25">
      <c r="B10" s="12" t="s">
        <v>22</v>
      </c>
      <c r="C10" s="3">
        <v>0</v>
      </c>
      <c r="D10" s="3">
        <v>0</v>
      </c>
      <c r="E10" s="3">
        <v>0</v>
      </c>
      <c r="F10" s="3">
        <v>0</v>
      </c>
      <c r="G10" s="5">
        <f t="shared" si="0"/>
        <v>0</v>
      </c>
      <c r="I10" s="12" t="s">
        <v>22</v>
      </c>
      <c r="J10" s="3">
        <v>0</v>
      </c>
      <c r="K10" s="14"/>
      <c r="L10" s="3">
        <v>0</v>
      </c>
      <c r="M10" s="14"/>
      <c r="N10" s="3">
        <v>0</v>
      </c>
      <c r="O10" s="14"/>
      <c r="P10" s="3">
        <v>0</v>
      </c>
      <c r="Q10" s="14"/>
    </row>
    <row r="11" spans="2:17" x14ac:dyDescent="0.25">
      <c r="B11" s="12" t="s">
        <v>21</v>
      </c>
      <c r="C11" s="3">
        <v>0</v>
      </c>
      <c r="D11" s="3">
        <v>0</v>
      </c>
      <c r="E11" s="3">
        <v>0</v>
      </c>
      <c r="F11" s="3">
        <v>0</v>
      </c>
      <c r="G11" s="5">
        <f t="shared" si="0"/>
        <v>0</v>
      </c>
      <c r="I11" s="12" t="s">
        <v>21</v>
      </c>
      <c r="J11" s="3">
        <v>0</v>
      </c>
      <c r="K11" s="14"/>
      <c r="L11" s="3">
        <v>0</v>
      </c>
      <c r="M11" s="14"/>
      <c r="N11" s="3">
        <v>0</v>
      </c>
      <c r="O11" s="14"/>
      <c r="P11" s="3">
        <v>0</v>
      </c>
      <c r="Q11" s="14"/>
    </row>
    <row r="12" spans="2:17" x14ac:dyDescent="0.25">
      <c r="B12" s="12" t="s">
        <v>13</v>
      </c>
      <c r="C12" s="3">
        <v>36175</v>
      </c>
      <c r="D12" s="3">
        <v>95075</v>
      </c>
      <c r="E12" s="3">
        <v>76627</v>
      </c>
      <c r="F12" s="3">
        <v>191456</v>
      </c>
      <c r="G12" s="5">
        <f t="shared" si="0"/>
        <v>399333</v>
      </c>
      <c r="I12" s="12" t="s">
        <v>13</v>
      </c>
      <c r="J12" s="3">
        <v>4568747.6499999994</v>
      </c>
      <c r="K12" s="14"/>
      <c r="L12" s="3">
        <v>6061707.4833333334</v>
      </c>
      <c r="M12" s="14"/>
      <c r="N12" s="3">
        <v>7061078.1000000006</v>
      </c>
      <c r="O12" s="14"/>
      <c r="P12" s="3">
        <v>7366528.9100000001</v>
      </c>
      <c r="Q12" s="14"/>
    </row>
    <row r="13" spans="2:17" x14ac:dyDescent="0.25">
      <c r="B13" s="12" t="s">
        <v>14</v>
      </c>
      <c r="C13" s="3">
        <v>11202</v>
      </c>
      <c r="D13" s="3">
        <v>25751</v>
      </c>
      <c r="E13" s="3">
        <v>17355</v>
      </c>
      <c r="F13" s="3">
        <v>47975</v>
      </c>
      <c r="G13" s="5">
        <f t="shared" si="0"/>
        <v>102283</v>
      </c>
      <c r="I13" s="12" t="s">
        <v>14</v>
      </c>
      <c r="J13" s="3">
        <v>1414802.4733333334</v>
      </c>
      <c r="K13" s="14"/>
      <c r="L13" s="3">
        <v>1667760.4433333334</v>
      </c>
      <c r="M13" s="14"/>
      <c r="N13" s="3">
        <v>1599284.8266666669</v>
      </c>
      <c r="O13" s="14"/>
      <c r="P13" s="3">
        <v>1845934.5299999998</v>
      </c>
      <c r="Q13" s="14"/>
    </row>
    <row r="14" spans="2:17" x14ac:dyDescent="0.25">
      <c r="B14" s="12" t="s">
        <v>15</v>
      </c>
      <c r="C14" s="3">
        <v>160728.9</v>
      </c>
      <c r="D14" s="3">
        <v>230102</v>
      </c>
      <c r="E14" s="3">
        <v>90584</v>
      </c>
      <c r="F14" s="3">
        <v>240800</v>
      </c>
      <c r="G14" s="5">
        <f t="shared" si="0"/>
        <v>722214.9</v>
      </c>
      <c r="I14" s="12" t="s">
        <v>15</v>
      </c>
      <c r="J14" s="3">
        <v>8321218.9733333336</v>
      </c>
      <c r="K14" s="14"/>
      <c r="L14" s="3">
        <v>9980040.1100000013</v>
      </c>
      <c r="M14" s="14"/>
      <c r="N14" s="3">
        <v>8347219.4866666673</v>
      </c>
      <c r="O14" s="14"/>
      <c r="P14" s="3">
        <v>9265101</v>
      </c>
      <c r="Q14" s="14"/>
    </row>
    <row r="15" spans="2:17" x14ac:dyDescent="0.25">
      <c r="B15" s="12" t="s">
        <v>16</v>
      </c>
      <c r="C15" s="3">
        <v>254417</v>
      </c>
      <c r="D15" s="3">
        <v>516352</v>
      </c>
      <c r="E15" s="3">
        <v>379252</v>
      </c>
      <c r="F15" s="3">
        <v>1003907</v>
      </c>
      <c r="G15" s="5">
        <f t="shared" si="0"/>
        <v>2153928</v>
      </c>
      <c r="I15" s="12" t="s">
        <v>16</v>
      </c>
      <c r="J15" s="3">
        <v>31792226.34</v>
      </c>
      <c r="K15" s="14"/>
      <c r="L15" s="3">
        <v>40930769.020000003</v>
      </c>
      <c r="M15" s="14"/>
      <c r="N15" s="3">
        <v>34949492.893333338</v>
      </c>
      <c r="O15" s="14"/>
      <c r="P15" s="3">
        <v>37222130.140000001</v>
      </c>
      <c r="Q15" s="14"/>
    </row>
    <row r="16" spans="2:17" x14ac:dyDescent="0.25">
      <c r="B16" s="12" t="s">
        <v>17</v>
      </c>
      <c r="C16" s="3">
        <v>31192</v>
      </c>
      <c r="D16" s="3">
        <v>53563</v>
      </c>
      <c r="E16" s="3">
        <v>50791</v>
      </c>
      <c r="F16" s="3">
        <v>129846</v>
      </c>
      <c r="G16" s="5">
        <f t="shared" si="0"/>
        <v>265392</v>
      </c>
      <c r="I16" s="12" t="s">
        <v>17</v>
      </c>
      <c r="J16" s="3">
        <v>3937613.3600000008</v>
      </c>
      <c r="K16" s="14"/>
      <c r="L16" s="3">
        <v>3369472.7133333334</v>
      </c>
      <c r="M16" s="14"/>
      <c r="N16" s="3">
        <v>4680310.75</v>
      </c>
      <c r="O16" s="14"/>
      <c r="P16" s="3">
        <v>4996021.8100000005</v>
      </c>
      <c r="Q16" s="14"/>
    </row>
    <row r="17" spans="2:17" x14ac:dyDescent="0.25">
      <c r="B17" s="12" t="s">
        <v>18</v>
      </c>
      <c r="C17" s="3">
        <v>146805</v>
      </c>
      <c r="D17" s="3">
        <v>327105</v>
      </c>
      <c r="E17" s="3">
        <v>226237</v>
      </c>
      <c r="F17" s="3">
        <v>612495</v>
      </c>
      <c r="G17" s="5">
        <f t="shared" si="0"/>
        <v>1312642</v>
      </c>
      <c r="I17" s="12" t="s">
        <v>18</v>
      </c>
      <c r="J17" s="3">
        <v>18541056.533333335</v>
      </c>
      <c r="K17" s="14"/>
      <c r="L17" s="3">
        <v>21481141.036666665</v>
      </c>
      <c r="M17" s="14"/>
      <c r="N17" s="3">
        <v>20847482.776666667</v>
      </c>
      <c r="O17" s="14"/>
      <c r="P17" s="3">
        <v>23566549.620000001</v>
      </c>
      <c r="Q17" s="14"/>
    </row>
    <row r="18" spans="2:17" x14ac:dyDescent="0.25">
      <c r="B18" s="29" t="s">
        <v>19</v>
      </c>
      <c r="C18" s="30">
        <v>457</v>
      </c>
      <c r="D18" s="30">
        <v>1051</v>
      </c>
      <c r="E18" s="30">
        <v>786</v>
      </c>
      <c r="F18" s="30">
        <v>2041</v>
      </c>
      <c r="G18" s="31">
        <f t="shared" si="0"/>
        <v>4335</v>
      </c>
      <c r="I18" s="29" t="s">
        <v>19</v>
      </c>
      <c r="J18" s="30">
        <v>57742.846666666672</v>
      </c>
      <c r="K18" s="32"/>
      <c r="L18" s="30">
        <v>67229.893333333326</v>
      </c>
      <c r="M18" s="32"/>
      <c r="N18" s="30">
        <v>72423.493333333332</v>
      </c>
      <c r="O18" s="32"/>
      <c r="P18" s="30">
        <v>78528.41</v>
      </c>
      <c r="Q18" s="14"/>
    </row>
    <row r="19" spans="2:17" x14ac:dyDescent="0.25">
      <c r="B19" s="29" t="s">
        <v>20</v>
      </c>
      <c r="C19" s="30">
        <v>11728</v>
      </c>
      <c r="D19" s="30">
        <v>24638</v>
      </c>
      <c r="E19" s="30">
        <v>20362</v>
      </c>
      <c r="F19" s="30">
        <v>53451</v>
      </c>
      <c r="G19" s="31">
        <f t="shared" si="0"/>
        <v>110179</v>
      </c>
      <c r="I19" s="29" t="s">
        <v>20</v>
      </c>
      <c r="J19" s="30">
        <v>1481230.3766666667</v>
      </c>
      <c r="K19" s="32"/>
      <c r="L19" s="30">
        <v>1577256.6133333333</v>
      </c>
      <c r="M19" s="32"/>
      <c r="N19" s="30">
        <v>1875931.61</v>
      </c>
      <c r="O19" s="32"/>
      <c r="P19" s="30">
        <v>2056480.28</v>
      </c>
      <c r="Q19" s="14"/>
    </row>
    <row r="20" spans="2:17" x14ac:dyDescent="0.25">
      <c r="B20" s="29" t="s">
        <v>23</v>
      </c>
      <c r="C20" s="30">
        <v>16329</v>
      </c>
      <c r="D20" s="30">
        <v>30795</v>
      </c>
      <c r="E20" s="30">
        <v>14373</v>
      </c>
      <c r="F20" s="30">
        <v>24290</v>
      </c>
      <c r="G20" s="31">
        <f t="shared" si="0"/>
        <v>85787</v>
      </c>
      <c r="I20" s="29" t="s">
        <v>23</v>
      </c>
      <c r="J20" s="30">
        <v>2062471.5166666666</v>
      </c>
      <c r="K20" s="32"/>
      <c r="L20" s="30">
        <v>1980858.5</v>
      </c>
      <c r="M20" s="32"/>
      <c r="N20" s="30">
        <v>1324533.74</v>
      </c>
      <c r="O20" s="32"/>
      <c r="P20" s="30">
        <v>934588.125</v>
      </c>
      <c r="Q20" s="14"/>
    </row>
    <row r="21" spans="2:17" x14ac:dyDescent="0.25">
      <c r="B21" s="15" t="s">
        <v>24</v>
      </c>
      <c r="C21" s="16">
        <f>SUM(C4:C20)</f>
        <v>1094842.8999999999</v>
      </c>
      <c r="D21" s="3">
        <f>SUM(D4:D20)</f>
        <v>2296545</v>
      </c>
      <c r="E21" s="3">
        <f>SUM(E4:E20)</f>
        <v>1494222</v>
      </c>
      <c r="F21" s="3">
        <f>SUM(F4:F20)</f>
        <v>4000000</v>
      </c>
      <c r="G21" s="3">
        <f>SUM(G4:G20)</f>
        <v>8885609.9000000004</v>
      </c>
      <c r="I21" s="15" t="s">
        <v>24</v>
      </c>
      <c r="J21" s="3">
        <f>SUM(J4:J20)</f>
        <v>127039420.29000001</v>
      </c>
      <c r="K21" s="17"/>
      <c r="L21" s="3">
        <f>SUM(L4:L20)</f>
        <v>147668979.39000002</v>
      </c>
      <c r="M21" s="14"/>
      <c r="N21" s="3">
        <f>SUM(N4:N20)</f>
        <v>138224938.28000003</v>
      </c>
      <c r="O21" s="14"/>
      <c r="P21" s="3">
        <f>SUM(P4:P20)</f>
        <v>153185274.095</v>
      </c>
      <c r="Q21" s="18"/>
    </row>
    <row r="24" spans="2:17" ht="15.75" x14ac:dyDescent="0.25">
      <c r="B24" s="44" t="s">
        <v>130</v>
      </c>
      <c r="C24" s="44"/>
      <c r="D24" s="44"/>
      <c r="E24" s="44"/>
      <c r="F24" s="44"/>
      <c r="G24" s="44"/>
      <c r="I24" s="44" t="s">
        <v>70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2</v>
      </c>
      <c r="K25" s="13"/>
      <c r="L25" s="13" t="s">
        <v>3</v>
      </c>
      <c r="M25" s="13"/>
      <c r="N25" s="13" t="s">
        <v>4</v>
      </c>
      <c r="O25" s="13"/>
      <c r="P25" s="13" t="s">
        <v>26</v>
      </c>
    </row>
    <row r="26" spans="2:17" x14ac:dyDescent="0.25">
      <c r="B26" s="12" t="s">
        <v>7</v>
      </c>
      <c r="C26" s="16">
        <f t="shared" ref="C26:C39" si="1">$C$40*K26</f>
        <v>60110.435626588718</v>
      </c>
      <c r="D26" s="16">
        <f t="shared" ref="D26:D39" si="2">$D$40*M26</f>
        <v>121058.12058184008</v>
      </c>
      <c r="E26" s="16">
        <f t="shared" ref="E26:E39" si="3">$E$40*O26</f>
        <v>79668.926755199733</v>
      </c>
      <c r="F26" s="16">
        <f t="shared" ref="F26:F39" si="4">$F$40*Q26</f>
        <v>253628.18870725005</v>
      </c>
      <c r="G26" s="16">
        <f t="shared" ref="G26:G39" si="5">SUM(C26+D26+E26+F26)</f>
        <v>514465.6716708786</v>
      </c>
      <c r="I26" s="12" t="s">
        <v>7</v>
      </c>
      <c r="J26" s="3">
        <v>7071112.2566666678</v>
      </c>
      <c r="K26" s="14">
        <f t="shared" ref="K26:K39" si="6">J26/$J$40</f>
        <v>5.6371383750912801E-2</v>
      </c>
      <c r="L26" s="3">
        <v>7892538.5966666667</v>
      </c>
      <c r="M26" s="14">
        <f t="shared" ref="M26:M39" si="7">L26/$L$40</f>
        <v>5.4042332142669361E-2</v>
      </c>
      <c r="N26" s="3">
        <v>7479821.2899999991</v>
      </c>
      <c r="O26" s="14">
        <f t="shared" ref="O26:O39" si="8">N26/$N$40</f>
        <v>5.4616351641083215E-2</v>
      </c>
      <c r="P26" s="3">
        <v>9841499.5549999997</v>
      </c>
      <c r="Q26" s="14">
        <f t="shared" ref="Q26:Q39" si="9">P26/$P$40</f>
        <v>6.4697470576189908E-2</v>
      </c>
    </row>
    <row r="27" spans="2:17" x14ac:dyDescent="0.25">
      <c r="B27" s="12" t="s">
        <v>8</v>
      </c>
      <c r="C27" s="16">
        <f t="shared" si="1"/>
        <v>110889.22181651196</v>
      </c>
      <c r="D27" s="16">
        <f t="shared" si="2"/>
        <v>227034.60640510204</v>
      </c>
      <c r="E27" s="16">
        <f t="shared" si="3"/>
        <v>153329.647735109</v>
      </c>
      <c r="F27" s="16">
        <f t="shared" si="4"/>
        <v>418097.23026630969</v>
      </c>
      <c r="G27" s="16">
        <f t="shared" si="5"/>
        <v>909350.70622303267</v>
      </c>
      <c r="I27" s="12" t="s">
        <v>8</v>
      </c>
      <c r="J27" s="3">
        <v>13044492.646666666</v>
      </c>
      <c r="K27" s="14">
        <f t="shared" si="6"/>
        <v>0.1039915750351622</v>
      </c>
      <c r="L27" s="3">
        <v>14801810.776666665</v>
      </c>
      <c r="M27" s="14">
        <f t="shared" si="7"/>
        <v>0.10135197497081644</v>
      </c>
      <c r="N27" s="3">
        <v>14395554.33</v>
      </c>
      <c r="O27" s="14">
        <f t="shared" si="8"/>
        <v>0.10511382917754152</v>
      </c>
      <c r="P27" s="3">
        <v>16223369.045</v>
      </c>
      <c r="Q27" s="14">
        <f t="shared" si="9"/>
        <v>0.10665152556983047</v>
      </c>
    </row>
    <row r="28" spans="2:17" x14ac:dyDescent="0.25">
      <c r="B28" s="12" t="s">
        <v>9</v>
      </c>
      <c r="C28" s="16">
        <f t="shared" si="1"/>
        <v>106128.36622688572</v>
      </c>
      <c r="D28" s="16">
        <f t="shared" si="2"/>
        <v>193533.6495548643</v>
      </c>
      <c r="E28" s="16">
        <f t="shared" si="3"/>
        <v>129221.21524086419</v>
      </c>
      <c r="F28" s="16">
        <f t="shared" si="4"/>
        <v>335990.01672059827</v>
      </c>
      <c r="G28" s="16">
        <f t="shared" si="5"/>
        <v>764873.2477432125</v>
      </c>
      <c r="I28" s="12" t="s">
        <v>9</v>
      </c>
      <c r="J28" s="3">
        <v>12484447.723333335</v>
      </c>
      <c r="K28" s="14">
        <f t="shared" si="6"/>
        <v>9.952685913969482E-2</v>
      </c>
      <c r="L28" s="3">
        <v>12617673.160000002</v>
      </c>
      <c r="M28" s="14">
        <f t="shared" si="7"/>
        <v>8.6396597929638663E-2</v>
      </c>
      <c r="N28" s="3">
        <v>12132102.643333333</v>
      </c>
      <c r="O28" s="14">
        <f t="shared" si="8"/>
        <v>8.8586499386004519E-2</v>
      </c>
      <c r="P28" s="3">
        <v>13037374.184999999</v>
      </c>
      <c r="Q28" s="14">
        <f t="shared" si="9"/>
        <v>8.5706972602186474E-2</v>
      </c>
    </row>
    <row r="29" spans="2:17" x14ac:dyDescent="0.25">
      <c r="B29" s="12" t="s">
        <v>10</v>
      </c>
      <c r="C29" s="16">
        <f t="shared" si="1"/>
        <v>67685.425892323707</v>
      </c>
      <c r="D29" s="16">
        <f t="shared" si="2"/>
        <v>147663.39483378298</v>
      </c>
      <c r="E29" s="16">
        <f t="shared" si="3"/>
        <v>97194.18467862843</v>
      </c>
      <c r="F29" s="16">
        <f t="shared" si="4"/>
        <v>279774.94677959278</v>
      </c>
      <c r="G29" s="16">
        <f t="shared" si="5"/>
        <v>592317.95218432788</v>
      </c>
      <c r="I29" s="12" t="s">
        <v>10</v>
      </c>
      <c r="J29" s="3">
        <v>7962198.9033333333</v>
      </c>
      <c r="K29" s="14">
        <f t="shared" si="6"/>
        <v>6.347518658860668E-2</v>
      </c>
      <c r="L29" s="3">
        <v>9627103.3900000006</v>
      </c>
      <c r="M29" s="14">
        <f t="shared" si="7"/>
        <v>6.5919363282420873E-2</v>
      </c>
      <c r="N29" s="3">
        <v>9125203.0299999993</v>
      </c>
      <c r="O29" s="14">
        <f t="shared" si="8"/>
        <v>6.6630642385676314E-2</v>
      </c>
      <c r="P29" s="3">
        <v>10856068.594999999</v>
      </c>
      <c r="Q29" s="14">
        <f t="shared" si="9"/>
        <v>7.1367191003049515E-2</v>
      </c>
    </row>
    <row r="30" spans="2:17" x14ac:dyDescent="0.25">
      <c r="B30" s="12" t="s">
        <v>11</v>
      </c>
      <c r="C30" s="16">
        <f t="shared" si="1"/>
        <v>48179.263359323231</v>
      </c>
      <c r="D30" s="16">
        <f t="shared" si="2"/>
        <v>105351.72487989126</v>
      </c>
      <c r="E30" s="16">
        <f t="shared" si="3"/>
        <v>71600.244997350266</v>
      </c>
      <c r="F30" s="16">
        <f t="shared" si="4"/>
        <v>202521.20772683341</v>
      </c>
      <c r="G30" s="16">
        <f t="shared" si="5"/>
        <v>427652.4409633982</v>
      </c>
      <c r="I30" s="12" t="s">
        <v>11</v>
      </c>
      <c r="J30" s="3">
        <v>5667584.6066666665</v>
      </c>
      <c r="K30" s="14">
        <f t="shared" si="6"/>
        <v>4.5182366678163964E-2</v>
      </c>
      <c r="L30" s="3">
        <v>6868540.0933333337</v>
      </c>
      <c r="M30" s="14">
        <f t="shared" si="7"/>
        <v>4.7030739287854777E-2</v>
      </c>
      <c r="N30" s="3">
        <v>6722282.5599999996</v>
      </c>
      <c r="O30" s="14">
        <f t="shared" si="8"/>
        <v>4.9084935841786817E-2</v>
      </c>
      <c r="P30" s="3">
        <v>7858402.4350000005</v>
      </c>
      <c r="Q30" s="14">
        <f t="shared" si="9"/>
        <v>5.1660700432178366E-2</v>
      </c>
    </row>
    <row r="31" spans="2:17" x14ac:dyDescent="0.25">
      <c r="B31" s="12" t="s">
        <v>12</v>
      </c>
      <c r="C31" s="16">
        <f t="shared" si="1"/>
        <v>73383.331907251442</v>
      </c>
      <c r="D31" s="16">
        <f t="shared" si="2"/>
        <v>134134.61851211463</v>
      </c>
      <c r="E31" s="16">
        <f t="shared" si="3"/>
        <v>81079.094698592002</v>
      </c>
      <c r="F31" s="16">
        <f t="shared" si="4"/>
        <v>207116.10129212838</v>
      </c>
      <c r="G31" s="16">
        <f t="shared" si="5"/>
        <v>495713.14641008648</v>
      </c>
      <c r="I31" s="12" t="s">
        <v>12</v>
      </c>
      <c r="J31" s="3">
        <v>8632474.083333334</v>
      </c>
      <c r="K31" s="14">
        <f t="shared" si="6"/>
        <v>6.881866552360294E-2</v>
      </c>
      <c r="L31" s="3">
        <v>8745077.5600000005</v>
      </c>
      <c r="M31" s="14">
        <f t="shared" si="7"/>
        <v>5.9879895463612207E-2</v>
      </c>
      <c r="N31" s="3">
        <v>7612216.75</v>
      </c>
      <c r="O31" s="14">
        <f t="shared" si="8"/>
        <v>5.5583080219038718E-2</v>
      </c>
      <c r="P31" s="3">
        <v>8036697.4550000001</v>
      </c>
      <c r="Q31" s="14">
        <f t="shared" si="9"/>
        <v>5.2832801974820882E-2</v>
      </c>
    </row>
    <row r="32" spans="2:17" x14ac:dyDescent="0.25">
      <c r="B32" s="12" t="s">
        <v>22</v>
      </c>
      <c r="C32" s="16">
        <f t="shared" si="1"/>
        <v>0</v>
      </c>
      <c r="D32" s="16">
        <f t="shared" si="2"/>
        <v>0</v>
      </c>
      <c r="E32" s="16">
        <f t="shared" si="3"/>
        <v>0</v>
      </c>
      <c r="F32" s="16">
        <f t="shared" si="4"/>
        <v>0</v>
      </c>
      <c r="G32" s="16">
        <f t="shared" si="5"/>
        <v>0</v>
      </c>
      <c r="I32" s="12" t="s">
        <v>22</v>
      </c>
      <c r="J32" s="3">
        <v>0</v>
      </c>
      <c r="K32" s="14">
        <f t="shared" si="6"/>
        <v>0</v>
      </c>
      <c r="L32" s="3">
        <v>0</v>
      </c>
      <c r="M32" s="14">
        <f t="shared" si="7"/>
        <v>0</v>
      </c>
      <c r="N32" s="3">
        <v>0</v>
      </c>
      <c r="O32" s="14">
        <f t="shared" si="8"/>
        <v>0</v>
      </c>
      <c r="P32" s="3">
        <v>0</v>
      </c>
      <c r="Q32" s="14">
        <f t="shared" si="9"/>
        <v>0</v>
      </c>
    </row>
    <row r="33" spans="2:17" x14ac:dyDescent="0.25">
      <c r="B33" s="12" t="s">
        <v>21</v>
      </c>
      <c r="C33" s="16">
        <f t="shared" si="1"/>
        <v>0</v>
      </c>
      <c r="D33" s="16">
        <f t="shared" si="2"/>
        <v>0</v>
      </c>
      <c r="E33" s="16">
        <f t="shared" si="3"/>
        <v>0</v>
      </c>
      <c r="F33" s="16">
        <f t="shared" si="4"/>
        <v>0</v>
      </c>
      <c r="G33" s="16">
        <f t="shared" si="5"/>
        <v>0</v>
      </c>
      <c r="I33" s="12" t="s">
        <v>21</v>
      </c>
      <c r="J33" s="3">
        <v>0</v>
      </c>
      <c r="K33" s="14">
        <f t="shared" si="6"/>
        <v>0</v>
      </c>
      <c r="L33" s="3">
        <v>0</v>
      </c>
      <c r="M33" s="14">
        <f t="shared" si="7"/>
        <v>0</v>
      </c>
      <c r="N33" s="3">
        <v>0</v>
      </c>
      <c r="O33" s="14">
        <f t="shared" si="8"/>
        <v>0</v>
      </c>
      <c r="P33" s="3">
        <v>0</v>
      </c>
      <c r="Q33" s="14">
        <f t="shared" si="9"/>
        <v>0</v>
      </c>
    </row>
    <row r="34" spans="2:17" x14ac:dyDescent="0.25">
      <c r="B34" s="12" t="s">
        <v>13</v>
      </c>
      <c r="C34" s="16">
        <f t="shared" si="1"/>
        <v>38838.219722863534</v>
      </c>
      <c r="D34" s="16">
        <f t="shared" si="2"/>
        <v>92976.284684769227</v>
      </c>
      <c r="E34" s="16">
        <f t="shared" si="3"/>
        <v>75208.817450456088</v>
      </c>
      <c r="F34" s="16">
        <f t="shared" si="4"/>
        <v>189844.98998972855</v>
      </c>
      <c r="G34" s="16">
        <f t="shared" si="5"/>
        <v>396868.31184781739</v>
      </c>
      <c r="I34" s="12" t="s">
        <v>13</v>
      </c>
      <c r="J34" s="3">
        <v>4568747.6499999994</v>
      </c>
      <c r="K34" s="14">
        <f t="shared" si="6"/>
        <v>3.6422364359498777E-2</v>
      </c>
      <c r="L34" s="3">
        <v>6061707.4833333334</v>
      </c>
      <c r="M34" s="14">
        <f t="shared" si="7"/>
        <v>4.1506139647433361E-2</v>
      </c>
      <c r="N34" s="3">
        <v>7061078.1000000006</v>
      </c>
      <c r="O34" s="14">
        <f t="shared" si="8"/>
        <v>5.1558761837042742E-2</v>
      </c>
      <c r="P34" s="3">
        <v>7366528.9100000001</v>
      </c>
      <c r="Q34" s="14">
        <f t="shared" si="9"/>
        <v>4.8427151242540226E-2</v>
      </c>
    </row>
    <row r="35" spans="2:17" x14ac:dyDescent="0.25">
      <c r="B35" s="12" t="s">
        <v>14</v>
      </c>
      <c r="C35" s="16">
        <f t="shared" si="1"/>
        <v>12027.017802957618</v>
      </c>
      <c r="D35" s="16">
        <f t="shared" si="2"/>
        <v>25580.609125679592</v>
      </c>
      <c r="E35" s="16">
        <f t="shared" si="3"/>
        <v>17034.271378482226</v>
      </c>
      <c r="F35" s="16">
        <f t="shared" si="4"/>
        <v>47572.123404528153</v>
      </c>
      <c r="G35" s="16">
        <f t="shared" si="5"/>
        <v>102214.0217116476</v>
      </c>
      <c r="I35" s="12" t="s">
        <v>14</v>
      </c>
      <c r="J35" s="3">
        <v>1414802.4733333334</v>
      </c>
      <c r="K35" s="14">
        <f t="shared" si="6"/>
        <v>1.1278900724680367E-2</v>
      </c>
      <c r="L35" s="3">
        <v>1667760.4433333334</v>
      </c>
      <c r="M35" s="14">
        <f t="shared" si="7"/>
        <v>1.1419603807967547E-2</v>
      </c>
      <c r="N35" s="3">
        <v>1599284.8266666669</v>
      </c>
      <c r="O35" s="14">
        <f t="shared" si="8"/>
        <v>1.1677699116187776E-2</v>
      </c>
      <c r="P35" s="3">
        <v>1845934.5299999998</v>
      </c>
      <c r="Q35" s="14">
        <f t="shared" si="9"/>
        <v>1.2135070907926078E-2</v>
      </c>
    </row>
    <row r="36" spans="2:17" x14ac:dyDescent="0.25">
      <c r="B36" s="12" t="s">
        <v>15</v>
      </c>
      <c r="C36" s="16">
        <f t="shared" si="1"/>
        <v>87739.091979419754</v>
      </c>
      <c r="D36" s="16">
        <f t="shared" si="2"/>
        <v>183753.44288137811</v>
      </c>
      <c r="E36" s="16">
        <f t="shared" si="3"/>
        <v>110210.10254687814</v>
      </c>
      <c r="F36" s="16">
        <f t="shared" si="4"/>
        <v>290316.24157140258</v>
      </c>
      <c r="G36" s="16">
        <f t="shared" si="5"/>
        <v>672018.87897907861</v>
      </c>
      <c r="I36" s="12" t="s">
        <v>27</v>
      </c>
      <c r="J36" s="3">
        <f>8321218.97333333+2000000</f>
        <v>10321218.973333329</v>
      </c>
      <c r="K36" s="14">
        <f t="shared" si="6"/>
        <v>8.2281453667268856E-2</v>
      </c>
      <c r="L36" s="3">
        <f>9980040.11+2000000</f>
        <v>11980040.109999999</v>
      </c>
      <c r="M36" s="14">
        <f t="shared" si="7"/>
        <v>8.2030553132873663E-2</v>
      </c>
      <c r="N36" s="3">
        <f>8347219.48666667+2000000</f>
        <v>10347219.48666667</v>
      </c>
      <c r="O36" s="14">
        <f t="shared" si="8"/>
        <v>7.5553593606145567E-2</v>
      </c>
      <c r="P36" s="3">
        <f>9265101+2000000</f>
        <v>11265101</v>
      </c>
      <c r="Q36" s="14">
        <f t="shared" si="9"/>
        <v>7.4056147278391812E-2</v>
      </c>
    </row>
    <row r="37" spans="2:17" x14ac:dyDescent="0.25">
      <c r="B37" s="12" t="s">
        <v>16</v>
      </c>
      <c r="C37" s="16">
        <f t="shared" si="1"/>
        <v>270260.81689408468</v>
      </c>
      <c r="D37" s="16">
        <f t="shared" si="2"/>
        <v>627808.39280574431</v>
      </c>
      <c r="E37" s="16">
        <f t="shared" si="3"/>
        <v>372253.35759998451</v>
      </c>
      <c r="F37" s="16">
        <f t="shared" si="4"/>
        <v>959262.49800391728</v>
      </c>
      <c r="G37" s="16">
        <f t="shared" si="5"/>
        <v>2229585.0653037308</v>
      </c>
      <c r="I37" s="12" t="s">
        <v>16</v>
      </c>
      <c r="J37" s="3">
        <v>31792226.34</v>
      </c>
      <c r="K37" s="14">
        <f t="shared" si="6"/>
        <v>0.25344977229266197</v>
      </c>
      <c r="L37" s="3">
        <v>40930769.020000003</v>
      </c>
      <c r="M37" s="14">
        <f t="shared" si="7"/>
        <v>0.28026397174261963</v>
      </c>
      <c r="N37" s="3">
        <v>34949492.893333338</v>
      </c>
      <c r="O37" s="14">
        <f t="shared" si="8"/>
        <v>0.25519510687932928</v>
      </c>
      <c r="P37" s="3">
        <v>37222130.140000001</v>
      </c>
      <c r="Q37" s="14">
        <f t="shared" si="9"/>
        <v>0.24469621281365406</v>
      </c>
    </row>
    <row r="38" spans="2:17" x14ac:dyDescent="0.25">
      <c r="B38" s="12" t="s">
        <v>17</v>
      </c>
      <c r="C38" s="16">
        <f t="shared" si="1"/>
        <v>33473.044382165201</v>
      </c>
      <c r="D38" s="16">
        <f t="shared" si="2"/>
        <v>51681.981536358886</v>
      </c>
      <c r="E38" s="16">
        <f t="shared" si="3"/>
        <v>49850.834649195735</v>
      </c>
      <c r="F38" s="16">
        <f t="shared" si="4"/>
        <v>128753.95211174371</v>
      </c>
      <c r="G38" s="16">
        <f t="shared" si="5"/>
        <v>263759.81267946353</v>
      </c>
      <c r="I38" s="12" t="s">
        <v>17</v>
      </c>
      <c r="J38" s="3">
        <v>3937613.3600000008</v>
      </c>
      <c r="K38" s="14">
        <f t="shared" si="6"/>
        <v>3.1390919239050172E-2</v>
      </c>
      <c r="L38" s="3">
        <v>3369472.7133333334</v>
      </c>
      <c r="M38" s="14">
        <f t="shared" si="7"/>
        <v>2.3071684894455501E-2</v>
      </c>
      <c r="N38" s="3">
        <v>4680310.75</v>
      </c>
      <c r="O38" s="14">
        <f t="shared" si="8"/>
        <v>3.4174813515035457E-2</v>
      </c>
      <c r="P38" s="3">
        <v>4996021.8100000005</v>
      </c>
      <c r="Q38" s="14">
        <f t="shared" si="9"/>
        <v>3.284356944224625E-2</v>
      </c>
    </row>
    <row r="39" spans="2:17" ht="15.75" customHeight="1" x14ac:dyDescent="0.25">
      <c r="B39" s="12" t="s">
        <v>18</v>
      </c>
      <c r="C39" s="16">
        <f t="shared" si="1"/>
        <v>157614.66438962429</v>
      </c>
      <c r="D39" s="16">
        <f t="shared" si="2"/>
        <v>329484.17419847479</v>
      </c>
      <c r="E39" s="16">
        <f t="shared" si="3"/>
        <v>222050.30226925979</v>
      </c>
      <c r="F39" s="16">
        <f t="shared" si="4"/>
        <v>607340.50342596718</v>
      </c>
      <c r="G39" s="16">
        <f t="shared" si="5"/>
        <v>1316489.6442833261</v>
      </c>
      <c r="I39" s="12" t="s">
        <v>18</v>
      </c>
      <c r="J39" s="3">
        <v>18541056.533333335</v>
      </c>
      <c r="K39" s="14">
        <f t="shared" si="6"/>
        <v>0.1478105530006964</v>
      </c>
      <c r="L39" s="3">
        <v>21481141.036666665</v>
      </c>
      <c r="M39" s="14">
        <f t="shared" si="7"/>
        <v>0.14708714369763806</v>
      </c>
      <c r="N39" s="3">
        <v>20847482.776666667</v>
      </c>
      <c r="O39" s="14">
        <f t="shared" si="8"/>
        <v>0.15222468639512812</v>
      </c>
      <c r="P39" s="3">
        <v>23566549.620000001</v>
      </c>
      <c r="Q39" s="14">
        <f t="shared" si="9"/>
        <v>0.15492518615698597</v>
      </c>
    </row>
    <row r="40" spans="2:17" x14ac:dyDescent="0.25">
      <c r="B40" s="15" t="s">
        <v>24</v>
      </c>
      <c r="C40" s="16">
        <f>$C$21-(C18+C19+C20)</f>
        <v>1066328.8999999999</v>
      </c>
      <c r="D40" s="16">
        <f>$D$21-(D18+D19+D20)</f>
        <v>2240061</v>
      </c>
      <c r="E40" s="16">
        <f>$E$21-(E18+E19+E20)</f>
        <v>1458701</v>
      </c>
      <c r="F40" s="16">
        <f>$F$21-(F18+F19+F20)</f>
        <v>3920218</v>
      </c>
      <c r="G40" s="16">
        <f>$C$21-(G18+G19+G20)</f>
        <v>894541.89999999991</v>
      </c>
      <c r="I40" s="15" t="s">
        <v>24</v>
      </c>
      <c r="J40" s="3">
        <f t="shared" ref="J40:Q40" si="10">SUM(J26:J39)</f>
        <v>125437975.55000001</v>
      </c>
      <c r="K40" s="19">
        <f t="shared" si="10"/>
        <v>0.99999999999999978</v>
      </c>
      <c r="L40" s="3">
        <f t="shared" si="10"/>
        <v>146043634.38333333</v>
      </c>
      <c r="M40" s="19">
        <f t="shared" si="10"/>
        <v>1.0000000000000002</v>
      </c>
      <c r="N40" s="3">
        <f t="shared" si="10"/>
        <v>136952049.43666667</v>
      </c>
      <c r="O40" s="19">
        <f t="shared" si="10"/>
        <v>1.0000000000000002</v>
      </c>
      <c r="P40" s="3">
        <f t="shared" si="10"/>
        <v>152115677.28</v>
      </c>
      <c r="Q40" s="19">
        <f t="shared" si="10"/>
        <v>1</v>
      </c>
    </row>
    <row r="43" spans="2:17" ht="15.75" x14ac:dyDescent="0.25">
      <c r="B43" s="44" t="s">
        <v>137</v>
      </c>
      <c r="C43" s="44"/>
      <c r="D43" s="44"/>
      <c r="E43" s="44"/>
      <c r="F43" s="44"/>
      <c r="G43" s="44"/>
      <c r="I43" s="44" t="s">
        <v>161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4122.4356265887182</v>
      </c>
      <c r="D45" s="16">
        <f>D26-D4</f>
        <v>-2317.8794181599224</v>
      </c>
      <c r="E45" s="16">
        <f>E26-E4</f>
        <v>-1502.0732448002673</v>
      </c>
      <c r="F45" s="16">
        <f>F26-F4</f>
        <v>-2152.811292749946</v>
      </c>
      <c r="G45" s="16">
        <f t="shared" ref="G45:G59" si="11">SUM(C45+D45+E45+F45)</f>
        <v>-1850.3283291214175</v>
      </c>
      <c r="I45" s="15" t="s">
        <v>153</v>
      </c>
      <c r="J45" s="12" t="s">
        <v>155</v>
      </c>
    </row>
    <row r="46" spans="2:17" x14ac:dyDescent="0.25">
      <c r="B46" s="12" t="s">
        <v>8</v>
      </c>
      <c r="C46" s="16">
        <f t="shared" ref="C46:F58" si="12">C27-C5</f>
        <v>7605.2218165119557</v>
      </c>
      <c r="D46" s="16">
        <f t="shared" si="12"/>
        <v>-5387.3935948979633</v>
      </c>
      <c r="E46" s="16">
        <f t="shared" si="12"/>
        <v>-2890.3522648910002</v>
      </c>
      <c r="F46" s="16">
        <f t="shared" si="12"/>
        <v>-3547.7697336903075</v>
      </c>
      <c r="G46" s="16">
        <f t="shared" si="11"/>
        <v>-4220.2937769673154</v>
      </c>
      <c r="I46" s="15" t="s">
        <v>154</v>
      </c>
      <c r="J46" t="s">
        <v>189</v>
      </c>
    </row>
    <row r="47" spans="2:17" x14ac:dyDescent="0.25">
      <c r="B47" s="12" t="s">
        <v>9</v>
      </c>
      <c r="C47" s="16">
        <f t="shared" si="12"/>
        <v>7278.3662268857152</v>
      </c>
      <c r="D47" s="16">
        <f t="shared" si="12"/>
        <v>-4904.3504451357003</v>
      </c>
      <c r="E47" s="16">
        <f t="shared" si="12"/>
        <v>-2398.784759135815</v>
      </c>
      <c r="F47" s="16">
        <f t="shared" si="12"/>
        <v>-2851.9832794017275</v>
      </c>
      <c r="G47" s="16">
        <f t="shared" si="11"/>
        <v>-2876.7522567875276</v>
      </c>
    </row>
    <row r="48" spans="2:17" x14ac:dyDescent="0.25">
      <c r="B48" s="12" t="s">
        <v>10</v>
      </c>
      <c r="C48" s="16">
        <f t="shared" si="12"/>
        <v>4642.4258923237066</v>
      </c>
      <c r="D48" s="16">
        <f t="shared" si="12"/>
        <v>-58262.605166217021</v>
      </c>
      <c r="E48" s="16">
        <f t="shared" si="12"/>
        <v>-1832.8153213715705</v>
      </c>
      <c r="F48" s="16">
        <f t="shared" si="12"/>
        <v>-2375.0532204072224</v>
      </c>
      <c r="G48" s="16">
        <f t="shared" si="11"/>
        <v>-57828.047815672107</v>
      </c>
    </row>
    <row r="49" spans="2:7" x14ac:dyDescent="0.25">
      <c r="B49" s="12" t="s">
        <v>11</v>
      </c>
      <c r="C49" s="16">
        <f t="shared" si="12"/>
        <v>3304.2633593232313</v>
      </c>
      <c r="D49" s="16">
        <f t="shared" si="12"/>
        <v>-2516.2751201087376</v>
      </c>
      <c r="E49" s="16">
        <f t="shared" si="12"/>
        <v>-1349.7550026497338</v>
      </c>
      <c r="F49" s="16">
        <f t="shared" si="12"/>
        <v>-1718.7922731665894</v>
      </c>
      <c r="G49" s="16">
        <f t="shared" si="11"/>
        <v>-2280.5590366018296</v>
      </c>
    </row>
    <row r="50" spans="2:7" x14ac:dyDescent="0.25">
      <c r="B50" s="12" t="s">
        <v>12</v>
      </c>
      <c r="C50" s="16">
        <f t="shared" si="12"/>
        <v>13614.331907251442</v>
      </c>
      <c r="D50" s="16">
        <f t="shared" si="12"/>
        <v>10051.618512114626</v>
      </c>
      <c r="E50" s="16">
        <f t="shared" si="12"/>
        <v>4212.0946985920018</v>
      </c>
      <c r="F50" s="16">
        <f t="shared" si="12"/>
        <v>16035.101292128384</v>
      </c>
      <c r="G50" s="16">
        <f t="shared" si="11"/>
        <v>43913.146410086454</v>
      </c>
    </row>
    <row r="51" spans="2:7" x14ac:dyDescent="0.25">
      <c r="B51" s="12" t="s">
        <v>22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6">
        <f t="shared" si="11"/>
        <v>0</v>
      </c>
    </row>
    <row r="52" spans="2:7" x14ac:dyDescent="0.25">
      <c r="B52" s="12" t="s">
        <v>21</v>
      </c>
      <c r="C52" s="16">
        <f t="shared" si="12"/>
        <v>0</v>
      </c>
      <c r="D52" s="16">
        <f t="shared" si="12"/>
        <v>0</v>
      </c>
      <c r="E52" s="16">
        <f t="shared" si="12"/>
        <v>0</v>
      </c>
      <c r="F52" s="16">
        <f t="shared" si="12"/>
        <v>0</v>
      </c>
      <c r="G52" s="16">
        <f t="shared" si="11"/>
        <v>0</v>
      </c>
    </row>
    <row r="53" spans="2:7" x14ac:dyDescent="0.25">
      <c r="B53" s="12" t="s">
        <v>13</v>
      </c>
      <c r="C53" s="16">
        <f t="shared" si="12"/>
        <v>2663.2197228635341</v>
      </c>
      <c r="D53" s="16">
        <f t="shared" si="12"/>
        <v>-2098.7153152307728</v>
      </c>
      <c r="E53" s="16">
        <f t="shared" si="12"/>
        <v>-1418.1825495439116</v>
      </c>
      <c r="F53" s="16">
        <f t="shared" si="12"/>
        <v>-1611.0100102714496</v>
      </c>
      <c r="G53" s="16">
        <f t="shared" si="11"/>
        <v>-2464.6881521825999</v>
      </c>
    </row>
    <row r="54" spans="2:7" x14ac:dyDescent="0.25">
      <c r="B54" s="12" t="s">
        <v>14</v>
      </c>
      <c r="C54" s="16">
        <f t="shared" si="12"/>
        <v>825.01780295761819</v>
      </c>
      <c r="D54" s="16">
        <f t="shared" si="12"/>
        <v>-170.39087432040833</v>
      </c>
      <c r="E54" s="16">
        <f t="shared" si="12"/>
        <v>-320.72862151777372</v>
      </c>
      <c r="F54" s="16">
        <f t="shared" si="12"/>
        <v>-402.87659547184739</v>
      </c>
      <c r="G54" s="16">
        <f t="shared" si="11"/>
        <v>-68.978288352411255</v>
      </c>
    </row>
    <row r="55" spans="2:7" x14ac:dyDescent="0.25">
      <c r="B55" s="12" t="s">
        <v>15</v>
      </c>
      <c r="C55" s="16">
        <f t="shared" si="12"/>
        <v>-72989.80802058024</v>
      </c>
      <c r="D55" s="16">
        <f t="shared" si="12"/>
        <v>-46348.557118621888</v>
      </c>
      <c r="E55" s="16">
        <f t="shared" si="12"/>
        <v>19626.102546878144</v>
      </c>
      <c r="F55" s="16">
        <f t="shared" si="12"/>
        <v>49516.241571402585</v>
      </c>
      <c r="G55" s="16">
        <f t="shared" si="11"/>
        <v>-50196.021020921398</v>
      </c>
    </row>
    <row r="56" spans="2:7" x14ac:dyDescent="0.25">
      <c r="B56" s="12" t="s">
        <v>16</v>
      </c>
      <c r="C56" s="16">
        <f t="shared" si="12"/>
        <v>15843.816894084681</v>
      </c>
      <c r="D56" s="16">
        <f t="shared" si="12"/>
        <v>111456.39280574431</v>
      </c>
      <c r="E56" s="16">
        <f t="shared" si="12"/>
        <v>-6998.6424000154948</v>
      </c>
      <c r="F56" s="16">
        <f t="shared" si="12"/>
        <v>-44644.501996082719</v>
      </c>
      <c r="G56" s="16">
        <f t="shared" si="11"/>
        <v>75657.065303730778</v>
      </c>
    </row>
    <row r="57" spans="2:7" x14ac:dyDescent="0.25">
      <c r="B57" s="12" t="s">
        <v>17</v>
      </c>
      <c r="C57" s="16">
        <f t="shared" si="12"/>
        <v>2281.0443821652007</v>
      </c>
      <c r="D57" s="16">
        <f t="shared" si="12"/>
        <v>-1881.0184636411141</v>
      </c>
      <c r="E57" s="16">
        <f t="shared" si="12"/>
        <v>-940.16535080426547</v>
      </c>
      <c r="F57" s="16">
        <f t="shared" si="12"/>
        <v>-1092.0478882562893</v>
      </c>
      <c r="G57" s="16">
        <f t="shared" si="11"/>
        <v>-1632.1873205364682</v>
      </c>
    </row>
    <row r="58" spans="2:7" x14ac:dyDescent="0.25">
      <c r="B58" s="12" t="s">
        <v>18</v>
      </c>
      <c r="C58" s="16">
        <f t="shared" si="12"/>
        <v>10809.664389624289</v>
      </c>
      <c r="D58" s="16">
        <f t="shared" si="12"/>
        <v>2379.1741984747932</v>
      </c>
      <c r="E58" s="16">
        <f t="shared" si="12"/>
        <v>-4186.6977307402121</v>
      </c>
      <c r="F58" s="16">
        <f t="shared" si="12"/>
        <v>-5154.4965740328189</v>
      </c>
      <c r="G58" s="16">
        <f t="shared" si="11"/>
        <v>3847.6442833260517</v>
      </c>
    </row>
    <row r="59" spans="2:7" x14ac:dyDescent="0.25">
      <c r="B59" s="15" t="s">
        <v>24</v>
      </c>
      <c r="C59" s="16">
        <f>SUM(C45:C58)</f>
        <v>-1.4551915228366852E-10</v>
      </c>
      <c r="D59" s="16">
        <f>SUM(D45:D58)</f>
        <v>2.0372681319713593E-10</v>
      </c>
      <c r="E59" s="16">
        <f>SUM(E45:E58)</f>
        <v>1.0186340659856796E-10</v>
      </c>
      <c r="F59" s="16">
        <f>SUM(F45:F58)</f>
        <v>5.0931703299283981E-11</v>
      </c>
      <c r="G59" s="16">
        <f t="shared" si="11"/>
        <v>2.1100277081131935E-10</v>
      </c>
    </row>
  </sheetData>
  <sheetProtection algorithmName="SHA-512" hashValue="mRGj/7iIsrKJgyMwrTbIQgGlO/t/zs9EltR1MibXjjqVmd44GnRAQRb7f9emCxspYH3pr25MLJOOaTprLXe3mw==" saltValue="kGnzlpV7gU3JxdCihXG1sA==" spinCount="100000" sheet="1" objects="1" scenarios="1"/>
  <mergeCells count="6">
    <mergeCell ref="B2:G2"/>
    <mergeCell ref="I2:Q2"/>
    <mergeCell ref="B24:G24"/>
    <mergeCell ref="I24:Q24"/>
    <mergeCell ref="B43:G43"/>
    <mergeCell ref="I43:Q4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6D57B-E1BE-4FBB-9D9A-030159F9E10C}">
  <dimension ref="B2:Q59"/>
  <sheetViews>
    <sheetView topLeftCell="B1" workbookViewId="0">
      <selection activeCell="B3" sqref="B3"/>
    </sheetView>
  </sheetViews>
  <sheetFormatPr defaultColWidth="9.140625" defaultRowHeight="15" x14ac:dyDescent="0.25"/>
  <cols>
    <col min="1" max="2" width="9.140625" style="12"/>
    <col min="3" max="3" width="12.5703125" style="12" bestFit="1" customWidth="1"/>
    <col min="4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71</v>
      </c>
      <c r="C2" s="44"/>
      <c r="D2" s="44"/>
      <c r="E2" s="44"/>
      <c r="F2" s="44"/>
      <c r="G2" s="44"/>
      <c r="H2" s="11"/>
      <c r="I2" s="44" t="s">
        <v>72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2</v>
      </c>
      <c r="K3" s="13"/>
      <c r="L3" s="13" t="s">
        <v>3</v>
      </c>
      <c r="M3" s="13"/>
      <c r="N3" s="13" t="s">
        <v>4</v>
      </c>
      <c r="O3" s="13"/>
      <c r="P3" s="13" t="s">
        <v>26</v>
      </c>
      <c r="Q3" s="13"/>
    </row>
    <row r="4" spans="2:17" x14ac:dyDescent="0.25">
      <c r="B4" s="12" t="s">
        <v>7</v>
      </c>
      <c r="C4" s="3">
        <v>29288</v>
      </c>
      <c r="D4" s="5">
        <v>57905</v>
      </c>
      <c r="E4" s="5">
        <v>65431</v>
      </c>
      <c r="F4" s="5">
        <v>210036</v>
      </c>
      <c r="G4" s="5">
        <f t="shared" ref="G4:G20" si="0">C4+D4+E4+F4</f>
        <v>362660</v>
      </c>
      <c r="I4" s="12" t="s">
        <v>7</v>
      </c>
      <c r="J4" s="3">
        <v>3703512.2666666671</v>
      </c>
      <c r="K4" s="14"/>
      <c r="L4" s="3">
        <v>5400384.5266666664</v>
      </c>
      <c r="M4" s="14"/>
      <c r="N4" s="3">
        <v>7216423.9966666671</v>
      </c>
      <c r="O4" s="14"/>
      <c r="P4" s="3">
        <v>7601186.0899999999</v>
      </c>
      <c r="Q4" s="14"/>
    </row>
    <row r="5" spans="2:17" x14ac:dyDescent="0.25">
      <c r="B5" s="12" t="s">
        <v>8</v>
      </c>
      <c r="C5" s="3">
        <v>92157</v>
      </c>
      <c r="D5" s="3">
        <v>151962</v>
      </c>
      <c r="E5" s="3">
        <v>127032</v>
      </c>
      <c r="F5" s="3">
        <v>447805</v>
      </c>
      <c r="G5" s="5">
        <f t="shared" si="0"/>
        <v>818956</v>
      </c>
      <c r="I5" s="12" t="s">
        <v>8</v>
      </c>
      <c r="J5" s="3">
        <v>11653294.556666667</v>
      </c>
      <c r="K5" s="14"/>
      <c r="L5" s="3">
        <v>14172547.539999999</v>
      </c>
      <c r="M5" s="14"/>
      <c r="N5" s="3">
        <v>14010301.753333332</v>
      </c>
      <c r="O5" s="14"/>
      <c r="P5" s="3">
        <v>16205996.185000001</v>
      </c>
      <c r="Q5" s="14"/>
    </row>
    <row r="6" spans="2:17" x14ac:dyDescent="0.25">
      <c r="B6" s="12" t="s">
        <v>9</v>
      </c>
      <c r="C6" s="3">
        <v>99573</v>
      </c>
      <c r="D6" s="3">
        <v>141062</v>
      </c>
      <c r="E6" s="3">
        <v>116152</v>
      </c>
      <c r="F6" s="3">
        <v>394045</v>
      </c>
      <c r="G6" s="5">
        <f t="shared" si="0"/>
        <v>750832</v>
      </c>
      <c r="I6" s="12" t="s">
        <v>9</v>
      </c>
      <c r="J6" s="3">
        <v>12591149.200000001</v>
      </c>
      <c r="K6" s="14"/>
      <c r="L6" s="3">
        <v>13155902.573333332</v>
      </c>
      <c r="M6" s="14"/>
      <c r="N6" s="3">
        <v>12810445.25</v>
      </c>
      <c r="O6" s="14"/>
      <c r="P6" s="3">
        <v>14260418.205</v>
      </c>
      <c r="Q6" s="14"/>
    </row>
    <row r="7" spans="2:17" x14ac:dyDescent="0.25">
      <c r="B7" s="12" t="s">
        <v>10</v>
      </c>
      <c r="C7" s="3">
        <v>59284</v>
      </c>
      <c r="D7" s="3">
        <v>92625</v>
      </c>
      <c r="E7" s="3">
        <v>74330</v>
      </c>
      <c r="F7" s="3">
        <v>210660</v>
      </c>
      <c r="G7" s="5">
        <f t="shared" si="0"/>
        <v>436899</v>
      </c>
      <c r="I7" s="12" t="s">
        <v>10</v>
      </c>
      <c r="J7" s="3">
        <v>7496583.5466666669</v>
      </c>
      <c r="K7" s="14"/>
      <c r="L7" s="3">
        <v>8638488.7733333334</v>
      </c>
      <c r="M7" s="14"/>
      <c r="N7" s="3">
        <v>8197819.916666667</v>
      </c>
      <c r="O7" s="14"/>
      <c r="P7" s="3">
        <v>9623753.5150000006</v>
      </c>
      <c r="Q7" s="14"/>
    </row>
    <row r="8" spans="2:17" x14ac:dyDescent="0.25">
      <c r="B8" s="12" t="s">
        <v>11</v>
      </c>
      <c r="C8" s="3">
        <v>49837</v>
      </c>
      <c r="D8" s="3">
        <v>73086</v>
      </c>
      <c r="E8" s="3">
        <v>60923</v>
      </c>
      <c r="F8" s="3">
        <v>206980</v>
      </c>
      <c r="G8" s="5">
        <f t="shared" si="0"/>
        <v>390826</v>
      </c>
      <c r="I8" s="12" t="s">
        <v>11</v>
      </c>
      <c r="J8" s="3">
        <v>6301987.7000000002</v>
      </c>
      <c r="K8" s="14"/>
      <c r="L8" s="3">
        <v>6816283.29</v>
      </c>
      <c r="M8" s="14"/>
      <c r="N8" s="3">
        <v>6719197.8266666671</v>
      </c>
      <c r="O8" s="14"/>
      <c r="P8" s="3">
        <v>7490603.8949999996</v>
      </c>
      <c r="Q8" s="14"/>
    </row>
    <row r="9" spans="2:17" x14ac:dyDescent="0.25">
      <c r="B9" s="12" t="s">
        <v>12</v>
      </c>
      <c r="C9" s="3">
        <v>52980</v>
      </c>
      <c r="D9" s="3">
        <v>92082</v>
      </c>
      <c r="E9" s="3">
        <v>72062</v>
      </c>
      <c r="F9" s="3">
        <v>232762</v>
      </c>
      <c r="G9" s="5">
        <f t="shared" si="0"/>
        <v>449886</v>
      </c>
      <c r="I9" s="12" t="s">
        <v>12</v>
      </c>
      <c r="J9" s="3">
        <v>6699436.2633333327</v>
      </c>
      <c r="K9" s="14"/>
      <c r="L9" s="3">
        <v>9187837.0800000001</v>
      </c>
      <c r="M9" s="14"/>
      <c r="N9" s="3">
        <v>9747658.1433333326</v>
      </c>
      <c r="O9" s="14"/>
      <c r="P9" s="3">
        <v>10143859.785</v>
      </c>
      <c r="Q9" s="14"/>
    </row>
    <row r="10" spans="2:17" x14ac:dyDescent="0.25">
      <c r="B10" s="12" t="s">
        <v>22</v>
      </c>
      <c r="C10" s="3">
        <v>0</v>
      </c>
      <c r="D10" s="3">
        <v>0</v>
      </c>
      <c r="E10" s="3">
        <v>0</v>
      </c>
      <c r="F10" s="3">
        <v>0</v>
      </c>
      <c r="G10" s="5">
        <f t="shared" si="0"/>
        <v>0</v>
      </c>
      <c r="I10" s="12" t="s">
        <v>22</v>
      </c>
      <c r="J10" s="3">
        <v>0</v>
      </c>
      <c r="K10" s="14"/>
      <c r="L10" s="3">
        <v>0</v>
      </c>
      <c r="M10" s="14"/>
      <c r="N10" s="3">
        <v>0</v>
      </c>
      <c r="O10" s="14"/>
      <c r="P10" s="3">
        <v>0</v>
      </c>
      <c r="Q10" s="14"/>
    </row>
    <row r="11" spans="2:17" x14ac:dyDescent="0.25">
      <c r="B11" s="12" t="s">
        <v>21</v>
      </c>
      <c r="C11" s="3">
        <v>0</v>
      </c>
      <c r="D11" s="3">
        <v>0</v>
      </c>
      <c r="E11" s="3">
        <v>0</v>
      </c>
      <c r="F11" s="3">
        <v>0</v>
      </c>
      <c r="G11" s="5">
        <f t="shared" si="0"/>
        <v>0</v>
      </c>
      <c r="I11" s="12" t="s">
        <v>21</v>
      </c>
      <c r="J11" s="3">
        <v>0</v>
      </c>
      <c r="K11" s="14"/>
      <c r="L11" s="3">
        <v>0</v>
      </c>
      <c r="M11" s="14"/>
      <c r="N11" s="3">
        <v>0</v>
      </c>
      <c r="O11" s="14"/>
      <c r="P11" s="3">
        <v>0</v>
      </c>
      <c r="Q11" s="14"/>
    </row>
    <row r="12" spans="2:17" x14ac:dyDescent="0.25">
      <c r="B12" s="12" t="s">
        <v>13</v>
      </c>
      <c r="C12" s="3">
        <v>47230</v>
      </c>
      <c r="D12" s="3">
        <v>69873</v>
      </c>
      <c r="E12" s="3">
        <v>54674</v>
      </c>
      <c r="F12" s="3">
        <v>173272</v>
      </c>
      <c r="G12" s="5">
        <f t="shared" si="0"/>
        <v>345049</v>
      </c>
      <c r="I12" s="12" t="s">
        <v>13</v>
      </c>
      <c r="J12" s="3">
        <v>5972372.8700000001</v>
      </c>
      <c r="K12" s="14"/>
      <c r="L12" s="3">
        <v>6516591.2866666662</v>
      </c>
      <c r="M12" s="14"/>
      <c r="N12" s="3">
        <v>6029997.1200000001</v>
      </c>
      <c r="O12" s="14"/>
      <c r="P12" s="3">
        <v>6270688.625</v>
      </c>
      <c r="Q12" s="14"/>
    </row>
    <row r="13" spans="2:17" x14ac:dyDescent="0.25">
      <c r="B13" s="12" t="s">
        <v>14</v>
      </c>
      <c r="C13" s="3">
        <v>5676</v>
      </c>
      <c r="D13" s="3">
        <v>9975</v>
      </c>
      <c r="E13" s="3">
        <v>7857</v>
      </c>
      <c r="F13" s="3">
        <v>28421</v>
      </c>
      <c r="G13" s="5">
        <f t="shared" si="0"/>
        <v>51929</v>
      </c>
      <c r="I13" s="12" t="s">
        <v>14</v>
      </c>
      <c r="J13" s="3">
        <v>717780.1066666668</v>
      </c>
      <c r="K13" s="14"/>
      <c r="L13" s="3">
        <v>930362.43666666665</v>
      </c>
      <c r="M13" s="14"/>
      <c r="N13" s="3">
        <v>866656.86333333328</v>
      </c>
      <c r="O13" s="14"/>
      <c r="P13" s="3">
        <v>1028584.415</v>
      </c>
      <c r="Q13" s="14"/>
    </row>
    <row r="14" spans="2:17" x14ac:dyDescent="0.25">
      <c r="B14" s="12" t="s">
        <v>15</v>
      </c>
      <c r="C14" s="3">
        <v>68327</v>
      </c>
      <c r="D14" s="3">
        <v>82082</v>
      </c>
      <c r="E14" s="3">
        <v>59166</v>
      </c>
      <c r="F14" s="3">
        <v>225000</v>
      </c>
      <c r="G14" s="5">
        <f t="shared" si="0"/>
        <v>434575</v>
      </c>
      <c r="I14" s="12" t="s">
        <v>15</v>
      </c>
      <c r="J14" s="3">
        <v>8640381.5566666704</v>
      </c>
      <c r="K14" s="14"/>
      <c r="L14" s="3">
        <v>7655275.5766666671</v>
      </c>
      <c r="M14" s="14"/>
      <c r="N14" s="3">
        <v>6525359.0533333337</v>
      </c>
      <c r="O14" s="14"/>
      <c r="P14" s="3">
        <v>7767690.4000000004</v>
      </c>
      <c r="Q14" s="14"/>
    </row>
    <row r="15" spans="2:17" x14ac:dyDescent="0.25">
      <c r="B15" s="12" t="s">
        <v>16</v>
      </c>
      <c r="C15" s="3">
        <v>202998</v>
      </c>
      <c r="D15" s="3">
        <v>296783</v>
      </c>
      <c r="E15" s="3">
        <v>228217</v>
      </c>
      <c r="F15" s="3">
        <v>830785</v>
      </c>
      <c r="G15" s="5">
        <f t="shared" si="0"/>
        <v>1558783</v>
      </c>
      <c r="I15" s="12" t="s">
        <v>16</v>
      </c>
      <c r="J15" s="3">
        <v>25669268.703333333</v>
      </c>
      <c r="K15" s="14"/>
      <c r="L15" s="3">
        <v>27678818.949999999</v>
      </c>
      <c r="M15" s="14"/>
      <c r="N15" s="3">
        <v>25170014.396666665</v>
      </c>
      <c r="O15" s="14"/>
      <c r="P15" s="3">
        <v>27214733.23</v>
      </c>
      <c r="Q15" s="14"/>
    </row>
    <row r="16" spans="2:17" x14ac:dyDescent="0.25">
      <c r="B16" s="12" t="s">
        <v>17</v>
      </c>
      <c r="C16" s="3">
        <v>26776</v>
      </c>
      <c r="D16" s="3">
        <v>34634</v>
      </c>
      <c r="E16" s="3">
        <v>36969</v>
      </c>
      <c r="F16" s="3">
        <v>138147</v>
      </c>
      <c r="G16" s="5">
        <f t="shared" si="0"/>
        <v>236526</v>
      </c>
      <c r="I16" s="12" t="s">
        <v>17</v>
      </c>
      <c r="J16" s="3">
        <v>3385887.5233333334</v>
      </c>
      <c r="K16" s="14"/>
      <c r="L16" s="3">
        <v>3230120.1733333333</v>
      </c>
      <c r="M16" s="14"/>
      <c r="N16" s="3">
        <v>4077806.5266666668</v>
      </c>
      <c r="O16" s="14"/>
      <c r="P16" s="3">
        <v>4999513.6999999993</v>
      </c>
      <c r="Q16" s="14"/>
    </row>
    <row r="17" spans="2:17" x14ac:dyDescent="0.25">
      <c r="B17" s="12" t="s">
        <v>18</v>
      </c>
      <c r="C17" s="3">
        <v>138645</v>
      </c>
      <c r="D17" s="3">
        <v>206803</v>
      </c>
      <c r="E17" s="3">
        <v>166624</v>
      </c>
      <c r="F17" s="3">
        <v>570775</v>
      </c>
      <c r="G17" s="5">
        <f t="shared" si="0"/>
        <v>1082847</v>
      </c>
      <c r="I17" s="12" t="s">
        <v>18</v>
      </c>
      <c r="J17" s="3">
        <v>17531823.696666669</v>
      </c>
      <c r="K17" s="14"/>
      <c r="L17" s="3">
        <v>19287104.106666669</v>
      </c>
      <c r="M17" s="14"/>
      <c r="N17" s="3">
        <v>18376939.643333334</v>
      </c>
      <c r="O17" s="14"/>
      <c r="P17" s="3">
        <v>20656276.350000001</v>
      </c>
      <c r="Q17" s="14"/>
    </row>
    <row r="18" spans="2:17" x14ac:dyDescent="0.25">
      <c r="B18" s="29" t="s">
        <v>19</v>
      </c>
      <c r="C18" s="30">
        <v>411</v>
      </c>
      <c r="D18" s="30">
        <v>660</v>
      </c>
      <c r="E18" s="30">
        <v>554</v>
      </c>
      <c r="F18" s="30">
        <v>1618</v>
      </c>
      <c r="G18" s="31">
        <f t="shared" si="0"/>
        <v>3243</v>
      </c>
      <c r="I18" s="29" t="s">
        <v>19</v>
      </c>
      <c r="J18" s="30">
        <v>52037.143333333333</v>
      </c>
      <c r="K18" s="32"/>
      <c r="L18" s="30">
        <v>61591.07666666666</v>
      </c>
      <c r="M18" s="32"/>
      <c r="N18" s="30">
        <v>61127.136666666665</v>
      </c>
      <c r="O18" s="32"/>
      <c r="P18" s="30">
        <v>58548.364999999998</v>
      </c>
      <c r="Q18" s="14"/>
    </row>
    <row r="19" spans="2:17" x14ac:dyDescent="0.25">
      <c r="B19" s="29" t="s">
        <v>20</v>
      </c>
      <c r="C19" s="30">
        <v>8212</v>
      </c>
      <c r="D19" s="30">
        <v>13735</v>
      </c>
      <c r="E19" s="30">
        <v>13320</v>
      </c>
      <c r="F19" s="30">
        <v>40222</v>
      </c>
      <c r="G19" s="31">
        <f t="shared" si="0"/>
        <v>75489</v>
      </c>
      <c r="I19" s="29" t="s">
        <v>20</v>
      </c>
      <c r="J19" s="30">
        <v>1038468.4866666667</v>
      </c>
      <c r="K19" s="32"/>
      <c r="L19" s="30">
        <v>1281017.0866666669</v>
      </c>
      <c r="M19" s="32"/>
      <c r="N19" s="30">
        <v>1469081.0366666669</v>
      </c>
      <c r="O19" s="32"/>
      <c r="P19" s="30">
        <v>1455620.085</v>
      </c>
      <c r="Q19" s="14"/>
    </row>
    <row r="20" spans="2:17" x14ac:dyDescent="0.25">
      <c r="B20" s="29" t="s">
        <v>23</v>
      </c>
      <c r="C20" s="30">
        <v>18606</v>
      </c>
      <c r="D20" s="30">
        <v>26733</v>
      </c>
      <c r="E20" s="30">
        <v>16688</v>
      </c>
      <c r="F20" s="30">
        <v>39472</v>
      </c>
      <c r="G20" s="31">
        <f t="shared" si="0"/>
        <v>101499</v>
      </c>
      <c r="I20" s="29" t="s">
        <v>23</v>
      </c>
      <c r="J20" s="30">
        <v>2351934.3000000003</v>
      </c>
      <c r="K20" s="32"/>
      <c r="L20" s="30">
        <v>2492707.0099999998</v>
      </c>
      <c r="M20" s="32"/>
      <c r="N20" s="30">
        <v>1840599.28</v>
      </c>
      <c r="O20" s="32"/>
      <c r="P20" s="30">
        <v>1428496.2</v>
      </c>
      <c r="Q20" s="14"/>
    </row>
    <row r="21" spans="2:17" x14ac:dyDescent="0.25">
      <c r="B21" s="15" t="s">
        <v>24</v>
      </c>
      <c r="C21" s="16">
        <f>SUM(C4:C20)</f>
        <v>900000</v>
      </c>
      <c r="D21" s="3">
        <f>SUM(D4:D20)</f>
        <v>1350000</v>
      </c>
      <c r="E21" s="3">
        <f>SUM(E4:E20)</f>
        <v>1099999</v>
      </c>
      <c r="F21" s="3">
        <f>SUM(F4:F20)</f>
        <v>3750000</v>
      </c>
      <c r="G21" s="3">
        <f>SUM(G4:G20)</f>
        <v>7099999</v>
      </c>
      <c r="I21" s="15" t="s">
        <v>24</v>
      </c>
      <c r="J21" s="3">
        <f>SUM(J4:J20)</f>
        <v>113805917.92000002</v>
      </c>
      <c r="K21" s="17"/>
      <c r="L21" s="3">
        <f>SUM(L4:L20)</f>
        <v>126505031.48666668</v>
      </c>
      <c r="M21" s="14"/>
      <c r="N21" s="3">
        <f>SUM(N4:N20)</f>
        <v>123119427.94333331</v>
      </c>
      <c r="O21" s="14"/>
      <c r="P21" s="3">
        <f>SUM(P4:P20)</f>
        <v>136205969.04499999</v>
      </c>
      <c r="Q21" s="18"/>
    </row>
    <row r="24" spans="2:17" ht="15.75" x14ac:dyDescent="0.25">
      <c r="B24" s="44" t="s">
        <v>131</v>
      </c>
      <c r="C24" s="44"/>
      <c r="D24" s="44"/>
      <c r="E24" s="44"/>
      <c r="F24" s="44"/>
      <c r="G24" s="44"/>
      <c r="I24" s="44" t="s">
        <v>73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2</v>
      </c>
      <c r="K25" s="13"/>
      <c r="L25" s="13" t="s">
        <v>3</v>
      </c>
      <c r="M25" s="13"/>
      <c r="N25" s="13" t="s">
        <v>4</v>
      </c>
      <c r="O25" s="13"/>
      <c r="P25" s="13" t="s">
        <v>26</v>
      </c>
    </row>
    <row r="26" spans="2:17" x14ac:dyDescent="0.25">
      <c r="B26" s="12" t="s">
        <v>7</v>
      </c>
      <c r="C26" s="16">
        <f t="shared" ref="C26:C39" si="1">$C$40*K26</f>
        <v>28766.625617290971</v>
      </c>
      <c r="D26" s="16">
        <f t="shared" ref="D26:D39" si="2">$D$40*M26</f>
        <v>56697.105802520309</v>
      </c>
      <c r="E26" s="16">
        <f t="shared" ref="E26:E39" si="3">$E$40*O26</f>
        <v>63388.897538737212</v>
      </c>
      <c r="F26" s="16">
        <f t="shared" ref="F26:F39" si="4">$F$40*Q26</f>
        <v>206163.67697712948</v>
      </c>
      <c r="G26" s="16">
        <f t="shared" ref="G26:G39" si="5">SUM(C26+D26+E26+F26)</f>
        <v>355016.30593567796</v>
      </c>
      <c r="I26" s="12" t="s">
        <v>7</v>
      </c>
      <c r="J26" s="3">
        <v>3703512.2666666671</v>
      </c>
      <c r="K26" s="14">
        <f t="shared" ref="K26:K39" si="6">J26/$J$40</f>
        <v>3.2960107081114028E-2</v>
      </c>
      <c r="L26" s="3">
        <v>5400384.5266666664</v>
      </c>
      <c r="M26" s="14">
        <f t="shared" ref="M26:M39" si="7">L26/$L$40</f>
        <v>4.3317532808800484E-2</v>
      </c>
      <c r="N26" s="3">
        <v>7216423.9966666671</v>
      </c>
      <c r="O26" s="14">
        <f t="shared" ref="O26:O39" si="8">N26/$N$40</f>
        <v>5.927314796358945E-2</v>
      </c>
      <c r="P26" s="3">
        <v>7601186.0899999999</v>
      </c>
      <c r="Q26" s="14">
        <f t="shared" ref="Q26:Q39" si="9">P26/$P$40</f>
        <v>5.6195478322803541E-2</v>
      </c>
    </row>
    <row r="27" spans="2:17" x14ac:dyDescent="0.25">
      <c r="B27" s="12" t="s">
        <v>8</v>
      </c>
      <c r="C27" s="16">
        <f t="shared" si="1"/>
        <v>90515.6882391978</v>
      </c>
      <c r="D27" s="16">
        <f t="shared" si="2"/>
        <v>148793.55782885474</v>
      </c>
      <c r="E27" s="16">
        <f t="shared" si="3"/>
        <v>123066.15890904656</v>
      </c>
      <c r="F27" s="16">
        <f t="shared" si="4"/>
        <v>439548.21300486446</v>
      </c>
      <c r="G27" s="16">
        <f t="shared" si="5"/>
        <v>801923.61798196356</v>
      </c>
      <c r="I27" s="12" t="s">
        <v>8</v>
      </c>
      <c r="J27" s="3">
        <v>11653294.556666667</v>
      </c>
      <c r="K27" s="14">
        <f t="shared" si="6"/>
        <v>0.10371069643606146</v>
      </c>
      <c r="L27" s="3">
        <v>14172547.539999999</v>
      </c>
      <c r="M27" s="14">
        <f t="shared" si="7"/>
        <v>0.11368075551226914</v>
      </c>
      <c r="N27" s="3">
        <v>14010301.753333332</v>
      </c>
      <c r="O27" s="14">
        <f t="shared" si="8"/>
        <v>0.11507565093506822</v>
      </c>
      <c r="P27" s="3">
        <v>16205996.185000001</v>
      </c>
      <c r="Q27" s="14">
        <f t="shared" si="9"/>
        <v>0.11981073697323524</v>
      </c>
    </row>
    <row r="28" spans="2:17" x14ac:dyDescent="0.25">
      <c r="B28" s="12" t="s">
        <v>9</v>
      </c>
      <c r="C28" s="16">
        <f t="shared" si="1"/>
        <v>97800.371390116648</v>
      </c>
      <c r="D28" s="16">
        <f t="shared" si="2"/>
        <v>138120.09060553499</v>
      </c>
      <c r="E28" s="16">
        <f t="shared" si="3"/>
        <v>112526.64779022707</v>
      </c>
      <c r="F28" s="16">
        <f t="shared" si="4"/>
        <v>386779.14440776396</v>
      </c>
      <c r="G28" s="16">
        <f t="shared" si="5"/>
        <v>735226.25419364264</v>
      </c>
      <c r="I28" s="12" t="s">
        <v>9</v>
      </c>
      <c r="J28" s="3">
        <v>12591149.200000001</v>
      </c>
      <c r="K28" s="14">
        <f t="shared" si="6"/>
        <v>0.11205731101298812</v>
      </c>
      <c r="L28" s="3">
        <v>13155902.573333332</v>
      </c>
      <c r="M28" s="14">
        <f t="shared" si="7"/>
        <v>0.10552604884628519</v>
      </c>
      <c r="N28" s="3">
        <v>12810445.25</v>
      </c>
      <c r="O28" s="14">
        <f t="shared" si="8"/>
        <v>0.10522045505273062</v>
      </c>
      <c r="P28" s="3">
        <v>14260418.205</v>
      </c>
      <c r="Q28" s="14">
        <f t="shared" si="9"/>
        <v>0.10542710211600549</v>
      </c>
    </row>
    <row r="29" spans="2:17" x14ac:dyDescent="0.25">
      <c r="B29" s="12" t="s">
        <v>10</v>
      </c>
      <c r="C29" s="16">
        <f t="shared" si="1"/>
        <v>58228.891054760737</v>
      </c>
      <c r="D29" s="16">
        <f t="shared" si="2"/>
        <v>90693.044085487374</v>
      </c>
      <c r="E29" s="16">
        <f t="shared" si="3"/>
        <v>72009.456065585124</v>
      </c>
      <c r="F29" s="16">
        <f t="shared" si="4"/>
        <v>261020.89693399079</v>
      </c>
      <c r="G29" s="16">
        <f t="shared" si="5"/>
        <v>481952.28813982406</v>
      </c>
      <c r="I29" s="12" t="s">
        <v>10</v>
      </c>
      <c r="J29" s="3">
        <v>7496583.5466666669</v>
      </c>
      <c r="K29" s="14">
        <f t="shared" si="6"/>
        <v>6.6717261520789231E-2</v>
      </c>
      <c r="L29" s="3">
        <v>8638488.7733333334</v>
      </c>
      <c r="M29" s="14">
        <f t="shared" si="7"/>
        <v>6.9290995670690012E-2</v>
      </c>
      <c r="N29" s="3">
        <v>8197819.916666667</v>
      </c>
      <c r="O29" s="14">
        <f t="shared" si="8"/>
        <v>6.7333986074528118E-2</v>
      </c>
      <c r="P29" s="3">
        <v>9623753.5150000006</v>
      </c>
      <c r="Q29" s="14">
        <f t="shared" si="9"/>
        <v>7.114829523088112E-2</v>
      </c>
    </row>
    <row r="30" spans="2:17" x14ac:dyDescent="0.25">
      <c r="B30" s="12" t="s">
        <v>11</v>
      </c>
      <c r="C30" s="16">
        <f t="shared" si="1"/>
        <v>48949.998746416801</v>
      </c>
      <c r="D30" s="16">
        <f t="shared" si="2"/>
        <v>71562.225423903656</v>
      </c>
      <c r="E30" s="16">
        <f t="shared" si="3"/>
        <v>59021.274633227855</v>
      </c>
      <c r="F30" s="16">
        <f t="shared" si="4"/>
        <v>203164.40401374357</v>
      </c>
      <c r="G30" s="16">
        <f t="shared" si="5"/>
        <v>382697.90281729191</v>
      </c>
      <c r="I30" s="12" t="s">
        <v>11</v>
      </c>
      <c r="J30" s="3">
        <v>6301987.7000000002</v>
      </c>
      <c r="K30" s="14">
        <f t="shared" si="6"/>
        <v>5.6085730101500628E-2</v>
      </c>
      <c r="L30" s="3">
        <v>6816283.29</v>
      </c>
      <c r="M30" s="14">
        <f t="shared" si="7"/>
        <v>5.4674731695615507E-2</v>
      </c>
      <c r="N30" s="3">
        <v>6719197.8266666671</v>
      </c>
      <c r="O30" s="14">
        <f t="shared" si="8"/>
        <v>5.5189108505903438E-2</v>
      </c>
      <c r="P30" s="3">
        <v>7490603.8949999996</v>
      </c>
      <c r="Q30" s="14">
        <f t="shared" si="9"/>
        <v>5.537794547089956E-2</v>
      </c>
    </row>
    <row r="31" spans="2:17" x14ac:dyDescent="0.25">
      <c r="B31" s="12" t="s">
        <v>12</v>
      </c>
      <c r="C31" s="16">
        <f t="shared" si="1"/>
        <v>52037.136900769568</v>
      </c>
      <c r="D31" s="16">
        <f t="shared" si="2"/>
        <v>96460.496182966119</v>
      </c>
      <c r="E31" s="16">
        <f t="shared" si="3"/>
        <v>85623.198356388806</v>
      </c>
      <c r="F31" s="16">
        <f t="shared" si="4"/>
        <v>275127.51395039645</v>
      </c>
      <c r="G31" s="16">
        <f t="shared" si="5"/>
        <v>509248.34539052093</v>
      </c>
      <c r="I31" s="12" t="s">
        <v>12</v>
      </c>
      <c r="J31" s="3">
        <v>6699436.2633333327</v>
      </c>
      <c r="K31" s="14">
        <f t="shared" si="6"/>
        <v>5.9622898676479359E-2</v>
      </c>
      <c r="L31" s="3">
        <v>9187837.0800000001</v>
      </c>
      <c r="M31" s="14">
        <f t="shared" si="7"/>
        <v>7.3697425098073852E-2</v>
      </c>
      <c r="N31" s="3">
        <v>9747658.1433333326</v>
      </c>
      <c r="O31" s="14">
        <f t="shared" si="8"/>
        <v>8.0063807738453785E-2</v>
      </c>
      <c r="P31" s="3">
        <v>10143859.785</v>
      </c>
      <c r="Q31" s="14">
        <f t="shared" si="9"/>
        <v>7.4993434696653524E-2</v>
      </c>
    </row>
    <row r="32" spans="2:17" x14ac:dyDescent="0.25">
      <c r="B32" s="12" t="s">
        <v>22</v>
      </c>
      <c r="C32" s="16">
        <f t="shared" si="1"/>
        <v>0</v>
      </c>
      <c r="D32" s="16">
        <f t="shared" si="2"/>
        <v>0</v>
      </c>
      <c r="E32" s="16">
        <f t="shared" si="3"/>
        <v>0</v>
      </c>
      <c r="F32" s="16">
        <f t="shared" si="4"/>
        <v>0</v>
      </c>
      <c r="G32" s="16">
        <f t="shared" si="5"/>
        <v>0</v>
      </c>
      <c r="I32" s="12" t="s">
        <v>22</v>
      </c>
      <c r="J32" s="3">
        <v>0</v>
      </c>
      <c r="K32" s="14">
        <f t="shared" si="6"/>
        <v>0</v>
      </c>
      <c r="L32" s="3">
        <v>0</v>
      </c>
      <c r="M32" s="14">
        <f t="shared" si="7"/>
        <v>0</v>
      </c>
      <c r="N32" s="3">
        <v>0</v>
      </c>
      <c r="O32" s="14">
        <f t="shared" si="8"/>
        <v>0</v>
      </c>
      <c r="P32" s="3">
        <v>0</v>
      </c>
      <c r="Q32" s="14">
        <f t="shared" si="9"/>
        <v>0</v>
      </c>
    </row>
    <row r="33" spans="2:17" x14ac:dyDescent="0.25">
      <c r="B33" s="12" t="s">
        <v>21</v>
      </c>
      <c r="C33" s="16">
        <f t="shared" si="1"/>
        <v>0</v>
      </c>
      <c r="D33" s="16">
        <f t="shared" si="2"/>
        <v>0</v>
      </c>
      <c r="E33" s="16">
        <f t="shared" si="3"/>
        <v>0</v>
      </c>
      <c r="F33" s="16">
        <f t="shared" si="4"/>
        <v>0</v>
      </c>
      <c r="G33" s="16">
        <f t="shared" si="5"/>
        <v>0</v>
      </c>
      <c r="I33" s="12" t="s">
        <v>21</v>
      </c>
      <c r="J33" s="3">
        <v>0</v>
      </c>
      <c r="K33" s="14">
        <f t="shared" si="6"/>
        <v>0</v>
      </c>
      <c r="L33" s="3">
        <v>0</v>
      </c>
      <c r="M33" s="14">
        <f t="shared" si="7"/>
        <v>0</v>
      </c>
      <c r="N33" s="3">
        <v>0</v>
      </c>
      <c r="O33" s="14">
        <f t="shared" si="8"/>
        <v>0</v>
      </c>
      <c r="P33" s="3">
        <v>0</v>
      </c>
      <c r="Q33" s="14">
        <f t="shared" si="9"/>
        <v>0</v>
      </c>
    </row>
    <row r="34" spans="2:17" x14ac:dyDescent="0.25">
      <c r="B34" s="12" t="s">
        <v>13</v>
      </c>
      <c r="C34" s="16">
        <f t="shared" si="1"/>
        <v>46389.751680986898</v>
      </c>
      <c r="D34" s="16">
        <f t="shared" si="2"/>
        <v>68415.844062121774</v>
      </c>
      <c r="E34" s="16">
        <f t="shared" si="3"/>
        <v>52967.351942612891</v>
      </c>
      <c r="F34" s="16">
        <f t="shared" si="4"/>
        <v>170077.17069437783</v>
      </c>
      <c r="G34" s="16">
        <f t="shared" si="5"/>
        <v>337850.11838009942</v>
      </c>
      <c r="I34" s="12" t="s">
        <v>13</v>
      </c>
      <c r="J34" s="3">
        <v>5972372.8700000001</v>
      </c>
      <c r="K34" s="14">
        <f t="shared" si="6"/>
        <v>5.315226065140443E-2</v>
      </c>
      <c r="L34" s="3">
        <v>6516591.2866666662</v>
      </c>
      <c r="M34" s="14">
        <f t="shared" si="7"/>
        <v>5.2270843949692385E-2</v>
      </c>
      <c r="N34" s="3">
        <v>6029997.1200000001</v>
      </c>
      <c r="O34" s="14">
        <f t="shared" si="8"/>
        <v>4.9528258272916396E-2</v>
      </c>
      <c r="P34" s="3">
        <v>6270688.625</v>
      </c>
      <c r="Q34" s="14">
        <f t="shared" si="9"/>
        <v>4.6359126394606959E-2</v>
      </c>
    </row>
    <row r="35" spans="2:17" x14ac:dyDescent="0.25">
      <c r="B35" s="12" t="s">
        <v>14</v>
      </c>
      <c r="C35" s="16">
        <f t="shared" si="1"/>
        <v>5575.2783080703666</v>
      </c>
      <c r="D35" s="16">
        <f t="shared" si="2"/>
        <v>9767.6114072823821</v>
      </c>
      <c r="E35" s="16">
        <f t="shared" si="3"/>
        <v>7612.6933695214811</v>
      </c>
      <c r="F35" s="16">
        <f t="shared" si="4"/>
        <v>27897.849436517306</v>
      </c>
      <c r="G35" s="16">
        <f t="shared" si="5"/>
        <v>50853.432521391536</v>
      </c>
      <c r="I35" s="12" t="s">
        <v>14</v>
      </c>
      <c r="J35" s="3">
        <v>717780.1066666668</v>
      </c>
      <c r="K35" s="14">
        <f t="shared" si="6"/>
        <v>6.3880196615955006E-3</v>
      </c>
      <c r="L35" s="3">
        <v>930362.43666666665</v>
      </c>
      <c r="M35" s="14">
        <f t="shared" si="7"/>
        <v>7.4626177405295417E-3</v>
      </c>
      <c r="N35" s="3">
        <v>866656.86333333328</v>
      </c>
      <c r="O35" s="14">
        <f t="shared" si="8"/>
        <v>7.1184121827854102E-3</v>
      </c>
      <c r="P35" s="3">
        <v>1028584.415</v>
      </c>
      <c r="Q35" s="14">
        <f t="shared" si="9"/>
        <v>7.604312341773764E-3</v>
      </c>
    </row>
    <row r="36" spans="2:17" x14ac:dyDescent="0.25">
      <c r="B36" s="12" t="s">
        <v>15</v>
      </c>
      <c r="C36" s="16">
        <f t="shared" si="1"/>
        <v>82647.997555342183</v>
      </c>
      <c r="D36" s="16">
        <f t="shared" si="2"/>
        <v>101368.00041175103</v>
      </c>
      <c r="E36" s="16">
        <f t="shared" si="3"/>
        <v>74886.552087614851</v>
      </c>
      <c r="F36" s="16">
        <f t="shared" si="4"/>
        <v>264924.83470276528</v>
      </c>
      <c r="G36" s="16">
        <f t="shared" si="5"/>
        <v>523827.38475747331</v>
      </c>
      <c r="I36" s="12" t="s">
        <v>27</v>
      </c>
      <c r="J36" s="3">
        <f>8640381.56+2000000</f>
        <v>10640381.560000001</v>
      </c>
      <c r="K36" s="14">
        <f t="shared" si="6"/>
        <v>9.4696085863694129E-2</v>
      </c>
      <c r="L36" s="3">
        <f>7655275.57666667+2000000</f>
        <v>9655275.5766666699</v>
      </c>
      <c r="M36" s="14">
        <f t="shared" si="7"/>
        <v>7.7446840036115849E-2</v>
      </c>
      <c r="N36" s="3">
        <f>6525359.05333333+2000000</f>
        <v>8525359.0533333309</v>
      </c>
      <c r="O36" s="14">
        <f t="shared" si="8"/>
        <v>7.0024276406758748E-2</v>
      </c>
      <c r="P36" s="3">
        <f>7767690.4+2000000</f>
        <v>9767690.4000000004</v>
      </c>
      <c r="Q36" s="14">
        <f t="shared" si="9"/>
        <v>7.2212418909093731E-2</v>
      </c>
    </row>
    <row r="37" spans="2:17" x14ac:dyDescent="0.25">
      <c r="B37" s="12" t="s">
        <v>16</v>
      </c>
      <c r="C37" s="16">
        <f t="shared" si="1"/>
        <v>199383.23123823342</v>
      </c>
      <c r="D37" s="16">
        <f t="shared" si="2"/>
        <v>290592.07149932237</v>
      </c>
      <c r="E37" s="16">
        <f t="shared" si="3"/>
        <v>221092.81056321244</v>
      </c>
      <c r="F37" s="16">
        <f t="shared" si="4"/>
        <v>738133.41815559624</v>
      </c>
      <c r="G37" s="16">
        <f t="shared" si="5"/>
        <v>1449201.5314563643</v>
      </c>
      <c r="I37" s="12" t="s">
        <v>16</v>
      </c>
      <c r="J37" s="3">
        <v>25669268.703333333</v>
      </c>
      <c r="K37" s="14">
        <f t="shared" si="6"/>
        <v>0.22844850623844448</v>
      </c>
      <c r="L37" s="3">
        <v>27678818.949999999</v>
      </c>
      <c r="M37" s="14">
        <f t="shared" si="7"/>
        <v>0.2220171808238868</v>
      </c>
      <c r="N37" s="3">
        <v>25170014.396666665</v>
      </c>
      <c r="O37" s="14">
        <f t="shared" si="8"/>
        <v>0.20673757366091919</v>
      </c>
      <c r="P37" s="3">
        <v>27214733.23</v>
      </c>
      <c r="Q37" s="14">
        <f t="shared" si="9"/>
        <v>0.20119819896257088</v>
      </c>
    </row>
    <row r="38" spans="2:17" x14ac:dyDescent="0.25">
      <c r="B38" s="12" t="s">
        <v>17</v>
      </c>
      <c r="C38" s="16">
        <f t="shared" si="1"/>
        <v>26299.510235901438</v>
      </c>
      <c r="D38" s="16">
        <f t="shared" si="2"/>
        <v>33912.115761018897</v>
      </c>
      <c r="E38" s="16">
        <f t="shared" si="3"/>
        <v>35819.355988653806</v>
      </c>
      <c r="F38" s="16">
        <f t="shared" si="4"/>
        <v>135599.64396155617</v>
      </c>
      <c r="G38" s="16">
        <f t="shared" si="5"/>
        <v>231630.62594713032</v>
      </c>
      <c r="I38" s="12" t="s">
        <v>17</v>
      </c>
      <c r="J38" s="3">
        <v>3385887.5233333334</v>
      </c>
      <c r="K38" s="14">
        <f t="shared" si="6"/>
        <v>3.0133345672463268E-2</v>
      </c>
      <c r="L38" s="3">
        <v>3230120.1733333333</v>
      </c>
      <c r="M38" s="14">
        <f t="shared" si="7"/>
        <v>2.5909421059522167E-2</v>
      </c>
      <c r="N38" s="3">
        <v>4077806.5266666668</v>
      </c>
      <c r="O38" s="14">
        <f t="shared" si="8"/>
        <v>3.3493656932249219E-2</v>
      </c>
      <c r="P38" s="3">
        <v>4999513.6999999993</v>
      </c>
      <c r="Q38" s="14">
        <f t="shared" si="9"/>
        <v>3.6961345298797875E-2</v>
      </c>
    </row>
    <row r="39" spans="2:17" x14ac:dyDescent="0.25">
      <c r="B39" s="12" t="s">
        <v>18</v>
      </c>
      <c r="C39" s="16">
        <f t="shared" si="1"/>
        <v>136176.51903291306</v>
      </c>
      <c r="D39" s="16">
        <f t="shared" si="2"/>
        <v>202489.83692923628</v>
      </c>
      <c r="E39" s="16">
        <f t="shared" si="3"/>
        <v>161422.60275517209</v>
      </c>
      <c r="F39" s="16">
        <f t="shared" si="4"/>
        <v>560251.23376129835</v>
      </c>
      <c r="G39" s="16">
        <f t="shared" si="5"/>
        <v>1060340.1924786197</v>
      </c>
      <c r="I39" s="12" t="s">
        <v>18</v>
      </c>
      <c r="J39" s="3">
        <v>17531823.696666669</v>
      </c>
      <c r="K39" s="14">
        <f t="shared" si="6"/>
        <v>0.15602777708346524</v>
      </c>
      <c r="L39" s="3">
        <v>19287104.106666669</v>
      </c>
      <c r="M39" s="14">
        <f t="shared" si="7"/>
        <v>0.15470560675851899</v>
      </c>
      <c r="N39" s="3">
        <v>18376939.643333334</v>
      </c>
      <c r="O39" s="14">
        <f t="shared" si="8"/>
        <v>0.15094166627409758</v>
      </c>
      <c r="P39" s="3">
        <v>20656276.350000001</v>
      </c>
      <c r="Q39" s="14">
        <f t="shared" si="9"/>
        <v>0.15271160528267827</v>
      </c>
    </row>
    <row r="40" spans="2:17" x14ac:dyDescent="0.25">
      <c r="B40" s="15" t="s">
        <v>24</v>
      </c>
      <c r="C40" s="16">
        <f>$C$21-(C18+C19+C20)</f>
        <v>872771</v>
      </c>
      <c r="D40" s="16">
        <f>$D$21-(D18+D19+D20)</f>
        <v>1308872</v>
      </c>
      <c r="E40" s="16">
        <f>$E$21-(E18+E19+E20)</f>
        <v>1069437</v>
      </c>
      <c r="F40" s="16">
        <f>$F$21-(F18+F19+F20)</f>
        <v>3668688</v>
      </c>
      <c r="G40" s="16">
        <f>$C$21-(G18+G19+G20)</f>
        <v>719769</v>
      </c>
      <c r="I40" s="15" t="s">
        <v>24</v>
      </c>
      <c r="J40" s="3">
        <f t="shared" ref="J40:Q40" si="10">SUM(J26:J39)</f>
        <v>112363477.99333335</v>
      </c>
      <c r="K40" s="19">
        <f t="shared" si="10"/>
        <v>0.99999999999999989</v>
      </c>
      <c r="L40" s="3">
        <f t="shared" si="10"/>
        <v>124669716.31333335</v>
      </c>
      <c r="M40" s="19">
        <f t="shared" si="10"/>
        <v>0.99999999999999989</v>
      </c>
      <c r="N40" s="3">
        <f t="shared" si="10"/>
        <v>121748620.48999998</v>
      </c>
      <c r="O40" s="19">
        <f t="shared" si="10"/>
        <v>1.0000000000000002</v>
      </c>
      <c r="P40" s="3">
        <f t="shared" si="10"/>
        <v>135263304.39500001</v>
      </c>
      <c r="Q40" s="19">
        <f t="shared" si="10"/>
        <v>0.99999999999999989</v>
      </c>
    </row>
    <row r="43" spans="2:17" ht="15.75" x14ac:dyDescent="0.25">
      <c r="B43" s="44" t="s">
        <v>136</v>
      </c>
      <c r="C43" s="44"/>
      <c r="D43" s="44"/>
      <c r="E43" s="44"/>
      <c r="F43" s="44"/>
      <c r="G43" s="44"/>
      <c r="I43" s="44" t="s">
        <v>160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-521.37438270902931</v>
      </c>
      <c r="D45" s="16">
        <f>D26-D4</f>
        <v>-1207.8941974796908</v>
      </c>
      <c r="E45" s="16">
        <f>E26-E4</f>
        <v>-2042.102461262788</v>
      </c>
      <c r="F45" s="16">
        <f>F26-F4</f>
        <v>-3872.3230228705215</v>
      </c>
      <c r="G45" s="16">
        <f t="shared" ref="G45:G59" si="11">SUM(C45+D45+E45+F45)</f>
        <v>-7643.6940643220296</v>
      </c>
      <c r="I45" s="15" t="s">
        <v>153</v>
      </c>
      <c r="J45" s="12" t="s">
        <v>155</v>
      </c>
    </row>
    <row r="46" spans="2:17" x14ac:dyDescent="0.25">
      <c r="B46" s="12" t="s">
        <v>8</v>
      </c>
      <c r="C46" s="16">
        <f t="shared" ref="C46:F58" si="12">C27-C5</f>
        <v>-1641.3117608022003</v>
      </c>
      <c r="D46" s="16">
        <f t="shared" si="12"/>
        <v>-3168.4421711452596</v>
      </c>
      <c r="E46" s="16">
        <f t="shared" si="12"/>
        <v>-3965.8410909534432</v>
      </c>
      <c r="F46" s="16">
        <f t="shared" si="12"/>
        <v>-8256.7869951355387</v>
      </c>
      <c r="G46" s="16">
        <f t="shared" si="11"/>
        <v>-17032.382018036442</v>
      </c>
      <c r="I46" s="15" t="s">
        <v>154</v>
      </c>
      <c r="J46" t="s">
        <v>189</v>
      </c>
    </row>
    <row r="47" spans="2:17" x14ac:dyDescent="0.25">
      <c r="B47" s="12" t="s">
        <v>9</v>
      </c>
      <c r="C47" s="16">
        <f t="shared" si="12"/>
        <v>-1772.6286098833516</v>
      </c>
      <c r="D47" s="16">
        <f t="shared" si="12"/>
        <v>-2941.9093944650085</v>
      </c>
      <c r="E47" s="16">
        <f t="shared" si="12"/>
        <v>-3625.3522097729292</v>
      </c>
      <c r="F47" s="16">
        <f t="shared" si="12"/>
        <v>-7265.8555922360392</v>
      </c>
      <c r="G47" s="16">
        <f t="shared" si="11"/>
        <v>-15605.745806357329</v>
      </c>
    </row>
    <row r="48" spans="2:17" x14ac:dyDescent="0.25">
      <c r="B48" s="12" t="s">
        <v>10</v>
      </c>
      <c r="C48" s="16">
        <f t="shared" si="12"/>
        <v>-1055.1089452392625</v>
      </c>
      <c r="D48" s="16">
        <f t="shared" si="12"/>
        <v>-1931.9559145126259</v>
      </c>
      <c r="E48" s="16">
        <f t="shared" si="12"/>
        <v>-2320.5439344148763</v>
      </c>
      <c r="F48" s="16">
        <f t="shared" si="12"/>
        <v>50360.896933990793</v>
      </c>
      <c r="G48" s="16">
        <f t="shared" si="11"/>
        <v>45053.288139824028</v>
      </c>
    </row>
    <row r="49" spans="2:7" x14ac:dyDescent="0.25">
      <c r="B49" s="12" t="s">
        <v>11</v>
      </c>
      <c r="C49" s="16">
        <f t="shared" si="12"/>
        <v>-887.00125358319929</v>
      </c>
      <c r="D49" s="16">
        <f t="shared" si="12"/>
        <v>-1523.7745760963444</v>
      </c>
      <c r="E49" s="16">
        <f t="shared" si="12"/>
        <v>-1901.7253667721452</v>
      </c>
      <c r="F49" s="16">
        <f t="shared" si="12"/>
        <v>-3815.5959862564341</v>
      </c>
      <c r="G49" s="16">
        <f t="shared" si="11"/>
        <v>-8128.097182708123</v>
      </c>
    </row>
    <row r="50" spans="2:7" x14ac:dyDescent="0.25">
      <c r="B50" s="12" t="s">
        <v>12</v>
      </c>
      <c r="C50" s="16">
        <f t="shared" si="12"/>
        <v>-942.86309923043154</v>
      </c>
      <c r="D50" s="16">
        <f t="shared" si="12"/>
        <v>4378.4961829661188</v>
      </c>
      <c r="E50" s="16">
        <f t="shared" si="12"/>
        <v>13561.198356388806</v>
      </c>
      <c r="F50" s="16">
        <f t="shared" si="12"/>
        <v>42365.513950396446</v>
      </c>
      <c r="G50" s="16">
        <f t="shared" si="11"/>
        <v>59362.345390520939</v>
      </c>
    </row>
    <row r="51" spans="2:7" x14ac:dyDescent="0.25">
      <c r="B51" s="12" t="s">
        <v>22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6">
        <f t="shared" si="11"/>
        <v>0</v>
      </c>
    </row>
    <row r="52" spans="2:7" x14ac:dyDescent="0.25">
      <c r="B52" s="12" t="s">
        <v>21</v>
      </c>
      <c r="C52" s="16">
        <f t="shared" si="12"/>
        <v>0</v>
      </c>
      <c r="D52" s="16">
        <f t="shared" si="12"/>
        <v>0</v>
      </c>
      <c r="E52" s="16">
        <f t="shared" si="12"/>
        <v>0</v>
      </c>
      <c r="F52" s="16">
        <f t="shared" si="12"/>
        <v>0</v>
      </c>
      <c r="G52" s="16">
        <f t="shared" si="11"/>
        <v>0</v>
      </c>
    </row>
    <row r="53" spans="2:7" x14ac:dyDescent="0.25">
      <c r="B53" s="12" t="s">
        <v>13</v>
      </c>
      <c r="C53" s="16">
        <f t="shared" si="12"/>
        <v>-840.24831901310245</v>
      </c>
      <c r="D53" s="16">
        <f t="shared" si="12"/>
        <v>-1457.1559378782258</v>
      </c>
      <c r="E53" s="16">
        <f t="shared" si="12"/>
        <v>-1706.6480573871086</v>
      </c>
      <c r="F53" s="16">
        <f t="shared" si="12"/>
        <v>-3194.8293056221737</v>
      </c>
      <c r="G53" s="16">
        <f t="shared" si="11"/>
        <v>-7198.8816199006105</v>
      </c>
    </row>
    <row r="54" spans="2:7" x14ac:dyDescent="0.25">
      <c r="B54" s="12" t="s">
        <v>14</v>
      </c>
      <c r="C54" s="16">
        <f t="shared" si="12"/>
        <v>-100.72169192963338</v>
      </c>
      <c r="D54" s="16">
        <f t="shared" si="12"/>
        <v>-207.38859271761794</v>
      </c>
      <c r="E54" s="16">
        <f t="shared" si="12"/>
        <v>-244.30663047851885</v>
      </c>
      <c r="F54" s="16">
        <f t="shared" si="12"/>
        <v>-523.15056348269354</v>
      </c>
      <c r="G54" s="16">
        <f t="shared" si="11"/>
        <v>-1075.5674786084637</v>
      </c>
    </row>
    <row r="55" spans="2:7" x14ac:dyDescent="0.25">
      <c r="B55" s="12" t="s">
        <v>15</v>
      </c>
      <c r="C55" s="16">
        <f t="shared" si="12"/>
        <v>14320.997555342183</v>
      </c>
      <c r="D55" s="16">
        <f t="shared" si="12"/>
        <v>19286.000411751025</v>
      </c>
      <c r="E55" s="16">
        <f t="shared" si="12"/>
        <v>15720.552087614851</v>
      </c>
      <c r="F55" s="16">
        <f t="shared" si="12"/>
        <v>39924.834702765278</v>
      </c>
      <c r="G55" s="16">
        <f t="shared" si="11"/>
        <v>89252.384757473337</v>
      </c>
    </row>
    <row r="56" spans="2:7" x14ac:dyDescent="0.25">
      <c r="B56" s="12" t="s">
        <v>16</v>
      </c>
      <c r="C56" s="16">
        <f t="shared" si="12"/>
        <v>-3614.7687617665797</v>
      </c>
      <c r="D56" s="16">
        <f t="shared" si="12"/>
        <v>-6190.9285006776336</v>
      </c>
      <c r="E56" s="16">
        <f t="shared" si="12"/>
        <v>-7124.1894367875648</v>
      </c>
      <c r="F56" s="16">
        <f t="shared" si="12"/>
        <v>-92651.581844403758</v>
      </c>
      <c r="G56" s="16">
        <f t="shared" si="11"/>
        <v>-109581.46854363554</v>
      </c>
    </row>
    <row r="57" spans="2:7" x14ac:dyDescent="0.25">
      <c r="B57" s="12" t="s">
        <v>17</v>
      </c>
      <c r="C57" s="16">
        <f t="shared" si="12"/>
        <v>-476.48976409856186</v>
      </c>
      <c r="D57" s="16">
        <f t="shared" si="12"/>
        <v>-721.88423898110341</v>
      </c>
      <c r="E57" s="16">
        <f t="shared" si="12"/>
        <v>-1149.644011346194</v>
      </c>
      <c r="F57" s="16">
        <f t="shared" si="12"/>
        <v>-2547.3560384438315</v>
      </c>
      <c r="G57" s="16">
        <f t="shared" si="11"/>
        <v>-4895.3740528696908</v>
      </c>
    </row>
    <row r="58" spans="2:7" x14ac:dyDescent="0.25">
      <c r="B58" s="12" t="s">
        <v>18</v>
      </c>
      <c r="C58" s="16">
        <f t="shared" si="12"/>
        <v>-2468.4809670869436</v>
      </c>
      <c r="D58" s="16">
        <f t="shared" si="12"/>
        <v>-4313.1630707637232</v>
      </c>
      <c r="E58" s="16">
        <f t="shared" si="12"/>
        <v>-5201.3972448279092</v>
      </c>
      <c r="F58" s="16">
        <f t="shared" si="12"/>
        <v>-10523.766238701646</v>
      </c>
      <c r="G58" s="16">
        <f t="shared" si="11"/>
        <v>-22506.807521380222</v>
      </c>
    </row>
    <row r="59" spans="2:7" x14ac:dyDescent="0.25">
      <c r="B59" s="15" t="s">
        <v>24</v>
      </c>
      <c r="C59" s="16">
        <f>SUM(C45:C58)</f>
        <v>-1.127773430198431E-10</v>
      </c>
      <c r="D59" s="16">
        <f>SUM(D45:D58)</f>
        <v>-8.9130480773746967E-11</v>
      </c>
      <c r="E59" s="16">
        <f>SUM(E45:E58)</f>
        <v>1.8007995095103979E-10</v>
      </c>
      <c r="F59" s="16">
        <f>SUM(F45:F58)</f>
        <v>-1.1641532182693481E-10</v>
      </c>
      <c r="G59" s="16">
        <f t="shared" si="11"/>
        <v>-1.3824319466948509E-10</v>
      </c>
    </row>
  </sheetData>
  <sheetProtection algorithmName="SHA-512" hashValue="W06ciOnF7M3+ANCb+0NTMpRw1AmEe3G+EEFV9dIZiPOKMagP3ALdQmjUhzacMDm7CEaX44RTVmijNlxtdezIvQ==" saltValue="OcbUDlqI0Cz+aovwyNIv0A==" spinCount="100000" sheet="1" objects="1" scenarios="1"/>
  <mergeCells count="6">
    <mergeCell ref="B2:G2"/>
    <mergeCell ref="I2:Q2"/>
    <mergeCell ref="B24:G24"/>
    <mergeCell ref="I24:Q24"/>
    <mergeCell ref="B43:G43"/>
    <mergeCell ref="I43:Q4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05B99-A6F7-4F2C-B7F2-5A6923C00CD8}">
  <dimension ref="B2:Q59"/>
  <sheetViews>
    <sheetView topLeftCell="B1" workbookViewId="0">
      <selection activeCell="B3" sqref="B3"/>
    </sheetView>
  </sheetViews>
  <sheetFormatPr defaultColWidth="9.140625" defaultRowHeight="15" x14ac:dyDescent="0.25"/>
  <cols>
    <col min="1" max="2" width="9.140625" style="12"/>
    <col min="3" max="3" width="14.28515625" style="12" bestFit="1" customWidth="1"/>
    <col min="4" max="4" width="12.5703125" style="12" bestFit="1" customWidth="1"/>
    <col min="5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74</v>
      </c>
      <c r="C2" s="44"/>
      <c r="D2" s="44"/>
      <c r="E2" s="44"/>
      <c r="F2" s="44"/>
      <c r="G2" s="44"/>
      <c r="H2" s="11"/>
      <c r="I2" s="44" t="s">
        <v>75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2</v>
      </c>
      <c r="K3" s="13"/>
      <c r="L3" s="13" t="s">
        <v>3</v>
      </c>
      <c r="M3" s="13"/>
      <c r="N3" s="13" t="s">
        <v>4</v>
      </c>
      <c r="O3" s="13"/>
      <c r="P3" s="13" t="s">
        <v>26</v>
      </c>
      <c r="Q3" s="13"/>
    </row>
    <row r="4" spans="2:17" x14ac:dyDescent="0.25">
      <c r="B4" s="12" t="s">
        <v>7</v>
      </c>
      <c r="C4" s="3">
        <v>32975</v>
      </c>
      <c r="D4" s="5">
        <v>27142</v>
      </c>
      <c r="E4" s="5">
        <v>39721</v>
      </c>
      <c r="F4" s="5">
        <v>71714</v>
      </c>
      <c r="G4" s="5">
        <f t="shared" ref="G4:G20" si="0">C4+D4+E4+F4</f>
        <v>171552</v>
      </c>
      <c r="I4" s="12" t="s">
        <v>7</v>
      </c>
      <c r="J4" s="3">
        <v>2561995.0266666668</v>
      </c>
      <c r="K4" s="14"/>
      <c r="L4" s="3">
        <v>3278310.4633333334</v>
      </c>
      <c r="M4" s="14"/>
      <c r="N4" s="3">
        <v>3352962.2866666666</v>
      </c>
      <c r="O4" s="14"/>
      <c r="P4" s="3">
        <v>4061737.0949999997</v>
      </c>
      <c r="Q4" s="14"/>
    </row>
    <row r="5" spans="2:17" x14ac:dyDescent="0.25">
      <c r="B5" s="12" t="s">
        <v>8</v>
      </c>
      <c r="C5" s="3">
        <v>126612</v>
      </c>
      <c r="D5" s="3">
        <v>85303</v>
      </c>
      <c r="E5" s="3">
        <v>123501</v>
      </c>
      <c r="F5" s="3">
        <v>217569</v>
      </c>
      <c r="G5" s="5">
        <f t="shared" si="0"/>
        <v>552985</v>
      </c>
      <c r="I5" s="12" t="s">
        <v>8</v>
      </c>
      <c r="J5" s="3">
        <v>9837155.4533333331</v>
      </c>
      <c r="K5" s="14"/>
      <c r="L5" s="3">
        <v>10303052.890000001</v>
      </c>
      <c r="M5" s="14"/>
      <c r="N5" s="3">
        <v>10425080.728</v>
      </c>
      <c r="O5" s="14"/>
      <c r="P5" s="3">
        <v>12322708.175000001</v>
      </c>
      <c r="Q5" s="14"/>
    </row>
    <row r="6" spans="2:17" x14ac:dyDescent="0.25">
      <c r="B6" s="12" t="s">
        <v>9</v>
      </c>
      <c r="C6" s="3">
        <v>129993</v>
      </c>
      <c r="D6" s="3">
        <v>93406</v>
      </c>
      <c r="E6" s="3">
        <v>137503</v>
      </c>
      <c r="F6" s="3">
        <v>230307</v>
      </c>
      <c r="G6" s="5">
        <f t="shared" si="0"/>
        <v>591209</v>
      </c>
      <c r="I6" s="12" t="s">
        <v>9</v>
      </c>
      <c r="J6" s="3">
        <v>10099884.950000001</v>
      </c>
      <c r="K6" s="14"/>
      <c r="L6" s="3">
        <v>11281716.936666666</v>
      </c>
      <c r="M6" s="14"/>
      <c r="N6" s="3">
        <v>11607012.589999998</v>
      </c>
      <c r="O6" s="14"/>
      <c r="P6" s="3">
        <v>13044181.265000001</v>
      </c>
      <c r="Q6" s="14"/>
    </row>
    <row r="7" spans="2:17" x14ac:dyDescent="0.25">
      <c r="B7" s="12" t="s">
        <v>10</v>
      </c>
      <c r="C7" s="3">
        <v>54360</v>
      </c>
      <c r="D7" s="3">
        <v>52815</v>
      </c>
      <c r="E7" s="3">
        <v>84954</v>
      </c>
      <c r="F7" s="3">
        <v>152787</v>
      </c>
      <c r="G7" s="5">
        <f t="shared" si="0"/>
        <v>344916</v>
      </c>
      <c r="I7" s="12" t="s">
        <v>10</v>
      </c>
      <c r="J7" s="3">
        <v>4223553.2633333337</v>
      </c>
      <c r="K7" s="14"/>
      <c r="L7" s="3">
        <v>6379167.583333333</v>
      </c>
      <c r="M7" s="14"/>
      <c r="N7" s="3">
        <v>7171235.3833333328</v>
      </c>
      <c r="O7" s="14"/>
      <c r="P7" s="3">
        <v>8653599.1050000004</v>
      </c>
      <c r="Q7" s="14"/>
    </row>
    <row r="8" spans="2:17" x14ac:dyDescent="0.25">
      <c r="B8" s="12" t="s">
        <v>11</v>
      </c>
      <c r="C8" s="3">
        <v>48921</v>
      </c>
      <c r="D8" s="3">
        <v>38710</v>
      </c>
      <c r="E8" s="3">
        <v>63343</v>
      </c>
      <c r="F8" s="3">
        <v>125958</v>
      </c>
      <c r="G8" s="5">
        <f t="shared" si="0"/>
        <v>276932</v>
      </c>
      <c r="I8" s="12" t="s">
        <v>11</v>
      </c>
      <c r="J8" s="3">
        <v>3800988</v>
      </c>
      <c r="K8" s="14"/>
      <c r="L8" s="3">
        <v>4675519.6066666665</v>
      </c>
      <c r="M8" s="14"/>
      <c r="N8" s="3">
        <v>5346931.623333334</v>
      </c>
      <c r="O8" s="14"/>
      <c r="P8" s="3">
        <v>7134023.7450000001</v>
      </c>
      <c r="Q8" s="14"/>
    </row>
    <row r="9" spans="2:17" x14ac:dyDescent="0.25">
      <c r="B9" s="12" t="s">
        <v>12</v>
      </c>
      <c r="C9" s="3">
        <v>75552</v>
      </c>
      <c r="D9" s="3">
        <v>50521</v>
      </c>
      <c r="E9" s="3">
        <v>73757</v>
      </c>
      <c r="F9" s="3">
        <v>123037</v>
      </c>
      <c r="G9" s="5">
        <f t="shared" si="0"/>
        <v>322867</v>
      </c>
      <c r="I9" s="12" t="s">
        <v>12</v>
      </c>
      <c r="J9" s="3">
        <v>5870034.9433333343</v>
      </c>
      <c r="K9" s="14"/>
      <c r="L9" s="3">
        <v>6331338.7133333338</v>
      </c>
      <c r="M9" s="14"/>
      <c r="N9" s="3">
        <v>6226006.9866666673</v>
      </c>
      <c r="O9" s="14"/>
      <c r="P9" s="3">
        <v>6968590.4950000001</v>
      </c>
      <c r="Q9" s="14"/>
    </row>
    <row r="10" spans="2:17" x14ac:dyDescent="0.25">
      <c r="B10" s="12" t="s">
        <v>22</v>
      </c>
      <c r="C10" s="3">
        <v>0</v>
      </c>
      <c r="D10" s="3">
        <v>0</v>
      </c>
      <c r="E10" s="3">
        <v>0</v>
      </c>
      <c r="F10" s="3">
        <v>0</v>
      </c>
      <c r="G10" s="5">
        <f t="shared" si="0"/>
        <v>0</v>
      </c>
      <c r="I10" s="12" t="s">
        <v>22</v>
      </c>
      <c r="J10" s="3">
        <v>0</v>
      </c>
      <c r="K10" s="14"/>
      <c r="L10" s="3">
        <v>0</v>
      </c>
      <c r="M10" s="14"/>
      <c r="N10" s="3">
        <v>0</v>
      </c>
      <c r="O10" s="14"/>
      <c r="P10" s="3">
        <v>0</v>
      </c>
      <c r="Q10" s="14"/>
    </row>
    <row r="11" spans="2:17" x14ac:dyDescent="0.25">
      <c r="B11" s="12" t="s">
        <v>21</v>
      </c>
      <c r="C11" s="3">
        <v>0</v>
      </c>
      <c r="D11" s="3">
        <v>0</v>
      </c>
      <c r="E11" s="3">
        <v>0</v>
      </c>
      <c r="F11" s="3">
        <v>0</v>
      </c>
      <c r="G11" s="5">
        <f t="shared" si="0"/>
        <v>0</v>
      </c>
      <c r="I11" s="12" t="s">
        <v>21</v>
      </c>
      <c r="J11" s="3">
        <v>0</v>
      </c>
      <c r="K11" s="14"/>
      <c r="L11" s="3">
        <v>0</v>
      </c>
      <c r="M11" s="14"/>
      <c r="N11" s="3">
        <v>0</v>
      </c>
      <c r="O11" s="14"/>
      <c r="P11" s="3">
        <v>0</v>
      </c>
      <c r="Q11" s="14"/>
    </row>
    <row r="12" spans="2:17" x14ac:dyDescent="0.25">
      <c r="B12" s="12" t="s">
        <v>13</v>
      </c>
      <c r="C12" s="3">
        <v>48838</v>
      </c>
      <c r="D12" s="3">
        <v>32110</v>
      </c>
      <c r="E12" s="3">
        <v>53388</v>
      </c>
      <c r="F12" s="3">
        <v>109288</v>
      </c>
      <c r="G12" s="5">
        <f t="shared" si="0"/>
        <v>243624</v>
      </c>
      <c r="I12" s="12" t="s">
        <v>13</v>
      </c>
      <c r="J12" s="3">
        <v>3794537.6300000004</v>
      </c>
      <c r="K12" s="14"/>
      <c r="L12" s="3">
        <v>3878276.7166666668</v>
      </c>
      <c r="M12" s="14"/>
      <c r="N12" s="3">
        <v>4506639.3866666667</v>
      </c>
      <c r="O12" s="14"/>
      <c r="P12" s="3">
        <v>6189876.9000000004</v>
      </c>
      <c r="Q12" s="14"/>
    </row>
    <row r="13" spans="2:17" x14ac:dyDescent="0.25">
      <c r="B13" s="12" t="s">
        <v>14</v>
      </c>
      <c r="C13" s="3">
        <v>5933</v>
      </c>
      <c r="D13" s="3">
        <v>5176</v>
      </c>
      <c r="E13" s="3">
        <v>7562</v>
      </c>
      <c r="F13" s="3">
        <v>14445</v>
      </c>
      <c r="G13" s="5">
        <f t="shared" si="0"/>
        <v>33116</v>
      </c>
      <c r="I13" s="12" t="s">
        <v>14</v>
      </c>
      <c r="J13" s="3">
        <v>470967.02333333326</v>
      </c>
      <c r="K13" s="14"/>
      <c r="L13" s="3">
        <v>625166.08000000007</v>
      </c>
      <c r="M13" s="14"/>
      <c r="N13" s="3">
        <v>638360.54333333333</v>
      </c>
      <c r="O13" s="14"/>
      <c r="P13" s="3">
        <v>818155.65999999992</v>
      </c>
      <c r="Q13" s="14"/>
    </row>
    <row r="14" spans="2:17" x14ac:dyDescent="0.25">
      <c r="B14" s="12" t="s">
        <v>15</v>
      </c>
      <c r="C14" s="3">
        <v>84138</v>
      </c>
      <c r="D14" s="3">
        <v>53853</v>
      </c>
      <c r="E14" s="3">
        <v>71783</v>
      </c>
      <c r="F14" s="3">
        <v>128174</v>
      </c>
      <c r="G14" s="5">
        <f t="shared" si="0"/>
        <v>337948</v>
      </c>
      <c r="I14" s="12" t="s">
        <v>15</v>
      </c>
      <c r="J14" s="3">
        <v>6537144.336666666</v>
      </c>
      <c r="K14" s="14"/>
      <c r="L14" s="3">
        <v>6504539.0633333325</v>
      </c>
      <c r="M14" s="14"/>
      <c r="N14" s="3">
        <v>6059392.4233333329</v>
      </c>
      <c r="O14" s="14"/>
      <c r="P14" s="3">
        <v>7259576.3249999993</v>
      </c>
      <c r="Q14" s="14"/>
    </row>
    <row r="15" spans="2:17" x14ac:dyDescent="0.25">
      <c r="B15" s="12" t="s">
        <v>16</v>
      </c>
      <c r="C15" s="3">
        <v>285565</v>
      </c>
      <c r="D15" s="3">
        <v>206259</v>
      </c>
      <c r="E15" s="3">
        <v>299829</v>
      </c>
      <c r="F15" s="3">
        <v>502989</v>
      </c>
      <c r="G15" s="5">
        <f t="shared" si="0"/>
        <v>1294642</v>
      </c>
      <c r="I15" s="12" t="s">
        <v>16</v>
      </c>
      <c r="J15" s="3">
        <v>22187061.716666665</v>
      </c>
      <c r="K15" s="14"/>
      <c r="L15" s="3">
        <v>24912377.830000002</v>
      </c>
      <c r="M15" s="14"/>
      <c r="N15" s="3">
        <v>25309399.953333333</v>
      </c>
      <c r="O15" s="14"/>
      <c r="P15" s="3">
        <v>27874872.399999999</v>
      </c>
      <c r="Q15" s="14"/>
    </row>
    <row r="16" spans="2:17" x14ac:dyDescent="0.25">
      <c r="B16" s="12" t="s">
        <v>17</v>
      </c>
      <c r="C16" s="3">
        <v>39080</v>
      </c>
      <c r="D16" s="3">
        <v>26084</v>
      </c>
      <c r="E16" s="3">
        <v>46301</v>
      </c>
      <c r="F16" s="3">
        <v>73334</v>
      </c>
      <c r="G16" s="5">
        <f t="shared" si="0"/>
        <v>184799</v>
      </c>
      <c r="I16" s="12" t="s">
        <v>17</v>
      </c>
      <c r="J16" s="3">
        <v>3036316.8166666664</v>
      </c>
      <c r="K16" s="14"/>
      <c r="L16" s="3">
        <v>3151417.6533333338</v>
      </c>
      <c r="M16" s="14"/>
      <c r="N16" s="3">
        <v>3908445.51</v>
      </c>
      <c r="O16" s="14"/>
      <c r="P16" s="3">
        <v>4153558.2199999997</v>
      </c>
      <c r="Q16" s="14"/>
    </row>
    <row r="17" spans="2:17" x14ac:dyDescent="0.25">
      <c r="B17" s="12" t="s">
        <v>18</v>
      </c>
      <c r="C17" s="3">
        <v>148624</v>
      </c>
      <c r="D17" s="3">
        <v>113603</v>
      </c>
      <c r="E17" s="3">
        <v>175554</v>
      </c>
      <c r="F17" s="3">
        <v>308824</v>
      </c>
      <c r="G17" s="5">
        <f t="shared" si="0"/>
        <v>746605</v>
      </c>
      <c r="I17" s="12" t="s">
        <v>18</v>
      </c>
      <c r="J17" s="3">
        <v>11547424.409999998</v>
      </c>
      <c r="K17" s="14"/>
      <c r="L17" s="3">
        <v>13721287.68</v>
      </c>
      <c r="M17" s="14"/>
      <c r="N17" s="3">
        <v>14818586.380000001</v>
      </c>
      <c r="O17" s="14"/>
      <c r="P17" s="3">
        <v>17491225.664999999</v>
      </c>
      <c r="Q17" s="14"/>
    </row>
    <row r="18" spans="2:17" x14ac:dyDescent="0.25">
      <c r="B18" s="29" t="s">
        <v>19</v>
      </c>
      <c r="C18" s="30">
        <v>212</v>
      </c>
      <c r="D18" s="30">
        <v>290</v>
      </c>
      <c r="E18" s="30">
        <v>525</v>
      </c>
      <c r="F18" s="30">
        <v>803</v>
      </c>
      <c r="G18" s="31">
        <f t="shared" si="0"/>
        <v>1830</v>
      </c>
      <c r="I18" s="29" t="s">
        <v>19</v>
      </c>
      <c r="J18" s="30">
        <v>16437.033333333333</v>
      </c>
      <c r="K18" s="32"/>
      <c r="L18" s="30">
        <v>35028.716666666667</v>
      </c>
      <c r="M18" s="32"/>
      <c r="N18" s="30">
        <v>44342.48333333333</v>
      </c>
      <c r="O18" s="32"/>
      <c r="P18" s="30">
        <v>45475.68</v>
      </c>
      <c r="Q18" s="14"/>
    </row>
    <row r="19" spans="2:17" x14ac:dyDescent="0.25">
      <c r="B19" s="29" t="s">
        <v>20</v>
      </c>
      <c r="C19" s="30">
        <v>10656</v>
      </c>
      <c r="D19" s="30">
        <v>8187</v>
      </c>
      <c r="E19" s="30">
        <v>12277</v>
      </c>
      <c r="F19" s="30">
        <v>13765</v>
      </c>
      <c r="G19" s="31">
        <f t="shared" si="0"/>
        <v>44885</v>
      </c>
      <c r="I19" s="29" t="s">
        <v>20</v>
      </c>
      <c r="J19" s="30">
        <v>827995.78666666674</v>
      </c>
      <c r="K19" s="32"/>
      <c r="L19" s="30">
        <v>988862.29</v>
      </c>
      <c r="M19" s="32"/>
      <c r="N19" s="30">
        <v>1036372.0666666665</v>
      </c>
      <c r="O19" s="32"/>
      <c r="P19" s="30">
        <v>779607.85499999998</v>
      </c>
      <c r="Q19" s="14"/>
    </row>
    <row r="20" spans="2:17" x14ac:dyDescent="0.25">
      <c r="B20" s="29" t="s">
        <v>23</v>
      </c>
      <c r="C20" s="30">
        <v>8541</v>
      </c>
      <c r="D20" s="30">
        <v>6541</v>
      </c>
      <c r="E20" s="30">
        <v>10002</v>
      </c>
      <c r="F20" s="30">
        <v>31212</v>
      </c>
      <c r="G20" s="31">
        <f t="shared" si="0"/>
        <v>56296</v>
      </c>
      <c r="I20" s="29" t="s">
        <v>23</v>
      </c>
      <c r="J20" s="30">
        <v>663038.09</v>
      </c>
      <c r="K20" s="32"/>
      <c r="L20" s="30">
        <v>789857.40333333332</v>
      </c>
      <c r="M20" s="32"/>
      <c r="N20" s="30">
        <v>862003.34333333338</v>
      </c>
      <c r="O20" s="32"/>
      <c r="P20" s="30">
        <v>1529555.6349999998</v>
      </c>
      <c r="Q20" s="14"/>
    </row>
    <row r="21" spans="2:17" x14ac:dyDescent="0.25">
      <c r="B21" s="15" t="s">
        <v>24</v>
      </c>
      <c r="C21" s="16">
        <f>SUM(C4:C20)</f>
        <v>1100000</v>
      </c>
      <c r="D21" s="3">
        <f>SUM(D4:D20)</f>
        <v>800000</v>
      </c>
      <c r="E21" s="3">
        <f>SUM(E4:E20)</f>
        <v>1200000</v>
      </c>
      <c r="F21" s="3">
        <f>SUM(F4:F20)</f>
        <v>2104206</v>
      </c>
      <c r="G21" s="3">
        <f>SUM(G4:G20)</f>
        <v>5204206</v>
      </c>
      <c r="I21" s="15" t="s">
        <v>24</v>
      </c>
      <c r="J21" s="3">
        <f>SUM(J4:J20)</f>
        <v>85474534.479999989</v>
      </c>
      <c r="K21" s="17"/>
      <c r="L21" s="3">
        <f>SUM(L4:L20)</f>
        <v>96855919.62666668</v>
      </c>
      <c r="M21" s="14"/>
      <c r="N21" s="3">
        <f>SUM(N4:N20)</f>
        <v>101312771.68799999</v>
      </c>
      <c r="O21" s="14"/>
      <c r="P21" s="3">
        <f>SUM(P4:P20)</f>
        <v>118326744.22</v>
      </c>
      <c r="Q21" s="18"/>
    </row>
    <row r="24" spans="2:17" ht="15.75" x14ac:dyDescent="0.25">
      <c r="B24" s="44" t="s">
        <v>132</v>
      </c>
      <c r="C24" s="44"/>
      <c r="D24" s="44"/>
      <c r="E24" s="44"/>
      <c r="F24" s="44"/>
      <c r="G24" s="44"/>
      <c r="I24" s="44" t="s">
        <v>76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2</v>
      </c>
      <c r="K25" s="13"/>
      <c r="L25" s="13" t="s">
        <v>3</v>
      </c>
      <c r="M25" s="13"/>
      <c r="N25" s="13" t="s">
        <v>4</v>
      </c>
      <c r="O25" s="13"/>
      <c r="P25" s="13" t="s">
        <v>26</v>
      </c>
    </row>
    <row r="26" spans="2:17" x14ac:dyDescent="0.25">
      <c r="B26" s="12" t="s">
        <v>7</v>
      </c>
      <c r="C26" s="16">
        <f t="shared" ref="C26:C39" si="1">$C$40*K26</f>
        <v>32711.175083623024</v>
      </c>
      <c r="D26" s="16">
        <f t="shared" ref="D26:D39" si="2">$D$40*M26</f>
        <v>26518.519442260287</v>
      </c>
      <c r="E26" s="16">
        <f t="shared" ref="E26:E39" si="3">$E$40*O26</f>
        <v>38937.473585739775</v>
      </c>
      <c r="F26" s="16">
        <f t="shared" ref="F26:F39" si="4">$F$40*Q26</f>
        <v>70870.865938765157</v>
      </c>
      <c r="G26" s="16">
        <f t="shared" ref="G26:G39" si="5">SUM(C26+D26+E26+F26)</f>
        <v>169038.03405038826</v>
      </c>
      <c r="I26" s="12" t="s">
        <v>7</v>
      </c>
      <c r="J26" s="3">
        <v>2561995.0266666668</v>
      </c>
      <c r="K26" s="14">
        <f t="shared" ref="K26:K39" si="6">J26/$J$40</f>
        <v>3.0271559807200896E-2</v>
      </c>
      <c r="L26" s="3">
        <v>3278310.4633333334</v>
      </c>
      <c r="M26" s="14">
        <f t="shared" ref="M26:M39" si="7">L26/$L$40</f>
        <v>3.3782328056261531E-2</v>
      </c>
      <c r="N26" s="3">
        <v>3352962.2866666666</v>
      </c>
      <c r="O26" s="14">
        <f t="shared" ref="O26:O39" si="8">N26/$N$40</f>
        <v>3.3076457604120112E-2</v>
      </c>
      <c r="P26" s="3">
        <v>4061737.0949999997</v>
      </c>
      <c r="Q26" s="14">
        <f t="shared" ref="Q26:Q39" si="9">P26/$P$40</f>
        <v>3.4429639899012723E-2</v>
      </c>
    </row>
    <row r="27" spans="2:17" x14ac:dyDescent="0.25">
      <c r="B27" s="12" t="s">
        <v>8</v>
      </c>
      <c r="C27" s="16">
        <f t="shared" si="1"/>
        <v>125599.3516808142</v>
      </c>
      <c r="D27" s="16">
        <f t="shared" si="2"/>
        <v>83342.231138259434</v>
      </c>
      <c r="E27" s="16">
        <f t="shared" si="3"/>
        <v>121064.97800166273</v>
      </c>
      <c r="F27" s="16">
        <f t="shared" si="4"/>
        <v>215011.70032595392</v>
      </c>
      <c r="G27" s="16">
        <f t="shared" si="5"/>
        <v>545018.26114669023</v>
      </c>
      <c r="I27" s="12" t="s">
        <v>8</v>
      </c>
      <c r="J27" s="3">
        <v>9837155.4533333331</v>
      </c>
      <c r="K27" s="14">
        <f t="shared" si="6"/>
        <v>0.11623209121750432</v>
      </c>
      <c r="L27" s="3">
        <v>10303052.890000001</v>
      </c>
      <c r="M27" s="14">
        <f t="shared" si="7"/>
        <v>0.10617088180144187</v>
      </c>
      <c r="N27" s="3">
        <v>10425080.728</v>
      </c>
      <c r="O27" s="14">
        <f t="shared" si="8"/>
        <v>0.10284181903579585</v>
      </c>
      <c r="P27" s="3">
        <v>12322708.175000001</v>
      </c>
      <c r="Q27" s="14">
        <f t="shared" si="9"/>
        <v>0.10445442310092951</v>
      </c>
    </row>
    <row r="28" spans="2:17" x14ac:dyDescent="0.25">
      <c r="B28" s="12" t="s">
        <v>9</v>
      </c>
      <c r="C28" s="16">
        <f t="shared" si="1"/>
        <v>128953.84319061124</v>
      </c>
      <c r="D28" s="16">
        <f t="shared" si="2"/>
        <v>91258.724051070007</v>
      </c>
      <c r="E28" s="16">
        <f t="shared" si="3"/>
        <v>134790.58441238117</v>
      </c>
      <c r="F28" s="16">
        <f t="shared" si="4"/>
        <v>227600.26069899221</v>
      </c>
      <c r="G28" s="16">
        <f t="shared" si="5"/>
        <v>582603.41235305462</v>
      </c>
      <c r="I28" s="12" t="s">
        <v>9</v>
      </c>
      <c r="J28" s="3">
        <v>10099884.950000001</v>
      </c>
      <c r="K28" s="14">
        <f t="shared" si="6"/>
        <v>0.11933640312626261</v>
      </c>
      <c r="L28" s="3">
        <v>11281716.936666666</v>
      </c>
      <c r="M28" s="14">
        <f t="shared" si="7"/>
        <v>0.11625581739590209</v>
      </c>
      <c r="N28" s="3">
        <v>11607012.589999998</v>
      </c>
      <c r="O28" s="14">
        <f t="shared" si="8"/>
        <v>0.1145013951902497</v>
      </c>
      <c r="P28" s="3">
        <v>13044181.265000001</v>
      </c>
      <c r="Q28" s="14">
        <f t="shared" si="9"/>
        <v>0.11057004755040609</v>
      </c>
    </row>
    <row r="29" spans="2:17" x14ac:dyDescent="0.25">
      <c r="B29" s="12" t="s">
        <v>10</v>
      </c>
      <c r="C29" s="16">
        <f t="shared" si="1"/>
        <v>53925.705879162611</v>
      </c>
      <c r="D29" s="16">
        <f t="shared" si="2"/>
        <v>51601.604386198436</v>
      </c>
      <c r="E29" s="16">
        <f t="shared" si="3"/>
        <v>83278.535349486207</v>
      </c>
      <c r="F29" s="16">
        <f t="shared" si="4"/>
        <v>150991.57028484959</v>
      </c>
      <c r="G29" s="16">
        <f t="shared" si="5"/>
        <v>339797.41589969688</v>
      </c>
      <c r="I29" s="12" t="s">
        <v>10</v>
      </c>
      <c r="J29" s="3">
        <v>4223553.2633333337</v>
      </c>
      <c r="K29" s="14">
        <f t="shared" si="6"/>
        <v>4.9903900623975782E-2</v>
      </c>
      <c r="L29" s="3">
        <v>6379167.583333333</v>
      </c>
      <c r="M29" s="14">
        <f t="shared" si="7"/>
        <v>6.5736035203607768E-2</v>
      </c>
      <c r="N29" s="3">
        <v>7171235.3833333328</v>
      </c>
      <c r="O29" s="14">
        <f t="shared" si="8"/>
        <v>7.0743134830127022E-2</v>
      </c>
      <c r="P29" s="3">
        <v>8653599.1050000004</v>
      </c>
      <c r="Q29" s="14">
        <f t="shared" si="9"/>
        <v>7.3352926111917349E-2</v>
      </c>
    </row>
    <row r="30" spans="2:17" x14ac:dyDescent="0.25">
      <c r="B30" s="12" t="s">
        <v>11</v>
      </c>
      <c r="C30" s="16">
        <f t="shared" si="1"/>
        <v>48530.454846556931</v>
      </c>
      <c r="D30" s="16">
        <f t="shared" si="2"/>
        <v>37820.657615810524</v>
      </c>
      <c r="E30" s="16">
        <f t="shared" si="3"/>
        <v>62093.155558655446</v>
      </c>
      <c r="F30" s="16">
        <f t="shared" si="4"/>
        <v>124477.39196568124</v>
      </c>
      <c r="G30" s="16">
        <f t="shared" si="5"/>
        <v>272921.65998670412</v>
      </c>
      <c r="I30" s="12" t="s">
        <v>11</v>
      </c>
      <c r="J30" s="3">
        <v>3800988</v>
      </c>
      <c r="K30" s="14">
        <f t="shared" si="6"/>
        <v>4.4911030025751586E-2</v>
      </c>
      <c r="L30" s="3">
        <v>4675519.6066666665</v>
      </c>
      <c r="M30" s="14">
        <f t="shared" si="7"/>
        <v>4.8180286447091172E-2</v>
      </c>
      <c r="N30" s="3">
        <v>5346931.623333334</v>
      </c>
      <c r="O30" s="14">
        <f t="shared" si="8"/>
        <v>5.2746658635142697E-2</v>
      </c>
      <c r="P30" s="3">
        <v>7134023.7450000001</v>
      </c>
      <c r="Q30" s="14">
        <f t="shared" si="9"/>
        <v>6.0472123829412007E-2</v>
      </c>
    </row>
    <row r="31" spans="2:17" x14ac:dyDescent="0.25">
      <c r="B31" s="12" t="s">
        <v>12</v>
      </c>
      <c r="C31" s="16">
        <f t="shared" si="1"/>
        <v>74947.741420164908</v>
      </c>
      <c r="D31" s="16">
        <f t="shared" si="2"/>
        <v>51214.712774442211</v>
      </c>
      <c r="E31" s="16">
        <f t="shared" si="3"/>
        <v>72301.732575993403</v>
      </c>
      <c r="F31" s="16">
        <f t="shared" si="4"/>
        <v>121590.84431172379</v>
      </c>
      <c r="G31" s="16">
        <f t="shared" si="5"/>
        <v>320055.03108232433</v>
      </c>
      <c r="I31" s="12" t="s">
        <v>12</v>
      </c>
      <c r="J31" s="3">
        <v>5870034.9433333343</v>
      </c>
      <c r="K31" s="14">
        <f t="shared" si="6"/>
        <v>6.9358102575502581E-2</v>
      </c>
      <c r="L31" s="3">
        <v>6331338.7133333338</v>
      </c>
      <c r="M31" s="14">
        <f t="shared" si="7"/>
        <v>6.5243168345824762E-2</v>
      </c>
      <c r="N31" s="3">
        <v>6226006.9866666673</v>
      </c>
      <c r="O31" s="14">
        <f t="shared" si="8"/>
        <v>6.1418601979613761E-2</v>
      </c>
      <c r="P31" s="3">
        <v>6968590.4950000001</v>
      </c>
      <c r="Q31" s="14">
        <f t="shared" si="9"/>
        <v>5.9069815631809831E-2</v>
      </c>
    </row>
    <row r="32" spans="2:17" x14ac:dyDescent="0.25">
      <c r="B32" s="12" t="s">
        <v>22</v>
      </c>
      <c r="C32" s="16">
        <f t="shared" si="1"/>
        <v>0</v>
      </c>
      <c r="D32" s="16">
        <f t="shared" si="2"/>
        <v>0</v>
      </c>
      <c r="E32" s="16">
        <f t="shared" si="3"/>
        <v>0</v>
      </c>
      <c r="F32" s="16">
        <f t="shared" si="4"/>
        <v>0</v>
      </c>
      <c r="G32" s="16">
        <f t="shared" si="5"/>
        <v>0</v>
      </c>
      <c r="I32" s="12" t="s">
        <v>22</v>
      </c>
      <c r="J32" s="3">
        <v>0</v>
      </c>
      <c r="K32" s="14">
        <f t="shared" si="6"/>
        <v>0</v>
      </c>
      <c r="L32" s="3">
        <v>0</v>
      </c>
      <c r="M32" s="14">
        <f t="shared" si="7"/>
        <v>0</v>
      </c>
      <c r="N32" s="3">
        <v>0</v>
      </c>
      <c r="O32" s="14">
        <f t="shared" si="8"/>
        <v>0</v>
      </c>
      <c r="P32" s="3">
        <v>0</v>
      </c>
      <c r="Q32" s="14">
        <f t="shared" si="9"/>
        <v>0</v>
      </c>
    </row>
    <row r="33" spans="2:17" x14ac:dyDescent="0.25">
      <c r="B33" s="12" t="s">
        <v>21</v>
      </c>
      <c r="C33" s="16">
        <f t="shared" si="1"/>
        <v>0</v>
      </c>
      <c r="D33" s="16">
        <f t="shared" si="2"/>
        <v>0</v>
      </c>
      <c r="E33" s="16">
        <f t="shared" si="3"/>
        <v>0</v>
      </c>
      <c r="F33" s="16">
        <f t="shared" si="4"/>
        <v>0</v>
      </c>
      <c r="G33" s="16">
        <f t="shared" si="5"/>
        <v>0</v>
      </c>
      <c r="I33" s="12" t="s">
        <v>21</v>
      </c>
      <c r="J33" s="3">
        <v>0</v>
      </c>
      <c r="K33" s="14">
        <f t="shared" si="6"/>
        <v>0</v>
      </c>
      <c r="L33" s="3">
        <v>0</v>
      </c>
      <c r="M33" s="14">
        <f t="shared" si="7"/>
        <v>0</v>
      </c>
      <c r="N33" s="3">
        <v>0</v>
      </c>
      <c r="O33" s="14">
        <f t="shared" si="8"/>
        <v>0</v>
      </c>
      <c r="P33" s="3">
        <v>0</v>
      </c>
      <c r="Q33" s="14">
        <f t="shared" si="9"/>
        <v>0</v>
      </c>
    </row>
    <row r="34" spans="2:17" x14ac:dyDescent="0.25">
      <c r="B34" s="12" t="s">
        <v>13</v>
      </c>
      <c r="C34" s="16">
        <f t="shared" si="1"/>
        <v>48448.097472624533</v>
      </c>
      <c r="D34" s="16">
        <f t="shared" si="2"/>
        <v>31371.695165447531</v>
      </c>
      <c r="E34" s="16">
        <f t="shared" si="3"/>
        <v>52334.961468724927</v>
      </c>
      <c r="F34" s="16">
        <f t="shared" si="4"/>
        <v>108003.52797264425</v>
      </c>
      <c r="G34" s="16">
        <f t="shared" si="5"/>
        <v>240158.28207944124</v>
      </c>
      <c r="I34" s="12" t="s">
        <v>13</v>
      </c>
      <c r="J34" s="3">
        <v>3794537.6300000004</v>
      </c>
      <c r="K34" s="14">
        <f t="shared" si="6"/>
        <v>4.4834814904644339E-2</v>
      </c>
      <c r="L34" s="3">
        <v>3878276.7166666668</v>
      </c>
      <c r="M34" s="14">
        <f t="shared" si="7"/>
        <v>3.9964859277598123E-2</v>
      </c>
      <c r="N34" s="3">
        <v>4506639.3866666667</v>
      </c>
      <c r="O34" s="14">
        <f t="shared" si="8"/>
        <v>4.4457304874230739E-2</v>
      </c>
      <c r="P34" s="3">
        <v>6189876.9000000004</v>
      </c>
      <c r="Q34" s="14">
        <f t="shared" si="9"/>
        <v>5.2468987455776529E-2</v>
      </c>
    </row>
    <row r="35" spans="2:17" x14ac:dyDescent="0.25">
      <c r="B35" s="12" t="s">
        <v>14</v>
      </c>
      <c r="C35" s="16">
        <f t="shared" si="1"/>
        <v>6013.2375740453954</v>
      </c>
      <c r="D35" s="16">
        <f t="shared" si="2"/>
        <v>5057.0191665937946</v>
      </c>
      <c r="E35" s="16">
        <f t="shared" si="3"/>
        <v>7413.1900895702565</v>
      </c>
      <c r="F35" s="16">
        <f t="shared" si="4"/>
        <v>14275.517774963701</v>
      </c>
      <c r="G35" s="16">
        <f t="shared" si="5"/>
        <v>32758.964605173147</v>
      </c>
      <c r="I35" s="12" t="s">
        <v>14</v>
      </c>
      <c r="J35" s="3">
        <v>470967.02333333326</v>
      </c>
      <c r="K35" s="14">
        <f t="shared" si="6"/>
        <v>5.5647674041754882E-3</v>
      </c>
      <c r="L35" s="3">
        <v>625166.08000000007</v>
      </c>
      <c r="M35" s="14">
        <f t="shared" si="7"/>
        <v>6.4422103520766017E-3</v>
      </c>
      <c r="N35" s="3">
        <v>638360.54333333333</v>
      </c>
      <c r="O35" s="14">
        <f t="shared" si="8"/>
        <v>6.2973286432932638E-3</v>
      </c>
      <c r="P35" s="3">
        <v>818155.65999999992</v>
      </c>
      <c r="Q35" s="14">
        <f t="shared" si="9"/>
        <v>6.9351619999765361E-3</v>
      </c>
    </row>
    <row r="36" spans="2:17" x14ac:dyDescent="0.25">
      <c r="B36" s="12" t="s">
        <v>15</v>
      </c>
      <c r="C36" s="16">
        <f t="shared" si="1"/>
        <v>91977.197713375223</v>
      </c>
      <c r="D36" s="16">
        <f t="shared" si="2"/>
        <v>68793.906806847677</v>
      </c>
      <c r="E36" s="16">
        <f t="shared" si="3"/>
        <v>93592.576584757262</v>
      </c>
      <c r="F36" s="16">
        <f t="shared" si="4"/>
        <v>161564.91102948622</v>
      </c>
      <c r="G36" s="16">
        <f t="shared" si="5"/>
        <v>415928.59213446639</v>
      </c>
      <c r="I36" s="12" t="s">
        <v>27</v>
      </c>
      <c r="J36" s="3">
        <f>6537144.33666667+666666.67</f>
        <v>7203811.0066666696</v>
      </c>
      <c r="K36" s="14">
        <f t="shared" si="6"/>
        <v>8.5117493772736613E-2</v>
      </c>
      <c r="L36" s="3">
        <f>6504539.06333333+2000000</f>
        <v>8504539.0633333288</v>
      </c>
      <c r="M36" s="14">
        <f t="shared" si="7"/>
        <v>8.7637559596076955E-2</v>
      </c>
      <c r="N36" s="3">
        <f>6059392.42333333+2000000</f>
        <v>8059392.4233333301</v>
      </c>
      <c r="O36" s="14">
        <f t="shared" si="8"/>
        <v>7.9504667519051428E-2</v>
      </c>
      <c r="P36" s="3">
        <f>7259576.325+2000000</f>
        <v>9259576.3249999993</v>
      </c>
      <c r="Q36" s="14">
        <f t="shared" si="9"/>
        <v>7.8489540566183194E-2</v>
      </c>
    </row>
    <row r="37" spans="2:17" x14ac:dyDescent="0.25">
      <c r="B37" s="12" t="s">
        <v>16</v>
      </c>
      <c r="C37" s="16">
        <f t="shared" si="1"/>
        <v>283281.13554119703</v>
      </c>
      <c r="D37" s="16">
        <f t="shared" si="2"/>
        <v>201518.24643418967</v>
      </c>
      <c r="E37" s="16">
        <f t="shared" si="3"/>
        <v>293914.45769393223</v>
      </c>
      <c r="F37" s="16">
        <f t="shared" si="4"/>
        <v>486372.28326580924</v>
      </c>
      <c r="G37" s="16">
        <f t="shared" si="5"/>
        <v>1265086.1229351282</v>
      </c>
      <c r="I37" s="12" t="s">
        <v>16</v>
      </c>
      <c r="J37" s="3">
        <v>22187061.716666665</v>
      </c>
      <c r="K37" s="14">
        <f t="shared" si="6"/>
        <v>0.26215389128837557</v>
      </c>
      <c r="L37" s="3">
        <v>24912377.830000002</v>
      </c>
      <c r="M37" s="14">
        <f t="shared" si="7"/>
        <v>0.2567170284594929</v>
      </c>
      <c r="N37" s="3">
        <v>25309399.953333333</v>
      </c>
      <c r="O37" s="14">
        <f t="shared" si="8"/>
        <v>0.2496733404581159</v>
      </c>
      <c r="P37" s="3">
        <v>27874872.399999999</v>
      </c>
      <c r="Q37" s="14">
        <f t="shared" si="9"/>
        <v>0.2362835891432625</v>
      </c>
    </row>
    <row r="38" spans="2:17" x14ac:dyDescent="0.25">
      <c r="B38" s="12" t="s">
        <v>17</v>
      </c>
      <c r="C38" s="16">
        <f t="shared" si="1"/>
        <v>38767.245824265468</v>
      </c>
      <c r="D38" s="16">
        <f t="shared" si="2"/>
        <v>25492.073202130076</v>
      </c>
      <c r="E38" s="16">
        <f t="shared" si="3"/>
        <v>45388.2211595712</v>
      </c>
      <c r="F38" s="16">
        <f t="shared" si="4"/>
        <v>72472.998841023218</v>
      </c>
      <c r="G38" s="16">
        <f t="shared" si="5"/>
        <v>182120.53902698995</v>
      </c>
      <c r="I38" s="12" t="s">
        <v>17</v>
      </c>
      <c r="J38" s="3">
        <v>3036316.8166666664</v>
      </c>
      <c r="K38" s="14">
        <f t="shared" si="6"/>
        <v>3.5875965859668894E-2</v>
      </c>
      <c r="L38" s="3">
        <v>3151417.6533333338</v>
      </c>
      <c r="M38" s="14">
        <f t="shared" si="7"/>
        <v>3.2474723244775135E-2</v>
      </c>
      <c r="N38" s="3">
        <v>3908445.51</v>
      </c>
      <c r="O38" s="14">
        <f t="shared" si="8"/>
        <v>3.8556214223945035E-2</v>
      </c>
      <c r="P38" s="3">
        <v>4153558.2199999997</v>
      </c>
      <c r="Q38" s="14">
        <f t="shared" si="9"/>
        <v>3.5207969021486915E-2</v>
      </c>
    </row>
    <row r="39" spans="2:17" x14ac:dyDescent="0.25">
      <c r="B39" s="12" t="s">
        <v>18</v>
      </c>
      <c r="C39" s="16">
        <f t="shared" si="1"/>
        <v>147435.81377355946</v>
      </c>
      <c r="D39" s="16">
        <f t="shared" si="2"/>
        <v>110992.60981675029</v>
      </c>
      <c r="E39" s="16">
        <f t="shared" si="3"/>
        <v>172086.13351952541</v>
      </c>
      <c r="F39" s="16">
        <f t="shared" si="4"/>
        <v>305194.12759010773</v>
      </c>
      <c r="G39" s="16">
        <f t="shared" si="5"/>
        <v>735708.68469994282</v>
      </c>
      <c r="I39" s="12" t="s">
        <v>18</v>
      </c>
      <c r="J39" s="3">
        <v>11547424.409999998</v>
      </c>
      <c r="K39" s="14">
        <f t="shared" si="6"/>
        <v>0.13643997939420138</v>
      </c>
      <c r="L39" s="3">
        <v>13721287.68</v>
      </c>
      <c r="M39" s="14">
        <f t="shared" si="7"/>
        <v>0.14139510181985102</v>
      </c>
      <c r="N39" s="3">
        <v>14818586.380000001</v>
      </c>
      <c r="O39" s="14">
        <f t="shared" si="8"/>
        <v>0.1461830770063145</v>
      </c>
      <c r="P39" s="3">
        <v>17491225.664999999</v>
      </c>
      <c r="Q39" s="14">
        <f t="shared" si="9"/>
        <v>0.14826577568982696</v>
      </c>
    </row>
    <row r="40" spans="2:17" x14ac:dyDescent="0.25">
      <c r="B40" s="15" t="s">
        <v>24</v>
      </c>
      <c r="C40" s="16">
        <f>$C$21-(C18+C19+C20)</f>
        <v>1080591</v>
      </c>
      <c r="D40" s="16">
        <f>$D$21-(D18+D19+D20)</f>
        <v>784982</v>
      </c>
      <c r="E40" s="16">
        <f>$E$21-(E18+E19+E20)</f>
        <v>1177196</v>
      </c>
      <c r="F40" s="16">
        <f>$F$21-(F18+F19+F20)</f>
        <v>2058426</v>
      </c>
      <c r="G40" s="16">
        <f>$C$21-(G18+G19+G20)</f>
        <v>996989</v>
      </c>
      <c r="I40" s="15" t="s">
        <v>24</v>
      </c>
      <c r="J40" s="3">
        <f t="shared" ref="J40:Q40" si="10">SUM(J26:J39)</f>
        <v>84633730.239999995</v>
      </c>
      <c r="K40" s="19">
        <f t="shared" si="10"/>
        <v>1</v>
      </c>
      <c r="L40" s="3">
        <f t="shared" si="10"/>
        <v>97042171.216666669</v>
      </c>
      <c r="M40" s="19">
        <f t="shared" si="10"/>
        <v>1</v>
      </c>
      <c r="N40" s="3">
        <f t="shared" si="10"/>
        <v>101370053.79466666</v>
      </c>
      <c r="O40" s="19">
        <f t="shared" si="10"/>
        <v>0.99999999999999989</v>
      </c>
      <c r="P40" s="3">
        <f t="shared" si="10"/>
        <v>117972105.04999998</v>
      </c>
      <c r="Q40" s="19">
        <f t="shared" si="10"/>
        <v>1.0000000000000002</v>
      </c>
    </row>
    <row r="43" spans="2:17" ht="15.75" x14ac:dyDescent="0.25">
      <c r="B43" s="44" t="s">
        <v>135</v>
      </c>
      <c r="C43" s="44"/>
      <c r="D43" s="44"/>
      <c r="E43" s="44"/>
      <c r="F43" s="44"/>
      <c r="G43" s="44"/>
      <c r="I43" s="44" t="s">
        <v>159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-263.82491637697603</v>
      </c>
      <c r="D45" s="16">
        <f>D26-D4</f>
        <v>-623.48055773971282</v>
      </c>
      <c r="E45" s="16">
        <f>E26-E4</f>
        <v>-783.52641426022456</v>
      </c>
      <c r="F45" s="16">
        <f>F26-F4</f>
        <v>-843.1340612348431</v>
      </c>
      <c r="G45" s="16">
        <f t="shared" ref="G45:G59" si="11">SUM(C45+D45+E45+F45)</f>
        <v>-2513.9659496117565</v>
      </c>
      <c r="I45" s="15" t="s">
        <v>153</v>
      </c>
      <c r="J45" s="12" t="s">
        <v>155</v>
      </c>
    </row>
    <row r="46" spans="2:17" x14ac:dyDescent="0.25">
      <c r="B46" s="12" t="s">
        <v>8</v>
      </c>
      <c r="C46" s="16">
        <f t="shared" ref="C46:F58" si="12">C27-C5</f>
        <v>-1012.6483191857988</v>
      </c>
      <c r="D46" s="16">
        <f t="shared" si="12"/>
        <v>-1960.7688617405656</v>
      </c>
      <c r="E46" s="16">
        <f t="shared" si="12"/>
        <v>-2436.0219983372663</v>
      </c>
      <c r="F46" s="16">
        <f t="shared" si="12"/>
        <v>-2557.2996740460803</v>
      </c>
      <c r="G46" s="16">
        <f t="shared" si="11"/>
        <v>-7966.738853309711</v>
      </c>
      <c r="I46" s="15" t="s">
        <v>154</v>
      </c>
      <c r="J46" t="s">
        <v>189</v>
      </c>
    </row>
    <row r="47" spans="2:17" x14ac:dyDescent="0.25">
      <c r="B47" s="12" t="s">
        <v>9</v>
      </c>
      <c r="C47" s="16">
        <f t="shared" si="12"/>
        <v>-1039.1568093887618</v>
      </c>
      <c r="D47" s="16">
        <f t="shared" si="12"/>
        <v>-2147.2759489299933</v>
      </c>
      <c r="E47" s="16">
        <f t="shared" si="12"/>
        <v>-2712.4155876188306</v>
      </c>
      <c r="F47" s="16">
        <f t="shared" si="12"/>
        <v>-2706.739301007794</v>
      </c>
      <c r="G47" s="16">
        <f t="shared" si="11"/>
        <v>-8605.5876469453797</v>
      </c>
      <c r="I47" s="15"/>
    </row>
    <row r="48" spans="2:17" x14ac:dyDescent="0.25">
      <c r="B48" s="12" t="s">
        <v>10</v>
      </c>
      <c r="C48" s="16">
        <f t="shared" si="12"/>
        <v>-434.29412083738862</v>
      </c>
      <c r="D48" s="16">
        <f t="shared" si="12"/>
        <v>-1213.3956138015637</v>
      </c>
      <c r="E48" s="16">
        <f t="shared" si="12"/>
        <v>-1675.4646505137935</v>
      </c>
      <c r="F48" s="16">
        <f t="shared" si="12"/>
        <v>-1795.4297151504143</v>
      </c>
      <c r="G48" s="16">
        <f t="shared" si="11"/>
        <v>-5118.5841003031601</v>
      </c>
      <c r="I48" s="15"/>
    </row>
    <row r="49" spans="2:9" x14ac:dyDescent="0.25">
      <c r="B49" s="12" t="s">
        <v>11</v>
      </c>
      <c r="C49" s="16">
        <f t="shared" si="12"/>
        <v>-390.54515344306856</v>
      </c>
      <c r="D49" s="16">
        <f t="shared" si="12"/>
        <v>-889.34238418947643</v>
      </c>
      <c r="E49" s="16">
        <f t="shared" si="12"/>
        <v>-1249.8444413445541</v>
      </c>
      <c r="F49" s="16">
        <f t="shared" si="12"/>
        <v>-1480.6080343187641</v>
      </c>
      <c r="G49" s="16">
        <f t="shared" si="11"/>
        <v>-4010.3400132958632</v>
      </c>
      <c r="I49" s="15"/>
    </row>
    <row r="50" spans="2:9" x14ac:dyDescent="0.25">
      <c r="B50" s="12" t="s">
        <v>12</v>
      </c>
      <c r="C50" s="16">
        <f t="shared" si="12"/>
        <v>-604.25857983509195</v>
      </c>
      <c r="D50" s="16">
        <f t="shared" si="12"/>
        <v>693.7127744422105</v>
      </c>
      <c r="E50" s="16">
        <f t="shared" si="12"/>
        <v>-1455.2674240065971</v>
      </c>
      <c r="F50" s="16">
        <f t="shared" si="12"/>
        <v>-1446.1556882762088</v>
      </c>
      <c r="G50" s="16">
        <f t="shared" si="11"/>
        <v>-2811.9689176756874</v>
      </c>
      <c r="I50" s="15"/>
    </row>
    <row r="51" spans="2:9" x14ac:dyDescent="0.25">
      <c r="B51" s="12" t="s">
        <v>22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6">
        <f t="shared" si="11"/>
        <v>0</v>
      </c>
    </row>
    <row r="52" spans="2:9" x14ac:dyDescent="0.25">
      <c r="B52" s="12" t="s">
        <v>21</v>
      </c>
      <c r="C52" s="16">
        <f t="shared" si="12"/>
        <v>0</v>
      </c>
      <c r="D52" s="16">
        <f t="shared" si="12"/>
        <v>0</v>
      </c>
      <c r="E52" s="16">
        <f t="shared" si="12"/>
        <v>0</v>
      </c>
      <c r="F52" s="16">
        <f t="shared" si="12"/>
        <v>0</v>
      </c>
      <c r="G52" s="16">
        <f t="shared" si="11"/>
        <v>0</v>
      </c>
    </row>
    <row r="53" spans="2:9" x14ac:dyDescent="0.25">
      <c r="B53" s="12" t="s">
        <v>13</v>
      </c>
      <c r="C53" s="16">
        <f t="shared" si="12"/>
        <v>-389.90252737546689</v>
      </c>
      <c r="D53" s="16">
        <f t="shared" si="12"/>
        <v>-738.3048345524694</v>
      </c>
      <c r="E53" s="16">
        <f t="shared" si="12"/>
        <v>-1053.0385312750732</v>
      </c>
      <c r="F53" s="16">
        <f t="shared" si="12"/>
        <v>-1284.4720273557468</v>
      </c>
      <c r="G53" s="16">
        <f t="shared" si="11"/>
        <v>-3465.7179205587563</v>
      </c>
    </row>
    <row r="54" spans="2:9" x14ac:dyDescent="0.25">
      <c r="B54" s="12" t="s">
        <v>14</v>
      </c>
      <c r="C54" s="16">
        <f t="shared" si="12"/>
        <v>80.237574045395377</v>
      </c>
      <c r="D54" s="16">
        <f t="shared" si="12"/>
        <v>-118.98083340620542</v>
      </c>
      <c r="E54" s="16">
        <f t="shared" si="12"/>
        <v>-148.80991042974347</v>
      </c>
      <c r="F54" s="16">
        <f t="shared" si="12"/>
        <v>-169.4822250362995</v>
      </c>
      <c r="G54" s="16">
        <f t="shared" si="11"/>
        <v>-357.03539482685301</v>
      </c>
    </row>
    <row r="55" spans="2:9" x14ac:dyDescent="0.25">
      <c r="B55" s="12" t="s">
        <v>15</v>
      </c>
      <c r="C55" s="16">
        <f t="shared" si="12"/>
        <v>7839.1977133752225</v>
      </c>
      <c r="D55" s="16">
        <f t="shared" si="12"/>
        <v>14940.906806847677</v>
      </c>
      <c r="E55" s="16">
        <f t="shared" si="12"/>
        <v>21809.576584757262</v>
      </c>
      <c r="F55" s="16">
        <f t="shared" si="12"/>
        <v>33390.911029486218</v>
      </c>
      <c r="G55" s="16">
        <f t="shared" si="11"/>
        <v>77980.59213446638</v>
      </c>
    </row>
    <row r="56" spans="2:9" x14ac:dyDescent="0.25">
      <c r="B56" s="12" t="s">
        <v>16</v>
      </c>
      <c r="C56" s="16">
        <f t="shared" si="12"/>
        <v>-2283.8644588029711</v>
      </c>
      <c r="D56" s="16">
        <f t="shared" si="12"/>
        <v>-4740.7535658103297</v>
      </c>
      <c r="E56" s="16">
        <f t="shared" si="12"/>
        <v>-5914.5423060677713</v>
      </c>
      <c r="F56" s="16">
        <f t="shared" si="12"/>
        <v>-16616.716734190763</v>
      </c>
      <c r="G56" s="16">
        <f t="shared" si="11"/>
        <v>-29555.877064871835</v>
      </c>
    </row>
    <row r="57" spans="2:9" x14ac:dyDescent="0.25">
      <c r="B57" s="12" t="s">
        <v>17</v>
      </c>
      <c r="C57" s="16">
        <f t="shared" si="12"/>
        <v>-312.7541757345316</v>
      </c>
      <c r="D57" s="16">
        <f t="shared" si="12"/>
        <v>-591.92679786992448</v>
      </c>
      <c r="E57" s="16">
        <f t="shared" si="12"/>
        <v>-912.77884042880032</v>
      </c>
      <c r="F57" s="16">
        <f t="shared" si="12"/>
        <v>-861.00115897678188</v>
      </c>
      <c r="G57" s="16">
        <f t="shared" si="11"/>
        <v>-2678.4609730100383</v>
      </c>
    </row>
    <row r="58" spans="2:9" x14ac:dyDescent="0.25">
      <c r="B58" s="12" t="s">
        <v>18</v>
      </c>
      <c r="C58" s="16">
        <f t="shared" si="12"/>
        <v>-1188.1862264405354</v>
      </c>
      <c r="D58" s="16">
        <f t="shared" si="12"/>
        <v>-2610.3901832497068</v>
      </c>
      <c r="E58" s="16">
        <f t="shared" si="12"/>
        <v>-3467.8664804745931</v>
      </c>
      <c r="F58" s="16">
        <f t="shared" si="12"/>
        <v>-3629.8724098922685</v>
      </c>
      <c r="G58" s="16">
        <f t="shared" si="11"/>
        <v>-10896.315300057104</v>
      </c>
    </row>
    <row r="59" spans="2:9" x14ac:dyDescent="0.25">
      <c r="B59" s="15" t="s">
        <v>24</v>
      </c>
      <c r="C59" s="16">
        <f>SUM(C45:C58)</f>
        <v>2.7284841053187847E-11</v>
      </c>
      <c r="D59" s="16">
        <f>SUM(D45:D58)</f>
        <v>-6.0026650317013264E-11</v>
      </c>
      <c r="E59" s="16">
        <f>SUM(E45:E58)</f>
        <v>1.4551915228366852E-11</v>
      </c>
      <c r="F59" s="16">
        <f>SUM(F45:F58)</f>
        <v>2.5465851649641991E-10</v>
      </c>
      <c r="G59" s="16">
        <f t="shared" si="11"/>
        <v>2.3646862246096134E-10</v>
      </c>
    </row>
  </sheetData>
  <sheetProtection algorithmName="SHA-512" hashValue="KxceQa5N6AX7LIIiNJUHqH7pQXXfGYKqAVYUBmEi6UiOZX1xU84xxmz/+J2Q7QMZzOjkdS8TAf2wD85lIVzKkQ==" saltValue="nke5EFwo2zX+iAN65a5ieg==" spinCount="100000" sheet="1" objects="1" scenarios="1"/>
  <mergeCells count="6">
    <mergeCell ref="B2:G2"/>
    <mergeCell ref="I2:Q2"/>
    <mergeCell ref="B24:G24"/>
    <mergeCell ref="I24:Q24"/>
    <mergeCell ref="B43:G43"/>
    <mergeCell ref="I43:Q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EA157-427C-4BFE-A554-BFD448694190}">
  <dimension ref="A4:U23"/>
  <sheetViews>
    <sheetView workbookViewId="0">
      <selection activeCell="B23" sqref="B23"/>
    </sheetView>
  </sheetViews>
  <sheetFormatPr defaultRowHeight="15" x14ac:dyDescent="0.25"/>
  <cols>
    <col min="1" max="1" width="16.28515625" bestFit="1" customWidth="1"/>
    <col min="2" max="2" width="22.140625" bestFit="1" customWidth="1"/>
    <col min="3" max="3" width="16.28515625" bestFit="1" customWidth="1"/>
    <col min="4" max="23" width="14.28515625" bestFit="1" customWidth="1"/>
  </cols>
  <sheetData>
    <row r="4" spans="1:21" s="45" customFormat="1" x14ac:dyDescent="0.25">
      <c r="C4" s="45" t="s">
        <v>191</v>
      </c>
      <c r="D4" s="45" t="s">
        <v>80</v>
      </c>
      <c r="E4" s="45" t="s">
        <v>81</v>
      </c>
      <c r="F4" s="45" t="s">
        <v>82</v>
      </c>
      <c r="G4" s="45" t="s">
        <v>83</v>
      </c>
      <c r="H4" s="45" t="s">
        <v>84</v>
      </c>
      <c r="I4" s="45" t="s">
        <v>85</v>
      </c>
      <c r="J4" s="45" t="s">
        <v>86</v>
      </c>
      <c r="K4" s="45" t="s">
        <v>87</v>
      </c>
      <c r="L4" s="45" t="s">
        <v>88</v>
      </c>
      <c r="M4" s="45" t="s">
        <v>89</v>
      </c>
      <c r="N4" s="45" t="s">
        <v>90</v>
      </c>
      <c r="O4" s="45" t="s">
        <v>91</v>
      </c>
      <c r="P4" s="45" t="s">
        <v>92</v>
      </c>
      <c r="Q4" s="45" t="s">
        <v>93</v>
      </c>
      <c r="R4" s="45" t="s">
        <v>94</v>
      </c>
      <c r="S4" s="45" t="s">
        <v>95</v>
      </c>
      <c r="T4" s="45" t="s">
        <v>96</v>
      </c>
      <c r="U4" s="45" t="s">
        <v>97</v>
      </c>
    </row>
    <row r="5" spans="1:21" x14ac:dyDescent="0.25">
      <c r="A5" s="20"/>
      <c r="B5" s="7" t="s">
        <v>7</v>
      </c>
      <c r="C5" s="8">
        <f t="shared" ref="C5:C18" si="0">SUM(D5:U5)</f>
        <v>36026.357561909783</v>
      </c>
      <c r="D5" s="20">
        <f>'FY2012'!G45</f>
        <v>18219.749940019334</v>
      </c>
      <c r="E5" s="20">
        <f>'FY2011'!G45</f>
        <v>-12968.908928234869</v>
      </c>
      <c r="F5" s="20">
        <f>'FY2010'!G45</f>
        <v>-841.82114987028035</v>
      </c>
      <c r="G5" s="20">
        <f>'FY2009'!G45</f>
        <v>12831.399189683078</v>
      </c>
      <c r="H5" s="20">
        <f>'FY2008'!G45</f>
        <v>4307.7626385538824</v>
      </c>
      <c r="I5" s="20">
        <f>'FY2007'!G45</f>
        <v>38792.994541509943</v>
      </c>
      <c r="J5" s="20">
        <f>'FY2006'!G45</f>
        <v>16247.00890508142</v>
      </c>
      <c r="K5" s="20">
        <f>'FY2005'!G45</f>
        <v>9672.7469367327285</v>
      </c>
      <c r="L5" s="20">
        <f>'FY2004'!G45</f>
        <v>3631.3426921491046</v>
      </c>
      <c r="M5" s="20">
        <f>'FY2003'!G45</f>
        <v>52.552398433719645</v>
      </c>
      <c r="N5" s="20">
        <f>'FY2002'!G45</f>
        <v>-2108.8717253672039</v>
      </c>
      <c r="O5" s="20">
        <f>'FY2001'!G45</f>
        <v>5.8420698570262175</v>
      </c>
      <c r="P5" s="20">
        <f>'FY2000'!G45</f>
        <v>-42790.78428161882</v>
      </c>
      <c r="Q5" s="20">
        <f>'FY1999'!G45</f>
        <v>3282.1492646693951</v>
      </c>
      <c r="R5" s="20">
        <f>'FY1998'!G45</f>
        <v>-1850.3283291214175</v>
      </c>
      <c r="S5" s="20">
        <f>'FY1997'!G45</f>
        <v>-7643.6940643220296</v>
      </c>
      <c r="T5" s="20">
        <f>'FY1996'!G45</f>
        <v>-2513.9659496117565</v>
      </c>
      <c r="U5" s="20">
        <f>'FY1995'!G45</f>
        <v>-298.8165866334748</v>
      </c>
    </row>
    <row r="6" spans="1:21" x14ac:dyDescent="0.25">
      <c r="A6" s="20"/>
      <c r="B6" s="7" t="s">
        <v>8</v>
      </c>
      <c r="C6" s="8">
        <f t="shared" si="0"/>
        <v>73991.0411060693</v>
      </c>
      <c r="D6" s="20">
        <f>'FY2012'!G46</f>
        <v>9553.3906637624605</v>
      </c>
      <c r="E6" s="20">
        <f>'FY2011'!G46</f>
        <v>-29288.840281082426</v>
      </c>
      <c r="F6" s="20">
        <f>'FY2010'!G46</f>
        <v>-1990.2174496848093</v>
      </c>
      <c r="G6" s="20">
        <f>'FY2009'!G46</f>
        <v>20681.859599817602</v>
      </c>
      <c r="H6" s="20">
        <f>'FY2008'!G46</f>
        <v>17740.890167673992</v>
      </c>
      <c r="I6" s="20">
        <f>'FY2007'!G46</f>
        <v>87212.451111990638</v>
      </c>
      <c r="J6" s="20">
        <f>'FY2006'!G46</f>
        <v>-22542.324538365487</v>
      </c>
      <c r="K6" s="20">
        <f>'FY2005'!G46</f>
        <v>26226.386544679714</v>
      </c>
      <c r="L6" s="20">
        <f>'FY2004'!G46</f>
        <v>-20146.776681788644</v>
      </c>
      <c r="M6" s="20">
        <f>'FY2003'!G46</f>
        <v>1412.2601904159092</v>
      </c>
      <c r="N6" s="20">
        <f>'FY2002'!G46</f>
        <v>4051.4289249275607</v>
      </c>
      <c r="O6" s="20">
        <f>'FY2001'!G46</f>
        <v>-80.230860498864786</v>
      </c>
      <c r="P6" s="20">
        <f>'FY2000'!G46</f>
        <v>5257.0879342307162</v>
      </c>
      <c r="Q6" s="20">
        <f>'FY1999'!G46</f>
        <v>6089.3185119159461</v>
      </c>
      <c r="R6" s="20">
        <f>'FY1998'!G46</f>
        <v>-4220.2937769673154</v>
      </c>
      <c r="S6" s="20">
        <f>'FY1997'!G46</f>
        <v>-17032.382018036442</v>
      </c>
      <c r="T6" s="20">
        <f>'FY1996'!G46</f>
        <v>-7966.738853309711</v>
      </c>
      <c r="U6" s="20">
        <f>'FY1995'!G46</f>
        <v>-966.22808361153875</v>
      </c>
    </row>
    <row r="7" spans="1:21" x14ac:dyDescent="0.25">
      <c r="A7" s="20"/>
      <c r="B7" s="7" t="s">
        <v>9</v>
      </c>
      <c r="C7" s="8">
        <f t="shared" si="0"/>
        <v>84574.184360007988</v>
      </c>
      <c r="D7" s="20">
        <f>'FY2012'!G47</f>
        <v>-153501.31275728709</v>
      </c>
      <c r="E7" s="20">
        <f>'FY2011'!G47</f>
        <v>132106.11846812721</v>
      </c>
      <c r="F7" s="20">
        <f>'FY2010'!G47</f>
        <v>6383.9457844284843</v>
      </c>
      <c r="G7" s="20">
        <f>'FY2009'!G47</f>
        <v>13926.093667647488</v>
      </c>
      <c r="H7" s="20">
        <f>'FY2008'!G47</f>
        <v>14686.819390966601</v>
      </c>
      <c r="I7" s="20">
        <f>'FY2007'!G47</f>
        <v>102783.69432620717</v>
      </c>
      <c r="J7" s="20">
        <f>'FY2006'!G47</f>
        <v>-1338.5058526269568</v>
      </c>
      <c r="K7" s="20">
        <f>'FY2005'!G47</f>
        <v>10540.453942535631</v>
      </c>
      <c r="L7" s="20">
        <f>'FY2004'!G47</f>
        <v>-5627.1192351656737</v>
      </c>
      <c r="M7" s="20">
        <f>'FY2003'!G47</f>
        <v>4070.8449771454052</v>
      </c>
      <c r="N7" s="20">
        <f>'FY2002'!G47</f>
        <v>-23669.963173651166</v>
      </c>
      <c r="O7" s="20">
        <f>'FY2001'!G47</f>
        <v>5.7765506950236158</v>
      </c>
      <c r="P7" s="20">
        <f>'FY2000'!G47</f>
        <v>4010.8476186337357</v>
      </c>
      <c r="Q7" s="20">
        <f>'FY1999'!G47</f>
        <v>5623.5555951450078</v>
      </c>
      <c r="R7" s="20">
        <f>'FY1998'!G47</f>
        <v>-2876.7522567875276</v>
      </c>
      <c r="S7" s="20">
        <f>'FY1997'!G47</f>
        <v>-15605.745806357329</v>
      </c>
      <c r="T7" s="20">
        <f>'FY1996'!G47</f>
        <v>-8605.5876469453797</v>
      </c>
      <c r="U7" s="20">
        <f>'FY1995'!G47</f>
        <v>1661.0207672973484</v>
      </c>
    </row>
    <row r="8" spans="1:21" x14ac:dyDescent="0.25">
      <c r="A8" s="20"/>
      <c r="B8" s="7" t="s">
        <v>10</v>
      </c>
      <c r="C8" s="8">
        <f t="shared" si="0"/>
        <v>-28302.14392067173</v>
      </c>
      <c r="D8" s="20">
        <f>'FY2012'!G48</f>
        <v>-1585.2983221317991</v>
      </c>
      <c r="E8" s="20">
        <f>'FY2011'!G48</f>
        <v>-38034.274278326608</v>
      </c>
      <c r="F8" s="20">
        <f>'FY2010'!G48</f>
        <v>-996.96905217952735</v>
      </c>
      <c r="G8" s="20">
        <f>'FY2009'!G48</f>
        <v>9104.4537929851067</v>
      </c>
      <c r="H8" s="20">
        <f>'FY2008'!G48</f>
        <v>-4123.1437326026999</v>
      </c>
      <c r="I8" s="20">
        <f>'FY2007'!G48</f>
        <v>14096.063845960307</v>
      </c>
      <c r="J8" s="20">
        <f>'FY2006'!G48</f>
        <v>561.97456939781659</v>
      </c>
      <c r="K8" s="20">
        <f>'FY2005'!G48</f>
        <v>3996.2366387507755</v>
      </c>
      <c r="L8" s="20">
        <f>'FY2004'!G48</f>
        <v>-7123.9557420718229</v>
      </c>
      <c r="M8" s="20">
        <f>'FY2003'!G48</f>
        <v>-1311.4597192908732</v>
      </c>
      <c r="N8" s="20">
        <f>'FY2002'!G48</f>
        <v>-22328.742538066756</v>
      </c>
      <c r="O8" s="20">
        <f>'FY2001'!G48</f>
        <v>7.1724430465401383</v>
      </c>
      <c r="P8" s="20">
        <f>'FY2000'!G48</f>
        <v>5166.6709570618477</v>
      </c>
      <c r="Q8" s="20">
        <f>'FY1999'!G48</f>
        <v>3253.4056163491332</v>
      </c>
      <c r="R8" s="20">
        <f>'FY1998'!G48</f>
        <v>-57828.047815672107</v>
      </c>
      <c r="S8" s="20">
        <f>'FY1997'!G48</f>
        <v>45053.288139824028</v>
      </c>
      <c r="T8" s="20">
        <f>'FY1996'!G48</f>
        <v>-5118.5841003031601</v>
      </c>
      <c r="U8" s="20">
        <f>'FY1995'!G48</f>
        <v>28909.065376598064</v>
      </c>
    </row>
    <row r="9" spans="1:21" x14ac:dyDescent="0.25">
      <c r="A9" s="20"/>
      <c r="B9" s="7" t="s">
        <v>11</v>
      </c>
      <c r="C9" s="8">
        <f t="shared" si="0"/>
        <v>-17245.561248400507</v>
      </c>
      <c r="D9" s="20">
        <f>'FY2012'!G49</f>
        <v>5952.6844809796676</v>
      </c>
      <c r="E9" s="20">
        <f>'FY2011'!G49</f>
        <v>-27754.580113019416</v>
      </c>
      <c r="F9" s="20">
        <f>'FY2010'!G49</f>
        <v>-3117.9773163561767</v>
      </c>
      <c r="G9" s="20">
        <f>'FY2009'!G49</f>
        <v>14018.530273906152</v>
      </c>
      <c r="H9" s="20">
        <f>'FY2008'!G49</f>
        <v>1321.0670956885078</v>
      </c>
      <c r="I9" s="20">
        <f>'FY2007'!G49</f>
        <v>10109.771132518079</v>
      </c>
      <c r="J9" s="20">
        <f>'FY2006'!G49</f>
        <v>138.58434256502733</v>
      </c>
      <c r="K9" s="20">
        <f>'FY2005'!G49</f>
        <v>6855.9830364753325</v>
      </c>
      <c r="L9" s="20">
        <f>'FY2004'!G49</f>
        <v>-6606.611181412205</v>
      </c>
      <c r="M9" s="20">
        <f>'FY2003'!G49</f>
        <v>-103.90185515768098</v>
      </c>
      <c r="N9" s="20">
        <f>'FY2002'!G49</f>
        <v>-9059.0327270862363</v>
      </c>
      <c r="O9" s="20">
        <f>'FY2001'!G49</f>
        <v>4.8432786116245552</v>
      </c>
      <c r="P9" s="20">
        <f>'FY2000'!G49</f>
        <v>2437.0678988125946</v>
      </c>
      <c r="Q9" s="20">
        <f>'FY1999'!G49</f>
        <v>2979.6588582260374</v>
      </c>
      <c r="R9" s="20">
        <f>'FY1998'!G49</f>
        <v>-2280.5590366018296</v>
      </c>
      <c r="S9" s="20">
        <f>'FY1997'!G49</f>
        <v>-8128.097182708123</v>
      </c>
      <c r="T9" s="20">
        <f>'FY1996'!G49</f>
        <v>-4010.3400132958632</v>
      </c>
      <c r="U9" s="20">
        <f>'FY1995'!G49</f>
        <v>-2.6522205459987163</v>
      </c>
    </row>
    <row r="10" spans="1:21" x14ac:dyDescent="0.25">
      <c r="A10" s="20"/>
      <c r="B10" s="7" t="s">
        <v>12</v>
      </c>
      <c r="C10" s="8">
        <f t="shared" si="0"/>
        <v>342003.19586752681</v>
      </c>
      <c r="D10" s="20">
        <f>'FY2012'!G50</f>
        <v>4237.915324534275</v>
      </c>
      <c r="E10" s="20">
        <f>'FY2011'!G50</f>
        <v>-13347.060517294682</v>
      </c>
      <c r="F10" s="20">
        <f>'FY2010'!G50</f>
        <v>-1033.5476622889328</v>
      </c>
      <c r="G10" s="20">
        <f>'FY2009'!G50</f>
        <v>16607.426004109933</v>
      </c>
      <c r="H10" s="20">
        <f>'FY2008'!G50</f>
        <v>11241.452928655955</v>
      </c>
      <c r="I10" s="20">
        <f>'FY2007'!G50</f>
        <v>67776.066583147564</v>
      </c>
      <c r="J10" s="20">
        <f>'FY2006'!G50</f>
        <v>28428.808209318951</v>
      </c>
      <c r="K10" s="20">
        <f>'FY2005'!G50</f>
        <v>9455.4910953364524</v>
      </c>
      <c r="L10" s="20">
        <f>'FY2004'!G50</f>
        <v>-6748.4034820279048</v>
      </c>
      <c r="M10" s="20">
        <f>'FY2003'!G50</f>
        <v>-13423.814387154358</v>
      </c>
      <c r="N10" s="20">
        <f>'FY2002'!G50</f>
        <v>132940.37396485708</v>
      </c>
      <c r="O10" s="20">
        <f>'FY2001'!G50</f>
        <v>4.4333382967597572</v>
      </c>
      <c r="P10" s="20">
        <f>'FY2000'!G50</f>
        <v>2290.4644645436201</v>
      </c>
      <c r="Q10" s="20">
        <f>'FY1999'!G50</f>
        <v>2690.3448098990193</v>
      </c>
      <c r="R10" s="20">
        <f>'FY1998'!G50</f>
        <v>43913.146410086454</v>
      </c>
      <c r="S10" s="20">
        <f>'FY1997'!G50</f>
        <v>59362.345390520939</v>
      </c>
      <c r="T10" s="20">
        <f>'FY1996'!G50</f>
        <v>-2811.9689176756874</v>
      </c>
      <c r="U10" s="20">
        <f>'FY1995'!G50</f>
        <v>419.72231066136737</v>
      </c>
    </row>
    <row r="11" spans="1:21" x14ac:dyDescent="0.25">
      <c r="A11" s="20"/>
      <c r="B11" s="7" t="s">
        <v>22</v>
      </c>
      <c r="C11" s="8">
        <f t="shared" si="0"/>
        <v>-70470.974874171807</v>
      </c>
      <c r="D11" s="20">
        <f>'FY2012'!G51</f>
        <v>-1026</v>
      </c>
      <c r="E11" s="20">
        <f>'FY2011'!G51</f>
        <v>-703.24328111360046</v>
      </c>
      <c r="F11" s="20">
        <f>'FY2010'!G51</f>
        <v>-1118.9908577924452</v>
      </c>
      <c r="G11" s="20">
        <f>'FY2009'!G51</f>
        <v>435.38836238664794</v>
      </c>
      <c r="H11" s="20">
        <f>'FY2008'!G51</f>
        <v>-1772.6662148386863</v>
      </c>
      <c r="I11" s="20">
        <f>'FY2007'!G51</f>
        <v>2355.8061462340097</v>
      </c>
      <c r="J11" s="20">
        <f>'FY2006'!G51</f>
        <v>2830.6063545311827</v>
      </c>
      <c r="K11" s="20">
        <f>'FY2005'!G51</f>
        <v>-71262.025394110184</v>
      </c>
      <c r="L11" s="20">
        <f>'FY2004'!G51</f>
        <v>-209.84998946872929</v>
      </c>
      <c r="M11" s="20">
        <f>'FY2003'!G51</f>
        <v>0</v>
      </c>
      <c r="N11" s="20">
        <f>'FY2002'!G51</f>
        <v>0</v>
      </c>
      <c r="O11" s="20">
        <f>'FY2001'!G51</f>
        <v>0</v>
      </c>
      <c r="P11" s="20">
        <f>'FY2000'!G51</f>
        <v>0</v>
      </c>
      <c r="Q11" s="20">
        <f>'FY1999'!G51</f>
        <v>0</v>
      </c>
      <c r="R11" s="20">
        <f>'FY1998'!G51</f>
        <v>0</v>
      </c>
      <c r="S11" s="20">
        <f>'FY1997'!G51</f>
        <v>0</v>
      </c>
      <c r="T11" s="20">
        <f>'FY1996'!G51</f>
        <v>0</v>
      </c>
      <c r="U11" s="20">
        <f>'FY1995'!G51</f>
        <v>0</v>
      </c>
    </row>
    <row r="12" spans="1:21" x14ac:dyDescent="0.25">
      <c r="A12" s="20"/>
      <c r="B12" s="7" t="s">
        <v>21</v>
      </c>
      <c r="C12" s="8">
        <f t="shared" si="0"/>
        <v>1360.9068657300095</v>
      </c>
      <c r="D12" s="20">
        <f>'FY2012'!G52</f>
        <v>1037.321840946877</v>
      </c>
      <c r="E12" s="20">
        <f>'FY2011'!G52</f>
        <v>0</v>
      </c>
      <c r="F12" s="20">
        <f>'FY2010'!G52</f>
        <v>0</v>
      </c>
      <c r="G12" s="20">
        <f>'FY2009'!G52</f>
        <v>0</v>
      </c>
      <c r="H12" s="20">
        <f>'FY2008'!G52</f>
        <v>0</v>
      </c>
      <c r="I12" s="20">
        <f>'FY2007'!G52</f>
        <v>0</v>
      </c>
      <c r="J12" s="20">
        <f>'FY2006'!G52</f>
        <v>0</v>
      </c>
      <c r="K12" s="20">
        <f>'FY2005'!G52</f>
        <v>139.83337798058301</v>
      </c>
      <c r="L12" s="20">
        <f>'FY2004'!G52</f>
        <v>183.75164680254954</v>
      </c>
      <c r="M12" s="20">
        <f>'FY2003'!G52</f>
        <v>0</v>
      </c>
      <c r="N12" s="20">
        <f>'FY2002'!G52</f>
        <v>0</v>
      </c>
      <c r="O12" s="20">
        <f>'FY2001'!G52</f>
        <v>0</v>
      </c>
      <c r="P12" s="20">
        <f>'FY2000'!G52</f>
        <v>0</v>
      </c>
      <c r="Q12" s="20">
        <f>'FY1999'!G52</f>
        <v>0</v>
      </c>
      <c r="R12" s="20">
        <f>'FY1998'!G52</f>
        <v>0</v>
      </c>
      <c r="S12" s="20">
        <f>'FY1997'!G52</f>
        <v>0</v>
      </c>
      <c r="T12" s="20">
        <f>'FY1996'!G52</f>
        <v>0</v>
      </c>
      <c r="U12" s="20">
        <f>'FY1995'!G52</f>
        <v>0</v>
      </c>
    </row>
    <row r="13" spans="1:21" x14ac:dyDescent="0.25">
      <c r="A13" s="20"/>
      <c r="B13" s="7" t="s">
        <v>13</v>
      </c>
      <c r="C13" s="8">
        <f t="shared" si="0"/>
        <v>15193.837478296289</v>
      </c>
      <c r="D13" s="20">
        <f>'FY2012'!G53</f>
        <v>6053.1694520820602</v>
      </c>
      <c r="E13" s="20">
        <f>'FY2011'!G53</f>
        <v>-16467.428061075727</v>
      </c>
      <c r="F13" s="20">
        <f>'FY2010'!G53</f>
        <v>-1003.1388944669525</v>
      </c>
      <c r="G13" s="20">
        <f>'FY2009'!G53</f>
        <v>11753.850626130275</v>
      </c>
      <c r="H13" s="20">
        <f>'FY2008'!G53</f>
        <v>8020.3635167194952</v>
      </c>
      <c r="I13" s="20">
        <f>'FY2007'!G53</f>
        <v>35874.193619684593</v>
      </c>
      <c r="J13" s="20">
        <f>'FY2006'!G53</f>
        <v>-16759.251901925916</v>
      </c>
      <c r="K13" s="20">
        <f>'FY2005'!G53</f>
        <v>7267.1825820851445</v>
      </c>
      <c r="L13" s="20">
        <f>'FY2004'!G53</f>
        <v>-4242.6479225233197</v>
      </c>
      <c r="M13" s="20">
        <f>'FY2003'!G53</f>
        <v>589.64963413432997</v>
      </c>
      <c r="N13" s="20">
        <f>'FY2002'!G53</f>
        <v>-3448.0593411745904</v>
      </c>
      <c r="O13" s="20">
        <f>'FY2001'!G53</f>
        <v>3.3273887596660643</v>
      </c>
      <c r="P13" s="20">
        <f>'FY2000'!G53</f>
        <v>1862.841334700679</v>
      </c>
      <c r="Q13" s="20">
        <f>'FY1999'!G53</f>
        <v>3680.2500284390699</v>
      </c>
      <c r="R13" s="20">
        <f>'FY1998'!G53</f>
        <v>-2464.6881521825999</v>
      </c>
      <c r="S13" s="20">
        <f>'FY1997'!G53</f>
        <v>-7198.8816199006105</v>
      </c>
      <c r="T13" s="20">
        <f>'FY1996'!G53</f>
        <v>-3465.7179205587563</v>
      </c>
      <c r="U13" s="20">
        <f>'FY1995'!G53</f>
        <v>-4861.1768906305442</v>
      </c>
    </row>
    <row r="14" spans="1:21" x14ac:dyDescent="0.25">
      <c r="A14" s="20"/>
      <c r="B14" s="7" t="s">
        <v>14</v>
      </c>
      <c r="C14" s="8">
        <f t="shared" si="0"/>
        <v>19887.976015407861</v>
      </c>
      <c r="D14" s="20">
        <f>'FY2012'!G54</f>
        <v>2451.9994448832113</v>
      </c>
      <c r="E14" s="20">
        <f>'FY2011'!G54</f>
        <v>-5939.2125416926374</v>
      </c>
      <c r="F14" s="20">
        <f>'FY2010'!G54</f>
        <v>-405.28446735239413</v>
      </c>
      <c r="G14" s="20">
        <f>'FY2009'!G54</f>
        <v>5133.1008395970239</v>
      </c>
      <c r="H14" s="20">
        <f>'FY2008'!G54</f>
        <v>1825.4048884610638</v>
      </c>
      <c r="I14" s="20">
        <f>'FY2007'!G54</f>
        <v>10493.486363187101</v>
      </c>
      <c r="J14" s="20">
        <f>'FY2006'!G54</f>
        <v>-517.81870898108718</v>
      </c>
      <c r="K14" s="20">
        <f>'FY2005'!G54</f>
        <v>9200.9659736089852</v>
      </c>
      <c r="L14" s="20">
        <f>'FY2004'!G54</f>
        <v>-1338.8017943159139</v>
      </c>
      <c r="M14" s="20">
        <f>'FY2003'!G54</f>
        <v>300.65537229293477</v>
      </c>
      <c r="N14" s="20">
        <f>'FY2002'!G54</f>
        <v>-1061.0830443608302</v>
      </c>
      <c r="O14" s="20">
        <f>'FY2001'!G54</f>
        <v>1.8203745560604148</v>
      </c>
      <c r="P14" s="20">
        <f>'FY2000'!G54</f>
        <v>677.66532726751575</v>
      </c>
      <c r="Q14" s="20">
        <f>'FY1999'!G54</f>
        <v>740.40015119188683</v>
      </c>
      <c r="R14" s="20">
        <f>'FY1998'!G54</f>
        <v>-68.978288352411255</v>
      </c>
      <c r="S14" s="20">
        <f>'FY1997'!G54</f>
        <v>-1075.5674786084637</v>
      </c>
      <c r="T14" s="20">
        <f>'FY1996'!G54</f>
        <v>-357.03539482685301</v>
      </c>
      <c r="U14" s="20">
        <f>'FY1995'!G54</f>
        <v>-173.74100114733301</v>
      </c>
    </row>
    <row r="15" spans="1:21" x14ac:dyDescent="0.25">
      <c r="A15" s="20"/>
      <c r="B15" s="7" t="s">
        <v>15</v>
      </c>
      <c r="C15" s="8">
        <f t="shared" si="0"/>
        <v>506792.52536716813</v>
      </c>
      <c r="D15" s="20">
        <f>'FY2012'!G55</f>
        <v>12038.560025946077</v>
      </c>
      <c r="E15" s="20">
        <f>'FY2011'!G55</f>
        <v>-15598.414074228422</v>
      </c>
      <c r="F15" s="20">
        <f>'FY2010'!G55</f>
        <v>11394.432766642312</v>
      </c>
      <c r="G15" s="20">
        <f>'FY2009'!G55</f>
        <v>45753.341712686175</v>
      </c>
      <c r="H15" s="20">
        <f>'FY2008'!G55</f>
        <v>54224.541014830742</v>
      </c>
      <c r="I15" s="20">
        <f>'FY2007'!G55</f>
        <v>154965.13914250204</v>
      </c>
      <c r="J15" s="20">
        <f>'FY2006'!G55</f>
        <v>12284.279755307653</v>
      </c>
      <c r="K15" s="20">
        <f>'FY2005'!G55</f>
        <v>41542.050042260089</v>
      </c>
      <c r="L15" s="20">
        <f>'FY2004'!G55</f>
        <v>64673.002119003853</v>
      </c>
      <c r="M15" s="20">
        <f>'FY2003'!G55</f>
        <v>1170.2654782700265</v>
      </c>
      <c r="N15" s="20">
        <f>'FY2002'!G55</f>
        <v>-1838.6988811100091</v>
      </c>
      <c r="O15" s="20">
        <f>'FY2001'!G55</f>
        <v>8.3708839021710446</v>
      </c>
      <c r="P15" s="20">
        <f>'FY2000'!G55</f>
        <v>3761.1741318046988</v>
      </c>
      <c r="Q15" s="20">
        <f>'FY1999'!G55</f>
        <v>6203.0208369897737</v>
      </c>
      <c r="R15" s="20">
        <f>'FY1998'!G55</f>
        <v>-50196.021020921398</v>
      </c>
      <c r="S15" s="20">
        <f>'FY1997'!G55</f>
        <v>89252.384757473337</v>
      </c>
      <c r="T15" s="20">
        <f>'FY1996'!G55</f>
        <v>77980.59213446638</v>
      </c>
      <c r="U15" s="20">
        <f>'FY1995'!G55</f>
        <v>-825.49545865741675</v>
      </c>
    </row>
    <row r="16" spans="1:21" x14ac:dyDescent="0.25">
      <c r="A16" s="20"/>
      <c r="B16" s="7" t="s">
        <v>16</v>
      </c>
      <c r="C16" s="8">
        <f t="shared" si="0"/>
        <v>-1262945.093196379</v>
      </c>
      <c r="D16" s="20">
        <f>'FY2012'!G56</f>
        <v>53094.571966116288</v>
      </c>
      <c r="E16" s="20">
        <f>'FY2011'!G56</f>
        <v>89411.110434758841</v>
      </c>
      <c r="F16" s="20">
        <f>'FY2010'!G56</f>
        <v>-3881.3151365936646</v>
      </c>
      <c r="G16" s="20">
        <f>'FY2009'!G56</f>
        <v>-193038.95628780712</v>
      </c>
      <c r="H16" s="20">
        <f>'FY2008'!G56</f>
        <v>-133600.83117717656</v>
      </c>
      <c r="I16" s="20">
        <f>'FY2007'!G56</f>
        <v>-672454.8080985815</v>
      </c>
      <c r="J16" s="20">
        <f>'FY2006'!G56</f>
        <v>-131865.90654623703</v>
      </c>
      <c r="K16" s="20">
        <f>'FY2005'!G56</f>
        <v>-82252.347125972883</v>
      </c>
      <c r="L16" s="20">
        <f>'FY2004'!G56</f>
        <v>-3694.8347399205377</v>
      </c>
      <c r="M16" s="20">
        <f>'FY2003'!G56</f>
        <v>2691.9723081172851</v>
      </c>
      <c r="N16" s="20">
        <f>'FY2002'!G56</f>
        <v>-64227.711939563742</v>
      </c>
      <c r="O16" s="20">
        <f>'FY2001'!G56</f>
        <v>18.068391186941881</v>
      </c>
      <c r="P16" s="20">
        <f>'FY2000'!G56</f>
        <v>8687.7923553335422</v>
      </c>
      <c r="Q16" s="20">
        <f>'FY1999'!G56</f>
        <v>-45189.299157027446</v>
      </c>
      <c r="R16" s="20">
        <f>'FY1998'!G56</f>
        <v>75657.065303730778</v>
      </c>
      <c r="S16" s="20">
        <f>'FY1997'!G56</f>
        <v>-109581.46854363554</v>
      </c>
      <c r="T16" s="20">
        <f>'FY1996'!G56</f>
        <v>-29555.877064871835</v>
      </c>
      <c r="U16" s="20">
        <f>'FY1995'!G56</f>
        <v>-23162.318138234754</v>
      </c>
    </row>
    <row r="17" spans="1:21" x14ac:dyDescent="0.25">
      <c r="A17" s="20"/>
      <c r="B17" s="7" t="s">
        <v>17</v>
      </c>
      <c r="C17" s="8">
        <f t="shared" si="0"/>
        <v>40976.461157133963</v>
      </c>
      <c r="D17" s="20">
        <f>'FY2012'!G57</f>
        <v>22919.746346826189</v>
      </c>
      <c r="E17" s="20">
        <f>'FY2011'!G57</f>
        <v>-7974.3110570243971</v>
      </c>
      <c r="F17" s="20">
        <f>'FY2010'!G57</f>
        <v>-507.60404304552139</v>
      </c>
      <c r="G17" s="20">
        <f>'FY2009'!G57</f>
        <v>5743.6823381501308</v>
      </c>
      <c r="H17" s="20">
        <f>'FY2008'!G57</f>
        <v>7379.5222650060859</v>
      </c>
      <c r="I17" s="20">
        <f>'FY2007'!G57</f>
        <v>13614.69073274067</v>
      </c>
      <c r="J17" s="20">
        <f>'FY2006'!G57</f>
        <v>3229.2153300456121</v>
      </c>
      <c r="K17" s="20">
        <f>'FY2005'!G57</f>
        <v>4270.8365225527014</v>
      </c>
      <c r="L17" s="20">
        <f>'FY2004'!G57</f>
        <v>2054.0609081988696</v>
      </c>
      <c r="M17" s="20">
        <f>'FY2003'!G57</f>
        <v>624.20758030309662</v>
      </c>
      <c r="N17" s="20">
        <f>'FY2002'!G57</f>
        <v>-3086.4451539153561</v>
      </c>
      <c r="O17" s="20">
        <f>'FY2001'!G57</f>
        <v>6.9808382210721902</v>
      </c>
      <c r="P17" s="20">
        <f>'FY2000'!G57</f>
        <v>1060.0008046894509</v>
      </c>
      <c r="Q17" s="20">
        <f>'FY1999'!G57</f>
        <v>1978.3310234985256</v>
      </c>
      <c r="R17" s="20">
        <f>'FY1998'!G57</f>
        <v>-1632.1873205364682</v>
      </c>
      <c r="S17" s="20">
        <f>'FY1997'!G57</f>
        <v>-4895.3740528696908</v>
      </c>
      <c r="T17" s="20">
        <f>'FY1996'!G57</f>
        <v>-2678.4609730100383</v>
      </c>
      <c r="U17" s="20">
        <f>'FY1995'!G57</f>
        <v>-1130.4309326969669</v>
      </c>
    </row>
    <row r="18" spans="1:21" x14ac:dyDescent="0.25">
      <c r="A18" s="20"/>
      <c r="B18" s="7" t="s">
        <v>18</v>
      </c>
      <c r="C18" s="8">
        <f t="shared" si="0"/>
        <v>258157.28746037232</v>
      </c>
      <c r="D18" s="20">
        <f>'FY2012'!G58</f>
        <v>20553.50159332226</v>
      </c>
      <c r="E18" s="20">
        <f>'FY2011'!G58</f>
        <v>-53440.955769793392</v>
      </c>
      <c r="F18" s="20">
        <f>'FY2010'!G58</f>
        <v>-2881.5125214399886</v>
      </c>
      <c r="G18" s="20">
        <f>'FY2009'!G58</f>
        <v>37049.829880707359</v>
      </c>
      <c r="H18" s="20">
        <f>'FY2008'!G58</f>
        <v>18748.8172180611</v>
      </c>
      <c r="I18" s="20">
        <f>'FY2007'!G58</f>
        <v>134380.45055289951</v>
      </c>
      <c r="J18" s="20">
        <f>'FY2006'!G58</f>
        <v>109303.33008188877</v>
      </c>
      <c r="K18" s="20">
        <f>'FY2005'!G58</f>
        <v>24346.205827084399</v>
      </c>
      <c r="L18" s="20">
        <f>'FY2004'!G58</f>
        <v>-14803.156597459703</v>
      </c>
      <c r="M18" s="20">
        <f>'FY2003'!G58</f>
        <v>3926.7680224899668</v>
      </c>
      <c r="N18" s="20">
        <f>'FY2002'!G58</f>
        <v>-6163.1943654880452</v>
      </c>
      <c r="O18" s="20">
        <f>'FY2001'!G58</f>
        <v>13.595303366048029</v>
      </c>
      <c r="P18" s="20">
        <f>'FY2000'!G58</f>
        <v>7579.1714545410068</v>
      </c>
      <c r="Q18" s="20">
        <f>'FY1999'!G58</f>
        <v>8668.8644607028982</v>
      </c>
      <c r="R18" s="20">
        <f>'FY1998'!G58</f>
        <v>3847.6442833260517</v>
      </c>
      <c r="S18" s="20">
        <f>'FY1997'!G58</f>
        <v>-22506.807521380222</v>
      </c>
      <c r="T18" s="20">
        <f>'FY1996'!G58</f>
        <v>-10896.315300057104</v>
      </c>
      <c r="U18" s="20">
        <f>'FY1995'!G58</f>
        <v>431.05085760127986</v>
      </c>
    </row>
    <row r="19" spans="1:21" x14ac:dyDescent="0.25">
      <c r="A19" s="20"/>
      <c r="B19" s="7" t="s">
        <v>24</v>
      </c>
      <c r="C19" s="34">
        <f>SUM(C5:C18)</f>
        <v>-5.2386894822120667E-10</v>
      </c>
      <c r="D19" s="20">
        <f>SUM(D5:D18)</f>
        <v>-1.8553691916167736E-10</v>
      </c>
      <c r="E19" s="20">
        <f t="shared" ref="E19:U19" si="1">SUM(E5:E18)</f>
        <v>-1.1641532182693481E-10</v>
      </c>
      <c r="F19" s="20">
        <f t="shared" si="1"/>
        <v>1.0368239600211382E-10</v>
      </c>
      <c r="G19" s="20">
        <f t="shared" si="1"/>
        <v>-1.6007106751203537E-10</v>
      </c>
      <c r="H19" s="20">
        <f t="shared" si="1"/>
        <v>-5.2750692702829838E-10</v>
      </c>
      <c r="I19" s="20">
        <f t="shared" si="1"/>
        <v>0</v>
      </c>
      <c r="J19" s="20">
        <f t="shared" si="1"/>
        <v>0</v>
      </c>
      <c r="K19" s="20">
        <f t="shared" si="1"/>
        <v>-5.3114490583539009E-10</v>
      </c>
      <c r="L19" s="20">
        <f t="shared" si="1"/>
        <v>-6.9121597334742546E-11</v>
      </c>
      <c r="M19" s="20">
        <f t="shared" si="1"/>
        <v>-2.382876118645072E-10</v>
      </c>
      <c r="N19" s="20">
        <f t="shared" si="1"/>
        <v>6.9485395215451717E-10</v>
      </c>
      <c r="O19" s="20">
        <f t="shared" si="1"/>
        <v>6.9121597334742546E-11</v>
      </c>
      <c r="P19" s="20">
        <f t="shared" si="1"/>
        <v>5.893525667488575E-10</v>
      </c>
      <c r="Q19" s="20">
        <f t="shared" si="1"/>
        <v>-7.5669959187507629E-10</v>
      </c>
      <c r="R19" s="20">
        <f t="shared" si="1"/>
        <v>2.0372681319713593E-10</v>
      </c>
      <c r="S19" s="20">
        <f t="shared" si="1"/>
        <v>-1.2732925824820995E-10</v>
      </c>
      <c r="T19" s="20">
        <f t="shared" si="1"/>
        <v>2.3646862246096134E-10</v>
      </c>
      <c r="U19" s="20">
        <f t="shared" si="1"/>
        <v>3.2741809263825417E-11</v>
      </c>
    </row>
    <row r="21" spans="1:21" x14ac:dyDescent="0.25">
      <c r="A21" s="20"/>
      <c r="B21" t="s">
        <v>183</v>
      </c>
      <c r="C21" s="8">
        <f>SUM(D21:U21)</f>
        <v>110345772.46000001</v>
      </c>
      <c r="D21" s="8">
        <f>'FY2012'!G21</f>
        <v>4336397</v>
      </c>
      <c r="E21" s="8">
        <f>'FY2011'!G21</f>
        <v>5604514</v>
      </c>
      <c r="F21" s="8">
        <f>'FY2010'!G21</f>
        <v>3922614.31</v>
      </c>
      <c r="G21" s="8">
        <f>'FY2009'!G21</f>
        <v>4319288</v>
      </c>
      <c r="H21" s="8">
        <f>'FY2008'!G21</f>
        <v>6344458</v>
      </c>
      <c r="I21" s="8">
        <f>'FY2007'!G21</f>
        <v>7948676.5999999996</v>
      </c>
      <c r="J21" s="8">
        <f>'FY2006'!G21</f>
        <v>4266592</v>
      </c>
      <c r="K21" s="8">
        <f>'FY2005'!G21</f>
        <v>4923998.55</v>
      </c>
      <c r="L21" s="8">
        <f>'FY2004'!G21</f>
        <v>6003344.3700000001</v>
      </c>
      <c r="M21" s="8">
        <f>'FY2003'!G21</f>
        <v>5823350</v>
      </c>
      <c r="N21" s="8">
        <f>'FY2002'!G21</f>
        <v>8797312.2400000002</v>
      </c>
      <c r="O21" s="8">
        <f>'FY2001'!G21</f>
        <v>8382005.96</v>
      </c>
      <c r="P21" s="8">
        <f>'FY2000'!G21</f>
        <v>7139158.5300000003</v>
      </c>
      <c r="Q21" s="8">
        <f>'FY1999'!G21</f>
        <v>7223632</v>
      </c>
      <c r="R21" s="8">
        <f>'FY1998'!G21</f>
        <v>8885609.9000000004</v>
      </c>
      <c r="S21" s="8">
        <f>'FY1997'!G21</f>
        <v>7099999</v>
      </c>
      <c r="T21" s="8">
        <f>'FY1996'!G21</f>
        <v>5204206</v>
      </c>
      <c r="U21" s="8">
        <f>'FY1995'!G21</f>
        <v>4120616</v>
      </c>
    </row>
    <row r="23" spans="1:21" x14ac:dyDescent="0.25">
      <c r="A23" s="33"/>
      <c r="C23" s="33"/>
    </row>
  </sheetData>
  <sheetProtection algorithmName="SHA-512" hashValue="fYSjmJtLMTKKC8Sqj260HqSbC6SY3d3xYvXpblJD6LX9bTOEvkd32uDk6ZXml9yN4wTbxosv2h9km2b5sdF2PQ==" saltValue="g8csvHBP1uQrR9UIJDm37Q==" spinCount="100000" sheet="1" objects="1" scenarios="1"/>
  <phoneticPr fontId="3" type="noConversion"/>
  <pageMargins left="0.7" right="0.7" top="0.75" bottom="0.75" header="0.3" footer="0.3"/>
  <pageSetup orientation="portrait" horizontalDpi="90" verticalDpi="9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2761B-6B4C-4532-B15C-6D0B72736A29}">
  <dimension ref="B2:Q59"/>
  <sheetViews>
    <sheetView zoomScaleNormal="100" workbookViewId="0">
      <selection activeCell="B3" sqref="B3"/>
    </sheetView>
  </sheetViews>
  <sheetFormatPr defaultColWidth="9.140625" defaultRowHeight="15" x14ac:dyDescent="0.25"/>
  <cols>
    <col min="1" max="2" width="9.140625" style="12"/>
    <col min="3" max="3" width="13.42578125" style="12" bestFit="1" customWidth="1"/>
    <col min="4" max="4" width="13.140625" style="12" customWidth="1"/>
    <col min="5" max="5" width="13.42578125" style="12" bestFit="1" customWidth="1"/>
    <col min="6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77</v>
      </c>
      <c r="C2" s="44"/>
      <c r="D2" s="44"/>
      <c r="E2" s="44"/>
      <c r="F2" s="44"/>
      <c r="G2" s="44"/>
      <c r="H2" s="11"/>
      <c r="I2" s="44" t="s">
        <v>78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151</v>
      </c>
      <c r="K3" s="13"/>
      <c r="L3" s="13" t="s">
        <v>3</v>
      </c>
      <c r="M3" s="13"/>
      <c r="N3" s="13" t="s">
        <v>4</v>
      </c>
      <c r="O3" s="13"/>
      <c r="P3" s="13" t="s">
        <v>152</v>
      </c>
      <c r="Q3" s="13"/>
    </row>
    <row r="4" spans="2:17" x14ac:dyDescent="0.25">
      <c r="B4" s="12" t="s">
        <v>7</v>
      </c>
      <c r="C4" s="3">
        <v>27482</v>
      </c>
      <c r="D4" s="5">
        <v>26080</v>
      </c>
      <c r="E4" s="5">
        <v>26170</v>
      </c>
      <c r="F4" s="5">
        <v>54434</v>
      </c>
      <c r="G4" s="5">
        <f t="shared" ref="G4:G20" si="0">C4+D4+E4+F4</f>
        <v>134166</v>
      </c>
      <c r="I4" s="12" t="s">
        <v>7</v>
      </c>
      <c r="J4" s="3">
        <v>3321425.0700000003</v>
      </c>
      <c r="K4" s="14"/>
      <c r="L4" s="3">
        <v>3090429.73</v>
      </c>
      <c r="M4" s="14"/>
      <c r="N4" s="3">
        <v>2679457.1633333336</v>
      </c>
      <c r="O4" s="14"/>
      <c r="P4" s="3">
        <v>3729561.7450000001</v>
      </c>
      <c r="Q4" s="14"/>
    </row>
    <row r="5" spans="2:17" x14ac:dyDescent="0.25">
      <c r="B5" s="12" t="s">
        <v>8</v>
      </c>
      <c r="C5" s="3">
        <v>69421</v>
      </c>
      <c r="D5" s="3">
        <v>98400</v>
      </c>
      <c r="E5" s="3">
        <v>120637</v>
      </c>
      <c r="F5" s="3">
        <v>189547</v>
      </c>
      <c r="G5" s="5">
        <f t="shared" si="0"/>
        <v>478005</v>
      </c>
      <c r="I5" s="12" t="s">
        <v>8</v>
      </c>
      <c r="J5" s="3">
        <v>8491416.7699999996</v>
      </c>
      <c r="K5" s="14"/>
      <c r="L5" s="3">
        <v>11676109.603333334</v>
      </c>
      <c r="M5" s="14"/>
      <c r="N5" s="3">
        <v>12351698.326666668</v>
      </c>
      <c r="O5" s="14"/>
      <c r="P5" s="3">
        <v>12986795.51</v>
      </c>
      <c r="Q5" s="14"/>
    </row>
    <row r="6" spans="2:17" x14ac:dyDescent="0.25">
      <c r="B6" s="12" t="s">
        <v>9</v>
      </c>
      <c r="C6" s="3">
        <v>51067</v>
      </c>
      <c r="D6" s="3">
        <v>56960</v>
      </c>
      <c r="E6" s="3">
        <v>94728</v>
      </c>
      <c r="F6" s="3">
        <v>183066</v>
      </c>
      <c r="G6" s="5">
        <f t="shared" si="0"/>
        <v>385821</v>
      </c>
      <c r="I6" s="12" t="s">
        <v>9</v>
      </c>
      <c r="J6" s="3">
        <v>6517582.8700000001</v>
      </c>
      <c r="K6" s="14"/>
      <c r="L6" s="3">
        <v>6756654.9700000016</v>
      </c>
      <c r="M6" s="14"/>
      <c r="N6" s="3">
        <v>9698915.7333333343</v>
      </c>
      <c r="O6" s="14"/>
      <c r="P6" s="3">
        <v>12542763.510000002</v>
      </c>
      <c r="Q6" s="14"/>
    </row>
    <row r="7" spans="2:17" x14ac:dyDescent="0.25">
      <c r="B7" s="12" t="s">
        <v>10</v>
      </c>
      <c r="C7" s="3">
        <v>33027</v>
      </c>
      <c r="D7" s="3">
        <v>28400</v>
      </c>
      <c r="E7" s="3">
        <v>14327</v>
      </c>
      <c r="F7" s="3">
        <v>88991</v>
      </c>
      <c r="G7" s="5">
        <f t="shared" si="0"/>
        <v>164745</v>
      </c>
      <c r="I7" s="12" t="s">
        <v>10</v>
      </c>
      <c r="J7" s="3">
        <v>3993759.15</v>
      </c>
      <c r="K7" s="14"/>
      <c r="L7" s="3">
        <v>3369320.3933333331</v>
      </c>
      <c r="M7" s="14"/>
      <c r="N7" s="3">
        <v>4475398.47</v>
      </c>
      <c r="O7" s="14"/>
      <c r="P7" s="3">
        <v>6097491.5700000003</v>
      </c>
      <c r="Q7" s="14"/>
    </row>
    <row r="8" spans="2:17" x14ac:dyDescent="0.25">
      <c r="B8" s="12" t="s">
        <v>11</v>
      </c>
      <c r="C8" s="3">
        <v>39206</v>
      </c>
      <c r="D8" s="3">
        <v>41520</v>
      </c>
      <c r="E8" s="3">
        <v>43652</v>
      </c>
      <c r="F8" s="3">
        <v>82166</v>
      </c>
      <c r="G8" s="5">
        <f t="shared" si="0"/>
        <v>206544</v>
      </c>
      <c r="I8" s="12" t="s">
        <v>11</v>
      </c>
      <c r="J8" s="3">
        <v>4806598.5049999999</v>
      </c>
      <c r="K8" s="14"/>
      <c r="L8" s="3">
        <v>4920766.4066666672</v>
      </c>
      <c r="M8" s="14"/>
      <c r="N8" s="3">
        <v>4469463.3</v>
      </c>
      <c r="O8" s="14"/>
      <c r="P8" s="3">
        <v>5629603.2850000001</v>
      </c>
      <c r="Q8" s="14"/>
    </row>
    <row r="9" spans="2:17" x14ac:dyDescent="0.25">
      <c r="B9" s="12" t="s">
        <v>12</v>
      </c>
      <c r="C9" s="3">
        <v>50258</v>
      </c>
      <c r="D9" s="3">
        <v>57840</v>
      </c>
      <c r="E9" s="3">
        <v>62325</v>
      </c>
      <c r="F9" s="3">
        <v>101980</v>
      </c>
      <c r="G9" s="5">
        <f t="shared" si="0"/>
        <v>272403</v>
      </c>
      <c r="I9" s="12" t="s">
        <v>12</v>
      </c>
      <c r="J9" s="3">
        <v>6233120.0599999996</v>
      </c>
      <c r="K9" s="14"/>
      <c r="L9" s="3">
        <v>6859273.8933333335</v>
      </c>
      <c r="M9" s="14"/>
      <c r="N9" s="3">
        <v>6381224.5300000003</v>
      </c>
      <c r="O9" s="14"/>
      <c r="P9" s="3">
        <v>6987216.3149999995</v>
      </c>
      <c r="Q9" s="14"/>
    </row>
    <row r="10" spans="2:17" x14ac:dyDescent="0.25">
      <c r="B10" s="12" t="s">
        <v>22</v>
      </c>
      <c r="C10" s="3">
        <v>0</v>
      </c>
      <c r="D10" s="3">
        <v>0</v>
      </c>
      <c r="E10" s="3">
        <v>0</v>
      </c>
      <c r="F10" s="3">
        <v>0</v>
      </c>
      <c r="G10" s="5">
        <f t="shared" si="0"/>
        <v>0</v>
      </c>
      <c r="I10" s="12" t="s">
        <v>22</v>
      </c>
      <c r="J10" s="3">
        <v>0</v>
      </c>
      <c r="K10" s="14"/>
      <c r="L10" s="3">
        <v>0</v>
      </c>
      <c r="M10" s="14"/>
      <c r="N10" s="3">
        <v>0</v>
      </c>
      <c r="O10" s="14"/>
      <c r="P10" s="3">
        <v>0</v>
      </c>
      <c r="Q10" s="14"/>
    </row>
    <row r="11" spans="2:17" x14ac:dyDescent="0.25">
      <c r="B11" s="12" t="s">
        <v>21</v>
      </c>
      <c r="C11" s="3">
        <v>0</v>
      </c>
      <c r="D11" s="3">
        <v>0</v>
      </c>
      <c r="E11" s="3">
        <v>0</v>
      </c>
      <c r="F11" s="3">
        <v>0</v>
      </c>
      <c r="G11" s="5">
        <f t="shared" si="0"/>
        <v>0</v>
      </c>
      <c r="I11" s="12" t="s">
        <v>21</v>
      </c>
      <c r="J11" s="3">
        <v>0</v>
      </c>
      <c r="K11" s="14"/>
      <c r="L11" s="3">
        <v>0</v>
      </c>
      <c r="M11" s="14"/>
      <c r="N11" s="3">
        <v>0</v>
      </c>
      <c r="O11" s="14"/>
      <c r="P11" s="3">
        <v>0</v>
      </c>
      <c r="Q11" s="14"/>
    </row>
    <row r="12" spans="2:17" x14ac:dyDescent="0.25">
      <c r="B12" s="12" t="s">
        <v>13</v>
      </c>
      <c r="C12" s="3">
        <v>41300</v>
      </c>
      <c r="D12" s="3">
        <v>45280</v>
      </c>
      <c r="E12" s="3">
        <v>54774</v>
      </c>
      <c r="F12" s="3">
        <v>83942</v>
      </c>
      <c r="G12" s="5">
        <f t="shared" si="0"/>
        <v>225296</v>
      </c>
      <c r="I12" s="12" t="s">
        <v>13</v>
      </c>
      <c r="J12" s="3">
        <v>4886243.8499999996</v>
      </c>
      <c r="K12" s="14"/>
      <c r="L12" s="3">
        <v>5371388.456666667</v>
      </c>
      <c r="M12" s="14"/>
      <c r="N12" s="3">
        <v>5274790.0799999991</v>
      </c>
      <c r="O12" s="14"/>
      <c r="P12" s="3">
        <v>5751290.0950000007</v>
      </c>
      <c r="Q12" s="14"/>
    </row>
    <row r="13" spans="2:17" x14ac:dyDescent="0.25">
      <c r="B13" s="12" t="s">
        <v>14</v>
      </c>
      <c r="C13" s="3">
        <v>6713</v>
      </c>
      <c r="D13" s="3">
        <v>6480</v>
      </c>
      <c r="E13" s="3">
        <v>6063</v>
      </c>
      <c r="F13" s="3">
        <v>11821</v>
      </c>
      <c r="G13" s="5">
        <f t="shared" si="0"/>
        <v>31077</v>
      </c>
      <c r="I13" s="12" t="s">
        <v>14</v>
      </c>
      <c r="J13" s="3">
        <v>799027.25</v>
      </c>
      <c r="K13" s="14"/>
      <c r="L13" s="3">
        <v>768199.09333333338</v>
      </c>
      <c r="M13" s="14"/>
      <c r="N13" s="3">
        <v>620721.62333333341</v>
      </c>
      <c r="O13" s="14"/>
      <c r="P13" s="3">
        <v>809946.89</v>
      </c>
      <c r="Q13" s="14"/>
    </row>
    <row r="14" spans="2:17" x14ac:dyDescent="0.25">
      <c r="B14" s="12" t="s">
        <v>15</v>
      </c>
      <c r="C14" s="3">
        <v>53839</v>
      </c>
      <c r="D14" s="3">
        <v>63920</v>
      </c>
      <c r="E14" s="3">
        <v>77734</v>
      </c>
      <c r="F14" s="3">
        <v>133692</v>
      </c>
      <c r="G14" s="5">
        <f t="shared" si="0"/>
        <v>329185</v>
      </c>
      <c r="I14" s="12" t="s">
        <v>15</v>
      </c>
      <c r="J14" s="3">
        <v>6473760.1950000003</v>
      </c>
      <c r="K14" s="14"/>
      <c r="L14" s="3">
        <v>7582172.5033333339</v>
      </c>
      <c r="M14" s="14"/>
      <c r="N14" s="3">
        <v>7958943.830000001</v>
      </c>
      <c r="O14" s="14"/>
      <c r="P14" s="3">
        <v>9195893.1300000008</v>
      </c>
      <c r="Q14" s="14"/>
    </row>
    <row r="15" spans="2:17" x14ac:dyDescent="0.25">
      <c r="B15" s="12" t="s">
        <v>16</v>
      </c>
      <c r="C15" s="3">
        <v>256556</v>
      </c>
      <c r="D15" s="3">
        <v>245680</v>
      </c>
      <c r="E15" s="3">
        <v>255567</v>
      </c>
      <c r="F15" s="3">
        <v>431677</v>
      </c>
      <c r="G15" s="5">
        <f t="shared" si="0"/>
        <v>1189480</v>
      </c>
      <c r="I15" s="12" t="s">
        <v>16</v>
      </c>
      <c r="J15" s="3">
        <v>30106945.515000001</v>
      </c>
      <c r="K15" s="14"/>
      <c r="L15" s="3">
        <v>29145605.103333335</v>
      </c>
      <c r="M15" s="14"/>
      <c r="N15" s="3">
        <v>26166712.896666665</v>
      </c>
      <c r="O15" s="14"/>
      <c r="P15" s="3">
        <v>28738648.989999998</v>
      </c>
      <c r="Q15" s="14"/>
    </row>
    <row r="16" spans="2:17" x14ac:dyDescent="0.25">
      <c r="B16" s="12" t="s">
        <v>17</v>
      </c>
      <c r="C16" s="3">
        <v>22117</v>
      </c>
      <c r="D16" s="3">
        <v>17520</v>
      </c>
      <c r="E16" s="3">
        <v>25641</v>
      </c>
      <c r="F16" s="3">
        <v>50859</v>
      </c>
      <c r="G16" s="5">
        <f t="shared" si="0"/>
        <v>116137</v>
      </c>
      <c r="I16" s="12" t="s">
        <v>17</v>
      </c>
      <c r="J16" s="3">
        <v>2579007.36</v>
      </c>
      <c r="K16" s="14"/>
      <c r="L16" s="3">
        <v>2071864.1533333333</v>
      </c>
      <c r="M16" s="14"/>
      <c r="N16" s="3">
        <v>2625263.0166666671</v>
      </c>
      <c r="O16" s="14"/>
      <c r="P16" s="3">
        <v>3484612.4649999999</v>
      </c>
      <c r="Q16" s="14"/>
    </row>
    <row r="17" spans="2:17" x14ac:dyDescent="0.25">
      <c r="B17" s="12" t="s">
        <v>18</v>
      </c>
      <c r="C17" s="3">
        <v>81969</v>
      </c>
      <c r="D17" s="3">
        <v>95680</v>
      </c>
      <c r="E17" s="3">
        <v>123803</v>
      </c>
      <c r="F17" s="3">
        <v>220039</v>
      </c>
      <c r="G17" s="5">
        <f t="shared" si="0"/>
        <v>521491</v>
      </c>
      <c r="I17" s="12" t="s">
        <v>18</v>
      </c>
      <c r="J17" s="3">
        <v>10157099.395</v>
      </c>
      <c r="K17" s="14"/>
      <c r="L17" s="3">
        <v>11353223.296666667</v>
      </c>
      <c r="M17" s="14"/>
      <c r="N17" s="3">
        <v>12675799.053333333</v>
      </c>
      <c r="O17" s="14"/>
      <c r="P17" s="3">
        <v>15075998.115</v>
      </c>
      <c r="Q17" s="14"/>
    </row>
    <row r="18" spans="2:17" x14ac:dyDescent="0.25">
      <c r="B18" s="29" t="s">
        <v>19</v>
      </c>
      <c r="C18" s="30">
        <v>526</v>
      </c>
      <c r="D18" s="30">
        <v>560</v>
      </c>
      <c r="E18" s="30">
        <v>474</v>
      </c>
      <c r="F18" s="30">
        <v>307</v>
      </c>
      <c r="G18" s="31">
        <f t="shared" si="0"/>
        <v>1867</v>
      </c>
      <c r="I18" s="29" t="s">
        <v>19</v>
      </c>
      <c r="J18" s="30">
        <v>57486.36</v>
      </c>
      <c r="K18" s="32"/>
      <c r="L18" s="30">
        <v>61275.76</v>
      </c>
      <c r="M18" s="32"/>
      <c r="N18" s="30">
        <v>48483.69</v>
      </c>
      <c r="O18" s="32"/>
      <c r="P18" s="30">
        <v>21005.5</v>
      </c>
      <c r="Q18" s="14"/>
    </row>
    <row r="19" spans="2:17" x14ac:dyDescent="0.25">
      <c r="B19" s="29" t="s">
        <v>20</v>
      </c>
      <c r="C19" s="30">
        <v>10476</v>
      </c>
      <c r="D19" s="30">
        <v>9058</v>
      </c>
      <c r="E19" s="30">
        <v>10770</v>
      </c>
      <c r="F19" s="30">
        <v>13898</v>
      </c>
      <c r="G19" s="31">
        <f t="shared" si="0"/>
        <v>44202</v>
      </c>
      <c r="I19" s="29" t="s">
        <v>20</v>
      </c>
      <c r="J19" s="30">
        <v>1094142.3700000001</v>
      </c>
      <c r="K19" s="32"/>
      <c r="L19" s="30">
        <v>1121860.0066666668</v>
      </c>
      <c r="M19" s="32"/>
      <c r="N19" s="30">
        <v>1102995.6733333333</v>
      </c>
      <c r="O19" s="32"/>
      <c r="P19" s="30">
        <v>952263.21</v>
      </c>
      <c r="Q19" s="14"/>
    </row>
    <row r="20" spans="2:17" x14ac:dyDescent="0.25">
      <c r="B20" s="29" t="s">
        <v>23</v>
      </c>
      <c r="C20" s="30">
        <v>6043</v>
      </c>
      <c r="D20" s="30">
        <v>6622</v>
      </c>
      <c r="E20" s="30">
        <v>3951</v>
      </c>
      <c r="F20" s="30">
        <v>3581</v>
      </c>
      <c r="G20" s="31">
        <f t="shared" si="0"/>
        <v>20197</v>
      </c>
      <c r="I20" s="29" t="s">
        <v>23</v>
      </c>
      <c r="J20" s="30">
        <v>773332.13500000001</v>
      </c>
      <c r="K20" s="32"/>
      <c r="L20" s="30">
        <v>785911.05333333334</v>
      </c>
      <c r="M20" s="32"/>
      <c r="N20" s="30">
        <v>404482.23666666663</v>
      </c>
      <c r="O20" s="32"/>
      <c r="P20" s="30">
        <v>-104593.80500000001</v>
      </c>
      <c r="Q20" s="14"/>
    </row>
    <row r="21" spans="2:17" x14ac:dyDescent="0.25">
      <c r="B21" s="15" t="s">
        <v>24</v>
      </c>
      <c r="C21" s="16">
        <f>SUM(C4:C20)</f>
        <v>750000</v>
      </c>
      <c r="D21" s="3">
        <f>SUM(D4:D20)</f>
        <v>800000</v>
      </c>
      <c r="E21" s="3">
        <f>SUM(E4:E20)</f>
        <v>920616</v>
      </c>
      <c r="F21" s="3">
        <f>SUM(F4:F20)</f>
        <v>1650000</v>
      </c>
      <c r="G21" s="3">
        <f>SUM(G4:G20)</f>
        <v>4120616</v>
      </c>
      <c r="I21" s="15" t="s">
        <v>24</v>
      </c>
      <c r="J21" s="3">
        <f>SUM(J4:J20)</f>
        <v>90290946.855000004</v>
      </c>
      <c r="K21" s="17"/>
      <c r="L21" s="3">
        <f>SUM(L4:L20)</f>
        <v>94934054.423333332</v>
      </c>
      <c r="M21" s="14"/>
      <c r="N21" s="3">
        <f>SUM(N4:N20)</f>
        <v>96934349.62333332</v>
      </c>
      <c r="O21" s="14"/>
      <c r="P21" s="3">
        <f>SUM(P4:P20)</f>
        <v>111898496.52499999</v>
      </c>
      <c r="Q21" s="18"/>
    </row>
    <row r="24" spans="2:17" ht="15.75" x14ac:dyDescent="0.25">
      <c r="B24" s="44" t="s">
        <v>133</v>
      </c>
      <c r="C24" s="44"/>
      <c r="D24" s="44"/>
      <c r="E24" s="44"/>
      <c r="F24" s="44"/>
      <c r="G24" s="44"/>
      <c r="I24" s="44" t="s">
        <v>79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151</v>
      </c>
      <c r="K25" s="13"/>
      <c r="L25" s="13" t="s">
        <v>3</v>
      </c>
      <c r="M25" s="13"/>
      <c r="N25" s="13" t="s">
        <v>4</v>
      </c>
      <c r="O25" s="13"/>
      <c r="P25" s="13" t="s">
        <v>152</v>
      </c>
    </row>
    <row r="26" spans="2:17" x14ac:dyDescent="0.25">
      <c r="B26" s="12" t="s">
        <v>7</v>
      </c>
      <c r="C26" s="16">
        <f t="shared" ref="C26:C39" si="1">$C$40*K26</f>
        <v>27549.685378459391</v>
      </c>
      <c r="D26" s="16">
        <f t="shared" ref="D26:D39" si="2">$D$40*M26</f>
        <v>26054.482946096712</v>
      </c>
      <c r="E26" s="16">
        <f t="shared" ref="E26:E39" si="3">$E$40*O26</f>
        <v>25435.917240380764</v>
      </c>
      <c r="F26" s="16">
        <f t="shared" ref="F26:F39" si="4">$F$40*Q26</f>
        <v>54827.097848429657</v>
      </c>
      <c r="G26" s="16">
        <f t="shared" ref="G26:G39" si="5">SUM(C26+D26+E26+F26)</f>
        <v>133867.18341336653</v>
      </c>
      <c r="I26" s="12" t="s">
        <v>7</v>
      </c>
      <c r="J26" s="3">
        <v>3321425.0700000003</v>
      </c>
      <c r="K26" s="14">
        <f t="shared" ref="K26:K39" si="6">J26/$J$40</f>
        <v>3.758714433827369E-2</v>
      </c>
      <c r="L26" s="3">
        <v>3090429.73</v>
      </c>
      <c r="M26" s="14">
        <f t="shared" ref="M26:M39" si="7">L26/$L$40</f>
        <v>3.3242935268572922E-2</v>
      </c>
      <c r="N26" s="3">
        <v>2679457.1633333336</v>
      </c>
      <c r="O26" s="14">
        <f t="shared" ref="O26:O39" si="8">N26/$N$40</f>
        <v>2.809291726211427E-2</v>
      </c>
      <c r="P26" s="3">
        <v>3729561.7450000001</v>
      </c>
      <c r="Q26" s="14">
        <f t="shared" ref="Q26:Q39" si="9">P26/$P$40</f>
        <v>3.359063079254905E-2</v>
      </c>
    </row>
    <row r="27" spans="2:17" x14ac:dyDescent="0.25">
      <c r="B27" s="12" t="s">
        <v>8</v>
      </c>
      <c r="C27" s="16">
        <f t="shared" si="1"/>
        <v>70432.376314566034</v>
      </c>
      <c r="D27" s="16">
        <f t="shared" si="2"/>
        <v>98437.76597916834</v>
      </c>
      <c r="E27" s="16">
        <f t="shared" si="3"/>
        <v>117253.89034560887</v>
      </c>
      <c r="F27" s="16">
        <f t="shared" si="4"/>
        <v>190914.73927704521</v>
      </c>
      <c r="G27" s="16">
        <f t="shared" si="5"/>
        <v>477038.77191638842</v>
      </c>
      <c r="I27" s="12" t="s">
        <v>8</v>
      </c>
      <c r="J27" s="3">
        <v>8491416.7699999996</v>
      </c>
      <c r="K27" s="14">
        <f t="shared" si="6"/>
        <v>9.6093725146245049E-2</v>
      </c>
      <c r="L27" s="3">
        <v>11676109.603333334</v>
      </c>
      <c r="M27" s="14">
        <f t="shared" si="7"/>
        <v>0.12559682298046385</v>
      </c>
      <c r="N27" s="3">
        <v>12351698.326666668</v>
      </c>
      <c r="O27" s="14">
        <f t="shared" si="8"/>
        <v>0.12950206627150118</v>
      </c>
      <c r="P27" s="3">
        <v>12986795.51</v>
      </c>
      <c r="Q27" s="14">
        <f t="shared" si="9"/>
        <v>0.11696673308588532</v>
      </c>
    </row>
    <row r="28" spans="2:17" x14ac:dyDescent="0.25">
      <c r="B28" s="12" t="s">
        <v>9</v>
      </c>
      <c r="C28" s="16">
        <f t="shared" si="1"/>
        <v>54060.336666434683</v>
      </c>
      <c r="D28" s="16">
        <f t="shared" si="2"/>
        <v>56963.324543387906</v>
      </c>
      <c r="E28" s="16">
        <f t="shared" si="3"/>
        <v>92071.193109722866</v>
      </c>
      <c r="F28" s="16">
        <f t="shared" si="4"/>
        <v>184387.16644775189</v>
      </c>
      <c r="G28" s="16">
        <f t="shared" si="5"/>
        <v>387482.02076729736</v>
      </c>
      <c r="I28" s="12" t="s">
        <v>9</v>
      </c>
      <c r="J28" s="3">
        <v>6517582.8700000001</v>
      </c>
      <c r="K28" s="14">
        <f t="shared" si="6"/>
        <v>7.3756692657031719E-2</v>
      </c>
      <c r="L28" s="3">
        <v>6756654.9700000016</v>
      </c>
      <c r="M28" s="14">
        <f t="shared" si="7"/>
        <v>7.2679550555511771E-2</v>
      </c>
      <c r="N28" s="3">
        <v>9698915.7333333343</v>
      </c>
      <c r="O28" s="14">
        <f t="shared" si="8"/>
        <v>0.10168882001822672</v>
      </c>
      <c r="P28" s="3">
        <v>12542763.510000002</v>
      </c>
      <c r="Q28" s="14">
        <f t="shared" si="9"/>
        <v>0.11296751923935948</v>
      </c>
    </row>
    <row r="29" spans="2:17" x14ac:dyDescent="0.25">
      <c r="B29" s="12" t="s">
        <v>10</v>
      </c>
      <c r="C29" s="16">
        <f t="shared" si="1"/>
        <v>33126.385735338416</v>
      </c>
      <c r="D29" s="16">
        <f t="shared" si="2"/>
        <v>28405.726192660983</v>
      </c>
      <c r="E29" s="16">
        <f t="shared" si="3"/>
        <v>42484.674380474549</v>
      </c>
      <c r="F29" s="16">
        <f t="shared" si="4"/>
        <v>89637.279068124117</v>
      </c>
      <c r="G29" s="16">
        <f t="shared" si="5"/>
        <v>193654.06537659807</v>
      </c>
      <c r="I29" s="12" t="s">
        <v>10</v>
      </c>
      <c r="J29" s="3">
        <v>3993759.15</v>
      </c>
      <c r="K29" s="14">
        <f t="shared" si="6"/>
        <v>4.5195661036950989E-2</v>
      </c>
      <c r="L29" s="3">
        <v>3369320.3933333331</v>
      </c>
      <c r="M29" s="14">
        <f t="shared" si="7"/>
        <v>3.6242888374835386E-2</v>
      </c>
      <c r="N29" s="3">
        <v>4475398.47</v>
      </c>
      <c r="O29" s="14">
        <f t="shared" si="8"/>
        <v>4.6922563515176416E-2</v>
      </c>
      <c r="P29" s="3">
        <v>6097491.5700000003</v>
      </c>
      <c r="Q29" s="14">
        <f t="shared" si="9"/>
        <v>5.4917602145382965E-2</v>
      </c>
    </row>
    <row r="30" spans="2:17" x14ac:dyDescent="0.25">
      <c r="B30" s="12" t="s">
        <v>11</v>
      </c>
      <c r="C30" s="16">
        <f t="shared" si="1"/>
        <v>39868.512389268879</v>
      </c>
      <c r="D30" s="16">
        <f t="shared" si="2"/>
        <v>41485.500601957479</v>
      </c>
      <c r="E30" s="16">
        <f t="shared" si="3"/>
        <v>42428.33218736414</v>
      </c>
      <c r="F30" s="16">
        <f t="shared" si="4"/>
        <v>82759.002600863503</v>
      </c>
      <c r="G30" s="16">
        <f t="shared" si="5"/>
        <v>206541.34777945402</v>
      </c>
      <c r="I30" s="12" t="s">
        <v>11</v>
      </c>
      <c r="J30" s="3">
        <v>4806598.5049999999</v>
      </c>
      <c r="K30" s="14">
        <f t="shared" si="6"/>
        <v>5.4394215728481118E-2</v>
      </c>
      <c r="L30" s="3">
        <v>4920766.4066666672</v>
      </c>
      <c r="M30" s="14">
        <f t="shared" si="7"/>
        <v>5.2931382823769371E-2</v>
      </c>
      <c r="N30" s="3">
        <v>4469463.3</v>
      </c>
      <c r="O30" s="14">
        <f t="shared" si="8"/>
        <v>4.6860335896079436E-2</v>
      </c>
      <c r="P30" s="3">
        <v>5629603.2850000001</v>
      </c>
      <c r="Q30" s="14">
        <f t="shared" si="9"/>
        <v>5.0703524538365373E-2</v>
      </c>
    </row>
    <row r="31" spans="2:17" x14ac:dyDescent="0.25">
      <c r="B31" s="12" t="s">
        <v>12</v>
      </c>
      <c r="C31" s="16">
        <f t="shared" si="1"/>
        <v>51700.84917169722</v>
      </c>
      <c r="D31" s="16">
        <f t="shared" si="2"/>
        <v>57828.473801428183</v>
      </c>
      <c r="E31" s="16">
        <f t="shared" si="3"/>
        <v>60576.560528195107</v>
      </c>
      <c r="F31" s="16">
        <f t="shared" si="4"/>
        <v>102716.83880934086</v>
      </c>
      <c r="G31" s="16">
        <f t="shared" si="5"/>
        <v>272822.7223106614</v>
      </c>
      <c r="I31" s="12" t="s">
        <v>12</v>
      </c>
      <c r="J31" s="3">
        <v>6233120.0599999996</v>
      </c>
      <c r="K31" s="14">
        <f t="shared" si="6"/>
        <v>7.053754892414571E-2</v>
      </c>
      <c r="L31" s="3">
        <v>6859273.8933333335</v>
      </c>
      <c r="M31" s="14">
        <f t="shared" si="7"/>
        <v>7.3783395173813646E-2</v>
      </c>
      <c r="N31" s="3">
        <v>6381224.5300000003</v>
      </c>
      <c r="O31" s="14">
        <f t="shared" si="8"/>
        <v>6.6904302560019155E-2</v>
      </c>
      <c r="P31" s="3">
        <v>6987216.3149999995</v>
      </c>
      <c r="Q31" s="14">
        <f t="shared" si="9"/>
        <v>6.2930987486531087E-2</v>
      </c>
    </row>
    <row r="32" spans="2:17" x14ac:dyDescent="0.25">
      <c r="B32" s="12" t="s">
        <v>22</v>
      </c>
      <c r="C32" s="16">
        <f t="shared" si="1"/>
        <v>0</v>
      </c>
      <c r="D32" s="16">
        <f t="shared" si="2"/>
        <v>0</v>
      </c>
      <c r="E32" s="16">
        <f t="shared" si="3"/>
        <v>0</v>
      </c>
      <c r="F32" s="16">
        <f t="shared" si="4"/>
        <v>0</v>
      </c>
      <c r="G32" s="16">
        <f t="shared" si="5"/>
        <v>0</v>
      </c>
      <c r="I32" s="12" t="s">
        <v>22</v>
      </c>
      <c r="J32" s="3">
        <v>0</v>
      </c>
      <c r="K32" s="14">
        <f t="shared" si="6"/>
        <v>0</v>
      </c>
      <c r="L32" s="3">
        <v>0</v>
      </c>
      <c r="M32" s="14">
        <f t="shared" si="7"/>
        <v>0</v>
      </c>
      <c r="N32" s="3">
        <v>0</v>
      </c>
      <c r="O32" s="14">
        <f t="shared" si="8"/>
        <v>0</v>
      </c>
      <c r="P32" s="3">
        <v>0</v>
      </c>
      <c r="Q32" s="14">
        <f t="shared" si="9"/>
        <v>0</v>
      </c>
    </row>
    <row r="33" spans="2:17" x14ac:dyDescent="0.25">
      <c r="B33" s="12" t="s">
        <v>21</v>
      </c>
      <c r="C33" s="16">
        <f t="shared" si="1"/>
        <v>0</v>
      </c>
      <c r="D33" s="16">
        <f t="shared" si="2"/>
        <v>0</v>
      </c>
      <c r="E33" s="16">
        <f t="shared" si="3"/>
        <v>0</v>
      </c>
      <c r="F33" s="16">
        <f t="shared" si="4"/>
        <v>0</v>
      </c>
      <c r="G33" s="16">
        <f t="shared" si="5"/>
        <v>0</v>
      </c>
      <c r="I33" s="12" t="s">
        <v>21</v>
      </c>
      <c r="J33" s="3">
        <v>0</v>
      </c>
      <c r="K33" s="14">
        <f t="shared" si="6"/>
        <v>0</v>
      </c>
      <c r="L33" s="3">
        <v>0</v>
      </c>
      <c r="M33" s="14">
        <f t="shared" si="7"/>
        <v>0</v>
      </c>
      <c r="N33" s="3">
        <v>0</v>
      </c>
      <c r="O33" s="14">
        <f t="shared" si="8"/>
        <v>0</v>
      </c>
      <c r="P33" s="3">
        <v>0</v>
      </c>
      <c r="Q33" s="14">
        <f t="shared" si="9"/>
        <v>0</v>
      </c>
    </row>
    <row r="34" spans="2:17" x14ac:dyDescent="0.25">
      <c r="B34" s="12" t="s">
        <v>13</v>
      </c>
      <c r="C34" s="16">
        <f t="shared" si="1"/>
        <v>40529.133704025458</v>
      </c>
      <c r="D34" s="16">
        <f t="shared" si="2"/>
        <v>45284.559484574471</v>
      </c>
      <c r="E34" s="16">
        <f t="shared" si="3"/>
        <v>50073.248332266885</v>
      </c>
      <c r="F34" s="16">
        <f t="shared" si="4"/>
        <v>84547.881588502642</v>
      </c>
      <c r="G34" s="16">
        <f t="shared" si="5"/>
        <v>220434.82310936946</v>
      </c>
      <c r="I34" s="12" t="s">
        <v>13</v>
      </c>
      <c r="J34" s="3">
        <v>4886243.8499999996</v>
      </c>
      <c r="K34" s="14">
        <f t="shared" si="6"/>
        <v>5.5295527971056142E-2</v>
      </c>
      <c r="L34" s="3">
        <v>5371388.456666667</v>
      </c>
      <c r="M34" s="14">
        <f t="shared" si="7"/>
        <v>5.7778605037989275E-2</v>
      </c>
      <c r="N34" s="3">
        <v>5274790.0799999991</v>
      </c>
      <c r="O34" s="14">
        <f t="shared" si="8"/>
        <v>5.5303829193565072E-2</v>
      </c>
      <c r="P34" s="3">
        <v>5751290.0950000007</v>
      </c>
      <c r="Q34" s="14">
        <f t="shared" si="9"/>
        <v>5.179950765555414E-2</v>
      </c>
    </row>
    <row r="35" spans="2:17" x14ac:dyDescent="0.25">
      <c r="B35" s="12" t="s">
        <v>14</v>
      </c>
      <c r="C35" s="16">
        <f t="shared" si="1"/>
        <v>6627.5616286341856</v>
      </c>
      <c r="D35" s="16">
        <f t="shared" si="2"/>
        <v>6476.4553557606023</v>
      </c>
      <c r="E35" s="16">
        <f t="shared" si="3"/>
        <v>5892.4710782761304</v>
      </c>
      <c r="F35" s="16">
        <f t="shared" si="4"/>
        <v>11906.770936181749</v>
      </c>
      <c r="G35" s="16">
        <f t="shared" si="5"/>
        <v>30903.258998852667</v>
      </c>
      <c r="I35" s="12" t="s">
        <v>14</v>
      </c>
      <c r="J35" s="3">
        <v>799027.25</v>
      </c>
      <c r="K35" s="14">
        <f t="shared" si="6"/>
        <v>9.0422490175170178E-3</v>
      </c>
      <c r="L35" s="3">
        <v>768199.09333333338</v>
      </c>
      <c r="M35" s="14">
        <f t="shared" si="7"/>
        <v>8.2633144786166714E-3</v>
      </c>
      <c r="N35" s="3">
        <v>620721.62333333341</v>
      </c>
      <c r="O35" s="14">
        <f t="shared" si="8"/>
        <v>6.5079902921139779E-3</v>
      </c>
      <c r="P35" s="3">
        <v>809946.89</v>
      </c>
      <c r="Q35" s="14">
        <f t="shared" si="9"/>
        <v>7.294858968359387E-3</v>
      </c>
    </row>
    <row r="36" spans="2:17" x14ac:dyDescent="0.25">
      <c r="B36" s="12" t="s">
        <v>15</v>
      </c>
      <c r="C36" s="16">
        <f t="shared" si="1"/>
        <v>53696.847837619258</v>
      </c>
      <c r="D36" s="16">
        <f t="shared" si="2"/>
        <v>63923.014416011916</v>
      </c>
      <c r="E36" s="16">
        <f t="shared" si="3"/>
        <v>75553.74997257776</v>
      </c>
      <c r="F36" s="16">
        <f t="shared" si="4"/>
        <v>135185.89231513365</v>
      </c>
      <c r="G36" s="16">
        <f t="shared" si="5"/>
        <v>328359.50454134261</v>
      </c>
      <c r="I36" s="12" t="s">
        <v>15</v>
      </c>
      <c r="J36" s="3">
        <v>6473760.1950000003</v>
      </c>
      <c r="K36" s="14">
        <f t="shared" si="6"/>
        <v>7.3260770221390478E-2</v>
      </c>
      <c r="L36" s="3">
        <v>7582172.5033333339</v>
      </c>
      <c r="M36" s="14">
        <f t="shared" si="7"/>
        <v>8.155942433399499E-2</v>
      </c>
      <c r="N36" s="3">
        <v>7958943.830000001</v>
      </c>
      <c r="O36" s="14">
        <f t="shared" si="8"/>
        <v>8.3445988079112104E-2</v>
      </c>
      <c r="P36" s="3">
        <v>9195893.1300000008</v>
      </c>
      <c r="Q36" s="14">
        <f t="shared" si="9"/>
        <v>8.2823632388359408E-2</v>
      </c>
    </row>
    <row r="37" spans="2:17" x14ac:dyDescent="0.25">
      <c r="B37" s="12" t="s">
        <v>16</v>
      </c>
      <c r="C37" s="16">
        <f t="shared" si="1"/>
        <v>249723.1938592759</v>
      </c>
      <c r="D37" s="16">
        <f t="shared" si="2"/>
        <v>245717.82485359011</v>
      </c>
      <c r="E37" s="16">
        <f t="shared" si="3"/>
        <v>248398.94916044138</v>
      </c>
      <c r="F37" s="16">
        <f t="shared" si="4"/>
        <v>422477.71398845786</v>
      </c>
      <c r="G37" s="16">
        <f t="shared" si="5"/>
        <v>1166317.6818617652</v>
      </c>
      <c r="I37" s="12" t="s">
        <v>16</v>
      </c>
      <c r="J37" s="3">
        <v>30106945.515000001</v>
      </c>
      <c r="K37" s="14">
        <f t="shared" si="6"/>
        <v>0.34070740203597205</v>
      </c>
      <c r="L37" s="3">
        <v>29145605.103333335</v>
      </c>
      <c r="M37" s="14">
        <f t="shared" si="7"/>
        <v>0.31351156585382017</v>
      </c>
      <c r="N37" s="3">
        <v>26166712.896666665</v>
      </c>
      <c r="O37" s="14">
        <f t="shared" si="8"/>
        <v>0.27434635286837988</v>
      </c>
      <c r="P37" s="3">
        <v>28738648.989999998</v>
      </c>
      <c r="Q37" s="14">
        <f t="shared" si="9"/>
        <v>0.25883720761398804</v>
      </c>
    </row>
    <row r="38" spans="2:17" x14ac:dyDescent="0.25">
      <c r="B38" s="12" t="s">
        <v>17</v>
      </c>
      <c r="C38" s="16">
        <f t="shared" si="1"/>
        <v>21391.673712130785</v>
      </c>
      <c r="D38" s="16">
        <f t="shared" si="2"/>
        <v>17467.263120605705</v>
      </c>
      <c r="E38" s="16">
        <f t="shared" si="3"/>
        <v>24921.455636594004</v>
      </c>
      <c r="F38" s="16">
        <f t="shared" si="4"/>
        <v>51226.176597972539</v>
      </c>
      <c r="G38" s="16">
        <f t="shared" si="5"/>
        <v>115006.56906730303</v>
      </c>
      <c r="I38" s="12" t="s">
        <v>17</v>
      </c>
      <c r="J38" s="3">
        <v>2579007.36</v>
      </c>
      <c r="K38" s="14">
        <f t="shared" si="6"/>
        <v>2.9185521228630384E-2</v>
      </c>
      <c r="L38" s="3">
        <v>2071864.1533333333</v>
      </c>
      <c r="M38" s="14">
        <f t="shared" si="7"/>
        <v>2.228649474406158E-2</v>
      </c>
      <c r="N38" s="3">
        <v>2625263.0166666671</v>
      </c>
      <c r="O38" s="14">
        <f t="shared" si="8"/>
        <v>2.7524715725164319E-2</v>
      </c>
      <c r="P38" s="3">
        <v>3484612.4649999999</v>
      </c>
      <c r="Q38" s="14">
        <f t="shared" si="9"/>
        <v>3.1384473235723097E-2</v>
      </c>
    </row>
    <row r="39" spans="2:17" x14ac:dyDescent="0.25">
      <c r="B39" s="12" t="s">
        <v>18</v>
      </c>
      <c r="C39" s="16">
        <f t="shared" si="1"/>
        <v>84248.443602549843</v>
      </c>
      <c r="D39" s="16">
        <f t="shared" si="2"/>
        <v>95715.608704757571</v>
      </c>
      <c r="E39" s="16">
        <f t="shared" si="3"/>
        <v>120330.5580280976</v>
      </c>
      <c r="F39" s="16">
        <f t="shared" si="4"/>
        <v>221627.44052219627</v>
      </c>
      <c r="G39" s="16">
        <f t="shared" si="5"/>
        <v>521922.05085760134</v>
      </c>
      <c r="I39" s="12" t="s">
        <v>18</v>
      </c>
      <c r="J39" s="3">
        <v>10157099.395</v>
      </c>
      <c r="K39" s="14">
        <f t="shared" si="6"/>
        <v>0.11494354169430572</v>
      </c>
      <c r="L39" s="3">
        <v>11353223.296666667</v>
      </c>
      <c r="M39" s="14">
        <f t="shared" si="7"/>
        <v>0.12212362037455034</v>
      </c>
      <c r="N39" s="3">
        <v>12675799.053333333</v>
      </c>
      <c r="O39" s="14">
        <f t="shared" si="8"/>
        <v>0.13290011831854751</v>
      </c>
      <c r="P39" s="3">
        <v>15075998.115</v>
      </c>
      <c r="Q39" s="14">
        <f t="shared" si="9"/>
        <v>0.13578332284994263</v>
      </c>
    </row>
    <row r="40" spans="2:17" x14ac:dyDescent="0.25">
      <c r="B40" s="15" t="s">
        <v>24</v>
      </c>
      <c r="C40" s="16">
        <f>$C$21-(C18+C19+C20)</f>
        <v>732955</v>
      </c>
      <c r="D40" s="16">
        <f>$D$21-(D18+D19+D20)</f>
        <v>783760</v>
      </c>
      <c r="E40" s="16">
        <f>$E$21-(E18+E19+E20)</f>
        <v>905421</v>
      </c>
      <c r="F40" s="16">
        <f>$F$21-(F18+F19+F20)</f>
        <v>1632214</v>
      </c>
      <c r="G40" s="16">
        <f>$C$21-(G18+G19+G20)</f>
        <v>683734</v>
      </c>
      <c r="I40" s="15" t="s">
        <v>24</v>
      </c>
      <c r="J40" s="3">
        <f t="shared" ref="J40:Q40" si="10">SUM(J26:J39)</f>
        <v>88365985.989999995</v>
      </c>
      <c r="K40" s="19">
        <f t="shared" si="10"/>
        <v>1</v>
      </c>
      <c r="L40" s="3">
        <f t="shared" si="10"/>
        <v>92965007.603333339</v>
      </c>
      <c r="M40" s="19">
        <f t="shared" si="10"/>
        <v>0.99999999999999978</v>
      </c>
      <c r="N40" s="3">
        <f t="shared" si="10"/>
        <v>95378388.023333326</v>
      </c>
      <c r="O40" s="19">
        <f t="shared" si="10"/>
        <v>1</v>
      </c>
      <c r="P40" s="3">
        <f t="shared" si="10"/>
        <v>111029821.62</v>
      </c>
      <c r="Q40" s="19">
        <f t="shared" si="10"/>
        <v>1</v>
      </c>
    </row>
    <row r="43" spans="2:17" ht="15.75" x14ac:dyDescent="0.25">
      <c r="B43" s="44" t="s">
        <v>134</v>
      </c>
      <c r="C43" s="44"/>
      <c r="D43" s="44"/>
      <c r="E43" s="44"/>
      <c r="F43" s="44"/>
      <c r="G43" s="44"/>
      <c r="I43" s="44" t="s">
        <v>158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67.685378459391359</v>
      </c>
      <c r="D45" s="16">
        <f>D26-D4</f>
        <v>-25.517053903287888</v>
      </c>
      <c r="E45" s="16">
        <f>E26-E4</f>
        <v>-734.08275961923573</v>
      </c>
      <c r="F45" s="16">
        <f>F26-F4</f>
        <v>393.09784842965746</v>
      </c>
      <c r="G45" s="16">
        <f t="shared" ref="G45:G59" si="11">SUM(C45+D45+E45+F45)</f>
        <v>-298.8165866334748</v>
      </c>
      <c r="I45" s="15" t="s">
        <v>153</v>
      </c>
      <c r="J45" s="12" t="s">
        <v>157</v>
      </c>
    </row>
    <row r="46" spans="2:17" x14ac:dyDescent="0.25">
      <c r="B46" s="12" t="s">
        <v>8</v>
      </c>
      <c r="C46" s="16">
        <f t="shared" ref="C46:F58" si="12">C27-C5</f>
        <v>1011.3763145660341</v>
      </c>
      <c r="D46" s="16">
        <f t="shared" si="12"/>
        <v>37.765979168339982</v>
      </c>
      <c r="E46" s="16">
        <f t="shared" si="12"/>
        <v>-3383.1096543911262</v>
      </c>
      <c r="F46" s="16">
        <f t="shared" si="12"/>
        <v>1367.7392770452134</v>
      </c>
      <c r="G46" s="16">
        <f t="shared" si="11"/>
        <v>-966.22808361153875</v>
      </c>
      <c r="I46" s="15" t="s">
        <v>154</v>
      </c>
      <c r="J46" s="12" t="s">
        <v>155</v>
      </c>
    </row>
    <row r="47" spans="2:17" x14ac:dyDescent="0.25">
      <c r="B47" s="12" t="s">
        <v>9</v>
      </c>
      <c r="C47" s="16">
        <f t="shared" si="12"/>
        <v>2993.3366664346831</v>
      </c>
      <c r="D47" s="16">
        <f t="shared" si="12"/>
        <v>3.3245433879055781</v>
      </c>
      <c r="E47" s="16">
        <f t="shared" si="12"/>
        <v>-2656.8068902771338</v>
      </c>
      <c r="F47" s="16">
        <f t="shared" si="12"/>
        <v>1321.1664477518934</v>
      </c>
      <c r="G47" s="16">
        <f t="shared" si="11"/>
        <v>1661.0207672973484</v>
      </c>
      <c r="I47" s="15"/>
    </row>
    <row r="48" spans="2:17" x14ac:dyDescent="0.25">
      <c r="B48" s="12" t="s">
        <v>10</v>
      </c>
      <c r="C48" s="16">
        <f t="shared" si="12"/>
        <v>99.385735338415543</v>
      </c>
      <c r="D48" s="16">
        <f t="shared" si="12"/>
        <v>5.7261926609826332</v>
      </c>
      <c r="E48" s="16">
        <f t="shared" si="12"/>
        <v>28157.674380474549</v>
      </c>
      <c r="F48" s="16">
        <f t="shared" si="12"/>
        <v>646.27906812411675</v>
      </c>
      <c r="G48" s="16">
        <f t="shared" si="11"/>
        <v>28909.065376598064</v>
      </c>
      <c r="I48" s="15"/>
    </row>
    <row r="49" spans="2:9" x14ac:dyDescent="0.25">
      <c r="B49" s="12" t="s">
        <v>11</v>
      </c>
      <c r="C49" s="16">
        <f t="shared" si="12"/>
        <v>662.51238926887891</v>
      </c>
      <c r="D49" s="16">
        <f t="shared" si="12"/>
        <v>-34.499398042520625</v>
      </c>
      <c r="E49" s="16">
        <f t="shared" si="12"/>
        <v>-1223.6678126358602</v>
      </c>
      <c r="F49" s="16">
        <f t="shared" si="12"/>
        <v>593.00260086350318</v>
      </c>
      <c r="G49" s="16">
        <f t="shared" si="11"/>
        <v>-2.6522205459987163</v>
      </c>
      <c r="I49" s="15"/>
    </row>
    <row r="50" spans="2:9" x14ac:dyDescent="0.25">
      <c r="B50" s="12" t="s">
        <v>12</v>
      </c>
      <c r="C50" s="16">
        <f t="shared" si="12"/>
        <v>1442.8491716972203</v>
      </c>
      <c r="D50" s="16">
        <f t="shared" si="12"/>
        <v>-11.526198571817076</v>
      </c>
      <c r="E50" s="16">
        <f t="shared" si="12"/>
        <v>-1748.4394718048934</v>
      </c>
      <c r="F50" s="16">
        <f t="shared" si="12"/>
        <v>736.83880934085755</v>
      </c>
      <c r="G50" s="16">
        <f t="shared" si="11"/>
        <v>419.72231066136737</v>
      </c>
      <c r="I50" s="15"/>
    </row>
    <row r="51" spans="2:9" x14ac:dyDescent="0.25">
      <c r="B51" s="12" t="s">
        <v>22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6">
        <f t="shared" si="11"/>
        <v>0</v>
      </c>
      <c r="I51" s="15"/>
    </row>
    <row r="52" spans="2:9" x14ac:dyDescent="0.25">
      <c r="B52" s="12" t="s">
        <v>21</v>
      </c>
      <c r="C52" s="16">
        <f t="shared" si="12"/>
        <v>0</v>
      </c>
      <c r="D52" s="16">
        <f t="shared" si="12"/>
        <v>0</v>
      </c>
      <c r="E52" s="16">
        <f t="shared" si="12"/>
        <v>0</v>
      </c>
      <c r="F52" s="16">
        <f t="shared" si="12"/>
        <v>0</v>
      </c>
      <c r="G52" s="16">
        <f t="shared" si="11"/>
        <v>0</v>
      </c>
      <c r="I52" s="15"/>
    </row>
    <row r="53" spans="2:9" x14ac:dyDescent="0.25">
      <c r="B53" s="12" t="s">
        <v>13</v>
      </c>
      <c r="C53" s="16">
        <f t="shared" si="12"/>
        <v>-770.86629597454157</v>
      </c>
      <c r="D53" s="16">
        <f t="shared" si="12"/>
        <v>4.5594845744708437</v>
      </c>
      <c r="E53" s="16">
        <f t="shared" si="12"/>
        <v>-4700.751667733115</v>
      </c>
      <c r="F53" s="16">
        <f t="shared" si="12"/>
        <v>605.88158850264153</v>
      </c>
      <c r="G53" s="16">
        <f t="shared" si="11"/>
        <v>-4861.1768906305442</v>
      </c>
      <c r="I53" s="15"/>
    </row>
    <row r="54" spans="2:9" x14ac:dyDescent="0.25">
      <c r="B54" s="12" t="s">
        <v>14</v>
      </c>
      <c r="C54" s="16">
        <f t="shared" si="12"/>
        <v>-85.438371365814419</v>
      </c>
      <c r="D54" s="16">
        <f t="shared" si="12"/>
        <v>-3.5446442393977122</v>
      </c>
      <c r="E54" s="16">
        <f t="shared" si="12"/>
        <v>-170.52892172386964</v>
      </c>
      <c r="F54" s="16">
        <f t="shared" si="12"/>
        <v>85.770936181748766</v>
      </c>
      <c r="G54" s="16">
        <f t="shared" si="11"/>
        <v>-173.74100114733301</v>
      </c>
      <c r="I54" s="15"/>
    </row>
    <row r="55" spans="2:9" x14ac:dyDescent="0.25">
      <c r="B55" s="12" t="s">
        <v>15</v>
      </c>
      <c r="C55" s="16">
        <f t="shared" si="12"/>
        <v>-142.15216238074208</v>
      </c>
      <c r="D55" s="16">
        <f t="shared" si="12"/>
        <v>3.0144160119161825</v>
      </c>
      <c r="E55" s="16">
        <f t="shared" si="12"/>
        <v>-2180.2500274222402</v>
      </c>
      <c r="F55" s="16">
        <f t="shared" si="12"/>
        <v>1493.8923151336494</v>
      </c>
      <c r="G55" s="16">
        <f t="shared" si="11"/>
        <v>-825.49545865741675</v>
      </c>
      <c r="I55" s="15"/>
    </row>
    <row r="56" spans="2:9" x14ac:dyDescent="0.25">
      <c r="B56" s="12" t="s">
        <v>16</v>
      </c>
      <c r="C56" s="16">
        <f t="shared" si="12"/>
        <v>-6832.8061407241039</v>
      </c>
      <c r="D56" s="16">
        <f t="shared" si="12"/>
        <v>37.824853590107523</v>
      </c>
      <c r="E56" s="16">
        <f t="shared" si="12"/>
        <v>-7168.0508395586221</v>
      </c>
      <c r="F56" s="16">
        <f t="shared" si="12"/>
        <v>-9199.2860115421354</v>
      </c>
      <c r="G56" s="16">
        <f t="shared" si="11"/>
        <v>-23162.318138234754</v>
      </c>
    </row>
    <row r="57" spans="2:9" x14ac:dyDescent="0.25">
      <c r="B57" s="12" t="s">
        <v>17</v>
      </c>
      <c r="C57" s="16">
        <f t="shared" si="12"/>
        <v>-725.32628786921487</v>
      </c>
      <c r="D57" s="16">
        <f t="shared" si="12"/>
        <v>-52.736879394295102</v>
      </c>
      <c r="E57" s="16">
        <f t="shared" si="12"/>
        <v>-719.54436340599568</v>
      </c>
      <c r="F57" s="16">
        <f t="shared" si="12"/>
        <v>367.17659797253873</v>
      </c>
      <c r="G57" s="16">
        <f t="shared" si="11"/>
        <v>-1130.4309326969669</v>
      </c>
    </row>
    <row r="58" spans="2:9" x14ac:dyDescent="0.25">
      <c r="B58" s="12" t="s">
        <v>18</v>
      </c>
      <c r="C58" s="16">
        <f t="shared" si="12"/>
        <v>2279.4436025498435</v>
      </c>
      <c r="D58" s="16">
        <f t="shared" si="12"/>
        <v>35.608704757571104</v>
      </c>
      <c r="E58" s="16">
        <f t="shared" si="12"/>
        <v>-3472.4419719024008</v>
      </c>
      <c r="F58" s="16">
        <f t="shared" si="12"/>
        <v>1588.4405221962661</v>
      </c>
      <c r="G58" s="16">
        <f t="shared" si="11"/>
        <v>431.05085760127986</v>
      </c>
    </row>
    <row r="59" spans="2:9" x14ac:dyDescent="0.25">
      <c r="B59" s="15" t="s">
        <v>24</v>
      </c>
      <c r="C59" s="16">
        <f>SUM(C45:C58)</f>
        <v>5.0022208597511053E-11</v>
      </c>
      <c r="D59" s="16">
        <f>SUM(D45:D58)</f>
        <v>-2.4556356947869062E-11</v>
      </c>
      <c r="E59" s="16">
        <f>SUM(E45:E58)</f>
        <v>5.6388671509921551E-11</v>
      </c>
      <c r="F59" s="16">
        <f>SUM(F45:F58)</f>
        <v>-4.9112713895738125E-11</v>
      </c>
      <c r="G59" s="16">
        <f t="shared" si="11"/>
        <v>3.2741809263825417E-11</v>
      </c>
    </row>
  </sheetData>
  <sheetProtection algorithmName="SHA-512" hashValue="p7fNh1hYMBqa0l1tF8O9QmOmeWSJsil6u50hlczi7w1pzc0l2l4rT+KW1goZthIuls7Jyooqs8UhlblXl9Pz6g==" saltValue="tWvrUMIjWsGZmla8pYL6Yw==" spinCount="100000" sheet="1" objects="1" scenarios="1"/>
  <mergeCells count="6">
    <mergeCell ref="I43:Q43"/>
    <mergeCell ref="B2:G2"/>
    <mergeCell ref="I2:Q2"/>
    <mergeCell ref="B24:G24"/>
    <mergeCell ref="I24:Q24"/>
    <mergeCell ref="B43:G43"/>
  </mergeCell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070EB-2562-43E1-B208-8B467E440F40}">
  <dimension ref="B2:R59"/>
  <sheetViews>
    <sheetView workbookViewId="0">
      <selection activeCell="G41" sqref="G41"/>
    </sheetView>
  </sheetViews>
  <sheetFormatPr defaultRowHeight="15" x14ac:dyDescent="0.25"/>
  <cols>
    <col min="3" max="3" width="13.42578125" bestFit="1" customWidth="1"/>
    <col min="4" max="5" width="12.5703125" bestFit="1" customWidth="1"/>
    <col min="6" max="7" width="14.28515625" bestFit="1" customWidth="1"/>
    <col min="9" max="9" width="10.28515625" bestFit="1" customWidth="1"/>
    <col min="10" max="10" width="16.28515625" bestFit="1" customWidth="1"/>
    <col min="11" max="11" width="8.140625" bestFit="1" customWidth="1"/>
    <col min="12" max="12" width="16.28515625" bestFit="1" customWidth="1"/>
    <col min="13" max="13" width="8.140625" bestFit="1" customWidth="1"/>
    <col min="14" max="14" width="16.28515625" bestFit="1" customWidth="1"/>
    <col min="15" max="15" width="8.140625" bestFit="1" customWidth="1"/>
    <col min="16" max="16" width="16.28515625" bestFit="1" customWidth="1"/>
    <col min="17" max="17" width="8.140625" bestFit="1" customWidth="1"/>
  </cols>
  <sheetData>
    <row r="2" spans="2:18" ht="15.75" x14ac:dyDescent="0.25">
      <c r="B2" s="43" t="s">
        <v>0</v>
      </c>
      <c r="C2" s="43"/>
      <c r="D2" s="43"/>
      <c r="E2" s="43"/>
      <c r="F2" s="43"/>
      <c r="G2" s="43"/>
      <c r="H2" s="1"/>
      <c r="I2" s="43" t="s">
        <v>1</v>
      </c>
      <c r="J2" s="43"/>
      <c r="K2" s="43"/>
      <c r="L2" s="43"/>
      <c r="M2" s="43"/>
      <c r="N2" s="43"/>
      <c r="O2" s="43"/>
      <c r="P2" s="43"/>
      <c r="Q2" s="43"/>
    </row>
    <row r="3" spans="2:18" x14ac:dyDescent="0.25">
      <c r="B3" s="2"/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I3" s="2"/>
      <c r="J3" s="2" t="s">
        <v>2</v>
      </c>
      <c r="K3" s="2"/>
      <c r="L3" s="2" t="s">
        <v>3</v>
      </c>
      <c r="M3" s="2"/>
      <c r="N3" s="2" t="s">
        <v>4</v>
      </c>
      <c r="O3" s="2"/>
      <c r="P3" s="2" t="s">
        <v>26</v>
      </c>
      <c r="Q3" s="2"/>
    </row>
    <row r="4" spans="2:18" x14ac:dyDescent="0.25">
      <c r="B4" t="s">
        <v>7</v>
      </c>
      <c r="C4" s="3">
        <v>20219</v>
      </c>
      <c r="D4" s="5">
        <v>34446</v>
      </c>
      <c r="E4" s="5">
        <v>45634</v>
      </c>
      <c r="F4" s="5">
        <v>90807</v>
      </c>
      <c r="G4" s="5">
        <f t="shared" ref="G4:G20" si="0">C4+D4+E4+F4</f>
        <v>191106</v>
      </c>
      <c r="I4" t="s">
        <v>7</v>
      </c>
      <c r="J4" s="6">
        <v>8540789.0999999996</v>
      </c>
      <c r="K4" s="4"/>
      <c r="L4" s="6">
        <v>9045931.4566666652</v>
      </c>
      <c r="M4" s="4"/>
      <c r="N4" s="6">
        <v>10638439.296666667</v>
      </c>
      <c r="O4" s="4"/>
      <c r="P4" s="6">
        <v>12455201.145</v>
      </c>
      <c r="Q4" s="4"/>
    </row>
    <row r="5" spans="2:18" x14ac:dyDescent="0.25">
      <c r="B5" t="s">
        <v>8</v>
      </c>
      <c r="C5" s="3">
        <v>77457</v>
      </c>
      <c r="D5" s="3">
        <v>74777</v>
      </c>
      <c r="E5" s="3">
        <v>87653</v>
      </c>
      <c r="F5" s="3">
        <v>179931</v>
      </c>
      <c r="G5" s="5">
        <f t="shared" si="0"/>
        <v>419818</v>
      </c>
      <c r="I5" t="s">
        <v>8</v>
      </c>
      <c r="J5" s="6">
        <v>19141290.503333334</v>
      </c>
      <c r="K5" s="4"/>
      <c r="L5" s="6">
        <v>19637344.196666669</v>
      </c>
      <c r="M5" s="4"/>
      <c r="N5" s="6">
        <v>20434153.75</v>
      </c>
      <c r="O5" s="4"/>
      <c r="P5" s="6">
        <v>24679562.140000001</v>
      </c>
      <c r="Q5" s="4"/>
    </row>
    <row r="6" spans="2:18" x14ac:dyDescent="0.25">
      <c r="B6" t="s">
        <v>9</v>
      </c>
      <c r="C6" s="3">
        <f>158934+50430</f>
        <v>209364</v>
      </c>
      <c r="D6" s="3">
        <v>53404</v>
      </c>
      <c r="E6" s="3">
        <v>67044</v>
      </c>
      <c r="F6" s="3">
        <v>143321</v>
      </c>
      <c r="G6" s="5">
        <f t="shared" si="0"/>
        <v>473133</v>
      </c>
      <c r="I6" t="s">
        <v>9</v>
      </c>
      <c r="J6" s="6">
        <v>12462348.776666665</v>
      </c>
      <c r="K6" s="4"/>
      <c r="L6" s="6">
        <v>14024566.603333332</v>
      </c>
      <c r="M6" s="4"/>
      <c r="N6" s="6">
        <v>15629628.473333335</v>
      </c>
      <c r="O6" s="4"/>
      <c r="P6" s="6">
        <v>19658039.130000003</v>
      </c>
      <c r="Q6" s="4"/>
    </row>
    <row r="7" spans="2:18" x14ac:dyDescent="0.25">
      <c r="B7" t="s">
        <v>10</v>
      </c>
      <c r="C7" s="3">
        <v>40631</v>
      </c>
      <c r="D7" s="3">
        <v>35840</v>
      </c>
      <c r="E7" s="3">
        <v>41640</v>
      </c>
      <c r="F7" s="3">
        <v>81135</v>
      </c>
      <c r="G7" s="5">
        <f t="shared" si="0"/>
        <v>199246</v>
      </c>
      <c r="I7" t="s">
        <v>10</v>
      </c>
      <c r="J7" s="6">
        <v>10040757.779999999</v>
      </c>
      <c r="K7" s="4"/>
      <c r="L7" s="6">
        <v>10260928.253333332</v>
      </c>
      <c r="M7" s="4"/>
      <c r="N7" s="6">
        <v>10615342.176666668</v>
      </c>
      <c r="O7" s="4"/>
      <c r="P7" s="6">
        <v>12200203.205</v>
      </c>
      <c r="Q7" s="4"/>
    </row>
    <row r="8" spans="2:18" x14ac:dyDescent="0.25">
      <c r="B8" t="s">
        <v>11</v>
      </c>
      <c r="C8" s="3">
        <v>50349</v>
      </c>
      <c r="D8" s="3">
        <v>44489</v>
      </c>
      <c r="E8" s="3">
        <v>56433</v>
      </c>
      <c r="F8" s="3">
        <v>117244</v>
      </c>
      <c r="G8" s="5">
        <f t="shared" si="0"/>
        <v>268515</v>
      </c>
      <c r="H8" s="12"/>
      <c r="I8" s="12" t="s">
        <v>11</v>
      </c>
      <c r="J8" s="3">
        <v>12442247.630000001</v>
      </c>
      <c r="K8" s="14"/>
      <c r="L8" s="3">
        <v>11683273.426666668</v>
      </c>
      <c r="M8" s="14"/>
      <c r="N8" s="3">
        <v>13092653.549999999</v>
      </c>
      <c r="O8" s="14"/>
      <c r="P8" s="3">
        <v>16081388.530000001</v>
      </c>
      <c r="Q8" s="14"/>
      <c r="R8" s="12"/>
    </row>
    <row r="9" spans="2:18" x14ac:dyDescent="0.25">
      <c r="B9" t="s">
        <v>12</v>
      </c>
      <c r="C9" s="3">
        <v>35542</v>
      </c>
      <c r="D9" s="3">
        <v>36696</v>
      </c>
      <c r="E9" s="3">
        <v>44224</v>
      </c>
      <c r="F9" s="3">
        <v>84482</v>
      </c>
      <c r="G9" s="5">
        <f t="shared" si="0"/>
        <v>200944</v>
      </c>
      <c r="H9" s="12"/>
      <c r="I9" s="12" t="s">
        <v>12</v>
      </c>
      <c r="J9" s="3">
        <v>8783103.7733333334</v>
      </c>
      <c r="K9" s="14"/>
      <c r="L9" s="3">
        <v>9636691.5666666683</v>
      </c>
      <c r="M9" s="14"/>
      <c r="N9" s="3">
        <v>10309826.753333334</v>
      </c>
      <c r="O9" s="14"/>
      <c r="P9" s="3">
        <v>11587710.66</v>
      </c>
      <c r="Q9" s="14"/>
      <c r="R9" s="12"/>
    </row>
    <row r="10" spans="2:18" x14ac:dyDescent="0.25">
      <c r="B10" t="s">
        <v>22</v>
      </c>
      <c r="C10" s="3">
        <v>571</v>
      </c>
      <c r="D10" s="3">
        <v>0</v>
      </c>
      <c r="E10" s="3">
        <v>0</v>
      </c>
      <c r="F10" s="3">
        <v>455</v>
      </c>
      <c r="G10" s="5">
        <f t="shared" si="0"/>
        <v>1026</v>
      </c>
      <c r="H10" s="12"/>
      <c r="I10" s="12" t="s">
        <v>22</v>
      </c>
      <c r="J10" s="3">
        <v>141022.03333333333</v>
      </c>
      <c r="K10" s="14"/>
      <c r="L10" s="3">
        <v>-43108.436666666668</v>
      </c>
      <c r="M10" s="14"/>
      <c r="N10" s="3">
        <v>-61132.83666666667</v>
      </c>
      <c r="O10" s="14"/>
      <c r="P10" s="3">
        <v>62535.205000000002</v>
      </c>
      <c r="Q10" s="14"/>
      <c r="R10" s="12"/>
    </row>
    <row r="11" spans="2:18" x14ac:dyDescent="0.25">
      <c r="B11" t="s">
        <v>21</v>
      </c>
      <c r="C11" s="3">
        <v>1689</v>
      </c>
      <c r="D11" s="3">
        <v>1741</v>
      </c>
      <c r="E11" s="3">
        <v>1389</v>
      </c>
      <c r="F11" s="3">
        <v>3358</v>
      </c>
      <c r="G11" s="5">
        <f t="shared" si="0"/>
        <v>8177</v>
      </c>
      <c r="H11" s="12"/>
      <c r="I11" s="12" t="s">
        <v>21</v>
      </c>
      <c r="J11" s="3">
        <v>417409.54666666663</v>
      </c>
      <c r="K11" s="14"/>
      <c r="L11" s="3">
        <v>414041.75333333336</v>
      </c>
      <c r="M11" s="14"/>
      <c r="N11" s="3">
        <v>384986.16</v>
      </c>
      <c r="O11" s="14"/>
      <c r="P11" s="3">
        <v>460657.9</v>
      </c>
      <c r="Q11" s="14"/>
      <c r="R11" s="12"/>
    </row>
    <row r="12" spans="2:18" x14ac:dyDescent="0.25">
      <c r="B12" t="s">
        <v>13</v>
      </c>
      <c r="C12" s="3">
        <v>48751</v>
      </c>
      <c r="D12" s="3">
        <v>48278</v>
      </c>
      <c r="E12" s="3">
        <v>56987</v>
      </c>
      <c r="F12" s="3">
        <v>108736</v>
      </c>
      <c r="G12" s="5">
        <f t="shared" si="0"/>
        <v>262752</v>
      </c>
      <c r="H12" s="12"/>
      <c r="I12" s="12" t="s">
        <v>13</v>
      </c>
      <c r="J12" s="3">
        <v>12047361.693333333</v>
      </c>
      <c r="K12" s="14"/>
      <c r="L12" s="3">
        <v>12678255.883333335</v>
      </c>
      <c r="M12" s="14"/>
      <c r="N12" s="3">
        <v>13285127.210000001</v>
      </c>
      <c r="O12" s="14"/>
      <c r="P12" s="3">
        <v>14914449.664999999</v>
      </c>
      <c r="Q12" s="14"/>
      <c r="R12" s="12"/>
    </row>
    <row r="13" spans="2:18" x14ac:dyDescent="0.25">
      <c r="B13" t="s">
        <v>14</v>
      </c>
      <c r="C13" s="3">
        <v>19979</v>
      </c>
      <c r="D13" s="3">
        <v>20548</v>
      </c>
      <c r="E13" s="3">
        <v>24344</v>
      </c>
      <c r="F13" s="3">
        <v>44660</v>
      </c>
      <c r="G13" s="5">
        <f t="shared" si="0"/>
        <v>109531</v>
      </c>
      <c r="H13" s="12"/>
      <c r="I13" s="12" t="s">
        <v>14</v>
      </c>
      <c r="J13" s="3">
        <v>4937321.6533333324</v>
      </c>
      <c r="K13" s="14"/>
      <c r="L13" s="3">
        <v>5396034.3566666665</v>
      </c>
      <c r="M13" s="14"/>
      <c r="N13" s="3">
        <v>5675107.7966666669</v>
      </c>
      <c r="O13" s="14"/>
      <c r="P13" s="3">
        <v>6125646.3799999999</v>
      </c>
      <c r="Q13" s="14"/>
      <c r="R13" s="12"/>
    </row>
    <row r="14" spans="2:18" x14ac:dyDescent="0.25">
      <c r="B14" t="s">
        <v>15</v>
      </c>
      <c r="C14" s="3">
        <f>75543+20233</f>
        <v>95776</v>
      </c>
      <c r="D14" s="3">
        <v>94000</v>
      </c>
      <c r="E14" s="3">
        <v>111162</v>
      </c>
      <c r="F14" s="3">
        <f>170779+36453</f>
        <v>207232</v>
      </c>
      <c r="G14" s="5">
        <f t="shared" si="0"/>
        <v>508170</v>
      </c>
      <c r="H14" s="12"/>
      <c r="I14" s="12" t="s">
        <v>15</v>
      </c>
      <c r="J14" s="3">
        <v>18668215.096666668</v>
      </c>
      <c r="K14" s="14"/>
      <c r="L14" s="3">
        <v>19685260.713333335</v>
      </c>
      <c r="M14" s="14"/>
      <c r="N14" s="3">
        <v>20914592.113333333</v>
      </c>
      <c r="O14" s="14"/>
      <c r="P14" s="3">
        <v>23424263</v>
      </c>
      <c r="Q14" s="14"/>
      <c r="R14" s="12"/>
    </row>
    <row r="15" spans="2:18" x14ac:dyDescent="0.25">
      <c r="B15" t="s">
        <v>16</v>
      </c>
      <c r="C15" s="3">
        <v>123645</v>
      </c>
      <c r="D15" s="3">
        <v>137279</v>
      </c>
      <c r="E15" s="3">
        <v>147352</v>
      </c>
      <c r="F15" s="3">
        <v>336977</v>
      </c>
      <c r="G15" s="5">
        <f t="shared" si="0"/>
        <v>745253</v>
      </c>
      <c r="H15" s="12"/>
      <c r="I15" s="12" t="s">
        <v>16</v>
      </c>
      <c r="J15" s="3">
        <v>30555222.280000001</v>
      </c>
      <c r="K15" s="14"/>
      <c r="L15" s="3">
        <v>36050979.210000001</v>
      </c>
      <c r="M15" s="14"/>
      <c r="N15" s="3">
        <v>40179660.18333333</v>
      </c>
      <c r="O15" s="14"/>
      <c r="P15" s="3">
        <v>48277595.659999996</v>
      </c>
      <c r="Q15" s="14"/>
      <c r="R15" s="12"/>
    </row>
    <row r="16" spans="2:18" x14ac:dyDescent="0.25">
      <c r="B16" t="s">
        <v>17</v>
      </c>
      <c r="C16" s="3">
        <v>24724</v>
      </c>
      <c r="D16" s="3">
        <v>31741</v>
      </c>
      <c r="E16" s="3">
        <v>33036</v>
      </c>
      <c r="F16" s="3">
        <v>36360</v>
      </c>
      <c r="G16" s="5">
        <f t="shared" si="0"/>
        <v>125861</v>
      </c>
      <c r="I16" t="s">
        <v>17</v>
      </c>
      <c r="J16" s="6">
        <v>6109742.8133333325</v>
      </c>
      <c r="K16" s="4"/>
      <c r="L16" s="6">
        <v>8331102.46</v>
      </c>
      <c r="M16" s="4"/>
      <c r="N16" s="6">
        <v>7701455.0266666664</v>
      </c>
      <c r="O16" s="4"/>
      <c r="P16" s="6">
        <v>7730489.3300000001</v>
      </c>
      <c r="Q16" s="4"/>
    </row>
    <row r="17" spans="2:18" x14ac:dyDescent="0.25">
      <c r="B17" t="s">
        <v>18</v>
      </c>
      <c r="C17" s="3">
        <v>155213</v>
      </c>
      <c r="D17" s="3">
        <v>145849</v>
      </c>
      <c r="E17" s="3">
        <v>169086</v>
      </c>
      <c r="F17" s="3">
        <v>298217</v>
      </c>
      <c r="G17" s="5">
        <f t="shared" si="0"/>
        <v>768365</v>
      </c>
      <c r="I17" t="s">
        <v>18</v>
      </c>
      <c r="J17" s="6">
        <v>38356449.376666665</v>
      </c>
      <c r="K17" s="4"/>
      <c r="L17" s="6">
        <v>38301554.153333336</v>
      </c>
      <c r="M17" s="4"/>
      <c r="N17" s="6">
        <v>39418444.263333328</v>
      </c>
      <c r="O17" s="4"/>
      <c r="P17" s="6">
        <v>40903720.420000002</v>
      </c>
      <c r="Q17" s="4"/>
    </row>
    <row r="18" spans="2:18" x14ac:dyDescent="0.25">
      <c r="B18" s="29" t="s">
        <v>19</v>
      </c>
      <c r="C18" s="30">
        <v>0</v>
      </c>
      <c r="D18" s="30">
        <v>0</v>
      </c>
      <c r="E18" s="30">
        <v>0</v>
      </c>
      <c r="F18" s="30">
        <v>0</v>
      </c>
      <c r="G18" s="31">
        <f t="shared" si="0"/>
        <v>0</v>
      </c>
      <c r="I18" s="29" t="s">
        <v>19</v>
      </c>
      <c r="J18" s="30">
        <v>0</v>
      </c>
      <c r="K18" s="32"/>
      <c r="L18" s="30">
        <v>0</v>
      </c>
      <c r="M18" s="32"/>
      <c r="N18" s="30">
        <v>0</v>
      </c>
      <c r="O18" s="32"/>
      <c r="P18" s="30">
        <v>0</v>
      </c>
      <c r="Q18" s="4"/>
    </row>
    <row r="19" spans="2:18" x14ac:dyDescent="0.25">
      <c r="B19" s="29" t="s">
        <v>20</v>
      </c>
      <c r="C19" s="30">
        <v>25257</v>
      </c>
      <c r="D19" s="30">
        <v>9969</v>
      </c>
      <c r="E19" s="30">
        <v>10736</v>
      </c>
      <c r="F19" s="30">
        <v>8538</v>
      </c>
      <c r="G19" s="31">
        <f t="shared" si="0"/>
        <v>54500</v>
      </c>
      <c r="I19" s="29" t="s">
        <v>20</v>
      </c>
      <c r="J19" s="30">
        <v>2697328.4733333332</v>
      </c>
      <c r="K19" s="32"/>
      <c r="L19" s="30">
        <v>2617577.88</v>
      </c>
      <c r="M19" s="32"/>
      <c r="N19" s="30">
        <v>2502566.5566666666</v>
      </c>
      <c r="O19" s="32"/>
      <c r="P19" s="30">
        <v>2541670.4450000003</v>
      </c>
      <c r="Q19" s="4"/>
    </row>
    <row r="20" spans="2:18" x14ac:dyDescent="0.25">
      <c r="B20" s="29" t="s">
        <v>23</v>
      </c>
      <c r="C20" s="30">
        <v>0</v>
      </c>
      <c r="D20" s="30">
        <v>0</v>
      </c>
      <c r="E20" s="30">
        <v>0</v>
      </c>
      <c r="F20" s="30">
        <v>0</v>
      </c>
      <c r="G20" s="31">
        <f t="shared" si="0"/>
        <v>0</v>
      </c>
      <c r="I20" s="29" t="s">
        <v>23</v>
      </c>
      <c r="J20" s="30">
        <v>0</v>
      </c>
      <c r="K20" s="32"/>
      <c r="L20" s="30">
        <v>0</v>
      </c>
      <c r="M20" s="32"/>
      <c r="N20" s="30">
        <v>0</v>
      </c>
      <c r="O20" s="32"/>
      <c r="P20" s="30">
        <v>0</v>
      </c>
      <c r="Q20" s="4"/>
    </row>
    <row r="21" spans="2:18" x14ac:dyDescent="0.25">
      <c r="B21" s="7" t="s">
        <v>24</v>
      </c>
      <c r="C21" s="8">
        <f>SUM(C4:C20)</f>
        <v>929167</v>
      </c>
      <c r="D21" s="6">
        <f>SUM(D4:D20)</f>
        <v>769057</v>
      </c>
      <c r="E21" s="6">
        <f>SUM(E4:E20)</f>
        <v>896720</v>
      </c>
      <c r="F21" s="6">
        <f>SUM(F4:F20)</f>
        <v>1741453</v>
      </c>
      <c r="G21" s="6">
        <f>SUM(G4:G20)</f>
        <v>4336397</v>
      </c>
      <c r="I21" s="7" t="s">
        <v>24</v>
      </c>
      <c r="J21" s="6">
        <f>SUM(J4:J20)</f>
        <v>185340610.53</v>
      </c>
      <c r="K21" s="10"/>
      <c r="L21" s="6">
        <f>SUM(L4:L20)</f>
        <v>197720433.47666669</v>
      </c>
      <c r="M21" s="4"/>
      <c r="N21" s="6">
        <f>SUM(N4:N20)</f>
        <v>210720850.47333333</v>
      </c>
      <c r="O21" s="4"/>
      <c r="P21" s="6">
        <f>SUM(P4:P20)</f>
        <v>241103132.815</v>
      </c>
      <c r="Q21" s="9"/>
    </row>
    <row r="24" spans="2:18" ht="15.75" x14ac:dyDescent="0.25">
      <c r="B24" s="43" t="s">
        <v>116</v>
      </c>
      <c r="C24" s="43"/>
      <c r="D24" s="43"/>
      <c r="E24" s="43"/>
      <c r="F24" s="43"/>
      <c r="G24" s="43"/>
      <c r="I24" s="43" t="s">
        <v>25</v>
      </c>
      <c r="J24" s="43"/>
      <c r="K24" s="43"/>
      <c r="L24" s="43"/>
      <c r="M24" s="43"/>
      <c r="N24" s="43"/>
      <c r="O24" s="43"/>
      <c r="P24" s="43"/>
      <c r="Q24" s="43"/>
    </row>
    <row r="25" spans="2:18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2"/>
      <c r="J25" s="2" t="s">
        <v>2</v>
      </c>
      <c r="K25" s="2"/>
      <c r="L25" s="2" t="s">
        <v>3</v>
      </c>
      <c r="M25" s="2"/>
      <c r="N25" s="2" t="s">
        <v>4</v>
      </c>
      <c r="O25" s="2"/>
      <c r="P25" s="2" t="s">
        <v>26</v>
      </c>
    </row>
    <row r="26" spans="2:18" x14ac:dyDescent="0.25">
      <c r="B26" t="s">
        <v>7</v>
      </c>
      <c r="C26" s="16">
        <f t="shared" ref="C26:C39" si="1">$C$40*K26</f>
        <v>41459.938014943174</v>
      </c>
      <c r="D26" s="16">
        <f t="shared" ref="D26:D39" si="2">$D$40*M26</f>
        <v>34461.831340893572</v>
      </c>
      <c r="E26" s="16">
        <f t="shared" ref="E26:E39" si="3">$E$40*O26</f>
        <v>44394.878425064686</v>
      </c>
      <c r="F26" s="16">
        <f t="shared" ref="F26:F39" si="4">$F$40*Q26</f>
        <v>89009.102159117901</v>
      </c>
      <c r="G26" s="16">
        <f t="shared" ref="G26:G39" si="5">SUM(C26+D26+E26+F26)</f>
        <v>209325.74994001933</v>
      </c>
      <c r="I26" t="s">
        <v>7</v>
      </c>
      <c r="J26" s="6">
        <v>8540789.0999999996</v>
      </c>
      <c r="K26" s="4">
        <f t="shared" ref="K26:K39" si="6">J26/$J$40</f>
        <v>4.5867329728560557E-2</v>
      </c>
      <c r="L26" s="6">
        <v>9045931.4566666652</v>
      </c>
      <c r="M26" s="4">
        <f t="shared" ref="M26:M39" si="7">L26/$L$40</f>
        <v>4.539899371468601E-2</v>
      </c>
      <c r="N26" s="6">
        <v>10638439.296666667</v>
      </c>
      <c r="O26" s="4">
        <f t="shared" ref="O26:O39" si="8">N26/$N$40</f>
        <v>5.0107991143253927E-2</v>
      </c>
      <c r="P26" s="6">
        <v>12455201.145</v>
      </c>
      <c r="Q26" s="4">
        <f t="shared" ref="Q26:Q39" si="9">P26/$P$40</f>
        <v>5.1363801547749256E-2</v>
      </c>
    </row>
    <row r="27" spans="2:18" x14ac:dyDescent="0.25">
      <c r="B27" t="s">
        <v>8</v>
      </c>
      <c r="C27" s="16">
        <f t="shared" si="1"/>
        <v>92918.430428661508</v>
      </c>
      <c r="D27" s="16">
        <f t="shared" si="2"/>
        <v>74811.405208013079</v>
      </c>
      <c r="E27" s="16">
        <f t="shared" si="3"/>
        <v>85273.012906561678</v>
      </c>
      <c r="F27" s="16">
        <f t="shared" si="4"/>
        <v>176368.5421205262</v>
      </c>
      <c r="G27" s="16">
        <f t="shared" si="5"/>
        <v>429371.39066376246</v>
      </c>
      <c r="I27" t="s">
        <v>8</v>
      </c>
      <c r="J27" s="6">
        <v>19141290.503333334</v>
      </c>
      <c r="K27" s="4">
        <f t="shared" si="6"/>
        <v>0.10279610849383401</v>
      </c>
      <c r="L27" s="6">
        <v>19637344.196666669</v>
      </c>
      <c r="M27" s="4">
        <f t="shared" si="7"/>
        <v>9.8554324673836347E-2</v>
      </c>
      <c r="N27" s="6">
        <v>20434153.75</v>
      </c>
      <c r="O27" s="4">
        <f t="shared" si="8"/>
        <v>9.6246673649368022E-2</v>
      </c>
      <c r="P27" s="6">
        <v>24679562.140000001</v>
      </c>
      <c r="Q27" s="4">
        <f t="shared" si="9"/>
        <v>0.10177564515312418</v>
      </c>
    </row>
    <row r="28" spans="2:18" x14ac:dyDescent="0.25">
      <c r="B28" t="s">
        <v>9</v>
      </c>
      <c r="C28" s="16">
        <f t="shared" si="1"/>
        <v>60496.542152200302</v>
      </c>
      <c r="D28" s="16">
        <f t="shared" si="2"/>
        <v>53428.687938709816</v>
      </c>
      <c r="E28" s="16">
        <f t="shared" si="3"/>
        <v>65223.425782010541</v>
      </c>
      <c r="F28" s="16">
        <f t="shared" si="4"/>
        <v>140483.03136979227</v>
      </c>
      <c r="G28" s="16">
        <f t="shared" si="5"/>
        <v>319631.68724271294</v>
      </c>
      <c r="I28" t="s">
        <v>9</v>
      </c>
      <c r="J28" s="6">
        <v>12462348.776666665</v>
      </c>
      <c r="K28" s="4">
        <f t="shared" si="6"/>
        <v>6.6927616855881999E-2</v>
      </c>
      <c r="L28" s="6">
        <v>14024566.603333332</v>
      </c>
      <c r="M28" s="4">
        <f t="shared" si="7"/>
        <v>7.0385367623661307E-2</v>
      </c>
      <c r="N28" s="6">
        <v>15629628.473333335</v>
      </c>
      <c r="O28" s="4">
        <f t="shared" si="8"/>
        <v>7.3616934145549512E-2</v>
      </c>
      <c r="P28" s="6">
        <v>19658039.130000003</v>
      </c>
      <c r="Q28" s="4">
        <f t="shared" si="9"/>
        <v>8.1067468034953974E-2</v>
      </c>
    </row>
    <row r="29" spans="2:18" x14ac:dyDescent="0.25">
      <c r="B29" t="s">
        <v>10</v>
      </c>
      <c r="C29" s="16">
        <f t="shared" si="1"/>
        <v>41766.05034925387</v>
      </c>
      <c r="D29" s="16">
        <f t="shared" si="2"/>
        <v>35856.731569971693</v>
      </c>
      <c r="E29" s="16">
        <f t="shared" si="3"/>
        <v>40509.140738828901</v>
      </c>
      <c r="F29" s="16">
        <f t="shared" si="4"/>
        <v>79528.779019813737</v>
      </c>
      <c r="G29" s="16">
        <f t="shared" si="5"/>
        <v>197660.7016778682</v>
      </c>
      <c r="I29" t="s">
        <v>98</v>
      </c>
      <c r="J29" s="6">
        <f>10040757.78-1436909.23</f>
        <v>8603848.5499999989</v>
      </c>
      <c r="K29" s="4">
        <f t="shared" si="6"/>
        <v>4.6205983282908557E-2</v>
      </c>
      <c r="L29" s="6">
        <f>10260928.2533333-848847.6</f>
        <v>9412080.6533333007</v>
      </c>
      <c r="M29" s="4">
        <f t="shared" si="7"/>
        <v>4.7236593873136834E-2</v>
      </c>
      <c r="N29" s="6">
        <f>10615342.1766667-908050.48</f>
        <v>9707291.6966666989</v>
      </c>
      <c r="O29" s="4">
        <f t="shared" si="8"/>
        <v>4.572220349219501E-2</v>
      </c>
      <c r="P29" s="6">
        <f>12200203.205-1071600.45</f>
        <v>11128602.755000001</v>
      </c>
      <c r="Q29" s="4">
        <f t="shared" si="9"/>
        <v>4.5893064010533544E-2</v>
      </c>
    </row>
    <row r="30" spans="2:18" x14ac:dyDescent="0.25">
      <c r="B30" s="12" t="s">
        <v>11</v>
      </c>
      <c r="C30" s="16">
        <f t="shared" si="1"/>
        <v>60398.964248675067</v>
      </c>
      <c r="D30" s="16">
        <f t="shared" si="2"/>
        <v>44509.180759113828</v>
      </c>
      <c r="E30" s="16">
        <f t="shared" si="3"/>
        <v>54636.469354660236</v>
      </c>
      <c r="F30" s="16">
        <f t="shared" si="4"/>
        <v>114923.07011853054</v>
      </c>
      <c r="G30" s="16">
        <f t="shared" si="5"/>
        <v>274467.68448097969</v>
      </c>
      <c r="H30" s="12"/>
      <c r="I30" s="12" t="s">
        <v>11</v>
      </c>
      <c r="J30" s="3">
        <v>12442247.630000001</v>
      </c>
      <c r="K30" s="14">
        <f t="shared" si="6"/>
        <v>6.6819665949790427E-2</v>
      </c>
      <c r="L30" s="3">
        <v>11683273.426666668</v>
      </c>
      <c r="M30" s="14">
        <f t="shared" si="7"/>
        <v>5.8635073613485952E-2</v>
      </c>
      <c r="N30" s="3">
        <v>13092653.549999999</v>
      </c>
      <c r="O30" s="14">
        <f t="shared" si="8"/>
        <v>6.1667557602236876E-2</v>
      </c>
      <c r="P30" s="3">
        <v>16081388.530000001</v>
      </c>
      <c r="Q30" s="14">
        <f t="shared" si="9"/>
        <v>6.6317776762582437E-2</v>
      </c>
      <c r="R30" s="12"/>
    </row>
    <row r="31" spans="2:18" x14ac:dyDescent="0.25">
      <c r="B31" s="12" t="s">
        <v>12</v>
      </c>
      <c r="C31" s="16">
        <f t="shared" si="1"/>
        <v>42636.217070529645</v>
      </c>
      <c r="D31" s="16">
        <f t="shared" si="2"/>
        <v>36712.420500370776</v>
      </c>
      <c r="E31" s="16">
        <f t="shared" si="3"/>
        <v>43023.557547686956</v>
      </c>
      <c r="F31" s="16">
        <f t="shared" si="4"/>
        <v>82809.720205946898</v>
      </c>
      <c r="G31" s="16">
        <f t="shared" si="5"/>
        <v>205181.91532453429</v>
      </c>
      <c r="H31" s="12"/>
      <c r="I31" s="12" t="s">
        <v>12</v>
      </c>
      <c r="J31" s="3">
        <v>8783103.7733333334</v>
      </c>
      <c r="K31" s="14">
        <f t="shared" si="6"/>
        <v>4.7168652930634297E-2</v>
      </c>
      <c r="L31" s="3">
        <v>9636691.5666666683</v>
      </c>
      <c r="M31" s="14">
        <f t="shared" si="7"/>
        <v>4.8363853071542139E-2</v>
      </c>
      <c r="N31" s="3">
        <v>10309826.753333334</v>
      </c>
      <c r="O31" s="14">
        <f t="shared" si="8"/>
        <v>4.856019696482889E-2</v>
      </c>
      <c r="P31" s="3">
        <v>11587710.66</v>
      </c>
      <c r="Q31" s="14">
        <f t="shared" si="9"/>
        <v>4.778637163735492E-2</v>
      </c>
      <c r="R31" s="12"/>
    </row>
    <row r="32" spans="2:18" x14ac:dyDescent="0.25">
      <c r="B32" s="12" t="s">
        <v>22</v>
      </c>
      <c r="C32" s="16">
        <f t="shared" si="1"/>
        <v>0</v>
      </c>
      <c r="D32" s="16">
        <f t="shared" si="2"/>
        <v>0</v>
      </c>
      <c r="E32" s="16">
        <f t="shared" si="3"/>
        <v>0</v>
      </c>
      <c r="F32" s="16">
        <f t="shared" si="4"/>
        <v>0</v>
      </c>
      <c r="G32" s="16">
        <f t="shared" si="5"/>
        <v>0</v>
      </c>
      <c r="H32" s="12"/>
      <c r="I32" s="12" t="s">
        <v>28</v>
      </c>
      <c r="J32" s="3">
        <v>0</v>
      </c>
      <c r="K32" s="14">
        <f t="shared" si="6"/>
        <v>0</v>
      </c>
      <c r="L32" s="3">
        <v>0</v>
      </c>
      <c r="M32" s="14">
        <f t="shared" si="7"/>
        <v>0</v>
      </c>
      <c r="N32" s="3">
        <v>0</v>
      </c>
      <c r="O32" s="14">
        <f t="shared" si="8"/>
        <v>0</v>
      </c>
      <c r="P32" s="3">
        <v>0</v>
      </c>
      <c r="Q32" s="14">
        <f t="shared" si="9"/>
        <v>0</v>
      </c>
      <c r="R32" s="12"/>
    </row>
    <row r="33" spans="2:18" x14ac:dyDescent="0.25">
      <c r="B33" s="12" t="s">
        <v>21</v>
      </c>
      <c r="C33" s="16">
        <f t="shared" si="1"/>
        <v>2710.8196234920238</v>
      </c>
      <c r="D33" s="16">
        <f t="shared" si="2"/>
        <v>1413.1260510783645</v>
      </c>
      <c r="E33" s="16">
        <f t="shared" si="3"/>
        <v>1351.4603520312764</v>
      </c>
      <c r="F33" s="16">
        <f t="shared" si="4"/>
        <v>3738.9158143452123</v>
      </c>
      <c r="G33" s="16">
        <f t="shared" si="5"/>
        <v>9214.3218409468773</v>
      </c>
      <c r="H33" s="12"/>
      <c r="I33" s="12" t="s">
        <v>181</v>
      </c>
      <c r="J33" s="3">
        <f>417409.546666667+141022.033333333</f>
        <v>558431.57999999996</v>
      </c>
      <c r="K33" s="14">
        <f t="shared" si="6"/>
        <v>2.9989928460709848E-3</v>
      </c>
      <c r="L33" s="3">
        <f>414041.753333333-43108.4366666667</f>
        <v>370933.3166666663</v>
      </c>
      <c r="M33" s="14">
        <f t="shared" si="7"/>
        <v>1.8616103153762996E-3</v>
      </c>
      <c r="N33" s="3">
        <f>384986.16-61132.8366666666</f>
        <v>323853.32333333336</v>
      </c>
      <c r="O33" s="14">
        <f t="shared" si="8"/>
        <v>1.5253778307861953E-3</v>
      </c>
      <c r="P33" s="3">
        <f>460657.9+62535.205</f>
        <v>523193.10500000004</v>
      </c>
      <c r="Q33" s="14">
        <f t="shared" si="9"/>
        <v>2.1575875414231007E-3</v>
      </c>
      <c r="R33" s="12"/>
    </row>
    <row r="34" spans="2:18" x14ac:dyDescent="0.25">
      <c r="B34" s="12" t="s">
        <v>13</v>
      </c>
      <c r="C34" s="16">
        <f t="shared" si="1"/>
        <v>58482.051623216044</v>
      </c>
      <c r="D34" s="16">
        <f t="shared" si="2"/>
        <v>48299.715517535456</v>
      </c>
      <c r="E34" s="16">
        <f t="shared" si="3"/>
        <v>55439.674082105994</v>
      </c>
      <c r="F34" s="16">
        <f t="shared" si="4"/>
        <v>106583.72822922457</v>
      </c>
      <c r="G34" s="16">
        <f t="shared" si="5"/>
        <v>268805.16945208207</v>
      </c>
      <c r="H34" s="12"/>
      <c r="I34" s="12" t="s">
        <v>13</v>
      </c>
      <c r="J34" s="3">
        <v>12047361.693333333</v>
      </c>
      <c r="K34" s="14">
        <f t="shared" si="6"/>
        <v>6.4698976251193197E-2</v>
      </c>
      <c r="L34" s="3">
        <v>12678255.883333335</v>
      </c>
      <c r="M34" s="14">
        <f t="shared" si="7"/>
        <v>6.3628611593827669E-2</v>
      </c>
      <c r="N34" s="3">
        <v>13285127.210000001</v>
      </c>
      <c r="O34" s="14">
        <f t="shared" si="8"/>
        <v>6.2574125584780302E-2</v>
      </c>
      <c r="P34" s="3">
        <v>14914449.664999999</v>
      </c>
      <c r="Q34" s="14">
        <f t="shared" si="9"/>
        <v>6.1505456545315015E-2</v>
      </c>
      <c r="R34" s="12"/>
    </row>
    <row r="35" spans="2:18" x14ac:dyDescent="0.25">
      <c r="B35" s="12" t="s">
        <v>14</v>
      </c>
      <c r="C35" s="16">
        <f t="shared" si="1"/>
        <v>23967.463346804419</v>
      </c>
      <c r="D35" s="16">
        <f t="shared" si="2"/>
        <v>20557.00143207112</v>
      </c>
      <c r="E35" s="16">
        <f t="shared" si="3"/>
        <v>23682.582910549234</v>
      </c>
      <c r="F35" s="16">
        <f t="shared" si="4"/>
        <v>43775.951755458438</v>
      </c>
      <c r="G35" s="16">
        <f t="shared" si="5"/>
        <v>111982.9994448832</v>
      </c>
      <c r="H35" s="12"/>
      <c r="I35" s="12" t="s">
        <v>14</v>
      </c>
      <c r="J35" s="3">
        <v>4937321.6533333324</v>
      </c>
      <c r="K35" s="14">
        <f t="shared" si="6"/>
        <v>2.6515320492974323E-2</v>
      </c>
      <c r="L35" s="3">
        <v>5396034.3566666665</v>
      </c>
      <c r="M35" s="14">
        <f t="shared" si="7"/>
        <v>2.7081183515048478E-2</v>
      </c>
      <c r="N35" s="3">
        <v>5675107.7966666669</v>
      </c>
      <c r="O35" s="14">
        <f t="shared" si="8"/>
        <v>2.6730260264913625E-2</v>
      </c>
      <c r="P35" s="3">
        <v>6125646.3799999999</v>
      </c>
      <c r="Q35" s="14">
        <f t="shared" si="9"/>
        <v>2.5261453536646886E-2</v>
      </c>
      <c r="R35" s="12"/>
    </row>
    <row r="36" spans="2:18" x14ac:dyDescent="0.25">
      <c r="B36" s="12" t="s">
        <v>15</v>
      </c>
      <c r="C36" s="16">
        <f t="shared" si="1"/>
        <v>114893.68480391862</v>
      </c>
      <c r="D36" s="16">
        <f t="shared" si="2"/>
        <v>94042.199566074603</v>
      </c>
      <c r="E36" s="16">
        <f t="shared" si="3"/>
        <v>108143.22798900111</v>
      </c>
      <c r="F36" s="16">
        <f t="shared" si="4"/>
        <v>203129.44766695175</v>
      </c>
      <c r="G36" s="16">
        <f t="shared" si="5"/>
        <v>520208.56002594606</v>
      </c>
      <c r="H36" s="12"/>
      <c r="I36" s="12" t="s">
        <v>177</v>
      </c>
      <c r="J36" s="3">
        <f>18668215.0966667+5000000</f>
        <v>23668215.096666701</v>
      </c>
      <c r="K36" s="14">
        <f t="shared" si="6"/>
        <v>0.12710743857675944</v>
      </c>
      <c r="L36" s="3">
        <f>19685260.7133333+5000000</f>
        <v>24685260.713333301</v>
      </c>
      <c r="M36" s="14">
        <f t="shared" si="7"/>
        <v>0.12388840235397557</v>
      </c>
      <c r="N36" s="3">
        <f>20914592.1133333+5000000</f>
        <v>25914592.1133333</v>
      </c>
      <c r="O36" s="14">
        <f t="shared" si="8"/>
        <v>0.12206002364489778</v>
      </c>
      <c r="P36" s="3">
        <f>23424263+5000000</f>
        <v>28424263</v>
      </c>
      <c r="Q36" s="14">
        <f t="shared" si="9"/>
        <v>0.11721835616112258</v>
      </c>
      <c r="R36" s="12"/>
    </row>
    <row r="37" spans="2:18" x14ac:dyDescent="0.25">
      <c r="B37" s="12" t="s">
        <v>16</v>
      </c>
      <c r="C37" s="16">
        <f t="shared" si="1"/>
        <v>148325.59461766956</v>
      </c>
      <c r="D37" s="16">
        <f t="shared" si="2"/>
        <v>137341.60723641899</v>
      </c>
      <c r="E37" s="16">
        <f t="shared" si="3"/>
        <v>167672.25710996939</v>
      </c>
      <c r="F37" s="16">
        <f t="shared" si="4"/>
        <v>345008.11300205835</v>
      </c>
      <c r="G37" s="16">
        <f t="shared" si="5"/>
        <v>798347.57196611632</v>
      </c>
      <c r="H37" s="12"/>
      <c r="I37" s="12" t="s">
        <v>16</v>
      </c>
      <c r="J37" s="3">
        <v>30555222.280000001</v>
      </c>
      <c r="K37" s="14">
        <f t="shared" si="6"/>
        <v>0.16409332192106466</v>
      </c>
      <c r="L37" s="3">
        <v>36050979.210000001</v>
      </c>
      <c r="M37" s="14">
        <f t="shared" si="7"/>
        <v>0.18092975680872178</v>
      </c>
      <c r="N37" s="3">
        <v>40179660.18333333</v>
      </c>
      <c r="O37" s="14">
        <f t="shared" si="8"/>
        <v>0.18924975745608205</v>
      </c>
      <c r="P37" s="3">
        <v>48277595.659999996</v>
      </c>
      <c r="Q37" s="14">
        <f t="shared" si="9"/>
        <v>0.19909119201002839</v>
      </c>
      <c r="R37" s="12"/>
    </row>
    <row r="38" spans="2:18" x14ac:dyDescent="0.25">
      <c r="B38" s="12" t="s">
        <v>17</v>
      </c>
      <c r="C38" s="16">
        <f t="shared" si="1"/>
        <v>29658.800300787723</v>
      </c>
      <c r="D38" s="16">
        <f t="shared" si="2"/>
        <v>31738.58316698089</v>
      </c>
      <c r="E38" s="16">
        <f t="shared" si="3"/>
        <v>32138.657755193359</v>
      </c>
      <c r="F38" s="16">
        <f t="shared" si="4"/>
        <v>55244.705123864216</v>
      </c>
      <c r="G38" s="16">
        <f t="shared" si="5"/>
        <v>148780.7463468262</v>
      </c>
      <c r="H38" s="12"/>
      <c r="I38" s="12" t="s">
        <v>17</v>
      </c>
      <c r="J38" s="3">
        <v>6109742.8133333325</v>
      </c>
      <c r="K38" s="14">
        <f t="shared" si="6"/>
        <v>3.2811674061342083E-2</v>
      </c>
      <c r="L38" s="3">
        <v>8331102.46</v>
      </c>
      <c r="M38" s="14">
        <f t="shared" si="7"/>
        <v>4.1811467401646304E-2</v>
      </c>
      <c r="N38" s="3">
        <v>7701455.0266666664</v>
      </c>
      <c r="O38" s="14">
        <f t="shared" si="8"/>
        <v>3.6274535155480639E-2</v>
      </c>
      <c r="P38" s="3">
        <v>7730489.3300000001</v>
      </c>
      <c r="Q38" s="14">
        <f t="shared" si="9"/>
        <v>3.1879639292096966E-2</v>
      </c>
      <c r="R38" s="12"/>
    </row>
    <row r="39" spans="2:18" x14ac:dyDescent="0.25">
      <c r="B39" s="12" t="s">
        <v>18</v>
      </c>
      <c r="C39" s="16">
        <f t="shared" si="1"/>
        <v>186195.44341984816</v>
      </c>
      <c r="D39" s="16">
        <f t="shared" si="2"/>
        <v>145915.50971276767</v>
      </c>
      <c r="E39" s="16">
        <f t="shared" si="3"/>
        <v>164495.65504633659</v>
      </c>
      <c r="F39" s="16">
        <f t="shared" si="4"/>
        <v>292311.89341436984</v>
      </c>
      <c r="G39" s="16">
        <f t="shared" si="5"/>
        <v>788918.50159332226</v>
      </c>
      <c r="H39" s="12"/>
      <c r="I39" s="12" t="s">
        <v>18</v>
      </c>
      <c r="J39" s="3">
        <v>38356449.376666665</v>
      </c>
      <c r="K39" s="14">
        <f t="shared" si="6"/>
        <v>0.20598891860898558</v>
      </c>
      <c r="L39" s="3">
        <v>38301554.153333336</v>
      </c>
      <c r="M39" s="14">
        <f t="shared" si="7"/>
        <v>0.19222476144105513</v>
      </c>
      <c r="N39" s="3">
        <v>39418444.263333328</v>
      </c>
      <c r="O39" s="14">
        <f t="shared" si="8"/>
        <v>0.18566436306562711</v>
      </c>
      <c r="P39" s="3">
        <v>40903720.420000002</v>
      </c>
      <c r="Q39" s="14">
        <f t="shared" si="9"/>
        <v>0.1686821877670687</v>
      </c>
      <c r="R39" s="12"/>
    </row>
    <row r="40" spans="2:18" x14ac:dyDescent="0.25">
      <c r="B40" s="15" t="s">
        <v>24</v>
      </c>
      <c r="C40" s="16">
        <f>$C$21-(C18+C19+C20)</f>
        <v>903910</v>
      </c>
      <c r="D40" s="16">
        <f>$D$21-(D18+D19+D20)</f>
        <v>759088</v>
      </c>
      <c r="E40" s="16">
        <f>$E$21-(E18+E19+E20)</f>
        <v>885984</v>
      </c>
      <c r="F40" s="16">
        <f>$F$21-(F18+F19+F20)</f>
        <v>1732915</v>
      </c>
      <c r="G40" s="16">
        <f>$C$21-(G18+G19+G20)</f>
        <v>874667</v>
      </c>
      <c r="H40" s="12"/>
      <c r="I40" s="15" t="s">
        <v>24</v>
      </c>
      <c r="J40" s="3">
        <f t="shared" ref="J40:Q40" si="10">SUM(J26:J39)</f>
        <v>186206372.82666668</v>
      </c>
      <c r="K40" s="19">
        <f t="shared" si="10"/>
        <v>1.0000000000000002</v>
      </c>
      <c r="L40" s="3">
        <f>SUM(L26:L39)</f>
        <v>199254007.99666664</v>
      </c>
      <c r="M40" s="19">
        <f t="shared" si="10"/>
        <v>0.99999999999999978</v>
      </c>
      <c r="N40" s="3">
        <f t="shared" si="10"/>
        <v>212310233.43666667</v>
      </c>
      <c r="O40" s="19">
        <f t="shared" si="10"/>
        <v>1</v>
      </c>
      <c r="P40" s="3">
        <f t="shared" si="10"/>
        <v>242489861.92000002</v>
      </c>
      <c r="Q40" s="19">
        <f t="shared" si="10"/>
        <v>1</v>
      </c>
      <c r="R40" s="12"/>
    </row>
    <row r="41" spans="2:18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2:18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2:18" ht="15.75" x14ac:dyDescent="0.25">
      <c r="B43" s="44" t="s">
        <v>115</v>
      </c>
      <c r="C43" s="44"/>
      <c r="D43" s="44"/>
      <c r="E43" s="44"/>
      <c r="F43" s="44"/>
      <c r="G43" s="44"/>
      <c r="H43" s="12"/>
      <c r="I43" s="44" t="s">
        <v>178</v>
      </c>
      <c r="J43" s="44"/>
      <c r="K43" s="44"/>
      <c r="L43" s="44"/>
      <c r="M43" s="44"/>
      <c r="N43" s="44"/>
      <c r="O43" s="44"/>
      <c r="P43" s="44"/>
      <c r="Q43" s="44"/>
      <c r="R43" s="12"/>
    </row>
    <row r="44" spans="2:18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2:18" x14ac:dyDescent="0.25">
      <c r="B45" s="12" t="s">
        <v>7</v>
      </c>
      <c r="C45" s="16">
        <f>C26-C4</f>
        <v>21240.938014943174</v>
      </c>
      <c r="D45" s="16">
        <f>D26-D4</f>
        <v>15.831340893571905</v>
      </c>
      <c r="E45" s="16">
        <f>E26-E4</f>
        <v>-1239.1215749353141</v>
      </c>
      <c r="F45" s="16">
        <f>F26-F4</f>
        <v>-1797.8978408820985</v>
      </c>
      <c r="G45" s="16">
        <f t="shared" ref="G45:G59" si="11">SUM(C45+D45+E45+F45)</f>
        <v>18219.749940019334</v>
      </c>
      <c r="H45" s="12"/>
      <c r="I45" s="15" t="s">
        <v>153</v>
      </c>
      <c r="J45" s="12" t="s">
        <v>155</v>
      </c>
      <c r="K45" s="12"/>
      <c r="L45" s="12"/>
      <c r="M45" s="12"/>
      <c r="N45" s="12"/>
      <c r="O45" s="12"/>
      <c r="P45" s="12"/>
      <c r="Q45" s="12"/>
      <c r="R45" s="12"/>
    </row>
    <row r="46" spans="2:18" x14ac:dyDescent="0.25">
      <c r="B46" s="12" t="s">
        <v>8</v>
      </c>
      <c r="C46" s="16">
        <f t="shared" ref="C46:C58" si="12">C27-C5</f>
        <v>15461.430428661508</v>
      </c>
      <c r="D46" s="16">
        <f t="shared" ref="D46:D58" si="13">D27-D5</f>
        <v>34.405208013078663</v>
      </c>
      <c r="E46" s="16">
        <f t="shared" ref="E46" si="14">E27-E5</f>
        <v>-2379.9870934383216</v>
      </c>
      <c r="F46" s="16">
        <f t="shared" ref="F46" si="15">F27-F5</f>
        <v>-3562.4578794738045</v>
      </c>
      <c r="G46" s="16">
        <f t="shared" si="11"/>
        <v>9553.3906637624605</v>
      </c>
      <c r="H46" s="12"/>
      <c r="I46" s="15" t="s">
        <v>154</v>
      </c>
      <c r="J46" t="s">
        <v>187</v>
      </c>
      <c r="K46" s="12"/>
      <c r="L46" s="12"/>
      <c r="M46" s="12"/>
      <c r="N46" s="12"/>
      <c r="O46" s="12"/>
      <c r="P46" s="12"/>
      <c r="Q46" s="12"/>
      <c r="R46" s="12"/>
    </row>
    <row r="47" spans="2:18" x14ac:dyDescent="0.25">
      <c r="B47" s="12" t="s">
        <v>9</v>
      </c>
      <c r="C47" s="16">
        <f t="shared" si="12"/>
        <v>-148867.4578477997</v>
      </c>
      <c r="D47" s="16">
        <f t="shared" si="13"/>
        <v>24.687938709816081</v>
      </c>
      <c r="E47" s="16">
        <f t="shared" ref="E47" si="16">E28-E6</f>
        <v>-1820.5742179894587</v>
      </c>
      <c r="F47" s="16">
        <f t="shared" ref="F47" si="17">F28-F6</f>
        <v>-2837.9686302077316</v>
      </c>
      <c r="G47" s="16">
        <f t="shared" si="11"/>
        <v>-153501.31275728709</v>
      </c>
      <c r="H47" s="12"/>
      <c r="I47" s="15" t="s">
        <v>174</v>
      </c>
      <c r="J47" t="s">
        <v>180</v>
      </c>
      <c r="K47" s="12"/>
      <c r="L47" s="12"/>
      <c r="M47" s="12"/>
      <c r="N47" s="12"/>
      <c r="O47" s="12"/>
      <c r="P47" s="12"/>
      <c r="Q47" s="12"/>
      <c r="R47" s="12"/>
    </row>
    <row r="48" spans="2:18" x14ac:dyDescent="0.25">
      <c r="B48" s="12" t="s">
        <v>10</v>
      </c>
      <c r="C48" s="16">
        <f t="shared" si="12"/>
        <v>1135.0503492538701</v>
      </c>
      <c r="D48" s="16">
        <f t="shared" si="13"/>
        <v>16.731569971692807</v>
      </c>
      <c r="E48" s="16">
        <f t="shared" ref="E48" si="18">E29-E7</f>
        <v>-1130.8592611710992</v>
      </c>
      <c r="F48" s="16">
        <f t="shared" ref="F48" si="19">F29-F7</f>
        <v>-1606.2209801862628</v>
      </c>
      <c r="G48" s="16">
        <f t="shared" si="11"/>
        <v>-1585.2983221317991</v>
      </c>
      <c r="H48" s="12"/>
      <c r="I48" s="15" t="s">
        <v>179</v>
      </c>
      <c r="J48" t="s">
        <v>188</v>
      </c>
      <c r="K48" s="12"/>
      <c r="L48" s="12"/>
      <c r="M48" s="12"/>
      <c r="N48" s="12"/>
      <c r="O48" s="12"/>
      <c r="P48" s="12"/>
      <c r="Q48" s="12"/>
      <c r="R48" s="12"/>
    </row>
    <row r="49" spans="2:18" x14ac:dyDescent="0.25">
      <c r="B49" s="12" t="s">
        <v>11</v>
      </c>
      <c r="C49" s="16">
        <f t="shared" si="12"/>
        <v>10049.964248675067</v>
      </c>
      <c r="D49" s="16">
        <f t="shared" si="13"/>
        <v>20.180759113827662</v>
      </c>
      <c r="E49" s="16">
        <f t="shared" ref="E49" si="20">E30-E8</f>
        <v>-1796.5306453397643</v>
      </c>
      <c r="F49" s="16">
        <f t="shared" ref="F49" si="21">F30-F8</f>
        <v>-2320.929881469463</v>
      </c>
      <c r="G49" s="16">
        <f t="shared" si="11"/>
        <v>5952.6844809796676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2:18" x14ac:dyDescent="0.25">
      <c r="B50" s="12" t="s">
        <v>12</v>
      </c>
      <c r="C50" s="16">
        <f t="shared" si="12"/>
        <v>7094.2170705296448</v>
      </c>
      <c r="D50" s="16">
        <f t="shared" si="13"/>
        <v>16.420500370775699</v>
      </c>
      <c r="E50" s="16">
        <f t="shared" ref="E50" si="22">E31-E9</f>
        <v>-1200.4424523130438</v>
      </c>
      <c r="F50" s="16">
        <f t="shared" ref="F50" si="23">F31-F9</f>
        <v>-1672.2797940531018</v>
      </c>
      <c r="G50" s="16">
        <f t="shared" si="11"/>
        <v>4237.915324534275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2:18" x14ac:dyDescent="0.25">
      <c r="B51" s="12" t="s">
        <v>22</v>
      </c>
      <c r="C51" s="16">
        <f t="shared" si="12"/>
        <v>-571</v>
      </c>
      <c r="D51" s="16">
        <f t="shared" si="13"/>
        <v>0</v>
      </c>
      <c r="E51" s="16">
        <f t="shared" ref="E51" si="24">E32-E10</f>
        <v>0</v>
      </c>
      <c r="F51" s="16">
        <f t="shared" ref="F51" si="25">F32-F10</f>
        <v>-455</v>
      </c>
      <c r="G51" s="16">
        <f t="shared" si="11"/>
        <v>-1026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2:18" x14ac:dyDescent="0.25">
      <c r="B52" s="12" t="s">
        <v>21</v>
      </c>
      <c r="C52" s="16">
        <f t="shared" si="12"/>
        <v>1021.8196234920238</v>
      </c>
      <c r="D52" s="16">
        <f t="shared" si="13"/>
        <v>-327.87394892163547</v>
      </c>
      <c r="E52" s="16">
        <f t="shared" ref="E52" si="26">E33-E11</f>
        <v>-37.539647968723557</v>
      </c>
      <c r="F52" s="16">
        <f t="shared" ref="F52" si="27">F33-F11</f>
        <v>380.91581434521231</v>
      </c>
      <c r="G52" s="16">
        <f t="shared" si="11"/>
        <v>1037.321840946877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2:18" x14ac:dyDescent="0.25">
      <c r="B53" s="12" t="s">
        <v>13</v>
      </c>
      <c r="C53" s="16">
        <f t="shared" si="12"/>
        <v>9731.0516232160444</v>
      </c>
      <c r="D53" s="16">
        <f t="shared" si="13"/>
        <v>21.715517535456456</v>
      </c>
      <c r="E53" s="16">
        <f t="shared" ref="E53" si="28">E34-E12</f>
        <v>-1547.3259178940061</v>
      </c>
      <c r="F53" s="16">
        <f t="shared" ref="F53" si="29">F34-F12</f>
        <v>-2152.2717707754346</v>
      </c>
      <c r="G53" s="16">
        <f t="shared" si="11"/>
        <v>6053.1694520820602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2:18" x14ac:dyDescent="0.25">
      <c r="B54" s="12" t="s">
        <v>14</v>
      </c>
      <c r="C54" s="16">
        <f t="shared" si="12"/>
        <v>3988.4633468044194</v>
      </c>
      <c r="D54" s="16">
        <f t="shared" si="13"/>
        <v>9.0014320711197797</v>
      </c>
      <c r="E54" s="16">
        <f t="shared" ref="E54" si="30">E35-E13</f>
        <v>-661.41708945076607</v>
      </c>
      <c r="F54" s="16">
        <f t="shared" ref="F54" si="31">F35-F13</f>
        <v>-884.04824454156187</v>
      </c>
      <c r="G54" s="16">
        <f t="shared" si="11"/>
        <v>2451.9994448832113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2:18" x14ac:dyDescent="0.25">
      <c r="B55" s="12" t="s">
        <v>15</v>
      </c>
      <c r="C55" s="16">
        <f t="shared" si="12"/>
        <v>19117.684803918615</v>
      </c>
      <c r="D55" s="16">
        <f t="shared" si="13"/>
        <v>42.199566074603354</v>
      </c>
      <c r="E55" s="16">
        <f t="shared" ref="E55" si="32">E36-E14</f>
        <v>-3018.7720109988877</v>
      </c>
      <c r="F55" s="16">
        <f t="shared" ref="F55" si="33">F36-F14</f>
        <v>-4102.5523330482538</v>
      </c>
      <c r="G55" s="16">
        <f t="shared" si="11"/>
        <v>12038.560025946077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2:18" x14ac:dyDescent="0.25">
      <c r="B56" s="12" t="s">
        <v>16</v>
      </c>
      <c r="C56" s="16">
        <f t="shared" si="12"/>
        <v>24680.594617669558</v>
      </c>
      <c r="D56" s="16">
        <f t="shared" si="13"/>
        <v>62.607236418989487</v>
      </c>
      <c r="E56" s="16">
        <f t="shared" ref="E56" si="34">E37-E15</f>
        <v>20320.257109969389</v>
      </c>
      <c r="F56" s="16">
        <f t="shared" ref="F56" si="35">F37-F15</f>
        <v>8031.1130020583514</v>
      </c>
      <c r="G56" s="16">
        <f t="shared" si="11"/>
        <v>53094.571966116288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2:18" x14ac:dyDescent="0.25">
      <c r="B57" s="12" t="s">
        <v>17</v>
      </c>
      <c r="C57" s="16">
        <f t="shared" si="12"/>
        <v>4934.8003007877232</v>
      </c>
      <c r="D57" s="16">
        <f t="shared" si="13"/>
        <v>-2.4168330191096175</v>
      </c>
      <c r="E57" s="16">
        <f t="shared" ref="E57" si="36">E38-E16</f>
        <v>-897.34224480664125</v>
      </c>
      <c r="F57" s="16">
        <f t="shared" ref="F57" si="37">F38-F16</f>
        <v>18884.705123864216</v>
      </c>
      <c r="G57" s="16">
        <f t="shared" si="11"/>
        <v>22919.746346826189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2:18" x14ac:dyDescent="0.25">
      <c r="B58" s="12" t="s">
        <v>18</v>
      </c>
      <c r="C58" s="16">
        <f t="shared" si="12"/>
        <v>30982.443419848161</v>
      </c>
      <c r="D58" s="16">
        <f t="shared" si="13"/>
        <v>66.509712767670862</v>
      </c>
      <c r="E58" s="16">
        <f t="shared" ref="E58" si="38">E39-E17</f>
        <v>-4590.3449536634143</v>
      </c>
      <c r="F58" s="16">
        <f t="shared" ref="F58" si="39">F39-F17</f>
        <v>-5905.1065856301575</v>
      </c>
      <c r="G58" s="16">
        <f t="shared" si="11"/>
        <v>20553.50159332226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2:18" x14ac:dyDescent="0.25">
      <c r="B59" s="15" t="s">
        <v>24</v>
      </c>
      <c r="C59" s="16">
        <f>SUM(C45:C58)</f>
        <v>9.822542779147625E-11</v>
      </c>
      <c r="D59" s="16">
        <f>SUM(D45:D58)</f>
        <v>-1.4233592082746327E-10</v>
      </c>
      <c r="E59" s="16">
        <f>SUM(E45:E58)</f>
        <v>-5.2750692702829838E-11</v>
      </c>
      <c r="F59" s="16">
        <f>SUM(F45:F58)</f>
        <v>-9.0949470177292824E-11</v>
      </c>
      <c r="G59" s="16">
        <f t="shared" si="11"/>
        <v>-1.8781065591610968E-10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</sheetData>
  <sheetProtection algorithmName="SHA-512" hashValue="hLuAQ5qRIWftwca+rc4YmG2bYFPYe+65A356xbrS5huJqhzEr/DgtOTx32D1rF+KPP0mNtpT9JN2MAv09ZQVKw==" saltValue="6psSifxGHVJzCp22nwZL2A==" spinCount="100000" sheet="1" objects="1" scenarios="1"/>
  <mergeCells count="6">
    <mergeCell ref="B2:G2"/>
    <mergeCell ref="I2:Q2"/>
    <mergeCell ref="I24:Q24"/>
    <mergeCell ref="B24:G24"/>
    <mergeCell ref="B43:G43"/>
    <mergeCell ref="I43:Q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2CB62-A75F-442E-B3F7-4674E4ABA4DC}">
  <dimension ref="B2:Q59"/>
  <sheetViews>
    <sheetView topLeftCell="A20" workbookViewId="0">
      <selection activeCell="J47" sqref="J47"/>
    </sheetView>
  </sheetViews>
  <sheetFormatPr defaultColWidth="9.140625" defaultRowHeight="15" x14ac:dyDescent="0.25"/>
  <cols>
    <col min="1" max="2" width="9.140625" style="12"/>
    <col min="3" max="3" width="13.42578125" style="12" bestFit="1" customWidth="1"/>
    <col min="4" max="5" width="12.5703125" style="12" bestFit="1" customWidth="1"/>
    <col min="6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30</v>
      </c>
      <c r="C2" s="44"/>
      <c r="D2" s="44"/>
      <c r="E2" s="44"/>
      <c r="F2" s="44"/>
      <c r="G2" s="44"/>
      <c r="H2" s="11"/>
      <c r="I2" s="44" t="s">
        <v>31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2</v>
      </c>
      <c r="K3" s="13"/>
      <c r="L3" s="13" t="s">
        <v>3</v>
      </c>
      <c r="M3" s="13"/>
      <c r="N3" s="13" t="s">
        <v>4</v>
      </c>
      <c r="O3" s="13"/>
      <c r="P3" s="13" t="s">
        <v>26</v>
      </c>
      <c r="Q3" s="13"/>
    </row>
    <row r="4" spans="2:17" x14ac:dyDescent="0.25">
      <c r="B4" s="12" t="s">
        <v>7</v>
      </c>
      <c r="C4" s="3">
        <v>20090</v>
      </c>
      <c r="D4" s="5">
        <v>16961</v>
      </c>
      <c r="E4" s="5">
        <v>33724</v>
      </c>
      <c r="F4" s="5">
        <v>177794</v>
      </c>
      <c r="G4" s="5">
        <f t="shared" ref="G4:G20" si="0">C4+D4+E4+F4</f>
        <v>248569</v>
      </c>
      <c r="I4" s="12" t="s">
        <v>7</v>
      </c>
      <c r="J4" s="3">
        <v>7668924.2066666661</v>
      </c>
      <c r="K4" s="14"/>
      <c r="L4" s="3">
        <v>5458950.2166666677</v>
      </c>
      <c r="M4" s="14"/>
      <c r="N4" s="3">
        <v>8007643.6366666676</v>
      </c>
      <c r="O4" s="14"/>
      <c r="P4" s="3">
        <v>11205926.129999999</v>
      </c>
      <c r="Q4" s="14"/>
    </row>
    <row r="5" spans="2:17" x14ac:dyDescent="0.25">
      <c r="B5" s="12" t="s">
        <v>8</v>
      </c>
      <c r="C5" s="3">
        <v>56088</v>
      </c>
      <c r="D5" s="3">
        <v>51473</v>
      </c>
      <c r="E5" s="3">
        <v>82717</v>
      </c>
      <c r="F5" s="3">
        <v>419663</v>
      </c>
      <c r="G5" s="5">
        <f t="shared" si="0"/>
        <v>609941</v>
      </c>
      <c r="I5" s="12" t="s">
        <v>8</v>
      </c>
      <c r="J5" s="3">
        <v>21410288.16</v>
      </c>
      <c r="K5" s="14"/>
      <c r="L5" s="3">
        <v>16566652.529999999</v>
      </c>
      <c r="M5" s="14"/>
      <c r="N5" s="3">
        <v>19640802.903333332</v>
      </c>
      <c r="O5" s="14"/>
      <c r="P5" s="3">
        <v>26450301.219999999</v>
      </c>
      <c r="Q5" s="14"/>
    </row>
    <row r="6" spans="2:17" x14ac:dyDescent="0.25">
      <c r="B6" s="12" t="s">
        <v>9</v>
      </c>
      <c r="C6" s="3">
        <v>36123</v>
      </c>
      <c r="D6" s="3">
        <v>27180</v>
      </c>
      <c r="E6" s="3">
        <v>48815</v>
      </c>
      <c r="F6" s="3">
        <v>100000</v>
      </c>
      <c r="G6" s="5">
        <f t="shared" si="0"/>
        <v>212118</v>
      </c>
      <c r="I6" s="12" t="s">
        <v>9</v>
      </c>
      <c r="J6" s="3">
        <v>10812912.946666667</v>
      </c>
      <c r="K6" s="14"/>
      <c r="L6" s="3">
        <v>8747827.1833333317</v>
      </c>
      <c r="M6" s="14"/>
      <c r="N6" s="3">
        <v>11591049.466666667</v>
      </c>
      <c r="O6" s="14"/>
      <c r="P6" s="3">
        <v>16320013.825000001</v>
      </c>
      <c r="Q6" s="14"/>
    </row>
    <row r="7" spans="2:17" x14ac:dyDescent="0.25">
      <c r="B7" s="12" t="s">
        <v>10</v>
      </c>
      <c r="C7" s="3">
        <v>26446</v>
      </c>
      <c r="D7" s="3">
        <v>24275</v>
      </c>
      <c r="E7" s="3">
        <v>39801</v>
      </c>
      <c r="F7" s="3">
        <v>209459</v>
      </c>
      <c r="G7" s="5">
        <f t="shared" si="0"/>
        <v>299981</v>
      </c>
      <c r="I7" s="12" t="s">
        <v>10</v>
      </c>
      <c r="J7" s="3">
        <v>10095150.036666667</v>
      </c>
      <c r="K7" s="14"/>
      <c r="L7" s="3">
        <v>7813062.3500000006</v>
      </c>
      <c r="M7" s="14"/>
      <c r="N7" s="3">
        <v>9450723.589999998</v>
      </c>
      <c r="O7" s="14"/>
      <c r="P7" s="3">
        <v>13201721.68</v>
      </c>
      <c r="Q7" s="14"/>
    </row>
    <row r="8" spans="2:17" x14ac:dyDescent="0.25">
      <c r="B8" s="12" t="s">
        <v>11</v>
      </c>
      <c r="C8" s="3">
        <v>70901</v>
      </c>
      <c r="D8" s="3">
        <v>66299</v>
      </c>
      <c r="E8" s="3">
        <v>99048</v>
      </c>
      <c r="F8" s="3">
        <v>426269</v>
      </c>
      <c r="G8" s="5">
        <f t="shared" si="0"/>
        <v>662517</v>
      </c>
      <c r="I8" s="12" t="s">
        <v>11</v>
      </c>
      <c r="J8" s="3">
        <v>27064586.680000003</v>
      </c>
      <c r="K8" s="14"/>
      <c r="L8" s="3">
        <v>21338455.16333333</v>
      </c>
      <c r="M8" s="14"/>
      <c r="N8" s="3">
        <v>23518665.596666664</v>
      </c>
      <c r="O8" s="14"/>
      <c r="P8" s="3">
        <v>26886717.125</v>
      </c>
      <c r="Q8" s="14"/>
    </row>
    <row r="9" spans="2:17" x14ac:dyDescent="0.25">
      <c r="B9" s="12" t="s">
        <v>12</v>
      </c>
      <c r="C9" s="3">
        <v>26514</v>
      </c>
      <c r="D9" s="3">
        <v>26814</v>
      </c>
      <c r="E9" s="3">
        <v>41591</v>
      </c>
      <c r="F9" s="3">
        <v>191203</v>
      </c>
      <c r="G9" s="5">
        <f t="shared" si="0"/>
        <v>286122</v>
      </c>
      <c r="I9" s="12" t="s">
        <v>12</v>
      </c>
      <c r="J9" s="3">
        <v>10121172.266666668</v>
      </c>
      <c r="K9" s="14"/>
      <c r="L9" s="3">
        <v>8630231.5499999989</v>
      </c>
      <c r="M9" s="14"/>
      <c r="N9" s="3">
        <v>9875700.1366666686</v>
      </c>
      <c r="O9" s="14"/>
      <c r="P9" s="3">
        <v>12051070.710000001</v>
      </c>
      <c r="Q9" s="14"/>
    </row>
    <row r="10" spans="2:17" x14ac:dyDescent="0.25">
      <c r="B10" s="12" t="s">
        <v>22</v>
      </c>
      <c r="C10" s="3">
        <v>596</v>
      </c>
      <c r="D10" s="3">
        <v>298</v>
      </c>
      <c r="E10" s="3">
        <v>690</v>
      </c>
      <c r="F10" s="3">
        <v>6831</v>
      </c>
      <c r="G10" s="5">
        <f t="shared" si="0"/>
        <v>8415</v>
      </c>
      <c r="I10" s="12" t="s">
        <v>22</v>
      </c>
      <c r="J10" s="3">
        <v>164408.44333333333</v>
      </c>
      <c r="K10" s="14"/>
      <c r="L10" s="3">
        <v>95868.936666666661</v>
      </c>
      <c r="M10" s="14"/>
      <c r="N10" s="3">
        <v>163846.69999999998</v>
      </c>
      <c r="O10" s="14"/>
      <c r="P10" s="3">
        <v>429998.92000000004</v>
      </c>
      <c r="Q10" s="14"/>
    </row>
    <row r="11" spans="2:17" x14ac:dyDescent="0.25">
      <c r="B11" s="12" t="s">
        <v>21</v>
      </c>
      <c r="C11" s="3">
        <v>0</v>
      </c>
      <c r="D11" s="3">
        <v>0</v>
      </c>
      <c r="E11" s="3">
        <v>0</v>
      </c>
      <c r="F11" s="3">
        <v>0</v>
      </c>
      <c r="G11" s="5">
        <f t="shared" si="0"/>
        <v>0</v>
      </c>
      <c r="I11" s="12" t="s">
        <v>21</v>
      </c>
      <c r="J11" s="3">
        <v>0</v>
      </c>
      <c r="K11" s="14"/>
      <c r="L11" s="3">
        <v>0</v>
      </c>
      <c r="M11" s="14"/>
      <c r="N11" s="3">
        <v>0</v>
      </c>
      <c r="O11" s="14"/>
      <c r="P11" s="3">
        <v>0</v>
      </c>
      <c r="Q11" s="14"/>
    </row>
    <row r="12" spans="2:17" x14ac:dyDescent="0.25">
      <c r="B12" s="12" t="s">
        <v>13</v>
      </c>
      <c r="C12" s="3">
        <v>27766</v>
      </c>
      <c r="D12" s="3">
        <v>28849</v>
      </c>
      <c r="E12" s="3">
        <v>46582</v>
      </c>
      <c r="F12" s="3">
        <v>228400</v>
      </c>
      <c r="G12" s="5">
        <f t="shared" si="0"/>
        <v>331597</v>
      </c>
      <c r="I12" s="12" t="s">
        <v>13</v>
      </c>
      <c r="J12" s="3">
        <v>10599036.48</v>
      </c>
      <c r="K12" s="14"/>
      <c r="L12" s="3">
        <v>9285281.7266666666</v>
      </c>
      <c r="M12" s="14"/>
      <c r="N12" s="3">
        <v>11060801.596666666</v>
      </c>
      <c r="O12" s="14"/>
      <c r="P12" s="3">
        <v>14395590.125</v>
      </c>
      <c r="Q12" s="14"/>
    </row>
    <row r="13" spans="2:17" x14ac:dyDescent="0.25">
      <c r="B13" s="12" t="s">
        <v>14</v>
      </c>
      <c r="C13" s="3">
        <v>11267</v>
      </c>
      <c r="D13" s="3">
        <v>12424</v>
      </c>
      <c r="E13" s="3">
        <v>18878</v>
      </c>
      <c r="F13" s="3">
        <v>83836</v>
      </c>
      <c r="G13" s="5">
        <f t="shared" si="0"/>
        <v>126405</v>
      </c>
      <c r="I13" s="12" t="s">
        <v>14</v>
      </c>
      <c r="J13" s="3">
        <v>4301046.25</v>
      </c>
      <c r="K13" s="14"/>
      <c r="L13" s="3">
        <v>3998596.06</v>
      </c>
      <c r="M13" s="14"/>
      <c r="N13" s="3">
        <v>4482529.7300000004</v>
      </c>
      <c r="O13" s="14"/>
      <c r="P13" s="3">
        <v>5284022.8900000006</v>
      </c>
      <c r="Q13" s="14"/>
    </row>
    <row r="14" spans="2:17" x14ac:dyDescent="0.25">
      <c r="B14" s="12" t="s">
        <v>15</v>
      </c>
      <c r="C14" s="3">
        <v>47909</v>
      </c>
      <c r="D14" s="3">
        <v>64818</v>
      </c>
      <c r="E14" s="3">
        <v>94527</v>
      </c>
      <c r="F14" s="3">
        <v>432541</v>
      </c>
      <c r="G14" s="5">
        <f t="shared" si="0"/>
        <v>639795</v>
      </c>
      <c r="I14" s="12" t="s">
        <v>15</v>
      </c>
      <c r="J14" s="3">
        <v>18288037.579999998</v>
      </c>
      <c r="K14" s="14"/>
      <c r="L14" s="3">
        <v>15861747.116666665</v>
      </c>
      <c r="M14" s="14"/>
      <c r="N14" s="3">
        <v>17778607.983333331</v>
      </c>
      <c r="O14" s="14"/>
      <c r="P14" s="3">
        <v>22262047.085000001</v>
      </c>
      <c r="Q14" s="14"/>
    </row>
    <row r="15" spans="2:17" x14ac:dyDescent="0.25">
      <c r="B15" s="12" t="s">
        <v>16</v>
      </c>
      <c r="C15" s="3">
        <v>174848</v>
      </c>
      <c r="D15" s="3">
        <v>77040</v>
      </c>
      <c r="E15" s="3">
        <v>104924</v>
      </c>
      <c r="F15" s="3">
        <v>565012</v>
      </c>
      <c r="G15" s="5">
        <f t="shared" si="0"/>
        <v>921824</v>
      </c>
      <c r="I15" s="12" t="s">
        <v>16</v>
      </c>
      <c r="J15" s="3">
        <v>32388673.860000003</v>
      </c>
      <c r="K15" s="14"/>
      <c r="L15" s="3">
        <v>24795502.459999997</v>
      </c>
      <c r="M15" s="14"/>
      <c r="N15" s="3">
        <v>33289806.063333333</v>
      </c>
      <c r="O15" s="14"/>
      <c r="P15" s="3">
        <v>48216829.234999999</v>
      </c>
      <c r="Q15" s="14"/>
    </row>
    <row r="16" spans="2:17" x14ac:dyDescent="0.25">
      <c r="B16" s="12" t="s">
        <v>17</v>
      </c>
      <c r="C16" s="3">
        <v>8761</v>
      </c>
      <c r="D16" s="3">
        <v>21804</v>
      </c>
      <c r="E16" s="3">
        <v>28545</v>
      </c>
      <c r="F16" s="3">
        <v>99119</v>
      </c>
      <c r="G16" s="5">
        <f t="shared" si="0"/>
        <v>158229</v>
      </c>
      <c r="I16" s="12" t="s">
        <v>17</v>
      </c>
      <c r="J16" s="3">
        <v>3344162.9233333333</v>
      </c>
      <c r="K16" s="14"/>
      <c r="L16" s="3">
        <v>7017608.2466666661</v>
      </c>
      <c r="M16" s="14"/>
      <c r="N16" s="3">
        <v>6797246.1766666668</v>
      </c>
      <c r="O16" s="14"/>
      <c r="P16" s="3">
        <v>6247281.085</v>
      </c>
      <c r="Q16" s="14"/>
    </row>
    <row r="17" spans="2:17" x14ac:dyDescent="0.25">
      <c r="B17" s="12" t="s">
        <v>18</v>
      </c>
      <c r="C17" s="3">
        <v>82734</v>
      </c>
      <c r="D17" s="3">
        <v>88205</v>
      </c>
      <c r="E17" s="3">
        <v>128557</v>
      </c>
      <c r="F17" s="3">
        <v>737796</v>
      </c>
      <c r="G17" s="5">
        <f t="shared" si="0"/>
        <v>1037292</v>
      </c>
      <c r="I17" s="12" t="s">
        <v>18</v>
      </c>
      <c r="J17" s="3">
        <v>31581799.383333329</v>
      </c>
      <c r="K17" s="14"/>
      <c r="L17" s="3">
        <v>28389650.079999998</v>
      </c>
      <c r="M17" s="14"/>
      <c r="N17" s="3">
        <v>30525403.416666668</v>
      </c>
      <c r="O17" s="14"/>
      <c r="P17" s="3">
        <v>46501456.835000001</v>
      </c>
      <c r="Q17" s="14"/>
    </row>
    <row r="18" spans="2:17" x14ac:dyDescent="0.25">
      <c r="B18" s="29" t="s">
        <v>19</v>
      </c>
      <c r="C18" s="30">
        <v>0</v>
      </c>
      <c r="D18" s="30">
        <v>0</v>
      </c>
      <c r="E18" s="30">
        <v>0</v>
      </c>
      <c r="F18" s="30">
        <v>0</v>
      </c>
      <c r="G18" s="31">
        <f t="shared" si="0"/>
        <v>0</v>
      </c>
      <c r="I18" s="29" t="s">
        <v>19</v>
      </c>
      <c r="J18" s="30">
        <v>0</v>
      </c>
      <c r="K18" s="32"/>
      <c r="L18" s="30">
        <v>0</v>
      </c>
      <c r="M18" s="32"/>
      <c r="N18" s="30">
        <v>0</v>
      </c>
      <c r="O18" s="32"/>
      <c r="P18" s="30">
        <v>0</v>
      </c>
      <c r="Q18" s="14"/>
    </row>
    <row r="19" spans="2:17" x14ac:dyDescent="0.25">
      <c r="B19" s="29" t="s">
        <v>20</v>
      </c>
      <c r="C19" s="30">
        <v>7492</v>
      </c>
      <c r="D19" s="30">
        <v>9095</v>
      </c>
      <c r="E19" s="30">
        <v>2650</v>
      </c>
      <c r="F19" s="30">
        <v>42472</v>
      </c>
      <c r="G19" s="31">
        <f t="shared" si="0"/>
        <v>61709</v>
      </c>
      <c r="I19" s="29" t="s">
        <v>20</v>
      </c>
      <c r="J19" s="30">
        <v>2859791.2833333332</v>
      </c>
      <c r="K19" s="32"/>
      <c r="L19" s="30">
        <v>2927193.5566666666</v>
      </c>
      <c r="M19" s="32"/>
      <c r="N19" s="30">
        <v>3003707.0700000003</v>
      </c>
      <c r="O19" s="32"/>
      <c r="P19" s="30">
        <v>2676929.2949999999</v>
      </c>
      <c r="Q19" s="14"/>
    </row>
    <row r="20" spans="2:17" x14ac:dyDescent="0.25">
      <c r="B20" s="29" t="s">
        <v>23</v>
      </c>
      <c r="C20" s="30">
        <v>0</v>
      </c>
      <c r="D20" s="30">
        <v>0</v>
      </c>
      <c r="E20" s="30">
        <v>0</v>
      </c>
      <c r="F20" s="30">
        <v>0</v>
      </c>
      <c r="G20" s="31">
        <f t="shared" si="0"/>
        <v>0</v>
      </c>
      <c r="I20" s="29" t="s">
        <v>23</v>
      </c>
      <c r="J20" s="30">
        <v>0</v>
      </c>
      <c r="K20" s="32"/>
      <c r="L20" s="30">
        <v>0</v>
      </c>
      <c r="M20" s="32"/>
      <c r="N20" s="30">
        <v>0</v>
      </c>
      <c r="O20" s="32"/>
      <c r="P20" s="30">
        <v>0</v>
      </c>
      <c r="Q20" s="14"/>
    </row>
    <row r="21" spans="2:17" x14ac:dyDescent="0.25">
      <c r="B21" s="15" t="s">
        <v>24</v>
      </c>
      <c r="C21" s="16">
        <f>SUM(C4:C20)</f>
        <v>597535</v>
      </c>
      <c r="D21" s="3">
        <f>SUM(D4:D20)</f>
        <v>515535</v>
      </c>
      <c r="E21" s="3">
        <f>SUM(E4:E20)</f>
        <v>771049</v>
      </c>
      <c r="F21" s="3">
        <f>SUM(F4:F20)</f>
        <v>3720395</v>
      </c>
      <c r="G21" s="3">
        <f>SUM(G4:G20)</f>
        <v>5604514</v>
      </c>
      <c r="I21" s="15" t="s">
        <v>24</v>
      </c>
      <c r="J21" s="3">
        <f>SUM(J4:J20)</f>
        <v>190699990.5</v>
      </c>
      <c r="K21" s="17"/>
      <c r="L21" s="3">
        <f>SUM(L4:L20)</f>
        <v>160926627.17666668</v>
      </c>
      <c r="M21" s="14"/>
      <c r="N21" s="3">
        <f>SUM(N4:N20)</f>
        <v>189186534.06666666</v>
      </c>
      <c r="O21" s="14"/>
      <c r="P21" s="3">
        <f>SUM(P4:P20)</f>
        <v>252129906.16</v>
      </c>
      <c r="Q21" s="18"/>
    </row>
    <row r="24" spans="2:17" ht="15.75" x14ac:dyDescent="0.25">
      <c r="B24" s="44" t="s">
        <v>117</v>
      </c>
      <c r="C24" s="44"/>
      <c r="D24" s="44"/>
      <c r="E24" s="44"/>
      <c r="F24" s="44"/>
      <c r="G24" s="44"/>
      <c r="I24" s="44" t="s">
        <v>29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2</v>
      </c>
      <c r="K25" s="13"/>
      <c r="L25" s="13" t="s">
        <v>3</v>
      </c>
      <c r="M25" s="13"/>
      <c r="N25" s="13" t="s">
        <v>4</v>
      </c>
      <c r="O25" s="13"/>
      <c r="P25" s="13" t="s">
        <v>26</v>
      </c>
    </row>
    <row r="26" spans="2:17" x14ac:dyDescent="0.25">
      <c r="B26" s="12" t="s">
        <v>7</v>
      </c>
      <c r="C26" s="16">
        <f t="shared" ref="C26:C39" si="1">$C$40*K26</f>
        <v>23464.998812774182</v>
      </c>
      <c r="D26" s="16">
        <f t="shared" ref="D26:D39" si="2">$D$40*M26</f>
        <v>16960.983767427322</v>
      </c>
      <c r="E26" s="16">
        <f t="shared" ref="E26:E39" si="3">$E$40*O26</f>
        <v>32296.469051486707</v>
      </c>
      <c r="F26" s="16">
        <f t="shared" ref="F26:F39" si="4">$F$40*Q26</f>
        <v>162877.63944007692</v>
      </c>
      <c r="G26" s="16">
        <f t="shared" ref="G26:G39" si="5">SUM(C26+D26+E26+F26)</f>
        <v>235600.09107176511</v>
      </c>
      <c r="I26" s="12" t="s">
        <v>7</v>
      </c>
      <c r="J26" s="3">
        <v>7668924.2066666661</v>
      </c>
      <c r="K26" s="14">
        <f t="shared" ref="K26:K39" si="6">J26/$J$40</f>
        <v>3.9768286061819529E-2</v>
      </c>
      <c r="L26" s="3">
        <v>5458950.2166666677</v>
      </c>
      <c r="M26" s="14">
        <f t="shared" ref="M26:M39" si="7">L26/$L$40</f>
        <v>3.349060849740803E-2</v>
      </c>
      <c r="N26" s="3">
        <v>8007643.6366666676</v>
      </c>
      <c r="O26" s="14">
        <f t="shared" ref="O26:O39" si="8">N26/$N$40</f>
        <v>4.2030857733399846E-2</v>
      </c>
      <c r="P26" s="3">
        <v>11205926.129999999</v>
      </c>
      <c r="Q26" s="14">
        <f t="shared" ref="Q26:Q39" si="9">P26/$P$40</f>
        <v>4.4285222784728476E-2</v>
      </c>
    </row>
    <row r="27" spans="2:17" x14ac:dyDescent="0.25">
      <c r="B27" s="12" t="s">
        <v>8</v>
      </c>
      <c r="C27" s="16">
        <f t="shared" si="1"/>
        <v>65510.151452379563</v>
      </c>
      <c r="D27" s="16">
        <f t="shared" si="2"/>
        <v>51472.66662811119</v>
      </c>
      <c r="E27" s="16">
        <f t="shared" si="3"/>
        <v>79215.386185430514</v>
      </c>
      <c r="F27" s="16">
        <f t="shared" si="4"/>
        <v>384453.95545299631</v>
      </c>
      <c r="G27" s="16">
        <f t="shared" si="5"/>
        <v>580652.15971891757</v>
      </c>
      <c r="I27" s="12" t="s">
        <v>8</v>
      </c>
      <c r="J27" s="3">
        <v>21410288.16</v>
      </c>
      <c r="K27" s="14">
        <f t="shared" si="6"/>
        <v>0.11102606327399793</v>
      </c>
      <c r="L27" s="3">
        <v>16566652.529999999</v>
      </c>
      <c r="M27" s="14">
        <f t="shared" si="7"/>
        <v>0.10163625824996286</v>
      </c>
      <c r="N27" s="3">
        <v>19640802.903333332</v>
      </c>
      <c r="O27" s="14">
        <f t="shared" si="8"/>
        <v>0.10309147485281801</v>
      </c>
      <c r="P27" s="3">
        <v>26450301.219999999</v>
      </c>
      <c r="Q27" s="14">
        <f t="shared" si="9"/>
        <v>0.10453018060818464</v>
      </c>
    </row>
    <row r="28" spans="2:17" x14ac:dyDescent="0.25">
      <c r="B28" s="12" t="s">
        <v>9</v>
      </c>
      <c r="C28" s="16">
        <f t="shared" si="1"/>
        <v>33084.82162799294</v>
      </c>
      <c r="D28" s="16">
        <f t="shared" si="2"/>
        <v>27179.539832362592</v>
      </c>
      <c r="E28" s="16">
        <f t="shared" si="3"/>
        <v>46749.079674364948</v>
      </c>
      <c r="F28" s="16">
        <f t="shared" si="4"/>
        <v>237210.67733340673</v>
      </c>
      <c r="G28" s="16">
        <f t="shared" si="5"/>
        <v>344224.11846812721</v>
      </c>
      <c r="I28" s="12" t="s">
        <v>9</v>
      </c>
      <c r="J28" s="3">
        <v>10812912.946666667</v>
      </c>
      <c r="K28" s="14">
        <f t="shared" si="6"/>
        <v>5.6071882266195749E-2</v>
      </c>
      <c r="L28" s="3">
        <v>8747827.1833333317</v>
      </c>
      <c r="M28" s="14">
        <f t="shared" si="7"/>
        <v>5.3667837912413301E-2</v>
      </c>
      <c r="N28" s="3">
        <v>11591049.466666667</v>
      </c>
      <c r="O28" s="14">
        <f t="shared" si="8"/>
        <v>6.0839589424719384E-2</v>
      </c>
      <c r="P28" s="3">
        <v>16320013.825000001</v>
      </c>
      <c r="Q28" s="14">
        <f t="shared" si="9"/>
        <v>6.4495824772135446E-2</v>
      </c>
    </row>
    <row r="29" spans="2:17" x14ac:dyDescent="0.25">
      <c r="B29" s="12" t="s">
        <v>10</v>
      </c>
      <c r="C29" s="16">
        <f t="shared" si="1"/>
        <v>30888.645818045283</v>
      </c>
      <c r="D29" s="16">
        <f t="shared" si="2"/>
        <v>24275.221138243855</v>
      </c>
      <c r="E29" s="16">
        <f t="shared" si="3"/>
        <v>35436.156041799011</v>
      </c>
      <c r="F29" s="16">
        <f t="shared" si="4"/>
        <v>171346.70272358524</v>
      </c>
      <c r="G29" s="16">
        <f t="shared" si="5"/>
        <v>261946.7257216734</v>
      </c>
      <c r="I29" s="12" t="s">
        <v>98</v>
      </c>
      <c r="J29" s="3">
        <v>10095150.036666667</v>
      </c>
      <c r="K29" s="14">
        <f t="shared" si="6"/>
        <v>5.2349821653752834E-2</v>
      </c>
      <c r="L29" s="3">
        <v>7813062.3500000006</v>
      </c>
      <c r="M29" s="14">
        <f t="shared" si="7"/>
        <v>4.7933064406926497E-2</v>
      </c>
      <c r="N29" s="3">
        <f>9450723.59-664620.41</f>
        <v>8786103.1799999997</v>
      </c>
      <c r="O29" s="14">
        <f t="shared" si="8"/>
        <v>4.6116869024815252E-2</v>
      </c>
      <c r="P29" s="3">
        <f>13201721.68-1413126.88</f>
        <v>11788594.800000001</v>
      </c>
      <c r="Q29" s="14">
        <f t="shared" si="9"/>
        <v>4.6587898312059617E-2</v>
      </c>
    </row>
    <row r="30" spans="2:17" x14ac:dyDescent="0.25">
      <c r="B30" s="12" t="s">
        <v>11</v>
      </c>
      <c r="C30" s="16">
        <f t="shared" si="1"/>
        <v>82810.897226282585</v>
      </c>
      <c r="D30" s="16">
        <f t="shared" si="2"/>
        <v>66298.679651317245</v>
      </c>
      <c r="E30" s="16">
        <f t="shared" si="3"/>
        <v>94855.601727450921</v>
      </c>
      <c r="F30" s="16">
        <f t="shared" si="4"/>
        <v>390797.24128192983</v>
      </c>
      <c r="G30" s="16">
        <f t="shared" si="5"/>
        <v>634762.41988698056</v>
      </c>
      <c r="I30" s="12" t="s">
        <v>11</v>
      </c>
      <c r="J30" s="3">
        <v>27064586.680000003</v>
      </c>
      <c r="K30" s="14">
        <f t="shared" si="6"/>
        <v>0.14034722422989948</v>
      </c>
      <c r="L30" s="3">
        <v>21338455.16333333</v>
      </c>
      <c r="M30" s="14">
        <f t="shared" si="7"/>
        <v>0.13091122275356853</v>
      </c>
      <c r="N30" s="3">
        <v>23518665.596666664</v>
      </c>
      <c r="O30" s="14">
        <f t="shared" si="8"/>
        <v>0.12344576415046209</v>
      </c>
      <c r="P30" s="3">
        <v>26886717.125</v>
      </c>
      <c r="Q30" s="14">
        <f t="shared" si="9"/>
        <v>0.10625487300357561</v>
      </c>
    </row>
    <row r="31" spans="2:17" x14ac:dyDescent="0.25">
      <c r="B31" s="12" t="s">
        <v>12</v>
      </c>
      <c r="C31" s="16">
        <f t="shared" si="1"/>
        <v>30968.267363336465</v>
      </c>
      <c r="D31" s="16">
        <f t="shared" si="2"/>
        <v>26814.169651481021</v>
      </c>
      <c r="E31" s="16">
        <f t="shared" si="3"/>
        <v>39830.724030369958</v>
      </c>
      <c r="F31" s="16">
        <f t="shared" si="4"/>
        <v>175161.77843751787</v>
      </c>
      <c r="G31" s="16">
        <f t="shared" si="5"/>
        <v>272774.93948270532</v>
      </c>
      <c r="I31" s="12" t="s">
        <v>12</v>
      </c>
      <c r="J31" s="3">
        <v>10121172.266666668</v>
      </c>
      <c r="K31" s="14">
        <f t="shared" si="6"/>
        <v>5.2484763590681466E-2</v>
      </c>
      <c r="L31" s="3">
        <v>8630231.5499999989</v>
      </c>
      <c r="M31" s="14">
        <f t="shared" si="7"/>
        <v>5.2946389802308313E-2</v>
      </c>
      <c r="N31" s="3">
        <v>9875700.1366666686</v>
      </c>
      <c r="O31" s="14">
        <f t="shared" si="8"/>
        <v>5.1835991497086745E-2</v>
      </c>
      <c r="P31" s="3">
        <v>12051070.710000001</v>
      </c>
      <c r="Q31" s="14">
        <f t="shared" si="9"/>
        <v>4.7625189118292548E-2</v>
      </c>
    </row>
    <row r="32" spans="2:17" x14ac:dyDescent="0.25">
      <c r="B32" s="12" t="s">
        <v>22</v>
      </c>
      <c r="C32" s="16">
        <f t="shared" si="1"/>
        <v>503.04890538272093</v>
      </c>
      <c r="D32" s="16">
        <f t="shared" si="2"/>
        <v>297.86523306979979</v>
      </c>
      <c r="E32" s="16">
        <f t="shared" si="3"/>
        <v>660.82734395270677</v>
      </c>
      <c r="F32" s="16">
        <f t="shared" si="4"/>
        <v>6250.015236481172</v>
      </c>
      <c r="G32" s="16">
        <f t="shared" si="5"/>
        <v>7711.7567188863995</v>
      </c>
      <c r="I32" s="12" t="s">
        <v>22</v>
      </c>
      <c r="J32" s="3">
        <v>164408.44333333333</v>
      </c>
      <c r="K32" s="14">
        <f t="shared" si="6"/>
        <v>8.5256312740380092E-4</v>
      </c>
      <c r="L32" s="3">
        <v>95868.936666666661</v>
      </c>
      <c r="M32" s="14">
        <f t="shared" si="7"/>
        <v>5.8815502936142446E-4</v>
      </c>
      <c r="N32" s="3">
        <v>163846.69999999998</v>
      </c>
      <c r="O32" s="14">
        <f t="shared" si="8"/>
        <v>8.6000547105436983E-4</v>
      </c>
      <c r="P32" s="3">
        <v>429998.92000000004</v>
      </c>
      <c r="Q32" s="14">
        <f t="shared" si="9"/>
        <v>1.699332812699225E-3</v>
      </c>
    </row>
    <row r="33" spans="2:17" x14ac:dyDescent="0.25">
      <c r="B33" s="12" t="s">
        <v>21</v>
      </c>
      <c r="C33" s="16">
        <f t="shared" si="1"/>
        <v>0</v>
      </c>
      <c r="D33" s="16">
        <f t="shared" si="2"/>
        <v>0</v>
      </c>
      <c r="E33" s="16">
        <f t="shared" si="3"/>
        <v>0</v>
      </c>
      <c r="F33" s="16">
        <f t="shared" si="4"/>
        <v>0</v>
      </c>
      <c r="G33" s="16">
        <f t="shared" si="5"/>
        <v>0</v>
      </c>
      <c r="I33" s="12" t="s">
        <v>21</v>
      </c>
      <c r="J33" s="3">
        <v>0</v>
      </c>
      <c r="K33" s="14">
        <f t="shared" si="6"/>
        <v>0</v>
      </c>
      <c r="L33" s="3">
        <v>0</v>
      </c>
      <c r="M33" s="14">
        <f t="shared" si="7"/>
        <v>0</v>
      </c>
      <c r="N33" s="3">
        <v>0</v>
      </c>
      <c r="O33" s="14">
        <f t="shared" si="8"/>
        <v>0</v>
      </c>
      <c r="P33" s="3">
        <v>0</v>
      </c>
      <c r="Q33" s="14">
        <f t="shared" si="9"/>
        <v>0</v>
      </c>
    </row>
    <row r="34" spans="2:17" x14ac:dyDescent="0.25">
      <c r="B34" s="12" t="s">
        <v>13</v>
      </c>
      <c r="C34" s="16">
        <f t="shared" si="1"/>
        <v>32430.412886796756</v>
      </c>
      <c r="D34" s="16">
        <f t="shared" si="2"/>
        <v>28849.413603582474</v>
      </c>
      <c r="E34" s="16">
        <f t="shared" si="3"/>
        <v>44610.481267630603</v>
      </c>
      <c r="F34" s="16">
        <f t="shared" si="4"/>
        <v>209239.26418091444</v>
      </c>
      <c r="G34" s="16">
        <f t="shared" si="5"/>
        <v>315129.57193892426</v>
      </c>
      <c r="I34" s="12" t="s">
        <v>13</v>
      </c>
      <c r="J34" s="3">
        <v>10599036.48</v>
      </c>
      <c r="K34" s="14">
        <f t="shared" si="6"/>
        <v>5.4962795739965993E-2</v>
      </c>
      <c r="L34" s="3">
        <v>9285281.7266666666</v>
      </c>
      <c r="M34" s="14">
        <f t="shared" si="7"/>
        <v>5.696511650656045E-2</v>
      </c>
      <c r="N34" s="3">
        <v>11060801.596666666</v>
      </c>
      <c r="O34" s="14">
        <f t="shared" si="8"/>
        <v>5.8056402035440706E-2</v>
      </c>
      <c r="P34" s="3">
        <v>14395590.125</v>
      </c>
      <c r="Q34" s="14">
        <f t="shared" si="9"/>
        <v>5.6890604882406305E-2</v>
      </c>
    </row>
    <row r="35" spans="2:17" x14ac:dyDescent="0.25">
      <c r="B35" s="12" t="s">
        <v>14</v>
      </c>
      <c r="C35" s="16">
        <f t="shared" si="1"/>
        <v>13160.130734139038</v>
      </c>
      <c r="D35" s="16">
        <f t="shared" si="2"/>
        <v>12423.656595932656</v>
      </c>
      <c r="E35" s="16">
        <f t="shared" si="3"/>
        <v>18078.961710336211</v>
      </c>
      <c r="F35" s="16">
        <f t="shared" si="4"/>
        <v>76803.038417899457</v>
      </c>
      <c r="G35" s="16">
        <f t="shared" si="5"/>
        <v>120465.78745830737</v>
      </c>
      <c r="I35" s="12" t="s">
        <v>14</v>
      </c>
      <c r="J35" s="3">
        <v>4301046.25</v>
      </c>
      <c r="K35" s="14">
        <f t="shared" si="6"/>
        <v>2.2303680806549757E-2</v>
      </c>
      <c r="L35" s="3">
        <v>3998596.06</v>
      </c>
      <c r="M35" s="14">
        <f t="shared" si="7"/>
        <v>2.4531349411445889E-2</v>
      </c>
      <c r="N35" s="3">
        <v>4482529.7300000004</v>
      </c>
      <c r="O35" s="14">
        <f t="shared" si="8"/>
        <v>2.3528091148395835E-2</v>
      </c>
      <c r="P35" s="3">
        <v>5284022.8900000006</v>
      </c>
      <c r="Q35" s="14">
        <f t="shared" si="9"/>
        <v>2.0882176820422683E-2</v>
      </c>
    </row>
    <row r="36" spans="2:17" x14ac:dyDescent="0.25">
      <c r="B36" s="12" t="s">
        <v>15</v>
      </c>
      <c r="C36" s="16">
        <f t="shared" si="1"/>
        <v>71255.597192042027</v>
      </c>
      <c r="D36" s="16">
        <f t="shared" si="2"/>
        <v>64817.545528381102</v>
      </c>
      <c r="E36" s="16">
        <f t="shared" si="3"/>
        <v>91870.797596570861</v>
      </c>
      <c r="F36" s="16">
        <f t="shared" si="4"/>
        <v>396252.64560877759</v>
      </c>
      <c r="G36" s="16">
        <f t="shared" si="5"/>
        <v>624196.58592577162</v>
      </c>
      <c r="I36" s="12" t="s">
        <v>99</v>
      </c>
      <c r="J36" s="3">
        <f>18288037.58+5000000</f>
        <v>23288037.579999998</v>
      </c>
      <c r="K36" s="14">
        <f t="shared" si="6"/>
        <v>0.12076339723044258</v>
      </c>
      <c r="L36" s="3">
        <f>15861747.1166667+5000000</f>
        <v>20861747.116666701</v>
      </c>
      <c r="M36" s="14">
        <f t="shared" si="7"/>
        <v>0.12798662334803945</v>
      </c>
      <c r="N36" s="3">
        <f>17778607.9833333+5000000</f>
        <v>22778607.983333301</v>
      </c>
      <c r="O36" s="14">
        <f t="shared" si="8"/>
        <v>0.11956131852926782</v>
      </c>
      <c r="P36" s="3">
        <f>22262047.085+5000000</f>
        <v>27262047.085000001</v>
      </c>
      <c r="Q36" s="14">
        <f t="shared" si="9"/>
        <v>0.10773815700023562</v>
      </c>
    </row>
    <row r="37" spans="2:17" x14ac:dyDescent="0.25">
      <c r="B37" s="12" t="s">
        <v>16</v>
      </c>
      <c r="C37" s="16">
        <f t="shared" si="1"/>
        <v>99101.278509384021</v>
      </c>
      <c r="D37" s="16">
        <f t="shared" si="2"/>
        <v>77039.74171540681</v>
      </c>
      <c r="E37" s="16">
        <f t="shared" si="3"/>
        <v>134264.61516486618</v>
      </c>
      <c r="F37" s="16">
        <f t="shared" si="4"/>
        <v>700829.47504510183</v>
      </c>
      <c r="G37" s="16">
        <f t="shared" si="5"/>
        <v>1011235.1104347588</v>
      </c>
      <c r="I37" s="12" t="s">
        <v>16</v>
      </c>
      <c r="J37" s="3">
        <v>32388673.860000003</v>
      </c>
      <c r="K37" s="14">
        <f t="shared" si="6"/>
        <v>0.16795602779693009</v>
      </c>
      <c r="L37" s="3">
        <v>24795502.459999997</v>
      </c>
      <c r="M37" s="14">
        <f t="shared" si="7"/>
        <v>0.15212017556947874</v>
      </c>
      <c r="N37" s="3">
        <v>33289806.063333333</v>
      </c>
      <c r="O37" s="14">
        <f t="shared" si="8"/>
        <v>0.17473293844066193</v>
      </c>
      <c r="P37" s="3">
        <v>48216829.234999999</v>
      </c>
      <c r="Q37" s="14">
        <f t="shared" si="9"/>
        <v>0.19055033915748151</v>
      </c>
    </row>
    <row r="38" spans="2:17" x14ac:dyDescent="0.25">
      <c r="B38" s="12" t="s">
        <v>17</v>
      </c>
      <c r="C38" s="16">
        <f t="shared" si="1"/>
        <v>10232.305980743002</v>
      </c>
      <c r="D38" s="16">
        <f t="shared" si="2"/>
        <v>21803.741531564385</v>
      </c>
      <c r="E38" s="16">
        <f t="shared" si="3"/>
        <v>27414.687858341513</v>
      </c>
      <c r="F38" s="16">
        <f t="shared" si="4"/>
        <v>90803.953572326704</v>
      </c>
      <c r="G38" s="16">
        <f t="shared" si="5"/>
        <v>150254.6889429756</v>
      </c>
      <c r="I38" s="12" t="s">
        <v>17</v>
      </c>
      <c r="J38" s="3">
        <v>3344162.9233333333</v>
      </c>
      <c r="K38" s="14">
        <f t="shared" si="6"/>
        <v>1.7341627611450354E-2</v>
      </c>
      <c r="L38" s="3">
        <v>7017608.2466666661</v>
      </c>
      <c r="M38" s="14">
        <f t="shared" si="7"/>
        <v>4.305296092639678E-2</v>
      </c>
      <c r="N38" s="3">
        <v>6797246.1766666668</v>
      </c>
      <c r="O38" s="14">
        <f t="shared" si="8"/>
        <v>3.5677672483099943E-2</v>
      </c>
      <c r="P38" s="3">
        <v>6247281.085</v>
      </c>
      <c r="Q38" s="14">
        <f t="shared" si="9"/>
        <v>2.4688921864956581E-2</v>
      </c>
    </row>
    <row r="39" spans="2:17" x14ac:dyDescent="0.25">
      <c r="B39" s="12" t="s">
        <v>18</v>
      </c>
      <c r="C39" s="16">
        <f t="shared" si="1"/>
        <v>96632.443490701437</v>
      </c>
      <c r="D39" s="16">
        <f t="shared" si="2"/>
        <v>88206.775123119587</v>
      </c>
      <c r="E39" s="16">
        <f t="shared" si="3"/>
        <v>123115.21234739982</v>
      </c>
      <c r="F39" s="16">
        <f t="shared" si="4"/>
        <v>675896.61326898576</v>
      </c>
      <c r="G39" s="16">
        <f t="shared" si="5"/>
        <v>983851.04423020664</v>
      </c>
      <c r="I39" s="12" t="s">
        <v>18</v>
      </c>
      <c r="J39" s="3">
        <v>31581799.383333329</v>
      </c>
      <c r="K39" s="14">
        <f t="shared" si="6"/>
        <v>0.16377186661091045</v>
      </c>
      <c r="L39" s="3">
        <v>28389650.079999998</v>
      </c>
      <c r="M39" s="14">
        <f t="shared" si="7"/>
        <v>0.17417023758612982</v>
      </c>
      <c r="N39" s="3">
        <v>30525403.416666668</v>
      </c>
      <c r="O39" s="14">
        <f t="shared" si="8"/>
        <v>0.16022302520877801</v>
      </c>
      <c r="P39" s="3">
        <v>46501456.835000001</v>
      </c>
      <c r="Q39" s="14">
        <f t="shared" si="9"/>
        <v>0.18377127886282169</v>
      </c>
    </row>
    <row r="40" spans="2:17" x14ac:dyDescent="0.25">
      <c r="B40" s="15" t="s">
        <v>24</v>
      </c>
      <c r="C40" s="16">
        <f>$C$21-(C18+C19+C20)</f>
        <v>590043</v>
      </c>
      <c r="D40" s="16">
        <f>$D$21-(D18+D19+D20)</f>
        <v>506440</v>
      </c>
      <c r="E40" s="16">
        <f>$E$21-(E18+E19+E20)</f>
        <v>768399</v>
      </c>
      <c r="F40" s="16">
        <f>$F$21-(F18+F19+F20)</f>
        <v>3677923</v>
      </c>
      <c r="G40" s="16">
        <f>$C$21-(G18+G19+G20)</f>
        <v>535826</v>
      </c>
      <c r="I40" s="15" t="s">
        <v>24</v>
      </c>
      <c r="J40" s="3">
        <f t="shared" ref="J40:Q40" si="10">SUM(J26:J39)</f>
        <v>192840199.21666667</v>
      </c>
      <c r="K40" s="19">
        <f t="shared" si="10"/>
        <v>1</v>
      </c>
      <c r="L40" s="3">
        <f t="shared" si="10"/>
        <v>162999433.62</v>
      </c>
      <c r="M40" s="19">
        <f t="shared" si="10"/>
        <v>1</v>
      </c>
      <c r="N40" s="3">
        <f t="shared" si="10"/>
        <v>190518206.58666664</v>
      </c>
      <c r="O40" s="19">
        <f t="shared" si="10"/>
        <v>1</v>
      </c>
      <c r="P40" s="3">
        <f t="shared" si="10"/>
        <v>253039849.98500001</v>
      </c>
      <c r="Q40" s="19">
        <f t="shared" si="10"/>
        <v>1</v>
      </c>
    </row>
    <row r="43" spans="2:17" ht="15.75" x14ac:dyDescent="0.25">
      <c r="B43" s="44" t="s">
        <v>150</v>
      </c>
      <c r="C43" s="44"/>
      <c r="D43" s="44"/>
      <c r="E43" s="44"/>
      <c r="F43" s="44"/>
      <c r="G43" s="44"/>
      <c r="I43" s="44" t="s">
        <v>176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3374.9988127741817</v>
      </c>
      <c r="D45" s="16">
        <f>D26-D4</f>
        <v>-1.6232572677836288E-2</v>
      </c>
      <c r="E45" s="16">
        <f>E26-E4</f>
        <v>-1427.530948513293</v>
      </c>
      <c r="F45" s="16">
        <f>F26-F4</f>
        <v>-14916.36055992308</v>
      </c>
      <c r="G45" s="16">
        <f t="shared" ref="G45:G59" si="11">SUM(C45+D45+E45+F45)</f>
        <v>-12968.908928234869</v>
      </c>
      <c r="I45" s="15" t="s">
        <v>153</v>
      </c>
      <c r="J45" s="12" t="s">
        <v>155</v>
      </c>
    </row>
    <row r="46" spans="2:17" x14ac:dyDescent="0.25">
      <c r="B46" s="12" t="s">
        <v>8</v>
      </c>
      <c r="C46" s="16">
        <f t="shared" ref="C46:F58" si="12">C27-C5</f>
        <v>9422.1514523795631</v>
      </c>
      <c r="D46" s="16">
        <f t="shared" si="12"/>
        <v>-0.33337188880977919</v>
      </c>
      <c r="E46" s="16">
        <f t="shared" si="12"/>
        <v>-3501.6138145694858</v>
      </c>
      <c r="F46" s="16">
        <f t="shared" si="12"/>
        <v>-35209.044547003694</v>
      </c>
      <c r="G46" s="16">
        <f t="shared" si="11"/>
        <v>-29288.840281082426</v>
      </c>
      <c r="I46" s="15" t="s">
        <v>154</v>
      </c>
      <c r="J46" s="12" t="s">
        <v>175</v>
      </c>
    </row>
    <row r="47" spans="2:17" x14ac:dyDescent="0.25">
      <c r="B47" s="12" t="s">
        <v>9</v>
      </c>
      <c r="C47" s="16">
        <f t="shared" si="12"/>
        <v>-3038.1783720070598</v>
      </c>
      <c r="D47" s="16">
        <f t="shared" si="12"/>
        <v>-0.46016763740772149</v>
      </c>
      <c r="E47" s="16">
        <f t="shared" si="12"/>
        <v>-2065.920325635052</v>
      </c>
      <c r="F47" s="16">
        <f t="shared" si="12"/>
        <v>137210.67733340673</v>
      </c>
      <c r="G47" s="16">
        <f t="shared" si="11"/>
        <v>132106.11846812721</v>
      </c>
      <c r="I47" s="15" t="s">
        <v>174</v>
      </c>
      <c r="J47" t="s">
        <v>188</v>
      </c>
    </row>
    <row r="48" spans="2:17" x14ac:dyDescent="0.25">
      <c r="B48" s="12" t="s">
        <v>10</v>
      </c>
      <c r="C48" s="16">
        <f t="shared" si="12"/>
        <v>4442.6458180452828</v>
      </c>
      <c r="D48" s="16">
        <f t="shared" si="12"/>
        <v>0.22113824385451153</v>
      </c>
      <c r="E48" s="16">
        <f t="shared" si="12"/>
        <v>-4364.8439582009887</v>
      </c>
      <c r="F48" s="16">
        <f t="shared" si="12"/>
        <v>-38112.297276414756</v>
      </c>
      <c r="G48" s="16">
        <f t="shared" si="11"/>
        <v>-38034.274278326608</v>
      </c>
    </row>
    <row r="49" spans="2:7" x14ac:dyDescent="0.25">
      <c r="B49" s="12" t="s">
        <v>11</v>
      </c>
      <c r="C49" s="16">
        <f t="shared" si="12"/>
        <v>11909.897226282585</v>
      </c>
      <c r="D49" s="16">
        <f t="shared" si="12"/>
        <v>-0.32034868275513873</v>
      </c>
      <c r="E49" s="16">
        <f t="shared" si="12"/>
        <v>-4192.3982725490787</v>
      </c>
      <c r="F49" s="16">
        <f t="shared" si="12"/>
        <v>-35471.758718070167</v>
      </c>
      <c r="G49" s="16">
        <f t="shared" si="11"/>
        <v>-27754.580113019416</v>
      </c>
    </row>
    <row r="50" spans="2:7" x14ac:dyDescent="0.25">
      <c r="B50" s="12" t="s">
        <v>12</v>
      </c>
      <c r="C50" s="16">
        <f t="shared" si="12"/>
        <v>4454.2673633364648</v>
      </c>
      <c r="D50" s="16">
        <f t="shared" si="12"/>
        <v>0.16965148102099192</v>
      </c>
      <c r="E50" s="16">
        <f t="shared" si="12"/>
        <v>-1760.2759696300418</v>
      </c>
      <c r="F50" s="16">
        <f t="shared" si="12"/>
        <v>-16041.221562482126</v>
      </c>
      <c r="G50" s="16">
        <f t="shared" si="11"/>
        <v>-13347.060517294682</v>
      </c>
    </row>
    <row r="51" spans="2:7" x14ac:dyDescent="0.25">
      <c r="B51" s="12" t="s">
        <v>22</v>
      </c>
      <c r="C51" s="16">
        <f t="shared" si="12"/>
        <v>-92.951094617279068</v>
      </c>
      <c r="D51" s="16">
        <f t="shared" si="12"/>
        <v>-0.13476693020021457</v>
      </c>
      <c r="E51" s="16">
        <f t="shared" si="12"/>
        <v>-29.172656047293231</v>
      </c>
      <c r="F51" s="16">
        <f t="shared" si="12"/>
        <v>-580.984763518828</v>
      </c>
      <c r="G51" s="16">
        <f t="shared" si="11"/>
        <v>-703.24328111360046</v>
      </c>
    </row>
    <row r="52" spans="2:7" x14ac:dyDescent="0.25">
      <c r="B52" s="12" t="s">
        <v>21</v>
      </c>
      <c r="C52" s="16">
        <f t="shared" si="12"/>
        <v>0</v>
      </c>
      <c r="D52" s="16">
        <f t="shared" si="12"/>
        <v>0</v>
      </c>
      <c r="E52" s="16">
        <f t="shared" si="12"/>
        <v>0</v>
      </c>
      <c r="F52" s="16">
        <f t="shared" si="12"/>
        <v>0</v>
      </c>
      <c r="G52" s="16">
        <f t="shared" si="11"/>
        <v>0</v>
      </c>
    </row>
    <row r="53" spans="2:7" x14ac:dyDescent="0.25">
      <c r="B53" s="12" t="s">
        <v>13</v>
      </c>
      <c r="C53" s="16">
        <f t="shared" si="12"/>
        <v>4664.4128867967556</v>
      </c>
      <c r="D53" s="16">
        <f t="shared" si="12"/>
        <v>0.41360358247402473</v>
      </c>
      <c r="E53" s="16">
        <f t="shared" si="12"/>
        <v>-1971.5187323693972</v>
      </c>
      <c r="F53" s="16">
        <f t="shared" si="12"/>
        <v>-19160.735819085559</v>
      </c>
      <c r="G53" s="16">
        <f t="shared" si="11"/>
        <v>-16467.428061075727</v>
      </c>
    </row>
    <row r="54" spans="2:7" x14ac:dyDescent="0.25">
      <c r="B54" s="12" t="s">
        <v>14</v>
      </c>
      <c r="C54" s="16">
        <f t="shared" si="12"/>
        <v>1893.1307341390384</v>
      </c>
      <c r="D54" s="16">
        <f t="shared" si="12"/>
        <v>-0.34340406734372664</v>
      </c>
      <c r="E54" s="16">
        <f t="shared" si="12"/>
        <v>-799.03828966378933</v>
      </c>
      <c r="F54" s="16">
        <f t="shared" si="12"/>
        <v>-7032.9615821005427</v>
      </c>
      <c r="G54" s="16">
        <f t="shared" si="11"/>
        <v>-5939.2125416926374</v>
      </c>
    </row>
    <row r="55" spans="2:7" x14ac:dyDescent="0.25">
      <c r="B55" s="12" t="s">
        <v>15</v>
      </c>
      <c r="C55" s="16">
        <f t="shared" si="12"/>
        <v>23346.597192042027</v>
      </c>
      <c r="D55" s="16">
        <f t="shared" si="12"/>
        <v>-0.45447161889751442</v>
      </c>
      <c r="E55" s="16">
        <f t="shared" si="12"/>
        <v>-2656.2024034291389</v>
      </c>
      <c r="F55" s="16">
        <f t="shared" si="12"/>
        <v>-36288.354391222412</v>
      </c>
      <c r="G55" s="16">
        <f t="shared" si="11"/>
        <v>-15598.414074228422</v>
      </c>
    </row>
    <row r="56" spans="2:7" x14ac:dyDescent="0.25">
      <c r="B56" s="12" t="s">
        <v>16</v>
      </c>
      <c r="C56" s="16">
        <f t="shared" si="12"/>
        <v>-75746.721490615979</v>
      </c>
      <c r="D56" s="16">
        <f t="shared" si="12"/>
        <v>-0.25828459319018293</v>
      </c>
      <c r="E56" s="16">
        <f t="shared" si="12"/>
        <v>29340.615164866176</v>
      </c>
      <c r="F56" s="16">
        <f t="shared" si="12"/>
        <v>135817.47504510183</v>
      </c>
      <c r="G56" s="16">
        <f t="shared" si="11"/>
        <v>89411.110434758841</v>
      </c>
    </row>
    <row r="57" spans="2:7" x14ac:dyDescent="0.25">
      <c r="B57" s="12" t="s">
        <v>17</v>
      </c>
      <c r="C57" s="16">
        <f t="shared" si="12"/>
        <v>1471.3059807430018</v>
      </c>
      <c r="D57" s="16">
        <f t="shared" si="12"/>
        <v>-0.25846843561521382</v>
      </c>
      <c r="E57" s="16">
        <f t="shared" si="12"/>
        <v>-1130.3121416584872</v>
      </c>
      <c r="F57" s="16">
        <f t="shared" si="12"/>
        <v>-8315.0464276732964</v>
      </c>
      <c r="G57" s="16">
        <f t="shared" si="11"/>
        <v>-7974.3110570243971</v>
      </c>
    </row>
    <row r="58" spans="2:7" x14ac:dyDescent="0.25">
      <c r="B58" s="12" t="s">
        <v>18</v>
      </c>
      <c r="C58" s="16">
        <f t="shared" si="12"/>
        <v>13898.443490701437</v>
      </c>
      <c r="D58" s="16">
        <f t="shared" si="12"/>
        <v>1.7751231195870787</v>
      </c>
      <c r="E58" s="16">
        <f t="shared" si="12"/>
        <v>-5441.7876526001783</v>
      </c>
      <c r="F58" s="16">
        <f t="shared" si="12"/>
        <v>-61899.386731014238</v>
      </c>
      <c r="G58" s="16">
        <f t="shared" si="11"/>
        <v>-53440.955769793392</v>
      </c>
    </row>
    <row r="59" spans="2:7" x14ac:dyDescent="0.25">
      <c r="B59" s="15" t="s">
        <v>24</v>
      </c>
      <c r="C59" s="16">
        <f>SUM(C45:C58)</f>
        <v>2.0008883439004421E-11</v>
      </c>
      <c r="D59" s="16">
        <f>SUM(D45:D58)</f>
        <v>3.9278802432818338E-11</v>
      </c>
      <c r="E59" s="16">
        <f>SUM(E45:E58)</f>
        <v>-4.7293724492192268E-11</v>
      </c>
      <c r="F59" s="16">
        <f>SUM(F45:F58)</f>
        <v>-1.3096723705530167E-10</v>
      </c>
      <c r="G59" s="16">
        <f t="shared" si="11"/>
        <v>-1.1897327567567118E-10</v>
      </c>
    </row>
  </sheetData>
  <sheetProtection algorithmName="SHA-512" hashValue="+NZ57mYitUjuIyy/+2idBrMn/OhIBxvNBclU0FHvmTzGNbQ8HTw2mO5J21ejrv7kI0jgFLE+wplJT/IvNtp1TA==" saltValue="ZQtuqxFnarr+nRVoKxw7Og==" spinCount="100000" sheet="1" objects="1" scenarios="1"/>
  <mergeCells count="6">
    <mergeCell ref="B2:G2"/>
    <mergeCell ref="I2:Q2"/>
    <mergeCell ref="B24:G24"/>
    <mergeCell ref="I24:Q24"/>
    <mergeCell ref="B43:G43"/>
    <mergeCell ref="I43:Q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5C53-8145-49F7-8632-7440967BC061}">
  <dimension ref="B2:Q59"/>
  <sheetViews>
    <sheetView workbookViewId="0">
      <selection activeCell="J46" sqref="J46"/>
    </sheetView>
  </sheetViews>
  <sheetFormatPr defaultColWidth="9.140625" defaultRowHeight="15" x14ac:dyDescent="0.25"/>
  <cols>
    <col min="1" max="2" width="9.140625" style="12"/>
    <col min="3" max="3" width="13.42578125" style="12" bestFit="1" customWidth="1"/>
    <col min="4" max="5" width="12.5703125" style="12" bestFit="1" customWidth="1"/>
    <col min="6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32</v>
      </c>
      <c r="C2" s="44"/>
      <c r="D2" s="44"/>
      <c r="E2" s="44"/>
      <c r="F2" s="44"/>
      <c r="G2" s="44"/>
      <c r="H2" s="11"/>
      <c r="I2" s="44" t="s">
        <v>33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2</v>
      </c>
      <c r="K3" s="13"/>
      <c r="L3" s="13" t="s">
        <v>3</v>
      </c>
      <c r="M3" s="13"/>
      <c r="N3" s="13" t="s">
        <v>4</v>
      </c>
      <c r="O3" s="13"/>
      <c r="P3" s="13" t="s">
        <v>26</v>
      </c>
      <c r="Q3" s="13"/>
    </row>
    <row r="4" spans="2:17" x14ac:dyDescent="0.25">
      <c r="B4" s="12" t="s">
        <v>7</v>
      </c>
      <c r="C4" s="3">
        <v>36011</v>
      </c>
      <c r="D4" s="5">
        <v>31647</v>
      </c>
      <c r="E4" s="5">
        <v>25350</v>
      </c>
      <c r="F4" s="5">
        <v>74587</v>
      </c>
      <c r="G4" s="5">
        <f t="shared" ref="G4:G20" si="0">C4+D4+E4+F4</f>
        <v>167595</v>
      </c>
      <c r="I4" s="12" t="s">
        <v>7</v>
      </c>
      <c r="J4" s="3">
        <v>7151233.5199999996</v>
      </c>
      <c r="K4" s="14"/>
      <c r="L4" s="3">
        <v>6084666.3399999999</v>
      </c>
      <c r="M4" s="14"/>
      <c r="N4" s="3">
        <v>9389243.4766666666</v>
      </c>
      <c r="O4" s="14"/>
      <c r="P4" s="3">
        <v>10906344.234999999</v>
      </c>
      <c r="Q4" s="14"/>
    </row>
    <row r="5" spans="2:17" x14ac:dyDescent="0.25">
      <c r="B5" s="12" t="s">
        <v>8</v>
      </c>
      <c r="C5" s="3">
        <v>79007</v>
      </c>
      <c r="D5" s="3">
        <v>74631</v>
      </c>
      <c r="E5" s="3">
        <v>56567</v>
      </c>
      <c r="F5" s="3">
        <v>195527</v>
      </c>
      <c r="G5" s="5">
        <f t="shared" si="0"/>
        <v>405732</v>
      </c>
      <c r="I5" s="12" t="s">
        <v>8</v>
      </c>
      <c r="J5" s="3">
        <v>15689358.943333333</v>
      </c>
      <c r="K5" s="14"/>
      <c r="L5" s="3">
        <v>14349201.603333334</v>
      </c>
      <c r="M5" s="14"/>
      <c r="N5" s="3">
        <v>20951552.293333333</v>
      </c>
      <c r="O5" s="14"/>
      <c r="P5" s="3">
        <v>28590716.674999997</v>
      </c>
      <c r="Q5" s="14"/>
    </row>
    <row r="6" spans="2:17" x14ac:dyDescent="0.25">
      <c r="B6" s="12" t="s">
        <v>9</v>
      </c>
      <c r="C6" s="3">
        <v>48516</v>
      </c>
      <c r="D6" s="3">
        <v>46260</v>
      </c>
      <c r="E6" s="3">
        <v>34973</v>
      </c>
      <c r="F6" s="3">
        <v>93046</v>
      </c>
      <c r="G6" s="5">
        <f t="shared" si="0"/>
        <v>222795</v>
      </c>
      <c r="I6" s="12" t="s">
        <v>9</v>
      </c>
      <c r="J6" s="3">
        <v>9634414.9066666663</v>
      </c>
      <c r="K6" s="14"/>
      <c r="L6" s="3">
        <v>8894337.4866666663</v>
      </c>
      <c r="M6" s="14"/>
      <c r="N6" s="3">
        <v>12953225.75</v>
      </c>
      <c r="O6" s="14"/>
      <c r="P6" s="3">
        <v>14707285.539999999</v>
      </c>
      <c r="Q6" s="14"/>
    </row>
    <row r="7" spans="2:17" x14ac:dyDescent="0.25">
      <c r="B7" s="12" t="s">
        <v>10</v>
      </c>
      <c r="C7" s="3">
        <v>33951</v>
      </c>
      <c r="D7" s="3">
        <v>43101</v>
      </c>
      <c r="E7" s="3">
        <v>30076</v>
      </c>
      <c r="F7" s="3">
        <v>89076</v>
      </c>
      <c r="G7" s="5">
        <f t="shared" si="0"/>
        <v>196204</v>
      </c>
      <c r="I7" s="12" t="s">
        <v>10</v>
      </c>
      <c r="J7" s="3">
        <v>6742136.2033333331</v>
      </c>
      <c r="K7" s="14"/>
      <c r="L7" s="3">
        <v>8286844.2300000004</v>
      </c>
      <c r="M7" s="14"/>
      <c r="N7" s="3">
        <v>11139755.33</v>
      </c>
      <c r="O7" s="14"/>
      <c r="P7" s="3">
        <v>13025030.26</v>
      </c>
      <c r="Q7" s="14"/>
    </row>
    <row r="8" spans="2:17" x14ac:dyDescent="0.25">
      <c r="B8" s="12" t="s">
        <v>11</v>
      </c>
      <c r="C8" s="3">
        <v>42015</v>
      </c>
      <c r="D8" s="3">
        <v>36135</v>
      </c>
      <c r="E8" s="3">
        <v>95019</v>
      </c>
      <c r="F8" s="3">
        <v>254922</v>
      </c>
      <c r="G8" s="5">
        <f t="shared" si="0"/>
        <v>428091</v>
      </c>
      <c r="I8" s="12" t="s">
        <v>11</v>
      </c>
      <c r="J8" s="3">
        <v>8343345.1400000006</v>
      </c>
      <c r="K8" s="14"/>
      <c r="L8" s="3">
        <v>6947603.0366666662</v>
      </c>
      <c r="M8" s="14"/>
      <c r="N8" s="3">
        <v>35193280.289999999</v>
      </c>
      <c r="O8" s="14"/>
      <c r="P8" s="3">
        <v>37275618.295000002</v>
      </c>
      <c r="Q8" s="14"/>
    </row>
    <row r="9" spans="2:17" x14ac:dyDescent="0.25">
      <c r="B9" s="12" t="s">
        <v>12</v>
      </c>
      <c r="C9" s="3">
        <v>47917</v>
      </c>
      <c r="D9" s="3">
        <v>48225</v>
      </c>
      <c r="E9" s="3">
        <v>31849</v>
      </c>
      <c r="F9" s="3">
        <v>89263</v>
      </c>
      <c r="G9" s="5">
        <f t="shared" si="0"/>
        <v>217254</v>
      </c>
      <c r="I9" s="12" t="s">
        <v>12</v>
      </c>
      <c r="J9" s="3">
        <v>9515433.8900000006</v>
      </c>
      <c r="K9" s="14"/>
      <c r="L9" s="3">
        <v>9272196.0666666683</v>
      </c>
      <c r="M9" s="14"/>
      <c r="N9" s="3">
        <v>11796210.786666667</v>
      </c>
      <c r="O9" s="14"/>
      <c r="P9" s="3">
        <v>13052453.715</v>
      </c>
      <c r="Q9" s="14"/>
    </row>
    <row r="10" spans="2:17" x14ac:dyDescent="0.25">
      <c r="B10" s="12" t="s">
        <v>22</v>
      </c>
      <c r="C10" s="3">
        <v>1854</v>
      </c>
      <c r="D10" s="3">
        <v>1603</v>
      </c>
      <c r="E10" s="3">
        <v>740</v>
      </c>
      <c r="F10" s="3">
        <v>1750</v>
      </c>
      <c r="G10" s="5">
        <f t="shared" si="0"/>
        <v>5947</v>
      </c>
      <c r="I10" s="12" t="s">
        <v>22</v>
      </c>
      <c r="J10" s="3">
        <v>368193.35333333327</v>
      </c>
      <c r="K10" s="14"/>
      <c r="L10" s="3">
        <v>203757.12666666668</v>
      </c>
      <c r="M10" s="14"/>
      <c r="N10" s="3">
        <v>274206.29666666669</v>
      </c>
      <c r="O10" s="14"/>
      <c r="P10" s="3">
        <v>174650.44999999998</v>
      </c>
      <c r="Q10" s="14"/>
    </row>
    <row r="11" spans="2:17" x14ac:dyDescent="0.25">
      <c r="B11" s="12" t="s">
        <v>21</v>
      </c>
      <c r="C11" s="3">
        <v>0</v>
      </c>
      <c r="D11" s="3">
        <v>0</v>
      </c>
      <c r="E11" s="3">
        <v>0</v>
      </c>
      <c r="F11" s="3">
        <v>0</v>
      </c>
      <c r="G11" s="5">
        <f t="shared" si="0"/>
        <v>0</v>
      </c>
      <c r="I11" s="12" t="s">
        <v>21</v>
      </c>
      <c r="J11" s="3">
        <v>0</v>
      </c>
      <c r="K11" s="14"/>
      <c r="L11" s="3">
        <v>0</v>
      </c>
      <c r="M11" s="14"/>
      <c r="N11" s="3">
        <v>0</v>
      </c>
      <c r="O11" s="14"/>
      <c r="P11" s="3">
        <v>0</v>
      </c>
      <c r="Q11" s="14"/>
    </row>
    <row r="12" spans="2:17" x14ac:dyDescent="0.25">
      <c r="B12" s="12" t="s">
        <v>13</v>
      </c>
      <c r="C12" s="3">
        <v>43991</v>
      </c>
      <c r="D12" s="3">
        <v>43934</v>
      </c>
      <c r="E12" s="3">
        <v>30280</v>
      </c>
      <c r="F12" s="3">
        <v>89508</v>
      </c>
      <c r="G12" s="5">
        <f t="shared" si="0"/>
        <v>207713</v>
      </c>
      <c r="I12" s="12" t="s">
        <v>13</v>
      </c>
      <c r="J12" s="3">
        <v>8735804.459999999</v>
      </c>
      <c r="K12" s="14"/>
      <c r="L12" s="3">
        <v>8447087.3966666665</v>
      </c>
      <c r="M12" s="14"/>
      <c r="N12" s="3">
        <v>11215241.563333333</v>
      </c>
      <c r="O12" s="14"/>
      <c r="P12" s="3">
        <v>13088162.715</v>
      </c>
      <c r="Q12" s="14"/>
    </row>
    <row r="13" spans="2:17" x14ac:dyDescent="0.25">
      <c r="B13" s="12" t="s">
        <v>14</v>
      </c>
      <c r="C13" s="3">
        <v>19248</v>
      </c>
      <c r="D13" s="3">
        <v>20235</v>
      </c>
      <c r="E13" s="3">
        <v>12532</v>
      </c>
      <c r="F13" s="3">
        <v>35157</v>
      </c>
      <c r="G13" s="5">
        <f t="shared" si="0"/>
        <v>87172</v>
      </c>
      <c r="I13" s="12" t="s">
        <v>14</v>
      </c>
      <c r="J13" s="3">
        <v>3822258.0966666662</v>
      </c>
      <c r="K13" s="14"/>
      <c r="L13" s="3">
        <v>3890621.5066666664</v>
      </c>
      <c r="M13" s="14"/>
      <c r="N13" s="3">
        <v>4641806.6333333338</v>
      </c>
      <c r="O13" s="14"/>
      <c r="P13" s="3">
        <v>5140822.74</v>
      </c>
      <c r="Q13" s="14"/>
    </row>
    <row r="14" spans="2:17" x14ac:dyDescent="0.25">
      <c r="B14" s="12" t="s">
        <v>15</v>
      </c>
      <c r="C14" s="3">
        <v>93586</v>
      </c>
      <c r="D14" s="3">
        <v>93222</v>
      </c>
      <c r="E14" s="3">
        <v>48541</v>
      </c>
      <c r="F14" s="3">
        <v>196861.31</v>
      </c>
      <c r="G14" s="5">
        <f t="shared" si="0"/>
        <v>432210.31</v>
      </c>
      <c r="I14" s="12" t="s">
        <v>15</v>
      </c>
      <c r="J14" s="3">
        <v>13584491.943333333</v>
      </c>
      <c r="K14" s="14"/>
      <c r="L14" s="3">
        <v>12923751.57</v>
      </c>
      <c r="M14" s="14"/>
      <c r="N14" s="3">
        <v>17978687.243333336</v>
      </c>
      <c r="O14" s="14"/>
      <c r="P14" s="3">
        <v>23785819.949999999</v>
      </c>
      <c r="Q14" s="14"/>
    </row>
    <row r="15" spans="2:17" x14ac:dyDescent="0.25">
      <c r="B15" s="12" t="s">
        <v>16</v>
      </c>
      <c r="C15" s="3">
        <v>150500</v>
      </c>
      <c r="D15" s="3">
        <v>150247</v>
      </c>
      <c r="E15" s="3">
        <v>116088</v>
      </c>
      <c r="F15" s="3">
        <v>348602</v>
      </c>
      <c r="G15" s="5">
        <f t="shared" si="0"/>
        <v>765437</v>
      </c>
      <c r="I15" s="12" t="s">
        <v>16</v>
      </c>
      <c r="J15" s="3">
        <v>29886518.449999999</v>
      </c>
      <c r="K15" s="14"/>
      <c r="L15" s="3">
        <v>28887593.379999999</v>
      </c>
      <c r="M15" s="14"/>
      <c r="N15" s="3">
        <v>42996798.593333334</v>
      </c>
      <c r="O15" s="14"/>
      <c r="P15" s="3">
        <v>50973820.150000006</v>
      </c>
      <c r="Q15" s="14"/>
    </row>
    <row r="16" spans="2:17" x14ac:dyDescent="0.25">
      <c r="B16" s="12" t="s">
        <v>17</v>
      </c>
      <c r="C16" s="3">
        <v>17874</v>
      </c>
      <c r="D16" s="3">
        <v>27889</v>
      </c>
      <c r="E16" s="3">
        <v>20285</v>
      </c>
      <c r="F16" s="3">
        <v>45107</v>
      </c>
      <c r="G16" s="5">
        <f t="shared" si="0"/>
        <v>111155</v>
      </c>
      <c r="I16" s="12" t="s">
        <v>17</v>
      </c>
      <c r="J16" s="3">
        <v>3549425.0533333332</v>
      </c>
      <c r="K16" s="14"/>
      <c r="L16" s="3">
        <v>5362184.3966666656</v>
      </c>
      <c r="M16" s="14"/>
      <c r="N16" s="3">
        <v>7553400.9833333343</v>
      </c>
      <c r="O16" s="14"/>
      <c r="P16" s="3">
        <v>6595794.0899999999</v>
      </c>
      <c r="Q16" s="14"/>
    </row>
    <row r="17" spans="2:17" x14ac:dyDescent="0.25">
      <c r="B17" s="12" t="s">
        <v>18</v>
      </c>
      <c r="C17" s="3">
        <v>147218</v>
      </c>
      <c r="D17" s="3">
        <v>144535</v>
      </c>
      <c r="E17" s="3">
        <v>89953</v>
      </c>
      <c r="F17" s="3">
        <v>243379</v>
      </c>
      <c r="G17" s="5">
        <f t="shared" si="0"/>
        <v>625085</v>
      </c>
      <c r="I17" s="12" t="s">
        <v>18</v>
      </c>
      <c r="J17" s="3">
        <v>29234840.236666668</v>
      </c>
      <c r="K17" s="14"/>
      <c r="L17" s="3">
        <v>27789312.760000002</v>
      </c>
      <c r="M17" s="14"/>
      <c r="N17" s="3">
        <v>33316918.006666671</v>
      </c>
      <c r="O17" s="14"/>
      <c r="P17" s="3">
        <v>35587751.355000004</v>
      </c>
      <c r="Q17" s="14"/>
    </row>
    <row r="18" spans="2:17" x14ac:dyDescent="0.25">
      <c r="B18" s="29" t="s">
        <v>19</v>
      </c>
      <c r="C18" s="30">
        <v>0</v>
      </c>
      <c r="D18" s="30">
        <v>0</v>
      </c>
      <c r="E18" s="30">
        <v>0</v>
      </c>
      <c r="F18" s="30">
        <v>0</v>
      </c>
      <c r="G18" s="31">
        <f t="shared" si="0"/>
        <v>0</v>
      </c>
      <c r="I18" s="29" t="s">
        <v>19</v>
      </c>
      <c r="J18" s="30">
        <v>0</v>
      </c>
      <c r="K18" s="32"/>
      <c r="L18" s="30">
        <v>0</v>
      </c>
      <c r="M18" s="32"/>
      <c r="N18" s="30">
        <v>0</v>
      </c>
      <c r="O18" s="32"/>
      <c r="P18" s="30">
        <v>0</v>
      </c>
      <c r="Q18" s="14"/>
    </row>
    <row r="19" spans="2:17" x14ac:dyDescent="0.25">
      <c r="B19" s="29" t="s">
        <v>20</v>
      </c>
      <c r="C19" s="30">
        <v>13491</v>
      </c>
      <c r="D19" s="30">
        <v>9221</v>
      </c>
      <c r="E19" s="30">
        <v>7638</v>
      </c>
      <c r="F19" s="30">
        <v>19874</v>
      </c>
      <c r="G19" s="31">
        <f t="shared" si="0"/>
        <v>50224</v>
      </c>
      <c r="I19" s="29" t="s">
        <v>20</v>
      </c>
      <c r="J19" s="30">
        <v>2679007.8200000003</v>
      </c>
      <c r="K19" s="32"/>
      <c r="L19" s="30">
        <v>2757126.16</v>
      </c>
      <c r="M19" s="32"/>
      <c r="N19" s="30">
        <v>2828719.7066666665</v>
      </c>
      <c r="O19" s="32"/>
      <c r="P19" s="30">
        <v>2986260.0049999999</v>
      </c>
      <c r="Q19" s="14"/>
    </row>
    <row r="20" spans="2:17" x14ac:dyDescent="0.25">
      <c r="B20" s="29" t="s">
        <v>23</v>
      </c>
      <c r="C20" s="30">
        <v>0</v>
      </c>
      <c r="D20" s="30">
        <v>0</v>
      </c>
      <c r="E20" s="30">
        <v>0</v>
      </c>
      <c r="F20" s="30">
        <v>0</v>
      </c>
      <c r="G20" s="31">
        <f t="shared" si="0"/>
        <v>0</v>
      </c>
      <c r="I20" s="29" t="s">
        <v>23</v>
      </c>
      <c r="J20" s="30">
        <v>0</v>
      </c>
      <c r="K20" s="32"/>
      <c r="L20" s="30">
        <v>0</v>
      </c>
      <c r="M20" s="32"/>
      <c r="N20" s="30">
        <v>0</v>
      </c>
      <c r="O20" s="32"/>
      <c r="P20" s="30">
        <v>0</v>
      </c>
      <c r="Q20" s="14"/>
    </row>
    <row r="21" spans="2:17" x14ac:dyDescent="0.25">
      <c r="B21" s="15" t="s">
        <v>24</v>
      </c>
      <c r="C21" s="16">
        <f>SUM(C4:C20)</f>
        <v>775179</v>
      </c>
      <c r="D21" s="3">
        <f>SUM(D4:D20)</f>
        <v>770885</v>
      </c>
      <c r="E21" s="3">
        <f>SUM(E4:E20)</f>
        <v>599891</v>
      </c>
      <c r="F21" s="3">
        <f>SUM(F4:F20)</f>
        <v>1776659.31</v>
      </c>
      <c r="G21" s="3">
        <f>SUM(G4:G20)</f>
        <v>3922614.31</v>
      </c>
      <c r="I21" s="15" t="s">
        <v>24</v>
      </c>
      <c r="J21" s="3">
        <f>SUM(J4:J20)</f>
        <v>148936462.01666665</v>
      </c>
      <c r="K21" s="17"/>
      <c r="L21" s="3">
        <f>SUM(L4:L20)</f>
        <v>144096283.06</v>
      </c>
      <c r="M21" s="14"/>
      <c r="N21" s="3">
        <f>SUM(N4:N20)</f>
        <v>222229046.95333335</v>
      </c>
      <c r="O21" s="14"/>
      <c r="P21" s="3">
        <f>SUM(P4:P20)</f>
        <v>255890530.17500001</v>
      </c>
      <c r="Q21" s="18"/>
    </row>
    <row r="24" spans="2:17" ht="15.75" x14ac:dyDescent="0.25">
      <c r="B24" s="44" t="s">
        <v>118</v>
      </c>
      <c r="C24" s="44"/>
      <c r="D24" s="44"/>
      <c r="E24" s="44"/>
      <c r="F24" s="44"/>
      <c r="G24" s="44"/>
      <c r="I24" s="44" t="s">
        <v>34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2</v>
      </c>
      <c r="K25" s="13"/>
      <c r="L25" s="13" t="s">
        <v>3</v>
      </c>
      <c r="M25" s="13"/>
      <c r="N25" s="13" t="s">
        <v>4</v>
      </c>
      <c r="O25" s="13"/>
      <c r="P25" s="13" t="s">
        <v>26</v>
      </c>
    </row>
    <row r="26" spans="2:17" x14ac:dyDescent="0.25">
      <c r="B26" s="12" t="s">
        <v>7</v>
      </c>
      <c r="C26" s="16">
        <f t="shared" ref="C26:C39" si="1">$C$40*K26</f>
        <v>36011.506251450577</v>
      </c>
      <c r="D26" s="16">
        <f t="shared" ref="D26:D39" si="2">$D$40*M26</f>
        <v>31669.386385468235</v>
      </c>
      <c r="E26" s="16">
        <f t="shared" ref="E26:E39" si="3">$E$40*O26</f>
        <v>24780.746467778903</v>
      </c>
      <c r="F26" s="16">
        <f t="shared" ref="F26:F39" si="4">$F$40*Q26</f>
        <v>74291.539745432005</v>
      </c>
      <c r="G26" s="16">
        <f t="shared" ref="G26:G39" si="5">SUM(C26+D26+E26+F26)</f>
        <v>166753.17885012971</v>
      </c>
      <c r="I26" s="12" t="s">
        <v>7</v>
      </c>
      <c r="J26" s="3">
        <v>7151233.5199999996</v>
      </c>
      <c r="K26" s="14">
        <f t="shared" ref="K26:K39" si="6">J26/$J$40</f>
        <v>4.7278552703272962E-2</v>
      </c>
      <c r="L26" s="3">
        <v>6084666.3399999999</v>
      </c>
      <c r="M26" s="14">
        <f t="shared" ref="M26:M39" si="7">L26/$L$40</f>
        <v>4.1579208660863891E-2</v>
      </c>
      <c r="N26" s="3">
        <v>9389243.4766666666</v>
      </c>
      <c r="O26" s="14">
        <f t="shared" ref="O26:O39" si="8">N26/$N$40</f>
        <v>4.1841487451779735E-2</v>
      </c>
      <c r="P26" s="3">
        <v>10906344.234999999</v>
      </c>
      <c r="Q26" s="14">
        <f t="shared" ref="Q26:Q39" si="9">P26/$P$40</f>
        <v>4.2288342987927191E-2</v>
      </c>
    </row>
    <row r="27" spans="2:17" x14ac:dyDescent="0.25">
      <c r="B27" s="12" t="s">
        <v>8</v>
      </c>
      <c r="C27" s="16">
        <f t="shared" si="1"/>
        <v>79006.991743307022</v>
      </c>
      <c r="D27" s="16">
        <f t="shared" si="2"/>
        <v>74684.524098151887</v>
      </c>
      <c r="E27" s="16">
        <f t="shared" si="3"/>
        <v>55296.798594877597</v>
      </c>
      <c r="F27" s="16">
        <f t="shared" si="4"/>
        <v>194753.46811397868</v>
      </c>
      <c r="G27" s="16">
        <f t="shared" si="5"/>
        <v>403741.7825503152</v>
      </c>
      <c r="I27" s="12" t="s">
        <v>8</v>
      </c>
      <c r="J27" s="3">
        <v>15689358.943333333</v>
      </c>
      <c r="K27" s="14">
        <f t="shared" si="6"/>
        <v>0.10372618676322461</v>
      </c>
      <c r="L27" s="3">
        <v>14349201.603333334</v>
      </c>
      <c r="M27" s="14">
        <f t="shared" si="7"/>
        <v>9.8054423076516531E-2</v>
      </c>
      <c r="N27" s="3">
        <v>20951552.293333333</v>
      </c>
      <c r="O27" s="14">
        <f t="shared" si="8"/>
        <v>9.3366852670864642E-2</v>
      </c>
      <c r="P27" s="3">
        <v>28590716.674999997</v>
      </c>
      <c r="Q27" s="14">
        <f t="shared" si="9"/>
        <v>0.11085786464936838</v>
      </c>
    </row>
    <row r="28" spans="2:17" x14ac:dyDescent="0.25">
      <c r="B28" s="12" t="s">
        <v>9</v>
      </c>
      <c r="C28" s="16">
        <f t="shared" si="1"/>
        <v>48516.076516054723</v>
      </c>
      <c r="D28" s="16">
        <f t="shared" si="2"/>
        <v>46293.123528610951</v>
      </c>
      <c r="E28" s="16">
        <f t="shared" si="3"/>
        <v>34187.05714132914</v>
      </c>
      <c r="F28" s="16">
        <f t="shared" si="4"/>
        <v>100182.68859843367</v>
      </c>
      <c r="G28" s="16">
        <f t="shared" si="5"/>
        <v>229178.94578442851</v>
      </c>
      <c r="I28" s="12" t="s">
        <v>9</v>
      </c>
      <c r="J28" s="3">
        <v>9634414.9066666663</v>
      </c>
      <c r="K28" s="14">
        <f t="shared" si="6"/>
        <v>6.3695471789045804E-2</v>
      </c>
      <c r="L28" s="3">
        <v>8894337.4866666663</v>
      </c>
      <c r="M28" s="14">
        <f t="shared" si="7"/>
        <v>6.0778930773426276E-2</v>
      </c>
      <c r="N28" s="3">
        <v>12953225.75</v>
      </c>
      <c r="O28" s="14">
        <f t="shared" si="8"/>
        <v>5.7723738235735643E-2</v>
      </c>
      <c r="P28" s="3">
        <v>14707285.539999999</v>
      </c>
      <c r="Q28" s="14">
        <f t="shared" si="9"/>
        <v>5.7026142026673519E-2</v>
      </c>
    </row>
    <row r="29" spans="2:17" x14ac:dyDescent="0.25">
      <c r="B29" s="12" t="s">
        <v>10</v>
      </c>
      <c r="C29" s="16">
        <f t="shared" si="1"/>
        <v>33951.412627687423</v>
      </c>
      <c r="D29" s="16">
        <f t="shared" si="2"/>
        <v>43131.251110814075</v>
      </c>
      <c r="E29" s="16">
        <f t="shared" si="3"/>
        <v>29400.819483682346</v>
      </c>
      <c r="F29" s="16">
        <f t="shared" si="4"/>
        <v>88723.547725636628</v>
      </c>
      <c r="G29" s="16">
        <f t="shared" si="5"/>
        <v>195207.03094782046</v>
      </c>
      <c r="I29" s="12" t="s">
        <v>10</v>
      </c>
      <c r="J29" s="3">
        <v>6742136.2033333331</v>
      </c>
      <c r="K29" s="14">
        <f t="shared" si="6"/>
        <v>4.4573910351334699E-2</v>
      </c>
      <c r="L29" s="3">
        <v>8286844.2300000004</v>
      </c>
      <c r="M29" s="14">
        <f t="shared" si="7"/>
        <v>5.6627661423953445E-2</v>
      </c>
      <c r="N29" s="3">
        <v>11139755.33</v>
      </c>
      <c r="O29" s="14">
        <f t="shared" si="8"/>
        <v>4.9642331037043873E-2</v>
      </c>
      <c r="P29" s="3">
        <v>13025030.26</v>
      </c>
      <c r="Q29" s="14">
        <f t="shared" si="9"/>
        <v>5.0503352470334939E-2</v>
      </c>
    </row>
    <row r="30" spans="2:17" x14ac:dyDescent="0.25">
      <c r="B30" s="12" t="s">
        <v>11</v>
      </c>
      <c r="C30" s="16">
        <f t="shared" si="1"/>
        <v>42014.629340075</v>
      </c>
      <c r="D30" s="16">
        <f t="shared" si="2"/>
        <v>36160.787252148497</v>
      </c>
      <c r="E30" s="16">
        <f t="shared" si="3"/>
        <v>92884.560763950445</v>
      </c>
      <c r="F30" s="16">
        <f t="shared" si="4"/>
        <v>253913.04532746988</v>
      </c>
      <c r="G30" s="16">
        <f t="shared" si="5"/>
        <v>424973.02268364385</v>
      </c>
      <c r="I30" s="12" t="s">
        <v>11</v>
      </c>
      <c r="J30" s="3">
        <v>8343345.1400000006</v>
      </c>
      <c r="K30" s="14">
        <f t="shared" si="6"/>
        <v>5.5159893998691069E-2</v>
      </c>
      <c r="L30" s="3">
        <v>6947603.0366666662</v>
      </c>
      <c r="M30" s="14">
        <f t="shared" si="7"/>
        <v>4.7476035695724755E-2</v>
      </c>
      <c r="N30" s="3">
        <v>35193280.289999999</v>
      </c>
      <c r="O30" s="14">
        <f t="shared" si="8"/>
        <v>0.15683257115447358</v>
      </c>
      <c r="P30" s="3">
        <v>37275618.295000002</v>
      </c>
      <c r="Q30" s="14">
        <f t="shared" si="9"/>
        <v>0.14453276896279937</v>
      </c>
    </row>
    <row r="31" spans="2:17" x14ac:dyDescent="0.25">
      <c r="B31" s="12" t="s">
        <v>12</v>
      </c>
      <c r="C31" s="16">
        <f t="shared" si="1"/>
        <v>47916.923151322248</v>
      </c>
      <c r="D31" s="16">
        <f t="shared" si="2"/>
        <v>48259.796588465928</v>
      </c>
      <c r="E31" s="16">
        <f t="shared" si="3"/>
        <v>31133.382525579509</v>
      </c>
      <c r="F31" s="16">
        <f t="shared" si="4"/>
        <v>88910.350072343383</v>
      </c>
      <c r="G31" s="16">
        <f t="shared" si="5"/>
        <v>216220.45233771106</v>
      </c>
      <c r="I31" s="12" t="s">
        <v>12</v>
      </c>
      <c r="J31" s="3">
        <v>9515433.8900000006</v>
      </c>
      <c r="K31" s="14">
        <f t="shared" si="6"/>
        <v>6.2908859206554715E-2</v>
      </c>
      <c r="L31" s="3">
        <v>9272196.0666666683</v>
      </c>
      <c r="M31" s="14">
        <f t="shared" si="7"/>
        <v>6.3361005099973125E-2</v>
      </c>
      <c r="N31" s="3">
        <v>11796210.786666667</v>
      </c>
      <c r="O31" s="14">
        <f t="shared" si="8"/>
        <v>5.256770759384842E-2</v>
      </c>
      <c r="P31" s="3">
        <v>13052453.715</v>
      </c>
      <c r="Q31" s="14">
        <f t="shared" si="9"/>
        <v>5.0609684385591415E-2</v>
      </c>
    </row>
    <row r="32" spans="2:17" x14ac:dyDescent="0.25">
      <c r="B32" s="12" t="s">
        <v>22</v>
      </c>
      <c r="C32" s="16">
        <f t="shared" si="1"/>
        <v>1854.1133090149578</v>
      </c>
      <c r="D32" s="16">
        <f t="shared" si="2"/>
        <v>1060.5122471184607</v>
      </c>
      <c r="E32" s="16">
        <f t="shared" si="3"/>
        <v>723.7043894379425</v>
      </c>
      <c r="F32" s="16">
        <f t="shared" si="4"/>
        <v>1189.6791966361936</v>
      </c>
      <c r="G32" s="16">
        <f t="shared" si="5"/>
        <v>4828.0091422075548</v>
      </c>
      <c r="I32" s="12" t="s">
        <v>22</v>
      </c>
      <c r="J32" s="3">
        <v>368193.35333333327</v>
      </c>
      <c r="K32" s="14">
        <f t="shared" si="6"/>
        <v>2.4342162526059985E-3</v>
      </c>
      <c r="L32" s="3">
        <v>203757.12666666668</v>
      </c>
      <c r="M32" s="14">
        <f t="shared" si="7"/>
        <v>1.392362310833203E-3</v>
      </c>
      <c r="N32" s="3">
        <v>274206.29666666669</v>
      </c>
      <c r="O32" s="14">
        <f t="shared" si="8"/>
        <v>1.2219514117073995E-3</v>
      </c>
      <c r="P32" s="3">
        <v>174650.44999999998</v>
      </c>
      <c r="Q32" s="14">
        <f t="shared" si="9"/>
        <v>6.7719099759332212E-4</v>
      </c>
    </row>
    <row r="33" spans="2:17" x14ac:dyDescent="0.25">
      <c r="B33" s="12" t="s">
        <v>21</v>
      </c>
      <c r="C33" s="16">
        <f t="shared" si="1"/>
        <v>0</v>
      </c>
      <c r="D33" s="16">
        <f t="shared" si="2"/>
        <v>0</v>
      </c>
      <c r="E33" s="16">
        <f t="shared" si="3"/>
        <v>0</v>
      </c>
      <c r="F33" s="16">
        <f t="shared" si="4"/>
        <v>0</v>
      </c>
      <c r="G33" s="16">
        <f t="shared" si="5"/>
        <v>0</v>
      </c>
      <c r="I33" s="12" t="s">
        <v>21</v>
      </c>
      <c r="J33" s="3">
        <v>0</v>
      </c>
      <c r="K33" s="14">
        <f t="shared" si="6"/>
        <v>0</v>
      </c>
      <c r="L33" s="3">
        <v>0</v>
      </c>
      <c r="M33" s="14">
        <f t="shared" si="7"/>
        <v>0</v>
      </c>
      <c r="N33" s="3">
        <v>0</v>
      </c>
      <c r="O33" s="14">
        <f t="shared" si="8"/>
        <v>0</v>
      </c>
      <c r="P33" s="3">
        <v>0</v>
      </c>
      <c r="Q33" s="14">
        <f t="shared" si="9"/>
        <v>0</v>
      </c>
    </row>
    <row r="34" spans="2:17" x14ac:dyDescent="0.25">
      <c r="B34" s="12" t="s">
        <v>13</v>
      </c>
      <c r="C34" s="16">
        <f t="shared" si="1"/>
        <v>43990.938911856407</v>
      </c>
      <c r="D34" s="16">
        <f t="shared" si="2"/>
        <v>43965.282506658477</v>
      </c>
      <c r="E34" s="16">
        <f t="shared" si="3"/>
        <v>29600.048017343186</v>
      </c>
      <c r="F34" s="16">
        <f t="shared" si="4"/>
        <v>89153.591669674977</v>
      </c>
      <c r="G34" s="16">
        <f t="shared" si="5"/>
        <v>206709.86110553303</v>
      </c>
      <c r="I34" s="12" t="s">
        <v>13</v>
      </c>
      <c r="J34" s="3">
        <v>8735804.459999999</v>
      </c>
      <c r="K34" s="14">
        <f t="shared" si="6"/>
        <v>5.7754538488011369E-2</v>
      </c>
      <c r="L34" s="3">
        <v>8447087.3966666665</v>
      </c>
      <c r="M34" s="14">
        <f t="shared" si="7"/>
        <v>5.7722673654864186E-2</v>
      </c>
      <c r="N34" s="3">
        <v>11215241.563333333</v>
      </c>
      <c r="O34" s="14">
        <f t="shared" si="8"/>
        <v>4.9978721960620184E-2</v>
      </c>
      <c r="P34" s="3">
        <v>13088162.715</v>
      </c>
      <c r="Q34" s="14">
        <f t="shared" si="9"/>
        <v>5.0748142736732567E-2</v>
      </c>
    </row>
    <row r="35" spans="2:17" x14ac:dyDescent="0.25">
      <c r="B35" s="12" t="s">
        <v>14</v>
      </c>
      <c r="C35" s="16">
        <f t="shared" si="1"/>
        <v>19247.766271065535</v>
      </c>
      <c r="D35" s="16">
        <f t="shared" si="2"/>
        <v>20249.852479871432</v>
      </c>
      <c r="E35" s="16">
        <f t="shared" si="3"/>
        <v>12250.97992388246</v>
      </c>
      <c r="F35" s="16">
        <f t="shared" si="4"/>
        <v>35018.116857828179</v>
      </c>
      <c r="G35" s="16">
        <f t="shared" si="5"/>
        <v>86766.715532647606</v>
      </c>
      <c r="I35" s="12" t="s">
        <v>14</v>
      </c>
      <c r="J35" s="3">
        <v>3822258.0966666662</v>
      </c>
      <c r="K35" s="14">
        <f t="shared" si="6"/>
        <v>2.5269882512348275E-2</v>
      </c>
      <c r="L35" s="3">
        <v>3890621.5066666664</v>
      </c>
      <c r="M35" s="14">
        <f t="shared" si="7"/>
        <v>2.6586332660952117E-2</v>
      </c>
      <c r="N35" s="3">
        <v>4641806.6333333338</v>
      </c>
      <c r="O35" s="14">
        <f t="shared" si="8"/>
        <v>2.0685382638640008E-2</v>
      </c>
      <c r="P35" s="3">
        <v>5140822.74</v>
      </c>
      <c r="Q35" s="14">
        <f t="shared" si="9"/>
        <v>1.9933065616212477E-2</v>
      </c>
    </row>
    <row r="36" spans="2:17" x14ac:dyDescent="0.25">
      <c r="B36" s="12" t="s">
        <v>15</v>
      </c>
      <c r="C36" s="16">
        <f t="shared" si="1"/>
        <v>93586.029029210054</v>
      </c>
      <c r="D36" s="16">
        <f t="shared" si="2"/>
        <v>93289.29184101701</v>
      </c>
      <c r="E36" s="16">
        <f t="shared" si="3"/>
        <v>60646.954587398162</v>
      </c>
      <c r="F36" s="16">
        <f t="shared" si="4"/>
        <v>196082.46730901708</v>
      </c>
      <c r="G36" s="16">
        <f t="shared" si="5"/>
        <v>443604.7427666423</v>
      </c>
      <c r="I36" s="12" t="s">
        <v>27</v>
      </c>
      <c r="J36" s="3">
        <f>13584491.9433333+5000000</f>
        <v>18584491.943333298</v>
      </c>
      <c r="K36" s="14">
        <f t="shared" si="6"/>
        <v>0.12286661865384521</v>
      </c>
      <c r="L36" s="3">
        <f>12923751.57+5000000</f>
        <v>17923751.57</v>
      </c>
      <c r="M36" s="14">
        <f t="shared" si="7"/>
        <v>0.1224808995055786</v>
      </c>
      <c r="N36" s="3">
        <f>17978687.2433333+5000000</f>
        <v>22978687.243333299</v>
      </c>
      <c r="O36" s="14">
        <f t="shared" si="8"/>
        <v>0.10240041770560582</v>
      </c>
      <c r="P36" s="3">
        <f>23785819.95+5000000</f>
        <v>28785819.949999999</v>
      </c>
      <c r="Q36" s="14">
        <f t="shared" si="9"/>
        <v>0.11161435958786396</v>
      </c>
    </row>
    <row r="37" spans="2:17" x14ac:dyDescent="0.25">
      <c r="B37" s="12" t="s">
        <v>16</v>
      </c>
      <c r="C37" s="16">
        <f t="shared" si="1"/>
        <v>150499.70651724265</v>
      </c>
      <c r="D37" s="16">
        <f t="shared" si="2"/>
        <v>150353.74256816099</v>
      </c>
      <c r="E37" s="16">
        <f t="shared" si="3"/>
        <v>113480.15071878965</v>
      </c>
      <c r="F37" s="16">
        <f t="shared" si="4"/>
        <v>347222.08505921304</v>
      </c>
      <c r="G37" s="16">
        <f t="shared" si="5"/>
        <v>761555.68486340635</v>
      </c>
      <c r="I37" s="12" t="s">
        <v>16</v>
      </c>
      <c r="J37" s="3">
        <v>29886518.449999999</v>
      </c>
      <c r="K37" s="14">
        <f t="shared" si="6"/>
        <v>0.1975870783276652</v>
      </c>
      <c r="L37" s="3">
        <v>28887593.379999999</v>
      </c>
      <c r="M37" s="14">
        <f t="shared" si="7"/>
        <v>0.19740166604718221</v>
      </c>
      <c r="N37" s="3">
        <v>42996798.593333334</v>
      </c>
      <c r="O37" s="14">
        <f t="shared" si="8"/>
        <v>0.19160755744384519</v>
      </c>
      <c r="P37" s="3">
        <v>50973820.150000006</v>
      </c>
      <c r="Q37" s="14">
        <f t="shared" si="9"/>
        <v>0.19764628215112581</v>
      </c>
    </row>
    <row r="38" spans="2:17" x14ac:dyDescent="0.25">
      <c r="B38" s="12" t="s">
        <v>17</v>
      </c>
      <c r="C38" s="16">
        <f t="shared" si="1"/>
        <v>17873.859403373062</v>
      </c>
      <c r="D38" s="16">
        <f t="shared" si="2"/>
        <v>27909.022457288182</v>
      </c>
      <c r="E38" s="16">
        <f t="shared" si="3"/>
        <v>19935.462873299221</v>
      </c>
      <c r="F38" s="16">
        <f t="shared" si="4"/>
        <v>44929.051222994014</v>
      </c>
      <c r="G38" s="16">
        <f t="shared" si="5"/>
        <v>110647.39595695448</v>
      </c>
      <c r="I38" s="12" t="s">
        <v>17</v>
      </c>
      <c r="J38" s="3">
        <v>3549425.0533333332</v>
      </c>
      <c r="K38" s="14">
        <f t="shared" si="6"/>
        <v>2.3466116577093327E-2</v>
      </c>
      <c r="L38" s="3">
        <v>5362184.3966666656</v>
      </c>
      <c r="M38" s="14">
        <f t="shared" si="7"/>
        <v>3.6642170901195516E-2</v>
      </c>
      <c r="N38" s="3">
        <v>7553400.9833333343</v>
      </c>
      <c r="O38" s="14">
        <f t="shared" si="8"/>
        <v>3.3660383101983812E-2</v>
      </c>
      <c r="P38" s="3">
        <v>6595794.0899999999</v>
      </c>
      <c r="Q38" s="14">
        <f t="shared" si="9"/>
        <v>2.5574582714944272E-2</v>
      </c>
    </row>
    <row r="39" spans="2:17" x14ac:dyDescent="0.25">
      <c r="B39" s="12" t="s">
        <v>18</v>
      </c>
      <c r="C39" s="16">
        <f t="shared" si="1"/>
        <v>147218.04692834037</v>
      </c>
      <c r="D39" s="16">
        <f t="shared" si="2"/>
        <v>144637.42693622585</v>
      </c>
      <c r="E39" s="16">
        <f t="shared" si="3"/>
        <v>87932.33451265152</v>
      </c>
      <c r="F39" s="16">
        <f t="shared" si="4"/>
        <v>242415.67910134228</v>
      </c>
      <c r="G39" s="16">
        <f t="shared" si="5"/>
        <v>622203.48747856007</v>
      </c>
      <c r="I39" s="12" t="s">
        <v>18</v>
      </c>
      <c r="J39" s="3">
        <v>29234840.236666668</v>
      </c>
      <c r="K39" s="14">
        <f t="shared" si="6"/>
        <v>0.1932786743763068</v>
      </c>
      <c r="L39" s="3">
        <v>27789312.760000002</v>
      </c>
      <c r="M39" s="14">
        <f t="shared" si="7"/>
        <v>0.18989663018893613</v>
      </c>
      <c r="N39" s="3">
        <v>33316918.006666671</v>
      </c>
      <c r="O39" s="14">
        <f t="shared" si="8"/>
        <v>0.14847089759385182</v>
      </c>
      <c r="P39" s="3">
        <v>35587751.355000004</v>
      </c>
      <c r="Q39" s="14">
        <f t="shared" si="9"/>
        <v>0.13798822071283273</v>
      </c>
    </row>
    <row r="40" spans="2:17" x14ac:dyDescent="0.25">
      <c r="B40" s="15" t="s">
        <v>24</v>
      </c>
      <c r="C40" s="16">
        <f>$C$21-(C18+C19+C20)</f>
        <v>761688</v>
      </c>
      <c r="D40" s="16">
        <f>$D$21-(D18+D19+D20)</f>
        <v>761664</v>
      </c>
      <c r="E40" s="16">
        <f>$E$21-(E18+E19+E20)</f>
        <v>592253</v>
      </c>
      <c r="F40" s="16">
        <f>$F$21-(F18+F19+F20)</f>
        <v>1756785.31</v>
      </c>
      <c r="G40" s="16">
        <f>$C$21-(G18+G19+G20)</f>
        <v>724955</v>
      </c>
      <c r="I40" s="15" t="s">
        <v>24</v>
      </c>
      <c r="J40" s="3">
        <f t="shared" ref="J40:Q40" si="10">SUM(J26:J39)</f>
        <v>151257454.19666663</v>
      </c>
      <c r="K40" s="19">
        <f t="shared" si="10"/>
        <v>1</v>
      </c>
      <c r="L40" s="3">
        <f t="shared" si="10"/>
        <v>146339156.90000001</v>
      </c>
      <c r="M40" s="19">
        <f t="shared" si="10"/>
        <v>0.99999999999999989</v>
      </c>
      <c r="N40" s="3">
        <f t="shared" si="10"/>
        <v>224400327.24666661</v>
      </c>
      <c r="O40" s="19">
        <f t="shared" si="10"/>
        <v>1.0000000000000002</v>
      </c>
      <c r="P40" s="3">
        <f t="shared" si="10"/>
        <v>257904270.17000002</v>
      </c>
      <c r="Q40" s="19">
        <f t="shared" si="10"/>
        <v>1</v>
      </c>
    </row>
    <row r="43" spans="2:17" ht="15.75" x14ac:dyDescent="0.25">
      <c r="B43" s="44" t="s">
        <v>149</v>
      </c>
      <c r="C43" s="44"/>
      <c r="D43" s="44"/>
      <c r="E43" s="44"/>
      <c r="F43" s="44"/>
      <c r="G43" s="44"/>
      <c r="I43" s="44" t="s">
        <v>173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0.50625145057711052</v>
      </c>
      <c r="D45" s="16">
        <f>D26-D4</f>
        <v>22.386385468234948</v>
      </c>
      <c r="E45" s="16">
        <f>E26-E4</f>
        <v>-569.25353222109698</v>
      </c>
      <c r="F45" s="16">
        <f>F26-F4</f>
        <v>-295.46025456799543</v>
      </c>
      <c r="G45" s="16">
        <f t="shared" ref="G45:G59" si="11">SUM(C45+D45+E45+F45)</f>
        <v>-841.82114987028035</v>
      </c>
      <c r="I45" s="15" t="s">
        <v>153</v>
      </c>
      <c r="J45" s="12" t="s">
        <v>155</v>
      </c>
    </row>
    <row r="46" spans="2:17" x14ac:dyDescent="0.25">
      <c r="B46" s="12" t="s">
        <v>8</v>
      </c>
      <c r="C46" s="16">
        <f t="shared" ref="C46:F58" si="12">C27-C5</f>
        <v>-8.2566929777385667E-3</v>
      </c>
      <c r="D46" s="16">
        <f t="shared" si="12"/>
        <v>53.524098151887301</v>
      </c>
      <c r="E46" s="16">
        <f t="shared" si="12"/>
        <v>-1270.2014051224032</v>
      </c>
      <c r="F46" s="16">
        <f t="shared" si="12"/>
        <v>-773.53188602131559</v>
      </c>
      <c r="G46" s="16">
        <f t="shared" si="11"/>
        <v>-1990.2174496848093</v>
      </c>
      <c r="I46" s="15" t="s">
        <v>154</v>
      </c>
      <c r="J46" t="s">
        <v>188</v>
      </c>
    </row>
    <row r="47" spans="2:17" x14ac:dyDescent="0.25">
      <c r="B47" s="12" t="s">
        <v>9</v>
      </c>
      <c r="C47" s="16">
        <f t="shared" si="12"/>
        <v>7.6516054723470006E-2</v>
      </c>
      <c r="D47" s="16">
        <f t="shared" si="12"/>
        <v>33.123528610951325</v>
      </c>
      <c r="E47" s="16">
        <f t="shared" si="12"/>
        <v>-785.94285867086001</v>
      </c>
      <c r="F47" s="16">
        <f t="shared" si="12"/>
        <v>7136.6885984336695</v>
      </c>
      <c r="G47" s="16">
        <f t="shared" si="11"/>
        <v>6383.9457844284843</v>
      </c>
    </row>
    <row r="48" spans="2:17" x14ac:dyDescent="0.25">
      <c r="B48" s="12" t="s">
        <v>10</v>
      </c>
      <c r="C48" s="16">
        <f t="shared" si="12"/>
        <v>0.41262768742308253</v>
      </c>
      <c r="D48" s="16">
        <f t="shared" si="12"/>
        <v>30.251110814075219</v>
      </c>
      <c r="E48" s="16">
        <f t="shared" si="12"/>
        <v>-675.18051631765411</v>
      </c>
      <c r="F48" s="16">
        <f t="shared" si="12"/>
        <v>-352.45227436337154</v>
      </c>
      <c r="G48" s="16">
        <f t="shared" si="11"/>
        <v>-996.96905217952735</v>
      </c>
    </row>
    <row r="49" spans="2:7" x14ac:dyDescent="0.25">
      <c r="B49" s="12" t="s">
        <v>11</v>
      </c>
      <c r="C49" s="16">
        <f t="shared" si="12"/>
        <v>-0.37065992499992717</v>
      </c>
      <c r="D49" s="16">
        <f t="shared" si="12"/>
        <v>25.787252148496918</v>
      </c>
      <c r="E49" s="16">
        <f t="shared" si="12"/>
        <v>-2134.4392360495549</v>
      </c>
      <c r="F49" s="16">
        <f t="shared" si="12"/>
        <v>-1008.9546725301188</v>
      </c>
      <c r="G49" s="16">
        <f t="shared" si="11"/>
        <v>-3117.9773163561767</v>
      </c>
    </row>
    <row r="50" spans="2:7" x14ac:dyDescent="0.25">
      <c r="B50" s="12" t="s">
        <v>12</v>
      </c>
      <c r="C50" s="16">
        <f t="shared" si="12"/>
        <v>-7.68486777524231E-2</v>
      </c>
      <c r="D50" s="16">
        <f t="shared" si="12"/>
        <v>34.796588465927925</v>
      </c>
      <c r="E50" s="16">
        <f t="shared" si="12"/>
        <v>-715.61747442049091</v>
      </c>
      <c r="F50" s="16">
        <f t="shared" si="12"/>
        <v>-352.64992765661736</v>
      </c>
      <c r="G50" s="16">
        <f t="shared" si="11"/>
        <v>-1033.5476622889328</v>
      </c>
    </row>
    <row r="51" spans="2:7" x14ac:dyDescent="0.25">
      <c r="B51" s="12" t="s">
        <v>22</v>
      </c>
      <c r="C51" s="16">
        <f t="shared" si="12"/>
        <v>0.11330901495784929</v>
      </c>
      <c r="D51" s="16">
        <f t="shared" si="12"/>
        <v>-542.48775288153934</v>
      </c>
      <c r="E51" s="16">
        <f t="shared" si="12"/>
        <v>-16.295610562057504</v>
      </c>
      <c r="F51" s="16">
        <f t="shared" si="12"/>
        <v>-560.32080336380636</v>
      </c>
      <c r="G51" s="16">
        <f t="shared" si="11"/>
        <v>-1118.9908577924452</v>
      </c>
    </row>
    <row r="52" spans="2:7" x14ac:dyDescent="0.25">
      <c r="B52" s="12" t="s">
        <v>21</v>
      </c>
      <c r="C52" s="16">
        <f t="shared" si="12"/>
        <v>0</v>
      </c>
      <c r="D52" s="16">
        <f t="shared" si="12"/>
        <v>0</v>
      </c>
      <c r="E52" s="16">
        <f t="shared" si="12"/>
        <v>0</v>
      </c>
      <c r="F52" s="16">
        <f t="shared" si="12"/>
        <v>0</v>
      </c>
      <c r="G52" s="16">
        <f t="shared" si="11"/>
        <v>0</v>
      </c>
    </row>
    <row r="53" spans="2:7" x14ac:dyDescent="0.25">
      <c r="B53" s="12" t="s">
        <v>13</v>
      </c>
      <c r="C53" s="16">
        <f t="shared" si="12"/>
        <v>-6.1088143593224231E-2</v>
      </c>
      <c r="D53" s="16">
        <f t="shared" si="12"/>
        <v>31.282506658477359</v>
      </c>
      <c r="E53" s="16">
        <f t="shared" si="12"/>
        <v>-679.95198265681393</v>
      </c>
      <c r="F53" s="16">
        <f t="shared" si="12"/>
        <v>-354.40833032502269</v>
      </c>
      <c r="G53" s="16">
        <f t="shared" si="11"/>
        <v>-1003.1388944669525</v>
      </c>
    </row>
    <row r="54" spans="2:7" x14ac:dyDescent="0.25">
      <c r="B54" s="12" t="s">
        <v>14</v>
      </c>
      <c r="C54" s="16">
        <f t="shared" si="12"/>
        <v>-0.2337289344650344</v>
      </c>
      <c r="D54" s="16">
        <f t="shared" si="12"/>
        <v>14.852479871431569</v>
      </c>
      <c r="E54" s="16">
        <f t="shared" si="12"/>
        <v>-281.02007611754016</v>
      </c>
      <c r="F54" s="16">
        <f t="shared" si="12"/>
        <v>-138.88314217182051</v>
      </c>
      <c r="G54" s="16">
        <f t="shared" si="11"/>
        <v>-405.28446735239413</v>
      </c>
    </row>
    <row r="55" spans="2:7" x14ac:dyDescent="0.25">
      <c r="B55" s="12" t="s">
        <v>15</v>
      </c>
      <c r="C55" s="16">
        <f t="shared" si="12"/>
        <v>2.9029210054432042E-2</v>
      </c>
      <c r="D55" s="16">
        <f t="shared" si="12"/>
        <v>67.291841017009574</v>
      </c>
      <c r="E55" s="16">
        <f t="shared" si="12"/>
        <v>12105.954587398162</v>
      </c>
      <c r="F55" s="16">
        <f t="shared" si="12"/>
        <v>-778.84269098291406</v>
      </c>
      <c r="G55" s="16">
        <f t="shared" si="11"/>
        <v>11394.432766642312</v>
      </c>
    </row>
    <row r="56" spans="2:7" x14ac:dyDescent="0.25">
      <c r="B56" s="12" t="s">
        <v>16</v>
      </c>
      <c r="C56" s="16">
        <f t="shared" si="12"/>
        <v>-0.29348275734810159</v>
      </c>
      <c r="D56" s="16">
        <f t="shared" si="12"/>
        <v>106.74256816098932</v>
      </c>
      <c r="E56" s="16">
        <f t="shared" si="12"/>
        <v>-2607.8492812103505</v>
      </c>
      <c r="F56" s="16">
        <f t="shared" si="12"/>
        <v>-1379.9149407869554</v>
      </c>
      <c r="G56" s="16">
        <f t="shared" si="11"/>
        <v>-3881.3151365936646</v>
      </c>
    </row>
    <row r="57" spans="2:7" x14ac:dyDescent="0.25">
      <c r="B57" s="12" t="s">
        <v>17</v>
      </c>
      <c r="C57" s="16">
        <f t="shared" si="12"/>
        <v>-0.1405966269376222</v>
      </c>
      <c r="D57" s="16">
        <f t="shared" si="12"/>
        <v>20.022457288181613</v>
      </c>
      <c r="E57" s="16">
        <f t="shared" si="12"/>
        <v>-349.53712670077948</v>
      </c>
      <c r="F57" s="16">
        <f t="shared" si="12"/>
        <v>-177.9487770059859</v>
      </c>
      <c r="G57" s="16">
        <f t="shared" si="11"/>
        <v>-507.60404304552139</v>
      </c>
    </row>
    <row r="58" spans="2:7" x14ac:dyDescent="0.25">
      <c r="B58" s="12" t="s">
        <v>18</v>
      </c>
      <c r="C58" s="16">
        <f t="shared" si="12"/>
        <v>4.6928340365411714E-2</v>
      </c>
      <c r="D58" s="16">
        <f t="shared" si="12"/>
        <v>102.4269362258492</v>
      </c>
      <c r="E58" s="16">
        <f t="shared" si="12"/>
        <v>-2020.6654873484804</v>
      </c>
      <c r="F58" s="16">
        <f t="shared" si="12"/>
        <v>-963.32089865772286</v>
      </c>
      <c r="G58" s="16">
        <f t="shared" si="11"/>
        <v>-2881.5125214399886</v>
      </c>
    </row>
    <row r="59" spans="2:7" x14ac:dyDescent="0.25">
      <c r="B59" s="15" t="s">
        <v>24</v>
      </c>
      <c r="C59" s="16">
        <f>SUM(C45:C58)</f>
        <v>2.7284841053187847E-11</v>
      </c>
      <c r="D59" s="16">
        <f>SUM(D45:D58)</f>
        <v>-2.7057467377744615E-11</v>
      </c>
      <c r="E59" s="16">
        <f>SUM(E45:E58)</f>
        <v>8.0035533756017685E-11</v>
      </c>
      <c r="F59" s="16">
        <f>SUM(F45:F58)</f>
        <v>2.2737367544323206E-11</v>
      </c>
      <c r="G59" s="16">
        <f t="shared" si="11"/>
        <v>1.0300027497578412E-10</v>
      </c>
    </row>
  </sheetData>
  <sheetProtection algorithmName="SHA-512" hashValue="hzzPR9MC8k6NNPJzpQMBaXgkbifr8xalHB57s0NRhnNjV2Iht9b0G2dRnY5uhySu/Fe9vSE8ykTnqBydwHz8dw==" saltValue="7FgywjrsJxjpFBtnKF9YyA==" spinCount="100000" sheet="1" objects="1" scenarios="1"/>
  <mergeCells count="6">
    <mergeCell ref="B2:G2"/>
    <mergeCell ref="I2:Q2"/>
    <mergeCell ref="B24:G24"/>
    <mergeCell ref="I24:Q24"/>
    <mergeCell ref="B43:G43"/>
    <mergeCell ref="I43:Q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4B22-0F63-44AF-8A99-7FA2DDC78031}">
  <dimension ref="B2:Q59"/>
  <sheetViews>
    <sheetView workbookViewId="0">
      <selection activeCell="B3" sqref="B3"/>
    </sheetView>
  </sheetViews>
  <sheetFormatPr defaultColWidth="9.140625" defaultRowHeight="15" x14ac:dyDescent="0.25"/>
  <cols>
    <col min="1" max="2" width="9.140625" style="12"/>
    <col min="3" max="3" width="13.42578125" style="12" bestFit="1" customWidth="1"/>
    <col min="4" max="5" width="12.5703125" style="12" bestFit="1" customWidth="1"/>
    <col min="6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35</v>
      </c>
      <c r="C2" s="44"/>
      <c r="D2" s="44"/>
      <c r="E2" s="44"/>
      <c r="F2" s="44"/>
      <c r="G2" s="44"/>
      <c r="H2" s="11"/>
      <c r="I2" s="44" t="s">
        <v>36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2</v>
      </c>
      <c r="K3" s="13"/>
      <c r="L3" s="13" t="s">
        <v>3</v>
      </c>
      <c r="M3" s="13"/>
      <c r="N3" s="13" t="s">
        <v>4</v>
      </c>
      <c r="O3" s="13"/>
      <c r="P3" s="13" t="s">
        <v>26</v>
      </c>
      <c r="Q3" s="13"/>
    </row>
    <row r="4" spans="2:17" x14ac:dyDescent="0.25">
      <c r="B4" s="12" t="s">
        <v>7</v>
      </c>
      <c r="C4" s="3">
        <v>42502</v>
      </c>
      <c r="D4" s="5">
        <v>39099</v>
      </c>
      <c r="E4" s="5">
        <v>33853</v>
      </c>
      <c r="F4" s="5">
        <v>96781</v>
      </c>
      <c r="G4" s="5">
        <f t="shared" ref="G4:G20" si="0">C4+D4+E4+F4</f>
        <v>212235</v>
      </c>
      <c r="I4" s="12" t="s">
        <v>7</v>
      </c>
      <c r="J4" s="3">
        <v>8191312.6999999993</v>
      </c>
      <c r="K4" s="14"/>
      <c r="L4" s="3">
        <v>8922073.3066666666</v>
      </c>
      <c r="M4" s="14"/>
      <c r="N4" s="3">
        <v>9686356.1533333343</v>
      </c>
      <c r="O4" s="14"/>
      <c r="P4" s="3">
        <v>10705239.449999999</v>
      </c>
      <c r="Q4" s="14"/>
    </row>
    <row r="5" spans="2:17" x14ac:dyDescent="0.25">
      <c r="B5" s="12" t="s">
        <v>8</v>
      </c>
      <c r="C5" s="3">
        <v>101243</v>
      </c>
      <c r="D5" s="3">
        <v>92501</v>
      </c>
      <c r="E5" s="3">
        <v>70444</v>
      </c>
      <c r="F5" s="3">
        <v>200361</v>
      </c>
      <c r="G5" s="5">
        <f t="shared" si="0"/>
        <v>464549</v>
      </c>
      <c r="I5" s="12" t="s">
        <v>8</v>
      </c>
      <c r="J5" s="3">
        <v>18663712.489999998</v>
      </c>
      <c r="K5" s="14"/>
      <c r="L5" s="3">
        <v>20800936.510000002</v>
      </c>
      <c r="M5" s="14"/>
      <c r="N5" s="3">
        <v>20142319.613333333</v>
      </c>
      <c r="O5" s="14"/>
      <c r="P5" s="3">
        <v>22162346.780000001</v>
      </c>
      <c r="Q5" s="14"/>
    </row>
    <row r="6" spans="2:17" x14ac:dyDescent="0.25">
      <c r="B6" s="12" t="s">
        <v>9</v>
      </c>
      <c r="C6" s="3">
        <v>51959</v>
      </c>
      <c r="D6" s="3">
        <v>50853</v>
      </c>
      <c r="E6" s="3">
        <v>41857</v>
      </c>
      <c r="F6" s="3">
        <v>124955</v>
      </c>
      <c r="G6" s="5">
        <f t="shared" si="0"/>
        <v>269624</v>
      </c>
      <c r="I6" s="12" t="s">
        <v>9</v>
      </c>
      <c r="J6" s="3">
        <v>9470716.8599999994</v>
      </c>
      <c r="K6" s="14"/>
      <c r="L6" s="3">
        <v>11688750.43</v>
      </c>
      <c r="M6" s="14"/>
      <c r="N6" s="3">
        <v>11968230.933333332</v>
      </c>
      <c r="O6" s="14"/>
      <c r="P6" s="3">
        <v>13821523.425000001</v>
      </c>
      <c r="Q6" s="14"/>
    </row>
    <row r="7" spans="2:17" x14ac:dyDescent="0.25">
      <c r="B7" s="12" t="s">
        <v>10</v>
      </c>
      <c r="C7" s="3">
        <v>47389</v>
      </c>
      <c r="D7" s="3">
        <v>37440</v>
      </c>
      <c r="E7" s="3">
        <v>29035</v>
      </c>
      <c r="F7" s="3">
        <v>89092</v>
      </c>
      <c r="G7" s="5">
        <f t="shared" si="0"/>
        <v>202956</v>
      </c>
      <c r="I7" s="12" t="s">
        <v>10</v>
      </c>
      <c r="J7" s="3">
        <v>8802457.6300000008</v>
      </c>
      <c r="K7" s="14"/>
      <c r="L7" s="3">
        <v>8288225.2333333334</v>
      </c>
      <c r="M7" s="14"/>
      <c r="N7" s="3">
        <v>8302057.8966666656</v>
      </c>
      <c r="O7" s="14"/>
      <c r="P7" s="3">
        <v>9854600.1900000013</v>
      </c>
      <c r="Q7" s="14"/>
    </row>
    <row r="8" spans="2:17" x14ac:dyDescent="0.25">
      <c r="B8" s="12" t="s">
        <v>11</v>
      </c>
      <c r="C8" s="3">
        <v>41116</v>
      </c>
      <c r="D8" s="3">
        <v>39132</v>
      </c>
      <c r="E8" s="3">
        <v>37760</v>
      </c>
      <c r="F8" s="3">
        <v>116715</v>
      </c>
      <c r="G8" s="5">
        <f t="shared" si="0"/>
        <v>234723</v>
      </c>
      <c r="I8" s="12" t="s">
        <v>11</v>
      </c>
      <c r="J8" s="3">
        <v>7329506.8266666671</v>
      </c>
      <c r="K8" s="14"/>
      <c r="L8" s="3">
        <v>9315079.9700000007</v>
      </c>
      <c r="M8" s="14"/>
      <c r="N8" s="3">
        <v>10827023.583333334</v>
      </c>
      <c r="O8" s="14"/>
      <c r="P8" s="3">
        <v>12910090.939999999</v>
      </c>
      <c r="Q8" s="14"/>
    </row>
    <row r="9" spans="2:17" x14ac:dyDescent="0.25">
      <c r="B9" s="12" t="s">
        <v>12</v>
      </c>
      <c r="C9" s="3">
        <v>55927</v>
      </c>
      <c r="D9" s="3">
        <v>50719</v>
      </c>
      <c r="E9" s="3">
        <v>41138</v>
      </c>
      <c r="F9" s="3">
        <v>111325</v>
      </c>
      <c r="G9" s="5">
        <f t="shared" si="0"/>
        <v>259109</v>
      </c>
      <c r="I9" s="12" t="s">
        <v>12</v>
      </c>
      <c r="J9" s="3">
        <v>10394925.660000002</v>
      </c>
      <c r="K9" s="14"/>
      <c r="L9" s="3">
        <v>11593911.613333331</v>
      </c>
      <c r="M9" s="14"/>
      <c r="N9" s="3">
        <v>11762673.253333336</v>
      </c>
      <c r="O9" s="14"/>
      <c r="P9" s="3">
        <v>12687294.875</v>
      </c>
      <c r="Q9" s="14"/>
    </row>
    <row r="10" spans="2:17" x14ac:dyDescent="0.25">
      <c r="B10" s="12" t="s">
        <v>22</v>
      </c>
      <c r="C10" s="3">
        <v>1552</v>
      </c>
      <c r="D10" s="3">
        <v>1860</v>
      </c>
      <c r="E10" s="3">
        <v>2072</v>
      </c>
      <c r="F10" s="3">
        <v>3034</v>
      </c>
      <c r="G10" s="5">
        <f t="shared" si="0"/>
        <v>8518</v>
      </c>
      <c r="I10" s="12" t="s">
        <v>22</v>
      </c>
      <c r="J10" s="3">
        <v>290010.54333333339</v>
      </c>
      <c r="K10" s="14"/>
      <c r="L10" s="3">
        <v>447792.78</v>
      </c>
      <c r="M10" s="14"/>
      <c r="N10" s="3">
        <v>591295.95333333325</v>
      </c>
      <c r="O10" s="14"/>
      <c r="P10" s="3">
        <v>335634.49</v>
      </c>
      <c r="Q10" s="14"/>
    </row>
    <row r="11" spans="2:17" x14ac:dyDescent="0.25">
      <c r="B11" s="12" t="s">
        <v>21</v>
      </c>
      <c r="C11" s="3">
        <v>0</v>
      </c>
      <c r="D11" s="3">
        <v>0</v>
      </c>
      <c r="E11" s="3">
        <v>0</v>
      </c>
      <c r="F11" s="3">
        <v>0</v>
      </c>
      <c r="G11" s="5">
        <f t="shared" si="0"/>
        <v>0</v>
      </c>
      <c r="I11" s="12" t="s">
        <v>21</v>
      </c>
      <c r="J11" s="3">
        <v>0</v>
      </c>
      <c r="K11" s="14"/>
      <c r="L11" s="3">
        <v>0</v>
      </c>
      <c r="M11" s="14"/>
      <c r="N11" s="3">
        <v>0</v>
      </c>
      <c r="O11" s="14"/>
      <c r="P11" s="3">
        <v>0</v>
      </c>
      <c r="Q11" s="14"/>
    </row>
    <row r="12" spans="2:17" x14ac:dyDescent="0.25">
      <c r="B12" s="12" t="s">
        <v>13</v>
      </c>
      <c r="C12" s="3">
        <v>44507</v>
      </c>
      <c r="D12" s="3">
        <v>41911</v>
      </c>
      <c r="E12" s="3">
        <v>34503</v>
      </c>
      <c r="F12" s="3">
        <v>100875</v>
      </c>
      <c r="G12" s="5">
        <f t="shared" si="0"/>
        <v>221796</v>
      </c>
      <c r="I12" s="12" t="s">
        <v>13</v>
      </c>
      <c r="J12" s="3">
        <v>8297073.9833333334</v>
      </c>
      <c r="K12" s="14"/>
      <c r="L12" s="3">
        <v>9545889.0566666666</v>
      </c>
      <c r="M12" s="14"/>
      <c r="N12" s="3">
        <v>9865627.166666666</v>
      </c>
      <c r="O12" s="14"/>
      <c r="P12" s="3">
        <v>11158088.260000002</v>
      </c>
      <c r="Q12" s="14"/>
    </row>
    <row r="13" spans="2:17" x14ac:dyDescent="0.25">
      <c r="B13" s="12" t="s">
        <v>14</v>
      </c>
      <c r="C13" s="3">
        <v>18167</v>
      </c>
      <c r="D13" s="3">
        <v>16953</v>
      </c>
      <c r="E13" s="3">
        <v>14355</v>
      </c>
      <c r="F13" s="3">
        <v>40384</v>
      </c>
      <c r="G13" s="5">
        <f t="shared" si="0"/>
        <v>89859</v>
      </c>
      <c r="I13" s="12" t="s">
        <v>14</v>
      </c>
      <c r="J13" s="3">
        <v>3373857.6666666665</v>
      </c>
      <c r="K13" s="14"/>
      <c r="L13" s="3">
        <v>3979964.8666666667</v>
      </c>
      <c r="M13" s="14"/>
      <c r="N13" s="3">
        <v>4104679.4866666668</v>
      </c>
      <c r="O13" s="14"/>
      <c r="P13" s="3">
        <v>4466966.25</v>
      </c>
      <c r="Q13" s="14"/>
    </row>
    <row r="14" spans="2:17" x14ac:dyDescent="0.25">
      <c r="B14" s="12" t="s">
        <v>15</v>
      </c>
      <c r="C14" s="3">
        <v>96924</v>
      </c>
      <c r="D14" s="3">
        <v>65986</v>
      </c>
      <c r="E14" s="3">
        <v>70903</v>
      </c>
      <c r="F14" s="3">
        <v>202558</v>
      </c>
      <c r="G14" s="5">
        <f t="shared" si="0"/>
        <v>436371</v>
      </c>
      <c r="I14" s="12" t="s">
        <v>15</v>
      </c>
      <c r="J14" s="3">
        <v>13194229.556666667</v>
      </c>
      <c r="K14" s="14"/>
      <c r="L14" s="3">
        <v>14963873.300000003</v>
      </c>
      <c r="M14" s="14"/>
      <c r="N14" s="3">
        <v>15273403.283333333</v>
      </c>
      <c r="O14" s="14"/>
      <c r="P14" s="3">
        <v>17405447.219999999</v>
      </c>
      <c r="Q14" s="14"/>
    </row>
    <row r="15" spans="2:17" x14ac:dyDescent="0.25">
      <c r="B15" s="12" t="s">
        <v>16</v>
      </c>
      <c r="C15" s="3">
        <v>144253</v>
      </c>
      <c r="D15" s="3">
        <v>150846</v>
      </c>
      <c r="E15" s="3">
        <v>127403</v>
      </c>
      <c r="F15" s="3">
        <v>633364</v>
      </c>
      <c r="G15" s="5">
        <f t="shared" si="0"/>
        <v>1055866</v>
      </c>
      <c r="I15" s="12" t="s">
        <v>16</v>
      </c>
      <c r="J15" s="3">
        <v>28364411.516666669</v>
      </c>
      <c r="K15" s="14"/>
      <c r="L15" s="3">
        <v>34416572.699999996</v>
      </c>
      <c r="M15" s="14"/>
      <c r="N15" s="3">
        <v>36428797.530000001</v>
      </c>
      <c r="O15" s="14"/>
      <c r="P15" s="3">
        <v>42768412.710000001</v>
      </c>
      <c r="Q15" s="14"/>
    </row>
    <row r="16" spans="2:17" x14ac:dyDescent="0.25">
      <c r="B16" s="12" t="s">
        <v>17</v>
      </c>
      <c r="C16" s="3">
        <v>20016</v>
      </c>
      <c r="D16" s="3">
        <v>17574</v>
      </c>
      <c r="E16" s="3">
        <v>20267</v>
      </c>
      <c r="F16" s="3">
        <v>48541</v>
      </c>
      <c r="G16" s="5">
        <f t="shared" si="0"/>
        <v>106398</v>
      </c>
      <c r="I16" s="12" t="s">
        <v>17</v>
      </c>
      <c r="J16" s="3">
        <v>3696742.9733333332</v>
      </c>
      <c r="K16" s="14"/>
      <c r="L16" s="3">
        <v>4044835.7900000005</v>
      </c>
      <c r="M16" s="14"/>
      <c r="N16" s="3">
        <v>5795159.123333334</v>
      </c>
      <c r="O16" s="14"/>
      <c r="P16" s="3">
        <v>5369253.4950000001</v>
      </c>
      <c r="Q16" s="14"/>
    </row>
    <row r="17" spans="2:17" x14ac:dyDescent="0.25">
      <c r="B17" s="12" t="s">
        <v>18</v>
      </c>
      <c r="C17" s="3">
        <v>146334</v>
      </c>
      <c r="D17" s="3">
        <v>132345</v>
      </c>
      <c r="E17" s="3">
        <v>108897</v>
      </c>
      <c r="F17" s="3">
        <v>297480</v>
      </c>
      <c r="G17" s="5">
        <f t="shared" si="0"/>
        <v>685056</v>
      </c>
      <c r="I17" s="12" t="s">
        <v>18</v>
      </c>
      <c r="J17" s="3">
        <v>27690163.843333334</v>
      </c>
      <c r="K17" s="14"/>
      <c r="L17" s="3">
        <v>30289818.77</v>
      </c>
      <c r="M17" s="14"/>
      <c r="N17" s="3">
        <v>31137282.106666666</v>
      </c>
      <c r="O17" s="14"/>
      <c r="P17" s="3">
        <v>32904959.93</v>
      </c>
      <c r="Q17" s="14"/>
    </row>
    <row r="18" spans="2:17" x14ac:dyDescent="0.25">
      <c r="B18" s="29" t="s">
        <v>19</v>
      </c>
      <c r="C18" s="30">
        <v>0</v>
      </c>
      <c r="D18" s="30">
        <v>0</v>
      </c>
      <c r="E18" s="30">
        <v>0</v>
      </c>
      <c r="F18" s="30">
        <v>0</v>
      </c>
      <c r="G18" s="31">
        <f t="shared" si="0"/>
        <v>0</v>
      </c>
      <c r="I18" s="29" t="s">
        <v>19</v>
      </c>
      <c r="J18" s="30">
        <v>0</v>
      </c>
      <c r="K18" s="32"/>
      <c r="L18" s="30">
        <v>0</v>
      </c>
      <c r="M18" s="32"/>
      <c r="N18" s="30">
        <v>0</v>
      </c>
      <c r="O18" s="32"/>
      <c r="P18" s="30">
        <v>0</v>
      </c>
      <c r="Q18" s="14"/>
    </row>
    <row r="19" spans="2:17" x14ac:dyDescent="0.25">
      <c r="B19" s="29" t="s">
        <v>20</v>
      </c>
      <c r="C19" s="30">
        <v>14054</v>
      </c>
      <c r="D19" s="30">
        <v>12802</v>
      </c>
      <c r="E19" s="30">
        <v>10000</v>
      </c>
      <c r="F19" s="30">
        <v>35372</v>
      </c>
      <c r="G19" s="31">
        <f t="shared" si="0"/>
        <v>72228</v>
      </c>
      <c r="I19" s="29" t="s">
        <v>20</v>
      </c>
      <c r="J19" s="30">
        <v>2707862.6999999997</v>
      </c>
      <c r="K19" s="32"/>
      <c r="L19" s="30">
        <v>2921163.89</v>
      </c>
      <c r="M19" s="32"/>
      <c r="N19" s="30">
        <v>2859664.6766666663</v>
      </c>
      <c r="O19" s="32"/>
      <c r="P19" s="30">
        <v>2925220.88</v>
      </c>
      <c r="Q19" s="14"/>
    </row>
    <row r="20" spans="2:17" x14ac:dyDescent="0.25">
      <c r="B20" s="29" t="s">
        <v>23</v>
      </c>
      <c r="C20" s="30">
        <v>0</v>
      </c>
      <c r="D20" s="30">
        <v>0</v>
      </c>
      <c r="E20" s="30">
        <v>0</v>
      </c>
      <c r="F20" s="30">
        <v>0</v>
      </c>
      <c r="G20" s="31">
        <f t="shared" si="0"/>
        <v>0</v>
      </c>
      <c r="I20" s="29" t="s">
        <v>23</v>
      </c>
      <c r="J20" s="30">
        <v>0</v>
      </c>
      <c r="K20" s="32"/>
      <c r="L20" s="30">
        <v>0</v>
      </c>
      <c r="M20" s="32"/>
      <c r="N20" s="30">
        <v>0</v>
      </c>
      <c r="O20" s="32"/>
      <c r="P20" s="30">
        <v>0</v>
      </c>
      <c r="Q20" s="14"/>
    </row>
    <row r="21" spans="2:17" x14ac:dyDescent="0.25">
      <c r="B21" s="15" t="s">
        <v>24</v>
      </c>
      <c r="C21" s="16">
        <f>SUM(C4:C20)</f>
        <v>825943</v>
      </c>
      <c r="D21" s="3">
        <f>SUM(D4:D20)</f>
        <v>750021</v>
      </c>
      <c r="E21" s="3">
        <f>SUM(E4:E20)</f>
        <v>642487</v>
      </c>
      <c r="F21" s="3">
        <f>SUM(F4:F20)</f>
        <v>2100837</v>
      </c>
      <c r="G21" s="3">
        <f>SUM(G4:G20)</f>
        <v>4319288</v>
      </c>
      <c r="I21" s="15" t="s">
        <v>24</v>
      </c>
      <c r="J21" s="3">
        <f>SUM(J4:J20)</f>
        <v>150466984.94999999</v>
      </c>
      <c r="K21" s="17"/>
      <c r="L21" s="3">
        <f>SUM(L4:L20)</f>
        <v>171218888.21666664</v>
      </c>
      <c r="M21" s="14"/>
      <c r="N21" s="3">
        <f>SUM(N4:N20)</f>
        <v>178744570.76000002</v>
      </c>
      <c r="O21" s="14"/>
      <c r="P21" s="3">
        <f>SUM(P4:P20)</f>
        <v>199475078.89500001</v>
      </c>
      <c r="Q21" s="18"/>
    </row>
    <row r="24" spans="2:17" ht="15.75" x14ac:dyDescent="0.25">
      <c r="B24" s="44" t="s">
        <v>119</v>
      </c>
      <c r="C24" s="44"/>
      <c r="D24" s="44"/>
      <c r="E24" s="44"/>
      <c r="F24" s="44"/>
      <c r="G24" s="44"/>
      <c r="I24" s="44" t="s">
        <v>37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2</v>
      </c>
      <c r="K25" s="13"/>
      <c r="L25" s="13" t="s">
        <v>3</v>
      </c>
      <c r="M25" s="13"/>
      <c r="N25" s="13" t="s">
        <v>4</v>
      </c>
      <c r="O25" s="13"/>
      <c r="P25" s="13" t="s">
        <v>26</v>
      </c>
    </row>
    <row r="26" spans="2:17" x14ac:dyDescent="0.25">
      <c r="B26" s="12" t="s">
        <v>7</v>
      </c>
      <c r="C26" s="16">
        <f t="shared" ref="C26:C39" si="1">$C$40*K26</f>
        <v>43535.447040645042</v>
      </c>
      <c r="D26" s="16">
        <f t="shared" ref="D26:D39" si="2">$D$40*M26</f>
        <v>37955.039436460502</v>
      </c>
      <c r="E26" s="16">
        <f t="shared" ref="E26:E39" si="3">$E$40*O26</f>
        <v>33869.571967109725</v>
      </c>
      <c r="F26" s="16">
        <f t="shared" ref="F26:F39" si="4">$F$40*Q26</f>
        <v>109706.34074546781</v>
      </c>
      <c r="G26" s="16">
        <f t="shared" ref="G26:G39" si="5">SUM(C26+D26+E26+F26)</f>
        <v>225066.39918968308</v>
      </c>
      <c r="I26" s="12" t="s">
        <v>7</v>
      </c>
      <c r="J26" s="3">
        <v>8191312.6999999993</v>
      </c>
      <c r="K26" s="14">
        <f t="shared" ref="K26:K39" si="6">J26/$J$40</f>
        <v>5.3622412719774554E-2</v>
      </c>
      <c r="L26" s="3">
        <v>8922073.3066666666</v>
      </c>
      <c r="M26" s="14">
        <f t="shared" ref="M26:M39" si="7">L26/$L$40</f>
        <v>5.1484076558608094E-2</v>
      </c>
      <c r="N26" s="3">
        <v>9686356.1533333343</v>
      </c>
      <c r="O26" s="14">
        <f t="shared" ref="O26:O39" si="8">N26/$N$40</f>
        <v>5.3549831011719964E-2</v>
      </c>
      <c r="P26" s="3">
        <v>10705239.449999999</v>
      </c>
      <c r="Q26" s="14">
        <f t="shared" ref="Q26:Q39" si="9">P26/$P$40</f>
        <v>5.3114596831932669E-2</v>
      </c>
    </row>
    <row r="27" spans="2:17" x14ac:dyDescent="0.25">
      <c r="B27" s="12" t="s">
        <v>8</v>
      </c>
      <c r="C27" s="16">
        <f t="shared" si="1"/>
        <v>99194.487678418183</v>
      </c>
      <c r="D27" s="16">
        <f t="shared" si="2"/>
        <v>88488.441914329291</v>
      </c>
      <c r="E27" s="16">
        <f t="shared" si="3"/>
        <v>70430.173424250126</v>
      </c>
      <c r="F27" s="16">
        <f t="shared" si="4"/>
        <v>227117.75658282</v>
      </c>
      <c r="G27" s="16">
        <f t="shared" si="5"/>
        <v>485230.8595998176</v>
      </c>
      <c r="I27" s="12" t="s">
        <v>8</v>
      </c>
      <c r="J27" s="3">
        <v>18663712.489999998</v>
      </c>
      <c r="K27" s="14">
        <f t="shared" si="6"/>
        <v>0.12217740070184248</v>
      </c>
      <c r="L27" s="3">
        <v>20800936.510000002</v>
      </c>
      <c r="M27" s="14">
        <f t="shared" si="7"/>
        <v>0.12003006150727163</v>
      </c>
      <c r="N27" s="3">
        <v>20142319.613333333</v>
      </c>
      <c r="O27" s="14">
        <f t="shared" si="8"/>
        <v>0.11135434155049848</v>
      </c>
      <c r="P27" s="3">
        <v>22162346.780000001</v>
      </c>
      <c r="Q27" s="14">
        <f t="shared" si="9"/>
        <v>0.10995962487034154</v>
      </c>
    </row>
    <row r="28" spans="2:17" x14ac:dyDescent="0.25">
      <c r="B28" s="12" t="s">
        <v>9</v>
      </c>
      <c r="C28" s="16">
        <f t="shared" si="1"/>
        <v>50335.264614604952</v>
      </c>
      <c r="D28" s="16">
        <f t="shared" si="2"/>
        <v>49724.651242452463</v>
      </c>
      <c r="E28" s="16">
        <f t="shared" si="3"/>
        <v>41848.436346832779</v>
      </c>
      <c r="F28" s="16">
        <f t="shared" si="4"/>
        <v>141641.74146375729</v>
      </c>
      <c r="G28" s="16">
        <f t="shared" si="5"/>
        <v>283550.09366764745</v>
      </c>
      <c r="I28" s="12" t="s">
        <v>9</v>
      </c>
      <c r="J28" s="3">
        <v>9470716.8599999994</v>
      </c>
      <c r="K28" s="14">
        <f t="shared" si="6"/>
        <v>6.1997717193612613E-2</v>
      </c>
      <c r="L28" s="3">
        <v>11688750.43</v>
      </c>
      <c r="M28" s="14">
        <f t="shared" si="7"/>
        <v>6.7448955117071677E-2</v>
      </c>
      <c r="N28" s="3">
        <v>11968230.933333332</v>
      </c>
      <c r="O28" s="14">
        <f t="shared" si="8"/>
        <v>6.6164895637116306E-2</v>
      </c>
      <c r="P28" s="3">
        <v>13821523.425000001</v>
      </c>
      <c r="Q28" s="14">
        <f t="shared" si="9"/>
        <v>6.8576200256967465E-2</v>
      </c>
    </row>
    <row r="29" spans="2:17" x14ac:dyDescent="0.25">
      <c r="B29" s="12" t="s">
        <v>10</v>
      </c>
      <c r="C29" s="16">
        <f t="shared" si="1"/>
        <v>46783.5793862914</v>
      </c>
      <c r="D29" s="16">
        <f t="shared" si="2"/>
        <v>35258.611398583365</v>
      </c>
      <c r="E29" s="16">
        <f t="shared" si="3"/>
        <v>29029.197662683422</v>
      </c>
      <c r="F29" s="16">
        <f t="shared" si="4"/>
        <v>100989.06534542692</v>
      </c>
      <c r="G29" s="16">
        <f t="shared" si="5"/>
        <v>212060.45379298512</v>
      </c>
      <c r="I29" s="12" t="s">
        <v>10</v>
      </c>
      <c r="J29" s="3">
        <v>8802457.6300000008</v>
      </c>
      <c r="K29" s="14">
        <f t="shared" si="6"/>
        <v>5.7623122602093881E-2</v>
      </c>
      <c r="L29" s="3">
        <v>8288225.2333333334</v>
      </c>
      <c r="M29" s="14">
        <f t="shared" si="7"/>
        <v>4.7826509352829165E-2</v>
      </c>
      <c r="N29" s="3">
        <v>8302057.8966666656</v>
      </c>
      <c r="O29" s="14">
        <f t="shared" si="8"/>
        <v>4.5896908019743367E-2</v>
      </c>
      <c r="P29" s="3">
        <v>9854600.1900000013</v>
      </c>
      <c r="Q29" s="14">
        <f t="shared" si="9"/>
        <v>4.8894106337036412E-2</v>
      </c>
    </row>
    <row r="30" spans="2:17" x14ac:dyDescent="0.25">
      <c r="B30" s="12" t="s">
        <v>11</v>
      </c>
      <c r="C30" s="16">
        <f t="shared" si="1"/>
        <v>38955.094009094908</v>
      </c>
      <c r="D30" s="16">
        <f t="shared" si="2"/>
        <v>39626.913550570571</v>
      </c>
      <c r="E30" s="16">
        <f t="shared" si="3"/>
        <v>37858.060207615745</v>
      </c>
      <c r="F30" s="16">
        <f t="shared" si="4"/>
        <v>132301.46250662493</v>
      </c>
      <c r="G30" s="16">
        <f t="shared" si="5"/>
        <v>248741.53027390616</v>
      </c>
      <c r="I30" s="12" t="s">
        <v>11</v>
      </c>
      <c r="J30" s="3">
        <v>7329506.8266666671</v>
      </c>
      <c r="K30" s="14">
        <f t="shared" si="6"/>
        <v>4.7980812659236552E-2</v>
      </c>
      <c r="L30" s="3">
        <v>9315079.9700000007</v>
      </c>
      <c r="M30" s="14">
        <f t="shared" si="7"/>
        <v>5.3751888584763242E-2</v>
      </c>
      <c r="N30" s="3">
        <v>10827023.583333334</v>
      </c>
      <c r="O30" s="14">
        <f t="shared" si="8"/>
        <v>5.9855870883695227E-2</v>
      </c>
      <c r="P30" s="3">
        <v>12910090.939999999</v>
      </c>
      <c r="Q30" s="14">
        <f t="shared" si="9"/>
        <v>6.4054081045490929E-2</v>
      </c>
    </row>
    <row r="31" spans="2:17" x14ac:dyDescent="0.25">
      <c r="B31" s="12" t="s">
        <v>12</v>
      </c>
      <c r="C31" s="16">
        <f t="shared" si="1"/>
        <v>55247.278688600461</v>
      </c>
      <c r="D31" s="16">
        <f t="shared" si="2"/>
        <v>49321.201180682518</v>
      </c>
      <c r="E31" s="16">
        <f t="shared" si="3"/>
        <v>41129.677865733975</v>
      </c>
      <c r="F31" s="16">
        <f t="shared" si="4"/>
        <v>130018.26826909298</v>
      </c>
      <c r="G31" s="16">
        <f t="shared" si="5"/>
        <v>275716.4260041099</v>
      </c>
      <c r="I31" s="12" t="s">
        <v>12</v>
      </c>
      <c r="J31" s="3">
        <v>10394925.660000002</v>
      </c>
      <c r="K31" s="14">
        <f t="shared" si="6"/>
        <v>6.8047822656299647E-2</v>
      </c>
      <c r="L31" s="3">
        <v>11593911.613333331</v>
      </c>
      <c r="M31" s="14">
        <f t="shared" si="7"/>
        <v>6.6901695670733549E-2</v>
      </c>
      <c r="N31" s="3">
        <v>11762673.253333336</v>
      </c>
      <c r="O31" s="14">
        <f t="shared" si="8"/>
        <v>6.5028495235054593E-2</v>
      </c>
      <c r="P31" s="3">
        <v>12687294.875</v>
      </c>
      <c r="Q31" s="14">
        <f t="shared" si="9"/>
        <v>6.2948666895393038E-2</v>
      </c>
    </row>
    <row r="32" spans="2:17" x14ac:dyDescent="0.25">
      <c r="B32" s="12" t="s">
        <v>22</v>
      </c>
      <c r="C32" s="16">
        <f t="shared" si="1"/>
        <v>1541.3571808236586</v>
      </c>
      <c r="D32" s="16">
        <f t="shared" si="2"/>
        <v>1904.9375677694443</v>
      </c>
      <c r="E32" s="16">
        <f t="shared" si="3"/>
        <v>2067.5412434006239</v>
      </c>
      <c r="F32" s="16">
        <f t="shared" si="4"/>
        <v>3439.5523703929211</v>
      </c>
      <c r="G32" s="16">
        <f t="shared" si="5"/>
        <v>8953.3883623866477</v>
      </c>
      <c r="I32" s="12" t="s">
        <v>22</v>
      </c>
      <c r="J32" s="3">
        <v>290010.54333333339</v>
      </c>
      <c r="K32" s="14">
        <f t="shared" si="6"/>
        <v>1.8984826507363181E-3</v>
      </c>
      <c r="L32" s="3">
        <v>447792.78</v>
      </c>
      <c r="M32" s="14">
        <f t="shared" si="7"/>
        <v>2.5839507226067754E-3</v>
      </c>
      <c r="N32" s="3">
        <v>591295.95333333325</v>
      </c>
      <c r="O32" s="14">
        <f t="shared" si="8"/>
        <v>3.2689070975381687E-3</v>
      </c>
      <c r="P32" s="3">
        <v>335634.49</v>
      </c>
      <c r="Q32" s="14">
        <f t="shared" si="9"/>
        <v>1.6652678067132201E-3</v>
      </c>
    </row>
    <row r="33" spans="2:17" x14ac:dyDescent="0.25">
      <c r="B33" s="12" t="s">
        <v>21</v>
      </c>
      <c r="C33" s="16">
        <f t="shared" si="1"/>
        <v>0</v>
      </c>
      <c r="D33" s="16">
        <f t="shared" si="2"/>
        <v>0</v>
      </c>
      <c r="E33" s="16">
        <f t="shared" si="3"/>
        <v>0</v>
      </c>
      <c r="F33" s="16">
        <f t="shared" si="4"/>
        <v>0</v>
      </c>
      <c r="G33" s="16">
        <f t="shared" si="5"/>
        <v>0</v>
      </c>
      <c r="I33" s="12" t="s">
        <v>21</v>
      </c>
      <c r="J33" s="3">
        <v>0</v>
      </c>
      <c r="K33" s="14">
        <f t="shared" si="6"/>
        <v>0</v>
      </c>
      <c r="L33" s="3">
        <v>0</v>
      </c>
      <c r="M33" s="14">
        <f t="shared" si="7"/>
        <v>0</v>
      </c>
      <c r="N33" s="3">
        <v>0</v>
      </c>
      <c r="O33" s="14">
        <f t="shared" si="8"/>
        <v>0</v>
      </c>
      <c r="P33" s="3">
        <v>0</v>
      </c>
      <c r="Q33" s="14">
        <f t="shared" si="9"/>
        <v>0</v>
      </c>
    </row>
    <row r="34" spans="2:17" x14ac:dyDescent="0.25">
      <c r="B34" s="12" t="s">
        <v>13</v>
      </c>
      <c r="C34" s="16">
        <f t="shared" si="1"/>
        <v>44097.550444353343</v>
      </c>
      <c r="D34" s="16">
        <f t="shared" si="2"/>
        <v>40608.789364141943</v>
      </c>
      <c r="E34" s="16">
        <f t="shared" si="3"/>
        <v>34496.415786559883</v>
      </c>
      <c r="F34" s="16">
        <f t="shared" si="4"/>
        <v>114347.09503107511</v>
      </c>
      <c r="G34" s="16">
        <f t="shared" si="5"/>
        <v>233549.85062613027</v>
      </c>
      <c r="I34" s="12" t="s">
        <v>13</v>
      </c>
      <c r="J34" s="3">
        <v>8297073.9833333334</v>
      </c>
      <c r="K34" s="14">
        <f t="shared" si="6"/>
        <v>5.4314752933410038E-2</v>
      </c>
      <c r="L34" s="3">
        <v>9545889.0566666666</v>
      </c>
      <c r="M34" s="14">
        <f t="shared" si="7"/>
        <v>5.5083753083062077E-2</v>
      </c>
      <c r="N34" s="3">
        <v>9865627.166666666</v>
      </c>
      <c r="O34" s="14">
        <f t="shared" si="8"/>
        <v>5.4540908803753882E-2</v>
      </c>
      <c r="P34" s="3">
        <v>11158088.260000002</v>
      </c>
      <c r="Q34" s="14">
        <f t="shared" si="9"/>
        <v>5.5361429523654533E-2</v>
      </c>
    </row>
    <row r="35" spans="2:17" x14ac:dyDescent="0.25">
      <c r="B35" s="12" t="s">
        <v>14</v>
      </c>
      <c r="C35" s="16">
        <f t="shared" si="1"/>
        <v>17931.485117134023</v>
      </c>
      <c r="D35" s="16">
        <f t="shared" si="2"/>
        <v>16931.011243450241</v>
      </c>
      <c r="E35" s="16">
        <f t="shared" si="3"/>
        <v>14352.532064158502</v>
      </c>
      <c r="F35" s="16">
        <f t="shared" si="4"/>
        <v>45777.072414854258</v>
      </c>
      <c r="G35" s="16">
        <f t="shared" si="5"/>
        <v>94992.100839597028</v>
      </c>
      <c r="I35" s="12" t="s">
        <v>14</v>
      </c>
      <c r="J35" s="3">
        <v>3373857.6666666665</v>
      </c>
      <c r="K35" s="14">
        <f t="shared" si="6"/>
        <v>2.208612891310761E-2</v>
      </c>
      <c r="L35" s="3">
        <v>3979964.8666666667</v>
      </c>
      <c r="M35" s="14">
        <f t="shared" si="7"/>
        <v>2.2966053836716419E-2</v>
      </c>
      <c r="N35" s="3">
        <v>4104679.4866666668</v>
      </c>
      <c r="O35" s="14">
        <f t="shared" si="8"/>
        <v>2.269221670035669E-2</v>
      </c>
      <c r="P35" s="3">
        <v>4466966.25</v>
      </c>
      <c r="Q35" s="14">
        <f t="shared" si="9"/>
        <v>2.2163083090177883E-2</v>
      </c>
    </row>
    <row r="36" spans="2:17" x14ac:dyDescent="0.25">
      <c r="B36" s="12" t="s">
        <v>15</v>
      </c>
      <c r="C36" s="16">
        <f t="shared" si="1"/>
        <v>96699.264979787928</v>
      </c>
      <c r="D36" s="16">
        <f t="shared" si="2"/>
        <v>84927.524395009998</v>
      </c>
      <c r="E36" s="16">
        <f t="shared" si="3"/>
        <v>70888.52409033099</v>
      </c>
      <c r="F36" s="16">
        <f t="shared" si="4"/>
        <v>229609.02824755726</v>
      </c>
      <c r="G36" s="16">
        <f t="shared" si="5"/>
        <v>482124.34171268618</v>
      </c>
      <c r="I36" s="12" t="s">
        <v>27</v>
      </c>
      <c r="J36" s="3">
        <f>13194229.5566667+5000000</f>
        <v>18194229.556666702</v>
      </c>
      <c r="K36" s="14">
        <f t="shared" si="6"/>
        <v>0.11910404621787944</v>
      </c>
      <c r="L36" s="3">
        <f>14963873.3+5000000</f>
        <v>19963873.300000001</v>
      </c>
      <c r="M36" s="14">
        <f t="shared" si="7"/>
        <v>0.11519985837995222</v>
      </c>
      <c r="N36" s="3">
        <f>15273403.2833333+5000000</f>
        <v>20273403.283333302</v>
      </c>
      <c r="O36" s="14">
        <f t="shared" si="8"/>
        <v>0.11207902152981956</v>
      </c>
      <c r="P36" s="3">
        <f>17405447.22+5000000</f>
        <v>22405447.219999999</v>
      </c>
      <c r="Q36" s="14">
        <f t="shared" si="9"/>
        <v>0.11116578022264104</v>
      </c>
    </row>
    <row r="37" spans="2:17" x14ac:dyDescent="0.25">
      <c r="B37" s="12" t="s">
        <v>16</v>
      </c>
      <c r="C37" s="16">
        <f t="shared" si="1"/>
        <v>150752.06876461991</v>
      </c>
      <c r="D37" s="16">
        <f t="shared" si="2"/>
        <v>146410.18171418092</v>
      </c>
      <c r="E37" s="16">
        <f t="shared" si="3"/>
        <v>127377.90765550273</v>
      </c>
      <c r="F37" s="16">
        <f t="shared" si="4"/>
        <v>438286.88557788933</v>
      </c>
      <c r="G37" s="16">
        <f t="shared" si="5"/>
        <v>862827.04371219291</v>
      </c>
      <c r="I37" s="12" t="s">
        <v>16</v>
      </c>
      <c r="J37" s="3">
        <v>28364411.516666669</v>
      </c>
      <c r="K37" s="14">
        <f t="shared" si="6"/>
        <v>0.18568063955124395</v>
      </c>
      <c r="L37" s="3">
        <v>34416572.699999996</v>
      </c>
      <c r="M37" s="14">
        <f t="shared" si="7"/>
        <v>0.19859794947523182</v>
      </c>
      <c r="N37" s="3">
        <v>36428797.530000001</v>
      </c>
      <c r="O37" s="14">
        <f t="shared" si="8"/>
        <v>0.20139213557828498</v>
      </c>
      <c r="P37" s="3">
        <v>42768412.710000001</v>
      </c>
      <c r="Q37" s="14">
        <f t="shared" si="9"/>
        <v>0.2121976821577172</v>
      </c>
    </row>
    <row r="38" spans="2:17" x14ac:dyDescent="0.25">
      <c r="B38" s="12" t="s">
        <v>17</v>
      </c>
      <c r="C38" s="16">
        <f t="shared" si="1"/>
        <v>19647.566126785765</v>
      </c>
      <c r="D38" s="16">
        <f t="shared" si="2"/>
        <v>17206.976074579405</v>
      </c>
      <c r="E38" s="16">
        <f t="shared" si="3"/>
        <v>20263.508370074313</v>
      </c>
      <c r="F38" s="16">
        <f t="shared" si="4"/>
        <v>55023.631766710649</v>
      </c>
      <c r="G38" s="16">
        <f t="shared" si="5"/>
        <v>112141.68233815013</v>
      </c>
      <c r="I38" s="12" t="s">
        <v>17</v>
      </c>
      <c r="J38" s="3">
        <v>3696742.9733333332</v>
      </c>
      <c r="K38" s="14">
        <f t="shared" si="6"/>
        <v>2.4199818111571611E-2</v>
      </c>
      <c r="L38" s="3">
        <v>4044835.7900000005</v>
      </c>
      <c r="M38" s="14">
        <f t="shared" si="7"/>
        <v>2.3340386065171144E-2</v>
      </c>
      <c r="N38" s="3">
        <v>5795159.123333334</v>
      </c>
      <c r="O38" s="14">
        <f t="shared" si="8"/>
        <v>3.2037825868475263E-2</v>
      </c>
      <c r="P38" s="3">
        <v>5369253.4950000001</v>
      </c>
      <c r="Q38" s="14">
        <f t="shared" si="9"/>
        <v>2.6639827722430856E-2</v>
      </c>
    </row>
    <row r="39" spans="2:17" x14ac:dyDescent="0.25">
      <c r="B39" s="12" t="s">
        <v>18</v>
      </c>
      <c r="C39" s="16">
        <f t="shared" si="1"/>
        <v>147168.55596884032</v>
      </c>
      <c r="D39" s="16">
        <f t="shared" si="2"/>
        <v>128854.72091778937</v>
      </c>
      <c r="E39" s="16">
        <f t="shared" si="3"/>
        <v>108875.45331574726</v>
      </c>
      <c r="F39" s="16">
        <f t="shared" si="4"/>
        <v>337207.09967833041</v>
      </c>
      <c r="G39" s="16">
        <f t="shared" si="5"/>
        <v>722105.82988070743</v>
      </c>
      <c r="I39" s="12" t="s">
        <v>18</v>
      </c>
      <c r="J39" s="3">
        <v>27690163.843333334</v>
      </c>
      <c r="K39" s="14">
        <f t="shared" si="6"/>
        <v>0.18126684308919117</v>
      </c>
      <c r="L39" s="3">
        <v>30289818.77</v>
      </c>
      <c r="M39" s="14">
        <f t="shared" si="7"/>
        <v>0.17478486164598223</v>
      </c>
      <c r="N39" s="3">
        <v>31137282.106666666</v>
      </c>
      <c r="O39" s="14">
        <f t="shared" si="8"/>
        <v>0.17213864208394364</v>
      </c>
      <c r="P39" s="3">
        <v>32904959.93</v>
      </c>
      <c r="Q39" s="14">
        <f t="shared" si="9"/>
        <v>0.16325965323950317</v>
      </c>
    </row>
    <row r="40" spans="2:17" x14ac:dyDescent="0.25">
      <c r="B40" s="15" t="s">
        <v>24</v>
      </c>
      <c r="C40" s="16">
        <f>$C$21-(C18+C19+C20)</f>
        <v>811889</v>
      </c>
      <c r="D40" s="16">
        <f>$D$21-(D18+D19+D20)</f>
        <v>737219</v>
      </c>
      <c r="E40" s="16">
        <f>$E$21-(E18+E19+E20)</f>
        <v>632487</v>
      </c>
      <c r="F40" s="16">
        <f>$F$21-(F18+F19+F20)</f>
        <v>2065465</v>
      </c>
      <c r="G40" s="16">
        <f>$C$21-(G18+G19+G20)</f>
        <v>753715</v>
      </c>
      <c r="I40" s="15" t="s">
        <v>24</v>
      </c>
      <c r="J40" s="3">
        <f t="shared" ref="J40:Q40" si="10">SUM(J26:J39)</f>
        <v>152759122.25000006</v>
      </c>
      <c r="K40" s="19">
        <f t="shared" si="10"/>
        <v>0.99999999999999978</v>
      </c>
      <c r="L40" s="3">
        <f t="shared" si="10"/>
        <v>173297724.32666665</v>
      </c>
      <c r="M40" s="19">
        <f t="shared" si="10"/>
        <v>1</v>
      </c>
      <c r="N40" s="3">
        <f t="shared" si="10"/>
        <v>180884906.08333328</v>
      </c>
      <c r="O40" s="19">
        <f t="shared" si="10"/>
        <v>1.0000000000000002</v>
      </c>
      <c r="P40" s="3">
        <f t="shared" si="10"/>
        <v>201549858.01500002</v>
      </c>
      <c r="Q40" s="19">
        <f t="shared" si="10"/>
        <v>1</v>
      </c>
    </row>
    <row r="43" spans="2:17" ht="15.75" x14ac:dyDescent="0.25">
      <c r="B43" s="44" t="s">
        <v>148</v>
      </c>
      <c r="C43" s="44"/>
      <c r="D43" s="44"/>
      <c r="E43" s="44"/>
      <c r="F43" s="44"/>
      <c r="G43" s="44"/>
      <c r="I43" s="44" t="s">
        <v>172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1033.4470406450419</v>
      </c>
      <c r="D45" s="16">
        <f>D26-D4</f>
        <v>-1143.9605635394983</v>
      </c>
      <c r="E45" s="16">
        <f>E26-E4</f>
        <v>16.571967109724937</v>
      </c>
      <c r="F45" s="16">
        <f>F26-F4</f>
        <v>12925.340745467809</v>
      </c>
      <c r="G45" s="16">
        <f t="shared" ref="G45:G59" si="11">SUM(C45+D45+E45+F45)</f>
        <v>12831.399189683078</v>
      </c>
      <c r="I45" s="15" t="s">
        <v>153</v>
      </c>
      <c r="J45" s="12" t="s">
        <v>155</v>
      </c>
    </row>
    <row r="46" spans="2:17" x14ac:dyDescent="0.25">
      <c r="B46" s="12" t="s">
        <v>8</v>
      </c>
      <c r="C46" s="16">
        <f t="shared" ref="C46:F58" si="12">C27-C5</f>
        <v>-2048.5123215818166</v>
      </c>
      <c r="D46" s="16">
        <f t="shared" si="12"/>
        <v>-4012.5580856707093</v>
      </c>
      <c r="E46" s="16">
        <f t="shared" si="12"/>
        <v>-13.826575749873882</v>
      </c>
      <c r="F46" s="16">
        <f t="shared" si="12"/>
        <v>26756.756582820002</v>
      </c>
      <c r="G46" s="16">
        <f t="shared" si="11"/>
        <v>20681.859599817602</v>
      </c>
      <c r="I46" s="15" t="s">
        <v>154</v>
      </c>
      <c r="J46" t="s">
        <v>188</v>
      </c>
    </row>
    <row r="47" spans="2:17" x14ac:dyDescent="0.25">
      <c r="B47" s="12" t="s">
        <v>9</v>
      </c>
      <c r="C47" s="16">
        <f t="shared" si="12"/>
        <v>-1623.7353853950481</v>
      </c>
      <c r="D47" s="16">
        <f t="shared" si="12"/>
        <v>-1128.3487575475374</v>
      </c>
      <c r="E47" s="16">
        <f t="shared" si="12"/>
        <v>-8.5636531672207639</v>
      </c>
      <c r="F47" s="16">
        <f t="shared" si="12"/>
        <v>16686.741463757295</v>
      </c>
      <c r="G47" s="16">
        <f t="shared" si="11"/>
        <v>13926.093667647488</v>
      </c>
    </row>
    <row r="48" spans="2:17" x14ac:dyDescent="0.25">
      <c r="B48" s="12" t="s">
        <v>10</v>
      </c>
      <c r="C48" s="16">
        <f t="shared" si="12"/>
        <v>-605.42061370860029</v>
      </c>
      <c r="D48" s="16">
        <f t="shared" si="12"/>
        <v>-2181.3886014166346</v>
      </c>
      <c r="E48" s="16">
        <f t="shared" si="12"/>
        <v>-5.8023373165779049</v>
      </c>
      <c r="F48" s="16">
        <f t="shared" si="12"/>
        <v>11897.06534542692</v>
      </c>
      <c r="G48" s="16">
        <f t="shared" si="11"/>
        <v>9104.4537929851067</v>
      </c>
    </row>
    <row r="49" spans="2:7" x14ac:dyDescent="0.25">
      <c r="B49" s="12" t="s">
        <v>11</v>
      </c>
      <c r="C49" s="16">
        <f t="shared" si="12"/>
        <v>-2160.905990905092</v>
      </c>
      <c r="D49" s="16">
        <f t="shared" si="12"/>
        <v>494.91355057057081</v>
      </c>
      <c r="E49" s="16">
        <f t="shared" si="12"/>
        <v>98.06020761574473</v>
      </c>
      <c r="F49" s="16">
        <f t="shared" si="12"/>
        <v>15586.462506624928</v>
      </c>
      <c r="G49" s="16">
        <f t="shared" si="11"/>
        <v>14018.530273906152</v>
      </c>
    </row>
    <row r="50" spans="2:7" x14ac:dyDescent="0.25">
      <c r="B50" s="12" t="s">
        <v>12</v>
      </c>
      <c r="C50" s="16">
        <f t="shared" si="12"/>
        <v>-679.72131139953854</v>
      </c>
      <c r="D50" s="16">
        <f t="shared" si="12"/>
        <v>-1397.7988193174824</v>
      </c>
      <c r="E50" s="16">
        <f t="shared" si="12"/>
        <v>-8.3221342660253868</v>
      </c>
      <c r="F50" s="16">
        <f t="shared" si="12"/>
        <v>18693.26826909298</v>
      </c>
      <c r="G50" s="16">
        <f t="shared" si="11"/>
        <v>16607.426004109933</v>
      </c>
    </row>
    <row r="51" spans="2:7" x14ac:dyDescent="0.25">
      <c r="B51" s="12" t="s">
        <v>22</v>
      </c>
      <c r="C51" s="16">
        <f t="shared" si="12"/>
        <v>-10.642819176341391</v>
      </c>
      <c r="D51" s="16">
        <f t="shared" si="12"/>
        <v>44.937567769444286</v>
      </c>
      <c r="E51" s="16">
        <f t="shared" si="12"/>
        <v>-4.4587565993761018</v>
      </c>
      <c r="F51" s="16">
        <f t="shared" si="12"/>
        <v>405.55237039292115</v>
      </c>
      <c r="G51" s="16">
        <f t="shared" si="11"/>
        <v>435.38836238664794</v>
      </c>
    </row>
    <row r="52" spans="2:7" x14ac:dyDescent="0.25">
      <c r="B52" s="12" t="s">
        <v>21</v>
      </c>
      <c r="C52" s="16">
        <f t="shared" si="12"/>
        <v>0</v>
      </c>
      <c r="D52" s="16">
        <f t="shared" si="12"/>
        <v>0</v>
      </c>
      <c r="E52" s="16">
        <f t="shared" si="12"/>
        <v>0</v>
      </c>
      <c r="F52" s="16">
        <f t="shared" si="12"/>
        <v>0</v>
      </c>
      <c r="G52" s="16">
        <f t="shared" si="11"/>
        <v>0</v>
      </c>
    </row>
    <row r="53" spans="2:7" x14ac:dyDescent="0.25">
      <c r="B53" s="12" t="s">
        <v>13</v>
      </c>
      <c r="C53" s="16">
        <f t="shared" si="12"/>
        <v>-409.44955564665725</v>
      </c>
      <c r="D53" s="16">
        <f t="shared" si="12"/>
        <v>-1302.2106358580568</v>
      </c>
      <c r="E53" s="16">
        <f t="shared" si="12"/>
        <v>-6.5842134401173098</v>
      </c>
      <c r="F53" s="16">
        <f t="shared" si="12"/>
        <v>13472.095031075107</v>
      </c>
      <c r="G53" s="16">
        <f t="shared" si="11"/>
        <v>11753.850626130275</v>
      </c>
    </row>
    <row r="54" spans="2:7" x14ac:dyDescent="0.25">
      <c r="B54" s="12" t="s">
        <v>14</v>
      </c>
      <c r="C54" s="16">
        <f t="shared" si="12"/>
        <v>-235.51488286597669</v>
      </c>
      <c r="D54" s="16">
        <f t="shared" si="12"/>
        <v>-21.988756549759273</v>
      </c>
      <c r="E54" s="16">
        <f t="shared" si="12"/>
        <v>-2.4679358414978196</v>
      </c>
      <c r="F54" s="16">
        <f t="shared" si="12"/>
        <v>5393.0724148542577</v>
      </c>
      <c r="G54" s="16">
        <f t="shared" si="11"/>
        <v>5133.1008395970239</v>
      </c>
    </row>
    <row r="55" spans="2:7" x14ac:dyDescent="0.25">
      <c r="B55" s="12" t="s">
        <v>15</v>
      </c>
      <c r="C55" s="16">
        <f t="shared" si="12"/>
        <v>-224.73502021207241</v>
      </c>
      <c r="D55" s="16">
        <f t="shared" si="12"/>
        <v>18941.524395009998</v>
      </c>
      <c r="E55" s="16">
        <f t="shared" si="12"/>
        <v>-14.475909669010434</v>
      </c>
      <c r="F55" s="16">
        <f t="shared" si="12"/>
        <v>27051.02824755726</v>
      </c>
      <c r="G55" s="16">
        <f t="shared" si="11"/>
        <v>45753.341712686175</v>
      </c>
    </row>
    <row r="56" spans="2:7" x14ac:dyDescent="0.25">
      <c r="B56" s="12" t="s">
        <v>16</v>
      </c>
      <c r="C56" s="16">
        <f t="shared" si="12"/>
        <v>6499.0687646199076</v>
      </c>
      <c r="D56" s="16">
        <f t="shared" si="12"/>
        <v>-4435.8182858190848</v>
      </c>
      <c r="E56" s="16">
        <f t="shared" si="12"/>
        <v>-25.092344497272279</v>
      </c>
      <c r="F56" s="16">
        <f t="shared" si="12"/>
        <v>-195077.11442211067</v>
      </c>
      <c r="G56" s="16">
        <f t="shared" si="11"/>
        <v>-193038.95628780712</v>
      </c>
    </row>
    <row r="57" spans="2:7" x14ac:dyDescent="0.25">
      <c r="B57" s="12" t="s">
        <v>17</v>
      </c>
      <c r="C57" s="16">
        <f t="shared" si="12"/>
        <v>-368.43387321423506</v>
      </c>
      <c r="D57" s="16">
        <f t="shared" si="12"/>
        <v>-367.02392542059533</v>
      </c>
      <c r="E57" s="16">
        <f t="shared" si="12"/>
        <v>-3.4916299256874481</v>
      </c>
      <c r="F57" s="16">
        <f t="shared" si="12"/>
        <v>6482.6317667106487</v>
      </c>
      <c r="G57" s="16">
        <f t="shared" si="11"/>
        <v>5743.6823381501308</v>
      </c>
    </row>
    <row r="58" spans="2:7" x14ac:dyDescent="0.25">
      <c r="B58" s="12" t="s">
        <v>18</v>
      </c>
      <c r="C58" s="16">
        <f t="shared" si="12"/>
        <v>834.55596884031547</v>
      </c>
      <c r="D58" s="16">
        <f t="shared" si="12"/>
        <v>-3490.2790822106326</v>
      </c>
      <c r="E58" s="16">
        <f t="shared" si="12"/>
        <v>-21.546684252738487</v>
      </c>
      <c r="F58" s="16">
        <f t="shared" si="12"/>
        <v>39727.099678330414</v>
      </c>
      <c r="G58" s="16">
        <f t="shared" si="11"/>
        <v>37049.829880707359</v>
      </c>
    </row>
    <row r="59" spans="2:7" x14ac:dyDescent="0.25">
      <c r="B59" s="15" t="s">
        <v>24</v>
      </c>
      <c r="C59" s="16">
        <f>SUM(C45:C58)</f>
        <v>-1.1368683772161603E-10</v>
      </c>
      <c r="D59" s="16">
        <f>SUM(D45:D58)</f>
        <v>2.1827872842550278E-11</v>
      </c>
      <c r="E59" s="16">
        <f>SUM(E45:E58)</f>
        <v>7.1850081440061331E-11</v>
      </c>
      <c r="F59" s="16">
        <f>SUM(F45:F58)</f>
        <v>-1.3096723705530167E-10</v>
      </c>
      <c r="G59" s="16">
        <f t="shared" si="11"/>
        <v>-1.5097612049430609E-10</v>
      </c>
    </row>
  </sheetData>
  <sheetProtection algorithmName="SHA-512" hashValue="OoFa2YXnCi9d+LscHtUEKUYnMSe67pADCAkT/K+X+khYQgTO0idNOWr8sXC3G0fjlQE+1FeMXkS6FZp2nPCAgw==" saltValue="7eWbRe3d/27u15kvHqir3A==" spinCount="100000" sheet="1" objects="1" scenarios="1"/>
  <mergeCells count="6">
    <mergeCell ref="B2:G2"/>
    <mergeCell ref="I2:Q2"/>
    <mergeCell ref="B24:G24"/>
    <mergeCell ref="I24:Q24"/>
    <mergeCell ref="B43:G43"/>
    <mergeCell ref="I43:Q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11698-A2D9-44A4-8E8C-D5FB6BED69EA}">
  <dimension ref="B2:Q59"/>
  <sheetViews>
    <sheetView zoomScaleNormal="100" workbookViewId="0">
      <selection activeCell="B3" sqref="B3"/>
    </sheetView>
  </sheetViews>
  <sheetFormatPr defaultColWidth="9.140625" defaultRowHeight="15" x14ac:dyDescent="0.25"/>
  <cols>
    <col min="1" max="2" width="9.140625" style="12"/>
    <col min="3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38</v>
      </c>
      <c r="C2" s="44"/>
      <c r="D2" s="44"/>
      <c r="E2" s="44"/>
      <c r="F2" s="44"/>
      <c r="G2" s="44"/>
      <c r="H2" s="11"/>
      <c r="I2" s="44" t="s">
        <v>39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2</v>
      </c>
      <c r="K3" s="13"/>
      <c r="L3" s="13" t="s">
        <v>3</v>
      </c>
      <c r="M3" s="13"/>
      <c r="N3" s="13" t="s">
        <v>4</v>
      </c>
      <c r="O3" s="13"/>
      <c r="P3" s="13" t="s">
        <v>26</v>
      </c>
      <c r="Q3" s="13"/>
    </row>
    <row r="4" spans="2:17" x14ac:dyDescent="0.25">
      <c r="B4" s="12" t="s">
        <v>7</v>
      </c>
      <c r="C4" s="3">
        <v>55885</v>
      </c>
      <c r="D4" s="5">
        <v>52419</v>
      </c>
      <c r="E4" s="5">
        <v>68168</v>
      </c>
      <c r="F4" s="5">
        <v>159355</v>
      </c>
      <c r="G4" s="5">
        <f t="shared" ref="G4:G20" si="0">C4+D4+E4+F4</f>
        <v>335827</v>
      </c>
      <c r="I4" s="12" t="s">
        <v>7</v>
      </c>
      <c r="J4" s="3">
        <v>7863649.6833333336</v>
      </c>
      <c r="K4" s="14"/>
      <c r="L4" s="3">
        <v>7252798.080000001</v>
      </c>
      <c r="M4" s="14"/>
      <c r="N4" s="3">
        <v>9829471.4866666663</v>
      </c>
      <c r="O4" s="14"/>
      <c r="P4" s="3">
        <v>11243583.949999999</v>
      </c>
      <c r="Q4" s="14"/>
    </row>
    <row r="5" spans="2:17" x14ac:dyDescent="0.25">
      <c r="B5" s="12" t="s">
        <v>8</v>
      </c>
      <c r="C5" s="3">
        <v>136393</v>
      </c>
      <c r="D5" s="3">
        <v>128133</v>
      </c>
      <c r="E5" s="3">
        <v>144898</v>
      </c>
      <c r="F5" s="3">
        <v>355184</v>
      </c>
      <c r="G5" s="5">
        <f t="shared" si="0"/>
        <v>764608</v>
      </c>
      <c r="I5" s="12" t="s">
        <v>8</v>
      </c>
      <c r="J5" s="3">
        <v>19191932.433333334</v>
      </c>
      <c r="K5" s="14"/>
      <c r="L5" s="3">
        <v>17828526.863333333</v>
      </c>
      <c r="M5" s="14"/>
      <c r="N5" s="3">
        <v>21859343.32</v>
      </c>
      <c r="O5" s="14"/>
      <c r="P5" s="3">
        <v>25023648.825000003</v>
      </c>
      <c r="Q5" s="14"/>
    </row>
    <row r="6" spans="2:17" x14ac:dyDescent="0.25">
      <c r="B6" s="12" t="s">
        <v>9</v>
      </c>
      <c r="C6" s="3">
        <v>77814</v>
      </c>
      <c r="D6" s="3">
        <v>66096</v>
      </c>
      <c r="E6" s="3">
        <v>70458</v>
      </c>
      <c r="F6" s="3">
        <v>192566</v>
      </c>
      <c r="G6" s="5">
        <f t="shared" si="0"/>
        <v>406934</v>
      </c>
      <c r="I6" s="12" t="s">
        <v>9</v>
      </c>
      <c r="J6" s="3">
        <v>10949225.793333335</v>
      </c>
      <c r="K6" s="14"/>
      <c r="L6" s="3">
        <v>9146660.8766666669</v>
      </c>
      <c r="M6" s="14"/>
      <c r="N6" s="3">
        <v>11398950.016666666</v>
      </c>
      <c r="O6" s="14"/>
      <c r="P6" s="3">
        <v>13566764.675000001</v>
      </c>
      <c r="Q6" s="14"/>
    </row>
    <row r="7" spans="2:17" x14ac:dyDescent="0.25">
      <c r="B7" s="12" t="s">
        <v>10</v>
      </c>
      <c r="C7" s="3">
        <v>10918</v>
      </c>
      <c r="D7" s="3">
        <v>39681</v>
      </c>
      <c r="E7" s="3">
        <v>67087</v>
      </c>
      <c r="F7" s="3">
        <v>176441</v>
      </c>
      <c r="G7" s="5">
        <f t="shared" si="0"/>
        <v>294127</v>
      </c>
      <c r="I7" s="12" t="s">
        <v>10</v>
      </c>
      <c r="J7" s="3">
        <v>703089.56666666677</v>
      </c>
      <c r="K7" s="14"/>
      <c r="L7" s="3">
        <v>5490240.666666667</v>
      </c>
      <c r="M7" s="14"/>
      <c r="N7" s="3">
        <v>10120759.263333334</v>
      </c>
      <c r="O7" s="14"/>
      <c r="P7" s="3">
        <v>12430774.295</v>
      </c>
      <c r="Q7" s="14"/>
    </row>
    <row r="8" spans="2:17" x14ac:dyDescent="0.25">
      <c r="B8" s="12" t="s">
        <v>11</v>
      </c>
      <c r="C8" s="3">
        <v>37438</v>
      </c>
      <c r="D8" s="3">
        <v>35030</v>
      </c>
      <c r="E8" s="3">
        <v>59699</v>
      </c>
      <c r="F8" s="3">
        <v>157944</v>
      </c>
      <c r="G8" s="5">
        <f t="shared" si="0"/>
        <v>290111</v>
      </c>
      <c r="I8" s="12" t="s">
        <v>11</v>
      </c>
      <c r="J8" s="3">
        <v>5268049.7399999993</v>
      </c>
      <c r="K8" s="14"/>
      <c r="L8" s="3">
        <v>4846761.583333333</v>
      </c>
      <c r="M8" s="14"/>
      <c r="N8" s="3">
        <v>8453920.586666666</v>
      </c>
      <c r="O8" s="14"/>
      <c r="P8" s="3">
        <v>11127595.84</v>
      </c>
      <c r="Q8" s="14"/>
    </row>
    <row r="9" spans="2:17" x14ac:dyDescent="0.25">
      <c r="B9" s="12" t="s">
        <v>12</v>
      </c>
      <c r="C9" s="3">
        <v>72735</v>
      </c>
      <c r="D9" s="3">
        <v>71691</v>
      </c>
      <c r="E9" s="3">
        <v>78000</v>
      </c>
      <c r="F9" s="3">
        <v>188833</v>
      </c>
      <c r="G9" s="5">
        <f t="shared" si="0"/>
        <v>411259</v>
      </c>
      <c r="I9" s="12" t="s">
        <v>12</v>
      </c>
      <c r="J9" s="3">
        <v>10234495.666666668</v>
      </c>
      <c r="K9" s="14"/>
      <c r="L9" s="3">
        <v>9919200.907333333</v>
      </c>
      <c r="M9" s="14"/>
      <c r="N9" s="3">
        <v>12085834.933333332</v>
      </c>
      <c r="O9" s="14"/>
      <c r="P9" s="3">
        <v>13303775.654999999</v>
      </c>
      <c r="Q9" s="14"/>
    </row>
    <row r="10" spans="2:17" x14ac:dyDescent="0.25">
      <c r="B10" s="12" t="s">
        <v>22</v>
      </c>
      <c r="C10" s="3">
        <v>4790</v>
      </c>
      <c r="D10" s="3">
        <v>3097</v>
      </c>
      <c r="E10" s="3">
        <v>6000</v>
      </c>
      <c r="F10" s="3">
        <v>6665</v>
      </c>
      <c r="G10" s="5">
        <f t="shared" si="0"/>
        <v>20552</v>
      </c>
      <c r="I10" s="12" t="s">
        <v>22</v>
      </c>
      <c r="J10" s="3">
        <v>674094.73666666669</v>
      </c>
      <c r="K10" s="14"/>
      <c r="L10" s="3">
        <v>428481.36333333328</v>
      </c>
      <c r="M10" s="14"/>
      <c r="N10" s="3">
        <v>551580.38333333342</v>
      </c>
      <c r="O10" s="14"/>
      <c r="P10" s="3">
        <v>469573.42</v>
      </c>
      <c r="Q10" s="14"/>
    </row>
    <row r="11" spans="2:17" x14ac:dyDescent="0.25">
      <c r="B11" s="12" t="s">
        <v>21</v>
      </c>
      <c r="C11" s="3">
        <v>0</v>
      </c>
      <c r="D11" s="3">
        <v>0</v>
      </c>
      <c r="E11" s="3">
        <v>0</v>
      </c>
      <c r="F11" s="3">
        <v>0</v>
      </c>
      <c r="G11" s="5">
        <f t="shared" si="0"/>
        <v>0</v>
      </c>
      <c r="I11" s="12" t="s">
        <v>21</v>
      </c>
      <c r="J11" s="3">
        <v>0</v>
      </c>
      <c r="K11" s="14"/>
      <c r="L11" s="3">
        <v>0</v>
      </c>
      <c r="M11" s="14"/>
      <c r="N11" s="3">
        <v>0</v>
      </c>
      <c r="O11" s="14"/>
      <c r="P11" s="3">
        <v>0</v>
      </c>
      <c r="Q11" s="14"/>
    </row>
    <row r="12" spans="2:17" x14ac:dyDescent="0.25">
      <c r="B12" s="12" t="s">
        <v>13</v>
      </c>
      <c r="C12" s="3">
        <v>65556</v>
      </c>
      <c r="D12" s="3">
        <v>55366</v>
      </c>
      <c r="E12" s="3">
        <v>61194</v>
      </c>
      <c r="F12" s="3">
        <v>149262</v>
      </c>
      <c r="G12" s="5">
        <f t="shared" si="0"/>
        <v>331378</v>
      </c>
      <c r="I12" s="12" t="s">
        <v>13</v>
      </c>
      <c r="J12" s="3">
        <v>9224464.206666667</v>
      </c>
      <c r="K12" s="14"/>
      <c r="L12" s="3">
        <v>7660522.2433333332</v>
      </c>
      <c r="M12" s="14"/>
      <c r="N12" s="3">
        <v>9231805.7866666671</v>
      </c>
      <c r="O12" s="14"/>
      <c r="P12" s="3">
        <v>10515908.869999999</v>
      </c>
      <c r="Q12" s="14"/>
    </row>
    <row r="13" spans="2:17" x14ac:dyDescent="0.25">
      <c r="B13" s="12" t="s">
        <v>14</v>
      </c>
      <c r="C13" s="3">
        <v>19472</v>
      </c>
      <c r="D13" s="3">
        <v>21397</v>
      </c>
      <c r="E13" s="3">
        <v>24000</v>
      </c>
      <c r="F13" s="3">
        <v>58724</v>
      </c>
      <c r="G13" s="5">
        <f t="shared" si="0"/>
        <v>123593</v>
      </c>
      <c r="I13" s="12" t="s">
        <v>14</v>
      </c>
      <c r="J13" s="3">
        <v>2739868.7566666664</v>
      </c>
      <c r="K13" s="14"/>
      <c r="L13" s="3">
        <v>2960521.7933333335</v>
      </c>
      <c r="M13" s="14"/>
      <c r="N13" s="3">
        <v>3521875.7833333337</v>
      </c>
      <c r="O13" s="14"/>
      <c r="P13" s="3">
        <v>4137274.2050000001</v>
      </c>
      <c r="Q13" s="14"/>
    </row>
    <row r="14" spans="2:17" x14ac:dyDescent="0.25">
      <c r="B14" s="12" t="s">
        <v>15</v>
      </c>
      <c r="C14" s="3">
        <v>127657</v>
      </c>
      <c r="D14" s="3">
        <v>120115</v>
      </c>
      <c r="E14" s="3">
        <v>85986</v>
      </c>
      <c r="F14" s="3">
        <v>298973</v>
      </c>
      <c r="G14" s="5">
        <f t="shared" si="0"/>
        <v>632731</v>
      </c>
      <c r="I14" s="12" t="s">
        <v>15</v>
      </c>
      <c r="J14" s="3">
        <v>12962538.853333334</v>
      </c>
      <c r="K14" s="14"/>
      <c r="L14" s="3">
        <v>11619336.649999999</v>
      </c>
      <c r="M14" s="14"/>
      <c r="N14" s="3">
        <v>13781009.833333334</v>
      </c>
      <c r="O14" s="14"/>
      <c r="P14" s="3">
        <v>16063506.715</v>
      </c>
      <c r="Q14" s="14"/>
    </row>
    <row r="15" spans="2:17" x14ac:dyDescent="0.25">
      <c r="B15" s="12" t="s">
        <v>16</v>
      </c>
      <c r="C15" s="3">
        <v>308538</v>
      </c>
      <c r="D15" s="3">
        <v>197855</v>
      </c>
      <c r="E15" s="3">
        <v>292000</v>
      </c>
      <c r="F15" s="3">
        <v>624831</v>
      </c>
      <c r="G15" s="5">
        <f t="shared" si="0"/>
        <v>1423224</v>
      </c>
      <c r="I15" s="12" t="s">
        <v>16</v>
      </c>
      <c r="J15" s="3">
        <v>29323547.346666664</v>
      </c>
      <c r="K15" s="14"/>
      <c r="L15" s="3">
        <v>27275390.123333335</v>
      </c>
      <c r="M15" s="14"/>
      <c r="N15" s="3">
        <v>35156354.07</v>
      </c>
      <c r="O15" s="14"/>
      <c r="P15" s="3">
        <v>44020982.415000007</v>
      </c>
      <c r="Q15" s="14"/>
    </row>
    <row r="16" spans="2:17" x14ac:dyDescent="0.25">
      <c r="B16" s="12" t="s">
        <v>17</v>
      </c>
      <c r="C16" s="3">
        <v>20403</v>
      </c>
      <c r="D16" s="3">
        <v>46515</v>
      </c>
      <c r="E16" s="3">
        <v>48000</v>
      </c>
      <c r="F16" s="3">
        <v>95395</v>
      </c>
      <c r="G16" s="5">
        <f t="shared" si="0"/>
        <v>210313</v>
      </c>
      <c r="I16" s="12" t="s">
        <v>17</v>
      </c>
      <c r="J16" s="3">
        <v>2870984.4033333338</v>
      </c>
      <c r="K16" s="14"/>
      <c r="L16" s="3">
        <v>6435859.4666666659</v>
      </c>
      <c r="M16" s="14"/>
      <c r="N16" s="3">
        <v>7882742.1766666668</v>
      </c>
      <c r="O16" s="14"/>
      <c r="P16" s="3">
        <v>6720832.6600000001</v>
      </c>
      <c r="Q16" s="14"/>
    </row>
    <row r="17" spans="2:17" x14ac:dyDescent="0.25">
      <c r="B17" s="12" t="s">
        <v>18</v>
      </c>
      <c r="C17" s="3">
        <v>182606</v>
      </c>
      <c r="D17" s="3">
        <v>180354</v>
      </c>
      <c r="E17" s="3">
        <v>192000</v>
      </c>
      <c r="F17" s="3">
        <v>443900</v>
      </c>
      <c r="G17" s="5">
        <f t="shared" si="0"/>
        <v>998860</v>
      </c>
      <c r="I17" s="12" t="s">
        <v>18</v>
      </c>
      <c r="J17" s="3">
        <v>25694595.379999999</v>
      </c>
      <c r="K17" s="14"/>
      <c r="L17" s="3">
        <v>24953889.763333332</v>
      </c>
      <c r="M17" s="14"/>
      <c r="N17" s="3">
        <v>28409111.333333332</v>
      </c>
      <c r="O17" s="14"/>
      <c r="P17" s="3">
        <v>31256886.015000001</v>
      </c>
      <c r="Q17" s="14"/>
    </row>
    <row r="18" spans="2:17" x14ac:dyDescent="0.25">
      <c r="B18" s="29" t="s">
        <v>19</v>
      </c>
      <c r="C18" s="30">
        <v>0</v>
      </c>
      <c r="D18" s="30">
        <v>0</v>
      </c>
      <c r="E18" s="30">
        <v>0</v>
      </c>
      <c r="F18" s="30">
        <v>0</v>
      </c>
      <c r="G18" s="31">
        <f t="shared" si="0"/>
        <v>0</v>
      </c>
      <c r="I18" s="29" t="s">
        <v>19</v>
      </c>
      <c r="J18" s="30">
        <v>0</v>
      </c>
      <c r="K18" s="32"/>
      <c r="L18" s="30">
        <v>0</v>
      </c>
      <c r="M18" s="32"/>
      <c r="N18" s="30">
        <v>0</v>
      </c>
      <c r="O18" s="32"/>
      <c r="P18" s="30">
        <v>0</v>
      </c>
      <c r="Q18" s="14"/>
    </row>
    <row r="19" spans="2:17" x14ac:dyDescent="0.25">
      <c r="B19" s="29" t="s">
        <v>20</v>
      </c>
      <c r="C19" s="30">
        <v>15328</v>
      </c>
      <c r="D19" s="30">
        <v>18388</v>
      </c>
      <c r="E19" s="30">
        <v>27329</v>
      </c>
      <c r="F19" s="30">
        <v>39896</v>
      </c>
      <c r="G19" s="31">
        <f t="shared" si="0"/>
        <v>100941</v>
      </c>
      <c r="I19" s="29" t="s">
        <v>20</v>
      </c>
      <c r="J19" s="30">
        <v>2156755.4966666666</v>
      </c>
      <c r="K19" s="32"/>
      <c r="L19" s="30">
        <v>2544199.4733333336</v>
      </c>
      <c r="M19" s="32"/>
      <c r="N19" s="30">
        <v>2721832.9133333336</v>
      </c>
      <c r="O19" s="32"/>
      <c r="P19" s="30">
        <v>2810819.33</v>
      </c>
      <c r="Q19" s="14"/>
    </row>
    <row r="20" spans="2:17" x14ac:dyDescent="0.25">
      <c r="B20" s="29" t="s">
        <v>23</v>
      </c>
      <c r="C20" s="30">
        <v>0</v>
      </c>
      <c r="D20" s="30">
        <v>0</v>
      </c>
      <c r="E20" s="30">
        <v>0</v>
      </c>
      <c r="F20" s="30">
        <v>0</v>
      </c>
      <c r="G20" s="31">
        <f t="shared" si="0"/>
        <v>0</v>
      </c>
      <c r="I20" s="29" t="s">
        <v>23</v>
      </c>
      <c r="J20" s="30">
        <v>0</v>
      </c>
      <c r="K20" s="32"/>
      <c r="L20" s="30">
        <v>0</v>
      </c>
      <c r="M20" s="32"/>
      <c r="N20" s="30">
        <v>0</v>
      </c>
      <c r="O20" s="32"/>
      <c r="P20" s="30">
        <v>0</v>
      </c>
      <c r="Q20" s="14"/>
    </row>
    <row r="21" spans="2:17" x14ac:dyDescent="0.25">
      <c r="B21" s="15" t="s">
        <v>24</v>
      </c>
      <c r="C21" s="16">
        <f>SUM(C4:C20)</f>
        <v>1135533</v>
      </c>
      <c r="D21" s="3">
        <f>SUM(D4:D20)</f>
        <v>1036137</v>
      </c>
      <c r="E21" s="3">
        <f>SUM(E4:E20)</f>
        <v>1224819</v>
      </c>
      <c r="F21" s="3">
        <f>SUM(F4:F20)</f>
        <v>2947969</v>
      </c>
      <c r="G21" s="3">
        <f>SUM(G4:G20)</f>
        <v>6344458</v>
      </c>
      <c r="I21" s="15" t="s">
        <v>24</v>
      </c>
      <c r="J21" s="3">
        <f>SUM(J4:J20)</f>
        <v>139857292.06333333</v>
      </c>
      <c r="K21" s="17"/>
      <c r="L21" s="3">
        <f>SUM(L4:L20)</f>
        <v>138362389.854</v>
      </c>
      <c r="M21" s="14"/>
      <c r="N21" s="3">
        <f>SUM(N4:N20)</f>
        <v>175004591.88666669</v>
      </c>
      <c r="O21" s="14"/>
      <c r="P21" s="3">
        <f>SUM(P4:P20)</f>
        <v>202691926.87000003</v>
      </c>
      <c r="Q21" s="18"/>
    </row>
    <row r="24" spans="2:17" ht="15.75" x14ac:dyDescent="0.25">
      <c r="B24" s="44" t="s">
        <v>120</v>
      </c>
      <c r="C24" s="44"/>
      <c r="D24" s="44"/>
      <c r="E24" s="44"/>
      <c r="F24" s="44"/>
      <c r="G24" s="44"/>
      <c r="I24" s="44" t="s">
        <v>40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2</v>
      </c>
      <c r="K25" s="13"/>
      <c r="L25" s="13" t="s">
        <v>3</v>
      </c>
      <c r="M25" s="13"/>
      <c r="N25" s="13" t="s">
        <v>4</v>
      </c>
      <c r="O25" s="13"/>
      <c r="P25" s="13" t="s">
        <v>26</v>
      </c>
    </row>
    <row r="26" spans="2:17" x14ac:dyDescent="0.25">
      <c r="B26" s="12" t="s">
        <v>7</v>
      </c>
      <c r="C26" s="16">
        <f t="shared" ref="C26:C39" si="1">$C$40*K26</f>
        <v>61729.968964784435</v>
      </c>
      <c r="D26" s="16">
        <f t="shared" ref="D26:D39" si="2">$D$40*M26</f>
        <v>52418.852799967186</v>
      </c>
      <c r="E26" s="16">
        <f t="shared" ref="E26:E39" si="3">$E$40*O26</f>
        <v>66395.028364484111</v>
      </c>
      <c r="F26" s="16">
        <f t="shared" ref="F26:F39" si="4">$F$40*Q26</f>
        <v>159590.91250931815</v>
      </c>
      <c r="G26" s="16">
        <f t="shared" ref="G26:G39" si="5">SUM(C26+D26+E26+F26)</f>
        <v>340134.76263855386</v>
      </c>
      <c r="I26" s="12" t="s">
        <v>7</v>
      </c>
      <c r="J26" s="3">
        <v>7863649.6833333336</v>
      </c>
      <c r="K26" s="14">
        <f t="shared" ref="K26:K39" si="6">J26/$J$40</f>
        <v>5.510595736029069E-2</v>
      </c>
      <c r="L26" s="3">
        <v>7252798.080000001</v>
      </c>
      <c r="M26" s="14">
        <f t="shared" ref="M26:M39" si="7">L26/$L$40</f>
        <v>5.1504695951523592E-2</v>
      </c>
      <c r="N26" s="3">
        <v>9829471.4866666663</v>
      </c>
      <c r="O26" s="14">
        <f t="shared" ref="O26:O39" si="8">N26/$N$40</f>
        <v>5.5445163103227675E-2</v>
      </c>
      <c r="P26" s="3">
        <v>11243583.949999999</v>
      </c>
      <c r="Q26" s="14">
        <f t="shared" ref="Q26:Q39" si="9">P26/$P$40</f>
        <v>5.4878578532697821E-2</v>
      </c>
    </row>
    <row r="27" spans="2:17" x14ac:dyDescent="0.25">
      <c r="B27" s="12" t="s">
        <v>8</v>
      </c>
      <c r="C27" s="16">
        <f t="shared" si="1"/>
        <v>150657.44802885407</v>
      </c>
      <c r="D27" s="16">
        <f t="shared" si="2"/>
        <v>128853.84578214129</v>
      </c>
      <c r="E27" s="16">
        <f t="shared" si="3"/>
        <v>147653.0779634596</v>
      </c>
      <c r="F27" s="16">
        <f t="shared" si="4"/>
        <v>355184.51839321904</v>
      </c>
      <c r="G27" s="16">
        <f t="shared" si="5"/>
        <v>782348.89016767405</v>
      </c>
      <c r="I27" s="12" t="s">
        <v>8</v>
      </c>
      <c r="J27" s="3">
        <v>19191932.433333334</v>
      </c>
      <c r="K27" s="14">
        <f t="shared" si="6"/>
        <v>0.13449096194790602</v>
      </c>
      <c r="L27" s="3">
        <v>17828526.863333333</v>
      </c>
      <c r="M27" s="14">
        <f t="shared" si="7"/>
        <v>0.12660670340343375</v>
      </c>
      <c r="N27" s="3">
        <v>21859343.32</v>
      </c>
      <c r="O27" s="14">
        <f t="shared" si="8"/>
        <v>0.12330213860947448</v>
      </c>
      <c r="P27" s="3">
        <v>25023648.825000003</v>
      </c>
      <c r="Q27" s="14">
        <f t="shared" si="9"/>
        <v>0.12213741484248128</v>
      </c>
    </row>
    <row r="28" spans="2:17" x14ac:dyDescent="0.25">
      <c r="B28" s="12" t="s">
        <v>9</v>
      </c>
      <c r="C28" s="16">
        <f t="shared" si="1"/>
        <v>85951.866579638605</v>
      </c>
      <c r="D28" s="16">
        <f t="shared" si="2"/>
        <v>66106.551542823145</v>
      </c>
      <c r="E28" s="16">
        <f t="shared" si="3"/>
        <v>76996.36859504992</v>
      </c>
      <c r="F28" s="16">
        <f t="shared" si="4"/>
        <v>192566.03267345493</v>
      </c>
      <c r="G28" s="16">
        <f t="shared" si="5"/>
        <v>421620.81939096662</v>
      </c>
      <c r="I28" s="12" t="s">
        <v>9</v>
      </c>
      <c r="J28" s="3">
        <v>10949225.793333335</v>
      </c>
      <c r="K28" s="14">
        <f t="shared" si="6"/>
        <v>7.6728693926235464E-2</v>
      </c>
      <c r="L28" s="3">
        <v>9146660.8766666669</v>
      </c>
      <c r="M28" s="14">
        <f t="shared" si="7"/>
        <v>6.4953688525189554E-2</v>
      </c>
      <c r="N28" s="3">
        <v>11398950.016666666</v>
      </c>
      <c r="O28" s="14">
        <f t="shared" si="8"/>
        <v>6.4298130752699328E-2</v>
      </c>
      <c r="P28" s="3">
        <v>13566764.675000001</v>
      </c>
      <c r="Q28" s="14">
        <f t="shared" si="9"/>
        <v>6.6217743733893525E-2</v>
      </c>
    </row>
    <row r="29" spans="2:17" x14ac:dyDescent="0.25">
      <c r="B29" s="12" t="s">
        <v>10</v>
      </c>
      <c r="C29" s="16">
        <f t="shared" si="1"/>
        <v>5519.2816157343705</v>
      </c>
      <c r="D29" s="16">
        <f t="shared" si="2"/>
        <v>39680.150221746371</v>
      </c>
      <c r="E29" s="16">
        <f t="shared" si="3"/>
        <v>68362.586866509882</v>
      </c>
      <c r="F29" s="16">
        <f t="shared" si="4"/>
        <v>176441.83756340668</v>
      </c>
      <c r="G29" s="16">
        <f t="shared" si="5"/>
        <v>290003.85626739729</v>
      </c>
      <c r="I29" s="12" t="s">
        <v>10</v>
      </c>
      <c r="J29" s="3">
        <v>703089.56666666677</v>
      </c>
      <c r="K29" s="14">
        <f t="shared" si="6"/>
        <v>4.9270281919241302E-3</v>
      </c>
      <c r="L29" s="3">
        <v>5490240.666666667</v>
      </c>
      <c r="M29" s="14">
        <f t="shared" si="7"/>
        <v>3.8988149555289536E-2</v>
      </c>
      <c r="N29" s="3">
        <v>10120759.263333334</v>
      </c>
      <c r="O29" s="14">
        <f t="shared" si="8"/>
        <v>5.7088231940567252E-2</v>
      </c>
      <c r="P29" s="3">
        <v>12430774.295</v>
      </c>
      <c r="Q29" s="14">
        <f t="shared" si="9"/>
        <v>6.067311156336401E-2</v>
      </c>
    </row>
    <row r="30" spans="2:17" x14ac:dyDescent="0.25">
      <c r="B30" s="12" t="s">
        <v>11</v>
      </c>
      <c r="C30" s="16">
        <f t="shared" si="1"/>
        <v>41354.404131758405</v>
      </c>
      <c r="D30" s="16">
        <f t="shared" si="2"/>
        <v>35029.471273145638</v>
      </c>
      <c r="E30" s="16">
        <f t="shared" si="3"/>
        <v>57103.609070356521</v>
      </c>
      <c r="F30" s="16">
        <f t="shared" si="4"/>
        <v>157944.58262042794</v>
      </c>
      <c r="G30" s="16">
        <f t="shared" si="5"/>
        <v>291432.06709568854</v>
      </c>
      <c r="I30" s="12" t="s">
        <v>11</v>
      </c>
      <c r="J30" s="3">
        <v>5268049.7399999993</v>
      </c>
      <c r="K30" s="14">
        <f t="shared" si="6"/>
        <v>3.6916818021485713E-2</v>
      </c>
      <c r="L30" s="3">
        <v>4846761.583333333</v>
      </c>
      <c r="M30" s="14">
        <f t="shared" si="7"/>
        <v>3.4418575968284557E-2</v>
      </c>
      <c r="N30" s="3">
        <v>8453920.586666666</v>
      </c>
      <c r="O30" s="14">
        <f t="shared" si="8"/>
        <v>4.7686084284926405E-2</v>
      </c>
      <c r="P30" s="3">
        <v>11127595.84</v>
      </c>
      <c r="Q30" s="14">
        <f t="shared" si="9"/>
        <v>5.4312454543069572E-2</v>
      </c>
    </row>
    <row r="31" spans="2:17" x14ac:dyDescent="0.25">
      <c r="B31" s="12" t="s">
        <v>12</v>
      </c>
      <c r="C31" s="16">
        <f t="shared" si="1"/>
        <v>80341.206095761634</v>
      </c>
      <c r="D31" s="16">
        <f t="shared" si="2"/>
        <v>71690.005225515226</v>
      </c>
      <c r="E31" s="16">
        <f t="shared" si="3"/>
        <v>81636.062965910256</v>
      </c>
      <c r="F31" s="16">
        <f t="shared" si="4"/>
        <v>188833.17864146884</v>
      </c>
      <c r="G31" s="16">
        <f t="shared" si="5"/>
        <v>422500.4529286559</v>
      </c>
      <c r="I31" s="12" t="s">
        <v>12</v>
      </c>
      <c r="J31" s="3">
        <v>10234495.666666668</v>
      </c>
      <c r="K31" s="14">
        <f t="shared" si="6"/>
        <v>7.1720092390019363E-2</v>
      </c>
      <c r="L31" s="3">
        <v>9919200.907333333</v>
      </c>
      <c r="M31" s="14">
        <f t="shared" si="7"/>
        <v>7.0439769752183717E-2</v>
      </c>
      <c r="N31" s="3">
        <v>12085834.933333332</v>
      </c>
      <c r="O31" s="14">
        <f t="shared" si="8"/>
        <v>6.81726469247428E-2</v>
      </c>
      <c r="P31" s="3">
        <v>13303775.654999999</v>
      </c>
      <c r="Q31" s="14">
        <f t="shared" si="9"/>
        <v>6.4934126014535687E-2</v>
      </c>
    </row>
    <row r="32" spans="2:17" x14ac:dyDescent="0.25">
      <c r="B32" s="12" t="s">
        <v>22</v>
      </c>
      <c r="C32" s="16">
        <f t="shared" si="1"/>
        <v>5291.6710242004274</v>
      </c>
      <c r="D32" s="16">
        <f t="shared" si="2"/>
        <v>3096.8050212283379</v>
      </c>
      <c r="E32" s="16">
        <f t="shared" si="3"/>
        <v>3725.7542530528131</v>
      </c>
      <c r="F32" s="16">
        <f t="shared" si="4"/>
        <v>6665.1034866797354</v>
      </c>
      <c r="G32" s="16">
        <f t="shared" si="5"/>
        <v>18779.333785161314</v>
      </c>
      <c r="I32" s="12" t="s">
        <v>22</v>
      </c>
      <c r="J32" s="3">
        <v>674094.73666666669</v>
      </c>
      <c r="K32" s="14">
        <f t="shared" si="6"/>
        <v>4.723841639878797E-3</v>
      </c>
      <c r="L32" s="3">
        <v>428481.36333333328</v>
      </c>
      <c r="M32" s="14">
        <f t="shared" si="7"/>
        <v>3.0427983925588116E-3</v>
      </c>
      <c r="N32" s="3">
        <v>551580.38333333342</v>
      </c>
      <c r="O32" s="14">
        <f t="shared" si="8"/>
        <v>3.1113030196935365E-3</v>
      </c>
      <c r="P32" s="3">
        <v>469573.42</v>
      </c>
      <c r="Q32" s="14">
        <f t="shared" si="9"/>
        <v>2.2919312846272208E-3</v>
      </c>
    </row>
    <row r="33" spans="2:17" x14ac:dyDescent="0.25">
      <c r="B33" s="12" t="s">
        <v>21</v>
      </c>
      <c r="C33" s="16">
        <f t="shared" si="1"/>
        <v>0</v>
      </c>
      <c r="D33" s="16">
        <f t="shared" si="2"/>
        <v>0</v>
      </c>
      <c r="E33" s="16">
        <f t="shared" si="3"/>
        <v>0</v>
      </c>
      <c r="F33" s="16">
        <f t="shared" si="4"/>
        <v>0</v>
      </c>
      <c r="G33" s="16">
        <f t="shared" si="5"/>
        <v>0</v>
      </c>
      <c r="I33" s="12" t="s">
        <v>21</v>
      </c>
      <c r="J33" s="3">
        <v>0</v>
      </c>
      <c r="K33" s="14">
        <f t="shared" si="6"/>
        <v>0</v>
      </c>
      <c r="L33" s="3">
        <v>0</v>
      </c>
      <c r="M33" s="14">
        <f t="shared" si="7"/>
        <v>0</v>
      </c>
      <c r="N33" s="3">
        <v>0</v>
      </c>
      <c r="O33" s="14">
        <f t="shared" si="8"/>
        <v>0</v>
      </c>
      <c r="P33" s="3">
        <v>0</v>
      </c>
      <c r="Q33" s="14">
        <f t="shared" si="9"/>
        <v>0</v>
      </c>
    </row>
    <row r="34" spans="2:17" x14ac:dyDescent="0.25">
      <c r="B34" s="12" t="s">
        <v>13</v>
      </c>
      <c r="C34" s="16">
        <f t="shared" si="1"/>
        <v>72412.418167758893</v>
      </c>
      <c r="D34" s="16">
        <f t="shared" si="2"/>
        <v>55365.637291278945</v>
      </c>
      <c r="E34" s="16">
        <f t="shared" si="3"/>
        <v>62357.98210438696</v>
      </c>
      <c r="F34" s="16">
        <f t="shared" si="4"/>
        <v>149262.3259532947</v>
      </c>
      <c r="G34" s="16">
        <f t="shared" si="5"/>
        <v>339398.36351671949</v>
      </c>
      <c r="I34" s="12" t="s">
        <v>13</v>
      </c>
      <c r="J34" s="3">
        <v>9224464.206666667</v>
      </c>
      <c r="K34" s="14">
        <f t="shared" si="6"/>
        <v>6.4642112977320129E-2</v>
      </c>
      <c r="L34" s="3">
        <v>7660522.2433333332</v>
      </c>
      <c r="M34" s="14">
        <f t="shared" si="7"/>
        <v>5.4400090092231922E-2</v>
      </c>
      <c r="N34" s="3">
        <v>9231805.7866666671</v>
      </c>
      <c r="O34" s="14">
        <f t="shared" si="8"/>
        <v>5.2073906341085906E-2</v>
      </c>
      <c r="P34" s="3">
        <v>10515908.869999999</v>
      </c>
      <c r="Q34" s="14">
        <f t="shared" si="9"/>
        <v>5.1326884144000065E-2</v>
      </c>
    </row>
    <row r="35" spans="2:17" x14ac:dyDescent="0.25">
      <c r="B35" s="12" t="s">
        <v>14</v>
      </c>
      <c r="C35" s="16">
        <f t="shared" si="1"/>
        <v>21508.080869253859</v>
      </c>
      <c r="D35" s="16">
        <f t="shared" si="2"/>
        <v>21396.867027605826</v>
      </c>
      <c r="E35" s="16">
        <f t="shared" si="3"/>
        <v>23789.177561356722</v>
      </c>
      <c r="F35" s="16">
        <f t="shared" si="4"/>
        <v>58724.279430244656</v>
      </c>
      <c r="G35" s="16">
        <f t="shared" si="5"/>
        <v>125418.40488846107</v>
      </c>
      <c r="I35" s="12" t="s">
        <v>14</v>
      </c>
      <c r="J35" s="3">
        <v>2739868.7566666664</v>
      </c>
      <c r="K35" s="14">
        <f t="shared" si="6"/>
        <v>1.9200129323877199E-2</v>
      </c>
      <c r="L35" s="3">
        <v>2960521.7933333335</v>
      </c>
      <c r="M35" s="14">
        <f t="shared" si="7"/>
        <v>2.1023717073272316E-2</v>
      </c>
      <c r="N35" s="3">
        <v>3521875.7833333337</v>
      </c>
      <c r="O35" s="14">
        <f t="shared" si="8"/>
        <v>1.9865867407123837E-2</v>
      </c>
      <c r="P35" s="3">
        <v>4137274.2050000001</v>
      </c>
      <c r="Q35" s="14">
        <f t="shared" si="9"/>
        <v>2.0193536898917137E-2</v>
      </c>
    </row>
    <row r="36" spans="2:17" x14ac:dyDescent="0.25">
      <c r="B36" s="12" t="s">
        <v>15</v>
      </c>
      <c r="C36" s="16">
        <f t="shared" si="1"/>
        <v>141006.65856149598</v>
      </c>
      <c r="D36" s="16">
        <f t="shared" si="2"/>
        <v>120114.54777594602</v>
      </c>
      <c r="E36" s="16">
        <f t="shared" si="3"/>
        <v>126859.89091980018</v>
      </c>
      <c r="F36" s="16">
        <f t="shared" si="4"/>
        <v>298974.44375758857</v>
      </c>
      <c r="G36" s="16">
        <f t="shared" si="5"/>
        <v>686955.54101483081</v>
      </c>
      <c r="I36" s="12" t="s">
        <v>27</v>
      </c>
      <c r="J36" s="3">
        <f>12962538.8533333+5000000</f>
        <v>17962538.853333302</v>
      </c>
      <c r="K36" s="14">
        <f t="shared" si="6"/>
        <v>0.1258757625269446</v>
      </c>
      <c r="L36" s="3">
        <f>11619336.65+5000000</f>
        <v>16619336.65</v>
      </c>
      <c r="M36" s="14">
        <f t="shared" si="7"/>
        <v>0.11801981409556386</v>
      </c>
      <c r="N36" s="3">
        <f>13781009.8333333+5000000</f>
        <v>18781009.833333299</v>
      </c>
      <c r="O36" s="14">
        <f t="shared" si="8"/>
        <v>0.10593816309096542</v>
      </c>
      <c r="P36" s="3">
        <f>16063506.715+5000000</f>
        <v>21063506.715</v>
      </c>
      <c r="Q36" s="14">
        <f t="shared" si="9"/>
        <v>0.10280843835680487</v>
      </c>
    </row>
    <row r="37" spans="2:17" x14ac:dyDescent="0.25">
      <c r="B37" s="12" t="s">
        <v>16</v>
      </c>
      <c r="C37" s="16">
        <f t="shared" si="1"/>
        <v>230191.03603809275</v>
      </c>
      <c r="D37" s="16">
        <f t="shared" si="2"/>
        <v>197130.07920064536</v>
      </c>
      <c r="E37" s="16">
        <f t="shared" si="3"/>
        <v>237470.25756529908</v>
      </c>
      <c r="F37" s="16">
        <f t="shared" si="4"/>
        <v>624831.79601878626</v>
      </c>
      <c r="G37" s="16">
        <f t="shared" si="5"/>
        <v>1289623.1688228236</v>
      </c>
      <c r="I37" s="12" t="s">
        <v>16</v>
      </c>
      <c r="J37" s="3">
        <v>29323547.346666664</v>
      </c>
      <c r="K37" s="14">
        <f t="shared" si="6"/>
        <v>0.205490098721299</v>
      </c>
      <c r="L37" s="3">
        <v>27275390.123333335</v>
      </c>
      <c r="M37" s="14">
        <f t="shared" si="7"/>
        <v>0.19369223570904551</v>
      </c>
      <c r="N37" s="3">
        <v>35156354.07</v>
      </c>
      <c r="O37" s="14">
        <f t="shared" si="8"/>
        <v>0.19830667276160893</v>
      </c>
      <c r="P37" s="3">
        <v>44020982.415000007</v>
      </c>
      <c r="Q37" s="14">
        <f t="shared" si="9"/>
        <v>0.21486111112712311</v>
      </c>
    </row>
    <row r="38" spans="2:17" x14ac:dyDescent="0.25">
      <c r="B38" s="12" t="s">
        <v>17</v>
      </c>
      <c r="C38" s="16">
        <f t="shared" si="1"/>
        <v>22537.344013654274</v>
      </c>
      <c r="D38" s="16">
        <f t="shared" si="2"/>
        <v>46514.512923607435</v>
      </c>
      <c r="E38" s="16">
        <f t="shared" si="3"/>
        <v>53245.476231315006</v>
      </c>
      <c r="F38" s="16">
        <f t="shared" si="4"/>
        <v>95395.189096429371</v>
      </c>
      <c r="G38" s="16">
        <f t="shared" si="5"/>
        <v>217692.52226500609</v>
      </c>
      <c r="I38" s="12" t="s">
        <v>17</v>
      </c>
      <c r="J38" s="3">
        <v>2870984.4033333338</v>
      </c>
      <c r="K38" s="14">
        <f t="shared" si="6"/>
        <v>2.0118946097950174E-2</v>
      </c>
      <c r="L38" s="3">
        <v>6435859.4666666659</v>
      </c>
      <c r="M38" s="14">
        <f t="shared" si="7"/>
        <v>4.5703324615015528E-2</v>
      </c>
      <c r="N38" s="3">
        <v>7882742.1766666668</v>
      </c>
      <c r="O38" s="14">
        <f t="shared" si="8"/>
        <v>4.4464234550029652E-2</v>
      </c>
      <c r="P38" s="3">
        <v>6720832.6600000001</v>
      </c>
      <c r="Q38" s="14">
        <f t="shared" si="9"/>
        <v>3.2803574427612156E-2</v>
      </c>
    </row>
    <row r="39" spans="2:17" x14ac:dyDescent="0.25">
      <c r="B39" s="12" t="s">
        <v>18</v>
      </c>
      <c r="C39" s="16">
        <f t="shared" si="1"/>
        <v>201703.61590901233</v>
      </c>
      <c r="D39" s="16">
        <f t="shared" si="2"/>
        <v>180351.67391434917</v>
      </c>
      <c r="E39" s="16">
        <f t="shared" si="3"/>
        <v>191894.72753901876</v>
      </c>
      <c r="F39" s="16">
        <f t="shared" si="4"/>
        <v>443658.79985568085</v>
      </c>
      <c r="G39" s="16">
        <f t="shared" si="5"/>
        <v>1017608.8172180611</v>
      </c>
      <c r="I39" s="12" t="s">
        <v>18</v>
      </c>
      <c r="J39" s="3">
        <v>25694595.379999999</v>
      </c>
      <c r="K39" s="14">
        <f t="shared" si="6"/>
        <v>0.18005955687486874</v>
      </c>
      <c r="L39" s="3">
        <v>24953889.763333332</v>
      </c>
      <c r="M39" s="14">
        <f t="shared" si="7"/>
        <v>0.1772064368664073</v>
      </c>
      <c r="N39" s="3">
        <v>28409111.333333332</v>
      </c>
      <c r="O39" s="14">
        <f t="shared" si="8"/>
        <v>0.16024745721385461</v>
      </c>
      <c r="P39" s="3">
        <v>31256886.015000001</v>
      </c>
      <c r="Q39" s="14">
        <f t="shared" si="9"/>
        <v>0.15256109453087349</v>
      </c>
    </row>
    <row r="40" spans="2:17" x14ac:dyDescent="0.25">
      <c r="B40" s="15" t="s">
        <v>24</v>
      </c>
      <c r="C40" s="16">
        <f>$C$21-(C18+C19+C20)</f>
        <v>1120205</v>
      </c>
      <c r="D40" s="16">
        <f>$D$21-(D18+D19+D20)</f>
        <v>1017749</v>
      </c>
      <c r="E40" s="16">
        <f>$E$21-(E18+E19+E20)</f>
        <v>1197490</v>
      </c>
      <c r="F40" s="16">
        <f>$F$21-(F18+F19+F20)</f>
        <v>2908073</v>
      </c>
      <c r="G40" s="16">
        <f>$C$21-(G18+G19+G20)</f>
        <v>1034592</v>
      </c>
      <c r="I40" s="15" t="s">
        <v>24</v>
      </c>
      <c r="J40" s="3">
        <f t="shared" ref="J40:Q40" si="10">SUM(J26:J39)</f>
        <v>142700536.56666663</v>
      </c>
      <c r="K40" s="19">
        <f t="shared" si="10"/>
        <v>1</v>
      </c>
      <c r="L40" s="3">
        <f t="shared" si="10"/>
        <v>140818190.38066667</v>
      </c>
      <c r="M40" s="19">
        <f t="shared" si="10"/>
        <v>0.99999999999999978</v>
      </c>
      <c r="N40" s="3">
        <f t="shared" si="10"/>
        <v>177282758.97333333</v>
      </c>
      <c r="O40" s="19">
        <f t="shared" si="10"/>
        <v>0.99999999999999978</v>
      </c>
      <c r="P40" s="3">
        <f t="shared" si="10"/>
        <v>204881107.54000002</v>
      </c>
      <c r="Q40" s="19">
        <f t="shared" si="10"/>
        <v>1</v>
      </c>
    </row>
    <row r="43" spans="2:17" ht="15.75" x14ac:dyDescent="0.25">
      <c r="B43" s="44" t="s">
        <v>147</v>
      </c>
      <c r="C43" s="44"/>
      <c r="D43" s="44"/>
      <c r="E43" s="44"/>
      <c r="F43" s="44"/>
      <c r="G43" s="44"/>
      <c r="I43" s="44" t="s">
        <v>171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5844.9689647844352</v>
      </c>
      <c r="D45" s="16">
        <f>D26-D4</f>
        <v>-0.1472000328139984</v>
      </c>
      <c r="E45" s="16">
        <f>E26-E4</f>
        <v>-1772.9716355158889</v>
      </c>
      <c r="F45" s="16">
        <f>F26-F4</f>
        <v>235.91250931815011</v>
      </c>
      <c r="G45" s="16">
        <f t="shared" ref="G45:G59" si="11">SUM(C45+D45+E45+F45)</f>
        <v>4307.7626385538824</v>
      </c>
      <c r="I45" s="15" t="s">
        <v>153</v>
      </c>
      <c r="J45" s="12" t="s">
        <v>155</v>
      </c>
    </row>
    <row r="46" spans="2:17" x14ac:dyDescent="0.25">
      <c r="B46" s="12" t="s">
        <v>8</v>
      </c>
      <c r="C46" s="16">
        <f t="shared" ref="C46:F58" si="12">C27-C5</f>
        <v>14264.448028854065</v>
      </c>
      <c r="D46" s="16">
        <f t="shared" si="12"/>
        <v>720.84578214128851</v>
      </c>
      <c r="E46" s="16">
        <f t="shared" si="12"/>
        <v>2755.0779634595965</v>
      </c>
      <c r="F46" s="16">
        <f t="shared" si="12"/>
        <v>0.51839321904117242</v>
      </c>
      <c r="G46" s="16">
        <f t="shared" si="11"/>
        <v>17740.890167673992</v>
      </c>
      <c r="I46" s="15" t="s">
        <v>154</v>
      </c>
      <c r="J46" t="s">
        <v>188</v>
      </c>
    </row>
    <row r="47" spans="2:17" x14ac:dyDescent="0.25">
      <c r="B47" s="12" t="s">
        <v>9</v>
      </c>
      <c r="C47" s="16">
        <f t="shared" si="12"/>
        <v>8137.8665796386049</v>
      </c>
      <c r="D47" s="16">
        <f t="shared" si="12"/>
        <v>10.5515428231447</v>
      </c>
      <c r="E47" s="16">
        <f t="shared" si="12"/>
        <v>6538.3685950499203</v>
      </c>
      <c r="F47" s="16">
        <f t="shared" si="12"/>
        <v>3.2673454930773005E-2</v>
      </c>
      <c r="G47" s="16">
        <f t="shared" si="11"/>
        <v>14686.819390966601</v>
      </c>
    </row>
    <row r="48" spans="2:17" x14ac:dyDescent="0.25">
      <c r="B48" s="12" t="s">
        <v>10</v>
      </c>
      <c r="C48" s="16">
        <f t="shared" si="12"/>
        <v>-5398.7183842656295</v>
      </c>
      <c r="D48" s="16">
        <f t="shared" si="12"/>
        <v>-0.84977825362875592</v>
      </c>
      <c r="E48" s="16">
        <f t="shared" si="12"/>
        <v>1275.5868665098824</v>
      </c>
      <c r="F48" s="16">
        <f t="shared" si="12"/>
        <v>0.837563406676054</v>
      </c>
      <c r="G48" s="16">
        <f t="shared" si="11"/>
        <v>-4123.1437326026999</v>
      </c>
    </row>
    <row r="49" spans="2:7" x14ac:dyDescent="0.25">
      <c r="B49" s="12" t="s">
        <v>11</v>
      </c>
      <c r="C49" s="16">
        <f t="shared" si="12"/>
        <v>3916.4041317584051</v>
      </c>
      <c r="D49" s="16">
        <f t="shared" si="12"/>
        <v>-0.52872685436159372</v>
      </c>
      <c r="E49" s="16">
        <f t="shared" si="12"/>
        <v>-2595.3909296434795</v>
      </c>
      <c r="F49" s="16">
        <f t="shared" si="12"/>
        <v>0.58262042794376612</v>
      </c>
      <c r="G49" s="16">
        <f t="shared" si="11"/>
        <v>1321.0670956885078</v>
      </c>
    </row>
    <row r="50" spans="2:7" x14ac:dyDescent="0.25">
      <c r="B50" s="12" t="s">
        <v>12</v>
      </c>
      <c r="C50" s="16">
        <f t="shared" si="12"/>
        <v>7606.2060957616341</v>
      </c>
      <c r="D50" s="16">
        <f t="shared" si="12"/>
        <v>-0.9947744847740978</v>
      </c>
      <c r="E50" s="16">
        <f t="shared" si="12"/>
        <v>3636.062965910256</v>
      </c>
      <c r="F50" s="16">
        <f t="shared" si="12"/>
        <v>0.17864146883948706</v>
      </c>
      <c r="G50" s="16">
        <f t="shared" si="11"/>
        <v>11241.452928655955</v>
      </c>
    </row>
    <row r="51" spans="2:7" x14ac:dyDescent="0.25">
      <c r="B51" s="12" t="s">
        <v>22</v>
      </c>
      <c r="C51" s="16">
        <f t="shared" si="12"/>
        <v>501.67102420042738</v>
      </c>
      <c r="D51" s="16">
        <f t="shared" si="12"/>
        <v>-0.19497877166213584</v>
      </c>
      <c r="E51" s="16">
        <f t="shared" si="12"/>
        <v>-2274.2457469471869</v>
      </c>
      <c r="F51" s="16">
        <f t="shared" si="12"/>
        <v>0.10348667973539705</v>
      </c>
      <c r="G51" s="16">
        <f t="shared" si="11"/>
        <v>-1772.6662148386863</v>
      </c>
    </row>
    <row r="52" spans="2:7" x14ac:dyDescent="0.25">
      <c r="B52" s="12" t="s">
        <v>21</v>
      </c>
      <c r="C52" s="16">
        <f t="shared" si="12"/>
        <v>0</v>
      </c>
      <c r="D52" s="16">
        <f t="shared" si="12"/>
        <v>0</v>
      </c>
      <c r="E52" s="16">
        <f t="shared" si="12"/>
        <v>0</v>
      </c>
      <c r="F52" s="16">
        <f t="shared" si="12"/>
        <v>0</v>
      </c>
      <c r="G52" s="16">
        <f t="shared" si="11"/>
        <v>0</v>
      </c>
    </row>
    <row r="53" spans="2:7" x14ac:dyDescent="0.25">
      <c r="B53" s="12" t="s">
        <v>13</v>
      </c>
      <c r="C53" s="16">
        <f t="shared" si="12"/>
        <v>6856.4181677588931</v>
      </c>
      <c r="D53" s="16">
        <f t="shared" si="12"/>
        <v>-0.36270872105524177</v>
      </c>
      <c r="E53" s="16">
        <f t="shared" si="12"/>
        <v>1163.9821043869597</v>
      </c>
      <c r="F53" s="16">
        <f t="shared" si="12"/>
        <v>0.3259532946976833</v>
      </c>
      <c r="G53" s="16">
        <f t="shared" si="11"/>
        <v>8020.3635167194952</v>
      </c>
    </row>
    <row r="54" spans="2:7" x14ac:dyDescent="0.25">
      <c r="B54" s="12" t="s">
        <v>14</v>
      </c>
      <c r="C54" s="16">
        <f t="shared" si="12"/>
        <v>2036.0808692538594</v>
      </c>
      <c r="D54" s="16">
        <f t="shared" si="12"/>
        <v>-0.13297239417443052</v>
      </c>
      <c r="E54" s="16">
        <f t="shared" si="12"/>
        <v>-210.82243864327756</v>
      </c>
      <c r="F54" s="16">
        <f t="shared" si="12"/>
        <v>0.2794302446563961</v>
      </c>
      <c r="G54" s="16">
        <f t="shared" si="11"/>
        <v>1825.4048884610638</v>
      </c>
    </row>
    <row r="55" spans="2:7" x14ac:dyDescent="0.25">
      <c r="B55" s="12" t="s">
        <v>15</v>
      </c>
      <c r="C55" s="16">
        <f t="shared" si="12"/>
        <v>13349.658561495977</v>
      </c>
      <c r="D55" s="16">
        <f t="shared" si="12"/>
        <v>-0.45222405398089904</v>
      </c>
      <c r="E55" s="16">
        <f t="shared" si="12"/>
        <v>40873.890919800178</v>
      </c>
      <c r="F55" s="16">
        <f t="shared" si="12"/>
        <v>1.4437575885676779</v>
      </c>
      <c r="G55" s="16">
        <f t="shared" si="11"/>
        <v>54224.541014830742</v>
      </c>
    </row>
    <row r="56" spans="2:7" x14ac:dyDescent="0.25">
      <c r="B56" s="12" t="s">
        <v>16</v>
      </c>
      <c r="C56" s="16">
        <f t="shared" si="12"/>
        <v>-78346.963961907255</v>
      </c>
      <c r="D56" s="16">
        <f t="shared" si="12"/>
        <v>-724.92079935464426</v>
      </c>
      <c r="E56" s="16">
        <f t="shared" si="12"/>
        <v>-54529.742434700922</v>
      </c>
      <c r="F56" s="16">
        <f t="shared" si="12"/>
        <v>0.79601878626272082</v>
      </c>
      <c r="G56" s="16">
        <f t="shared" si="11"/>
        <v>-133600.83117717656</v>
      </c>
    </row>
    <row r="57" spans="2:7" x14ac:dyDescent="0.25">
      <c r="B57" s="12" t="s">
        <v>17</v>
      </c>
      <c r="C57" s="16">
        <f t="shared" si="12"/>
        <v>2134.344013654274</v>
      </c>
      <c r="D57" s="16">
        <f t="shared" si="12"/>
        <v>-0.48707639256463153</v>
      </c>
      <c r="E57" s="16">
        <f t="shared" si="12"/>
        <v>5245.4762313150059</v>
      </c>
      <c r="F57" s="16">
        <f t="shared" si="12"/>
        <v>0.18909642937069293</v>
      </c>
      <c r="G57" s="16">
        <f t="shared" si="11"/>
        <v>7379.5222650060859</v>
      </c>
    </row>
    <row r="58" spans="2:7" x14ac:dyDescent="0.25">
      <c r="B58" s="12" t="s">
        <v>18</v>
      </c>
      <c r="C58" s="16">
        <f t="shared" si="12"/>
        <v>19097.615909012326</v>
      </c>
      <c r="D58" s="16">
        <f t="shared" si="12"/>
        <v>-2.3260856508277357</v>
      </c>
      <c r="E58" s="16">
        <f t="shared" si="12"/>
        <v>-105.27246098124306</v>
      </c>
      <c r="F58" s="16">
        <f t="shared" si="12"/>
        <v>-241.20014431915479</v>
      </c>
      <c r="G58" s="16">
        <f t="shared" si="11"/>
        <v>18748.8172180611</v>
      </c>
    </row>
    <row r="59" spans="2:7" x14ac:dyDescent="0.25">
      <c r="B59" s="15" t="s">
        <v>24</v>
      </c>
      <c r="C59" s="16">
        <f>SUM(C45:C58)</f>
        <v>0</v>
      </c>
      <c r="D59" s="16">
        <f>SUM(D45:D58)</f>
        <v>-5.4569682106375694E-11</v>
      </c>
      <c r="E59" s="16">
        <f>SUM(E45:E58)</f>
        <v>-1.964508555829525E-10</v>
      </c>
      <c r="F59" s="16">
        <f>SUM(F45:F58)</f>
        <v>-2.8285285225138068E-10</v>
      </c>
      <c r="G59" s="16">
        <f t="shared" si="11"/>
        <v>-5.3387338994070888E-10</v>
      </c>
    </row>
  </sheetData>
  <sheetProtection algorithmName="SHA-512" hashValue="nBAkk5gr12Lq+/djSernyNiFpnCK9Cs+UGKa4kQT/MHQ2qjrRz9JHQ4FH2lmqyYzxGuBJ6hYPzUMPnm3guG12g==" saltValue="kx8d0766F9wSPjXXADbtOw==" spinCount="100000" sheet="1" objects="1" scenarios="1"/>
  <mergeCells count="6">
    <mergeCell ref="B2:G2"/>
    <mergeCell ref="I2:Q2"/>
    <mergeCell ref="B24:G24"/>
    <mergeCell ref="I24:Q24"/>
    <mergeCell ref="B43:G43"/>
    <mergeCell ref="I43:Q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9C282-D07E-457D-815B-A10D052923CD}">
  <dimension ref="B2:Q59"/>
  <sheetViews>
    <sheetView workbookViewId="0">
      <selection activeCell="B3" sqref="B3"/>
    </sheetView>
  </sheetViews>
  <sheetFormatPr defaultColWidth="9.140625" defaultRowHeight="15" x14ac:dyDescent="0.25"/>
  <cols>
    <col min="1" max="2" width="9.140625" style="12"/>
    <col min="3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41</v>
      </c>
      <c r="C2" s="44"/>
      <c r="D2" s="44"/>
      <c r="E2" s="44"/>
      <c r="F2" s="44"/>
      <c r="G2" s="44"/>
      <c r="H2" s="11"/>
      <c r="I2" s="44" t="s">
        <v>42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2</v>
      </c>
      <c r="K3" s="13"/>
      <c r="L3" s="13" t="s">
        <v>3</v>
      </c>
      <c r="M3" s="13"/>
      <c r="N3" s="13" t="s">
        <v>4</v>
      </c>
      <c r="O3" s="13"/>
      <c r="P3" s="13" t="s">
        <v>26</v>
      </c>
      <c r="Q3" s="13"/>
    </row>
    <row r="4" spans="2:17" x14ac:dyDescent="0.25">
      <c r="B4" s="12" t="s">
        <v>7</v>
      </c>
      <c r="C4" s="3">
        <v>62342</v>
      </c>
      <c r="D4" s="5">
        <v>57680</v>
      </c>
      <c r="E4" s="5">
        <v>86901.26</v>
      </c>
      <c r="F4" s="5">
        <v>199240.55</v>
      </c>
      <c r="G4" s="5">
        <f t="shared" ref="G4:G20" si="0">C4+D4+E4+F4</f>
        <v>406163.81</v>
      </c>
      <c r="I4" s="12" t="s">
        <v>7</v>
      </c>
      <c r="J4" s="3">
        <v>11035407.659999998</v>
      </c>
      <c r="K4" s="14"/>
      <c r="L4" s="3">
        <v>10387878.689999999</v>
      </c>
      <c r="M4" s="14"/>
      <c r="N4" s="3">
        <v>9588274.6633333322</v>
      </c>
      <c r="O4" s="14"/>
      <c r="P4" s="3">
        <v>10914324.6</v>
      </c>
      <c r="Q4" s="14"/>
    </row>
    <row r="5" spans="2:17" x14ac:dyDescent="0.25">
      <c r="B5" s="12" t="s">
        <v>8</v>
      </c>
      <c r="C5" s="3">
        <v>132438</v>
      </c>
      <c r="D5" s="3">
        <v>133145</v>
      </c>
      <c r="E5" s="3">
        <v>204277.62</v>
      </c>
      <c r="F5" s="3">
        <v>464438.22</v>
      </c>
      <c r="G5" s="5">
        <f t="shared" si="0"/>
        <v>934298.84</v>
      </c>
      <c r="I5" s="12" t="s">
        <v>8</v>
      </c>
      <c r="J5" s="3">
        <v>23443530.716666665</v>
      </c>
      <c r="K5" s="14"/>
      <c r="L5" s="3">
        <v>24620278.22666667</v>
      </c>
      <c r="M5" s="14"/>
      <c r="N5" s="3">
        <v>22539026.870000001</v>
      </c>
      <c r="O5" s="14"/>
      <c r="P5" s="3">
        <v>25441755.420000002</v>
      </c>
      <c r="Q5" s="14"/>
    </row>
    <row r="6" spans="2:17" x14ac:dyDescent="0.25">
      <c r="B6" s="12" t="s">
        <v>9</v>
      </c>
      <c r="C6" s="3">
        <v>85705</v>
      </c>
      <c r="D6" s="3">
        <v>82983</v>
      </c>
      <c r="E6" s="3">
        <v>73161.350000000006</v>
      </c>
      <c r="F6" s="3">
        <v>284758</v>
      </c>
      <c r="G6" s="5">
        <f t="shared" si="0"/>
        <v>526607.35</v>
      </c>
      <c r="I6" s="12" t="s">
        <v>9</v>
      </c>
      <c r="J6" s="3">
        <v>15171036.933333332</v>
      </c>
      <c r="K6" s="14"/>
      <c r="L6" s="3">
        <v>15344655.520000001</v>
      </c>
      <c r="M6" s="14"/>
      <c r="N6" s="3">
        <v>13224866.873333333</v>
      </c>
      <c r="O6" s="14"/>
      <c r="P6" s="3">
        <v>15598939.09</v>
      </c>
      <c r="Q6" s="14"/>
    </row>
    <row r="7" spans="2:17" x14ac:dyDescent="0.25">
      <c r="B7" s="12" t="s">
        <v>10</v>
      </c>
      <c r="C7" s="3">
        <v>21366</v>
      </c>
      <c r="D7" s="3">
        <v>20588</v>
      </c>
      <c r="E7" s="3">
        <v>25262.29</v>
      </c>
      <c r="F7" s="3">
        <v>76261.179999999993</v>
      </c>
      <c r="G7" s="5">
        <f t="shared" si="0"/>
        <v>143477.47</v>
      </c>
      <c r="I7" s="12" t="s">
        <v>10</v>
      </c>
      <c r="J7" s="3">
        <v>3782019.9333333336</v>
      </c>
      <c r="K7" s="14"/>
      <c r="L7" s="3">
        <v>3807221.09</v>
      </c>
      <c r="M7" s="14"/>
      <c r="N7" s="3">
        <v>2787321.18</v>
      </c>
      <c r="O7" s="14"/>
      <c r="P7" s="3">
        <v>4177559.6799999997</v>
      </c>
      <c r="Q7" s="14"/>
    </row>
    <row r="8" spans="2:17" x14ac:dyDescent="0.25">
      <c r="B8" s="12" t="s">
        <v>11</v>
      </c>
      <c r="C8" s="3">
        <v>32641</v>
      </c>
      <c r="D8" s="3">
        <v>37231</v>
      </c>
      <c r="E8" s="3">
        <v>61254.15</v>
      </c>
      <c r="F8" s="3">
        <v>171450.26</v>
      </c>
      <c r="G8" s="5">
        <f t="shared" si="0"/>
        <v>302576.41000000003</v>
      </c>
      <c r="I8" s="12" t="s">
        <v>11</v>
      </c>
      <c r="J8" s="3">
        <v>5778082.4533333331</v>
      </c>
      <c r="K8" s="14"/>
      <c r="L8" s="3">
        <v>6884632.6033333326</v>
      </c>
      <c r="M8" s="14"/>
      <c r="N8" s="3">
        <v>5373791.7299999995</v>
      </c>
      <c r="O8" s="14"/>
      <c r="P8" s="3">
        <v>9391982.4299999997</v>
      </c>
      <c r="Q8" s="14"/>
    </row>
    <row r="9" spans="2:17" x14ac:dyDescent="0.25">
      <c r="B9" s="12" t="s">
        <v>12</v>
      </c>
      <c r="C9" s="3">
        <v>60792</v>
      </c>
      <c r="D9" s="3">
        <v>67667</v>
      </c>
      <c r="E9" s="3">
        <v>106068.29</v>
      </c>
      <c r="F9" s="3">
        <v>205424.53</v>
      </c>
      <c r="G9" s="5">
        <f t="shared" si="0"/>
        <v>439951.81999999995</v>
      </c>
      <c r="I9" s="12" t="s">
        <v>12</v>
      </c>
      <c r="J9" s="3">
        <v>10761147.35</v>
      </c>
      <c r="K9" s="14"/>
      <c r="L9" s="3">
        <v>12514655.923333334</v>
      </c>
      <c r="M9" s="14"/>
      <c r="N9" s="3">
        <v>11703073.336666668</v>
      </c>
      <c r="O9" s="14"/>
      <c r="P9" s="3">
        <v>12732579.145</v>
      </c>
      <c r="Q9" s="14"/>
    </row>
    <row r="10" spans="2:17" x14ac:dyDescent="0.25">
      <c r="B10" s="12" t="s">
        <v>22</v>
      </c>
      <c r="C10" s="3">
        <v>2700</v>
      </c>
      <c r="D10" s="3">
        <v>2748</v>
      </c>
      <c r="E10" s="3">
        <v>8122.33</v>
      </c>
      <c r="F10" s="3">
        <v>14940.32</v>
      </c>
      <c r="G10" s="5">
        <f t="shared" si="0"/>
        <v>28510.65</v>
      </c>
      <c r="I10" s="12" t="s">
        <v>22</v>
      </c>
      <c r="J10" s="3">
        <v>478009.9266666667</v>
      </c>
      <c r="K10" s="14"/>
      <c r="L10" s="3">
        <v>508148.26</v>
      </c>
      <c r="M10" s="14"/>
      <c r="N10" s="3">
        <v>958060.12</v>
      </c>
      <c r="O10" s="14"/>
      <c r="P10" s="3">
        <v>818425.26</v>
      </c>
      <c r="Q10" s="14"/>
    </row>
    <row r="11" spans="2:17" x14ac:dyDescent="0.25">
      <c r="B11" s="12" t="s">
        <v>21</v>
      </c>
      <c r="C11" s="3">
        <v>0</v>
      </c>
      <c r="D11" s="3">
        <v>0</v>
      </c>
      <c r="E11" s="3">
        <v>0</v>
      </c>
      <c r="F11" s="3">
        <v>0</v>
      </c>
      <c r="G11" s="5">
        <f t="shared" si="0"/>
        <v>0</v>
      </c>
      <c r="I11" s="12" t="s">
        <v>21</v>
      </c>
      <c r="J11" s="3">
        <v>0</v>
      </c>
      <c r="K11" s="14"/>
      <c r="L11" s="3">
        <v>0</v>
      </c>
      <c r="M11" s="14"/>
      <c r="N11" s="3">
        <v>0</v>
      </c>
      <c r="O11" s="14"/>
      <c r="P11" s="3">
        <v>0</v>
      </c>
      <c r="Q11" s="14"/>
    </row>
    <row r="12" spans="2:17" x14ac:dyDescent="0.25">
      <c r="B12" s="12" t="s">
        <v>13</v>
      </c>
      <c r="C12" s="3">
        <v>94227</v>
      </c>
      <c r="D12" s="3">
        <v>89648</v>
      </c>
      <c r="E12" s="3">
        <v>126495.41</v>
      </c>
      <c r="F12" s="3">
        <v>278786.84000000003</v>
      </c>
      <c r="G12" s="5">
        <f t="shared" si="0"/>
        <v>589157.25</v>
      </c>
      <c r="I12" s="12" t="s">
        <v>13</v>
      </c>
      <c r="J12" s="3">
        <v>16684897.626666665</v>
      </c>
      <c r="K12" s="14"/>
      <c r="L12" s="3">
        <v>16577196.58</v>
      </c>
      <c r="M12" s="14"/>
      <c r="N12" s="3">
        <v>13956905.466666669</v>
      </c>
      <c r="O12" s="14"/>
      <c r="P12" s="3">
        <v>13902350.27</v>
      </c>
      <c r="Q12" s="14"/>
    </row>
    <row r="13" spans="2:17" x14ac:dyDescent="0.25">
      <c r="B13" s="12" t="s">
        <v>14</v>
      </c>
      <c r="C13" s="3">
        <v>17188</v>
      </c>
      <c r="D13" s="3">
        <v>18757</v>
      </c>
      <c r="E13" s="3">
        <v>26967.21</v>
      </c>
      <c r="F13" s="3">
        <v>59193.279999999999</v>
      </c>
      <c r="G13" s="5">
        <f t="shared" si="0"/>
        <v>122105.48999999999</v>
      </c>
      <c r="I13" s="12" t="s">
        <v>14</v>
      </c>
      <c r="J13" s="3">
        <v>3042556.44</v>
      </c>
      <c r="K13" s="14"/>
      <c r="L13" s="3">
        <v>3308453.686666667</v>
      </c>
      <c r="M13" s="14"/>
      <c r="N13" s="3">
        <v>2975433.9766666666</v>
      </c>
      <c r="O13" s="14"/>
      <c r="P13" s="3">
        <v>3242586.3449999997</v>
      </c>
      <c r="Q13" s="14"/>
    </row>
    <row r="14" spans="2:17" x14ac:dyDescent="0.25">
      <c r="B14" s="12" t="s">
        <v>15</v>
      </c>
      <c r="C14" s="3">
        <v>91277</v>
      </c>
      <c r="D14" s="3">
        <v>88031</v>
      </c>
      <c r="E14" s="3">
        <v>124201.99</v>
      </c>
      <c r="F14" s="3">
        <v>456520.89</v>
      </c>
      <c r="G14" s="5">
        <f t="shared" si="0"/>
        <v>760030.88</v>
      </c>
      <c r="I14" s="12" t="s">
        <v>15</v>
      </c>
      <c r="J14" s="3">
        <v>16157290.066666668</v>
      </c>
      <c r="K14" s="14"/>
      <c r="L14" s="3">
        <v>16611492.979999999</v>
      </c>
      <c r="M14" s="14"/>
      <c r="N14" s="3">
        <v>15835709.613333335</v>
      </c>
      <c r="O14" s="14"/>
      <c r="P14" s="3">
        <v>17542963.325000003</v>
      </c>
      <c r="Q14" s="14"/>
    </row>
    <row r="15" spans="2:17" x14ac:dyDescent="0.25">
      <c r="B15" s="12" t="s">
        <v>16</v>
      </c>
      <c r="C15" s="3">
        <v>789310</v>
      </c>
      <c r="D15" s="3">
        <v>341568</v>
      </c>
      <c r="E15" s="3">
        <v>445090.32</v>
      </c>
      <c r="F15" s="3">
        <v>788805.08</v>
      </c>
      <c r="G15" s="5">
        <f t="shared" si="0"/>
        <v>2364773.4</v>
      </c>
      <c r="I15" s="12" t="s">
        <v>16</v>
      </c>
      <c r="J15" s="3">
        <v>37552750.366666667</v>
      </c>
      <c r="K15" s="14"/>
      <c r="L15" s="3">
        <v>40046346.979999997</v>
      </c>
      <c r="M15" s="14"/>
      <c r="N15" s="3">
        <v>37148678.869999997</v>
      </c>
      <c r="O15" s="14"/>
      <c r="P15" s="3">
        <v>43083138.034999996</v>
      </c>
      <c r="Q15" s="14"/>
    </row>
    <row r="16" spans="2:17" x14ac:dyDescent="0.25">
      <c r="B16" s="12" t="s">
        <v>17</v>
      </c>
      <c r="C16" s="3">
        <v>20294</v>
      </c>
      <c r="D16" s="3">
        <v>21378</v>
      </c>
      <c r="E16" s="3">
        <v>62042.85</v>
      </c>
      <c r="F16" s="3">
        <v>113725.57</v>
      </c>
      <c r="G16" s="5">
        <f t="shared" si="0"/>
        <v>217440.42</v>
      </c>
      <c r="I16" s="12" t="s">
        <v>17</v>
      </c>
      <c r="J16" s="3">
        <v>3592329.5166666671</v>
      </c>
      <c r="K16" s="14"/>
      <c r="L16" s="3">
        <v>3953179.56</v>
      </c>
      <c r="M16" s="14"/>
      <c r="N16" s="3">
        <v>6845515.2199999997</v>
      </c>
      <c r="O16" s="14"/>
      <c r="P16" s="3">
        <v>6229844.9950000001</v>
      </c>
      <c r="Q16" s="14"/>
    </row>
    <row r="17" spans="2:17" x14ac:dyDescent="0.25">
      <c r="B17" s="12" t="s">
        <v>18</v>
      </c>
      <c r="C17" s="3">
        <v>161854</v>
      </c>
      <c r="D17" s="3">
        <v>158842</v>
      </c>
      <c r="E17" s="3">
        <v>215526.12</v>
      </c>
      <c r="F17" s="3">
        <v>533806.21</v>
      </c>
      <c r="G17" s="5">
        <f t="shared" si="0"/>
        <v>1070028.33</v>
      </c>
      <c r="I17" s="12" t="s">
        <v>18</v>
      </c>
      <c r="J17" s="3">
        <v>28650553.819999997</v>
      </c>
      <c r="K17" s="14"/>
      <c r="L17" s="3">
        <v>29358903.906666666</v>
      </c>
      <c r="M17" s="14"/>
      <c r="N17" s="3">
        <v>26936407.846666664</v>
      </c>
      <c r="O17" s="14"/>
      <c r="P17" s="3">
        <v>29241708.664999999</v>
      </c>
      <c r="Q17" s="14"/>
    </row>
    <row r="18" spans="2:17" x14ac:dyDescent="0.25">
      <c r="B18" s="29" t="s">
        <v>19</v>
      </c>
      <c r="C18" s="30">
        <v>0</v>
      </c>
      <c r="D18" s="30">
        <v>0</v>
      </c>
      <c r="E18" s="30">
        <v>0</v>
      </c>
      <c r="F18" s="30">
        <v>0</v>
      </c>
      <c r="G18" s="31">
        <f t="shared" si="0"/>
        <v>0</v>
      </c>
      <c r="I18" s="29" t="s">
        <v>19</v>
      </c>
      <c r="J18" s="30">
        <v>0</v>
      </c>
      <c r="K18" s="32"/>
      <c r="L18" s="30">
        <v>0</v>
      </c>
      <c r="M18" s="32"/>
      <c r="N18" s="30">
        <v>0</v>
      </c>
      <c r="O18" s="32"/>
      <c r="P18" s="30">
        <v>0</v>
      </c>
      <c r="Q18" s="14"/>
    </row>
    <row r="19" spans="2:17" x14ac:dyDescent="0.25">
      <c r="B19" s="29" t="s">
        <v>20</v>
      </c>
      <c r="C19" s="30">
        <v>5001</v>
      </c>
      <c r="D19" s="30">
        <v>5670</v>
      </c>
      <c r="E19" s="30">
        <v>10234.42</v>
      </c>
      <c r="F19" s="30">
        <v>22649.06</v>
      </c>
      <c r="G19" s="31">
        <f t="shared" si="0"/>
        <v>43554.479999999996</v>
      </c>
      <c r="I19" s="29" t="s">
        <v>20</v>
      </c>
      <c r="J19" s="30">
        <v>884198.27</v>
      </c>
      <c r="K19" s="32"/>
      <c r="L19" s="30">
        <v>1045382.85</v>
      </c>
      <c r="M19" s="32"/>
      <c r="N19" s="30">
        <v>1129217.45</v>
      </c>
      <c r="O19" s="32"/>
      <c r="P19" s="30">
        <v>1240707.04</v>
      </c>
      <c r="Q19" s="14"/>
    </row>
    <row r="20" spans="2:17" x14ac:dyDescent="0.25">
      <c r="B20" s="29" t="s">
        <v>23</v>
      </c>
      <c r="C20" s="30">
        <v>0</v>
      </c>
      <c r="D20" s="30">
        <v>0</v>
      </c>
      <c r="E20" s="30">
        <v>0</v>
      </c>
      <c r="F20" s="30">
        <v>0</v>
      </c>
      <c r="G20" s="31">
        <f t="shared" si="0"/>
        <v>0</v>
      </c>
      <c r="I20" s="29" t="s">
        <v>23</v>
      </c>
      <c r="J20" s="30">
        <v>0</v>
      </c>
      <c r="K20" s="32"/>
      <c r="L20" s="30">
        <v>0</v>
      </c>
      <c r="M20" s="32"/>
      <c r="N20" s="30">
        <v>0</v>
      </c>
      <c r="O20" s="32"/>
      <c r="P20" s="30">
        <v>0</v>
      </c>
      <c r="Q20" s="14"/>
    </row>
    <row r="21" spans="2:17" x14ac:dyDescent="0.25">
      <c r="B21" s="15" t="s">
        <v>24</v>
      </c>
      <c r="C21" s="16">
        <f>SUM(C4:C20)</f>
        <v>1577135</v>
      </c>
      <c r="D21" s="3">
        <f>SUM(D4:D20)</f>
        <v>1125936</v>
      </c>
      <c r="E21" s="3">
        <f>SUM(E4:E20)</f>
        <v>1575605.6099999999</v>
      </c>
      <c r="F21" s="3">
        <f>SUM(F4:F20)</f>
        <v>3669999.99</v>
      </c>
      <c r="G21" s="3">
        <f>SUM(G4:G20)</f>
        <v>7948676.5999999996</v>
      </c>
      <c r="I21" s="15" t="s">
        <v>24</v>
      </c>
      <c r="J21" s="3">
        <f>SUM(J4:J20)</f>
        <v>177013811.07999998</v>
      </c>
      <c r="K21" s="17"/>
      <c r="L21" s="3">
        <f>SUM(L4:L20)</f>
        <v>184968426.85666668</v>
      </c>
      <c r="M21" s="14"/>
      <c r="N21" s="3">
        <f>SUM(N4:N20)</f>
        <v>171002283.21666664</v>
      </c>
      <c r="O21" s="14"/>
      <c r="P21" s="3">
        <f>SUM(P4:P20)</f>
        <v>193558864.29999998</v>
      </c>
      <c r="Q21" s="18"/>
    </row>
    <row r="24" spans="2:17" ht="15.75" x14ac:dyDescent="0.25">
      <c r="B24" s="44" t="s">
        <v>121</v>
      </c>
      <c r="C24" s="44"/>
      <c r="D24" s="44"/>
      <c r="E24" s="44"/>
      <c r="F24" s="44"/>
      <c r="G24" s="44"/>
      <c r="I24" s="44" t="s">
        <v>43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2</v>
      </c>
      <c r="K25" s="13"/>
      <c r="L25" s="13" t="s">
        <v>3</v>
      </c>
      <c r="M25" s="13"/>
      <c r="N25" s="13" t="s">
        <v>4</v>
      </c>
      <c r="O25" s="13"/>
      <c r="P25" s="13" t="s">
        <v>26</v>
      </c>
    </row>
    <row r="26" spans="2:17" x14ac:dyDescent="0.25">
      <c r="B26" s="12" t="s">
        <v>7</v>
      </c>
      <c r="C26" s="16">
        <f t="shared" ref="C26:C39" si="1">$C$40*K26</f>
        <v>95783.010392371376</v>
      </c>
      <c r="D26" s="16">
        <f t="shared" ref="D26:D39" si="2">$D$40*M26</f>
        <v>61597.500557533298</v>
      </c>
      <c r="E26" s="16">
        <f t="shared" ref="E26:E39" si="3">$E$40*O26</f>
        <v>85829.163307605966</v>
      </c>
      <c r="F26" s="16">
        <f t="shared" ref="F26:F39" si="4">$F$40*Q26</f>
        <v>201747.13028399929</v>
      </c>
      <c r="G26" s="16">
        <f t="shared" ref="G26:G39" si="5">SUM(C26+D26+E26+F26)</f>
        <v>444956.80454150995</v>
      </c>
      <c r="I26" s="12" t="s">
        <v>7</v>
      </c>
      <c r="J26" s="3">
        <v>11035407.659999998</v>
      </c>
      <c r="K26" s="14">
        <f t="shared" ref="K26:K39" si="6">J26/$J$40</f>
        <v>6.0925474795641706E-2</v>
      </c>
      <c r="L26" s="3">
        <v>10387878.689999999</v>
      </c>
      <c r="M26" s="14">
        <f t="shared" ref="M26:M39" si="7">L26/$L$40</f>
        <v>5.4984709486437418E-2</v>
      </c>
      <c r="N26" s="3">
        <v>9588274.6633333322</v>
      </c>
      <c r="O26" s="14">
        <f t="shared" ref="O26:O39" si="8">N26/$N$40</f>
        <v>5.4829911177556527E-2</v>
      </c>
      <c r="P26" s="3">
        <v>10914324.6</v>
      </c>
      <c r="Q26" s="14">
        <f t="shared" ref="Q26:Q39" si="9">P26/$P$40</f>
        <v>5.5313331279586875E-2</v>
      </c>
    </row>
    <row r="27" spans="2:17" x14ac:dyDescent="0.25">
      <c r="B27" s="12" t="s">
        <v>8</v>
      </c>
      <c r="C27" s="16">
        <f t="shared" si="1"/>
        <v>203480.65204764364</v>
      </c>
      <c r="D27" s="16">
        <f t="shared" si="2"/>
        <v>145992.04005468852</v>
      </c>
      <c r="E27" s="16">
        <f t="shared" si="3"/>
        <v>201757.44708456489</v>
      </c>
      <c r="F27" s="16">
        <f t="shared" si="4"/>
        <v>470281.15192509355</v>
      </c>
      <c r="G27" s="16">
        <f t="shared" si="5"/>
        <v>1021511.2911119906</v>
      </c>
      <c r="I27" s="12" t="s">
        <v>8</v>
      </c>
      <c r="J27" s="3">
        <v>23443530.716666665</v>
      </c>
      <c r="K27" s="14">
        <f t="shared" si="6"/>
        <v>0.12942958554909673</v>
      </c>
      <c r="L27" s="3">
        <v>24620278.22666667</v>
      </c>
      <c r="M27" s="14">
        <f t="shared" si="7"/>
        <v>0.1303190849804319</v>
      </c>
      <c r="N27" s="3">
        <v>22539026.870000001</v>
      </c>
      <c r="O27" s="14">
        <f t="shared" si="8"/>
        <v>0.12888792662944365</v>
      </c>
      <c r="P27" s="3">
        <v>25441755.420000002</v>
      </c>
      <c r="Q27" s="14">
        <f t="shared" si="9"/>
        <v>0.12893773068474482</v>
      </c>
    </row>
    <row r="28" spans="2:17" x14ac:dyDescent="0.25">
      <c r="B28" s="12" t="s">
        <v>9</v>
      </c>
      <c r="C28" s="16">
        <f t="shared" si="1"/>
        <v>131678.65048752687</v>
      </c>
      <c r="D28" s="16">
        <f t="shared" si="2"/>
        <v>90989.936940470434</v>
      </c>
      <c r="E28" s="16">
        <f t="shared" si="3"/>
        <v>118382.01328684803</v>
      </c>
      <c r="F28" s="16">
        <f t="shared" si="4"/>
        <v>288340.44361136184</v>
      </c>
      <c r="G28" s="16">
        <f t="shared" si="5"/>
        <v>629391.04432620713</v>
      </c>
      <c r="I28" s="12" t="s">
        <v>9</v>
      </c>
      <c r="J28" s="3">
        <v>15171036.933333332</v>
      </c>
      <c r="K28" s="14">
        <f t="shared" si="6"/>
        <v>8.3757905170632321E-2</v>
      </c>
      <c r="L28" s="3">
        <v>15344655.520000001</v>
      </c>
      <c r="M28" s="14">
        <f t="shared" si="7"/>
        <v>8.1221724965740663E-2</v>
      </c>
      <c r="N28" s="3">
        <v>13224866.873333333</v>
      </c>
      <c r="O28" s="14">
        <f t="shared" si="8"/>
        <v>7.5625521948470276E-2</v>
      </c>
      <c r="P28" s="3">
        <v>15598939.09</v>
      </c>
      <c r="Q28" s="14">
        <f t="shared" si="9"/>
        <v>7.9054757588505969E-2</v>
      </c>
    </row>
    <row r="29" spans="2:17" x14ac:dyDescent="0.25">
      <c r="B29" s="12" t="s">
        <v>10</v>
      </c>
      <c r="C29" s="16">
        <f t="shared" si="1"/>
        <v>32826.44970984447</v>
      </c>
      <c r="D29" s="16">
        <f t="shared" si="2"/>
        <v>22575.86079048903</v>
      </c>
      <c r="E29" s="16">
        <f t="shared" si="3"/>
        <v>24950.624919395064</v>
      </c>
      <c r="F29" s="16">
        <f t="shared" si="4"/>
        <v>77220.598426231736</v>
      </c>
      <c r="G29" s="16">
        <f t="shared" si="5"/>
        <v>157573.53384596031</v>
      </c>
      <c r="I29" s="12" t="s">
        <v>10</v>
      </c>
      <c r="J29" s="3">
        <v>3782019.9333333336</v>
      </c>
      <c r="K29" s="14">
        <f t="shared" si="6"/>
        <v>2.0880185601128448E-2</v>
      </c>
      <c r="L29" s="3">
        <v>3807221.09</v>
      </c>
      <c r="M29" s="14">
        <f t="shared" si="7"/>
        <v>2.0152232407739796E-2</v>
      </c>
      <c r="N29" s="3">
        <v>2787321.18</v>
      </c>
      <c r="O29" s="14">
        <f t="shared" si="8"/>
        <v>1.5939110850376047E-2</v>
      </c>
      <c r="P29" s="3">
        <v>4177559.6799999997</v>
      </c>
      <c r="Q29" s="14">
        <f t="shared" si="9"/>
        <v>2.1171694171537185E-2</v>
      </c>
    </row>
    <row r="30" spans="2:17" x14ac:dyDescent="0.25">
      <c r="B30" s="12" t="s">
        <v>11</v>
      </c>
      <c r="C30" s="16">
        <f t="shared" si="1"/>
        <v>50151.489525997757</v>
      </c>
      <c r="D30" s="16">
        <f t="shared" si="2"/>
        <v>40824.134866965498</v>
      </c>
      <c r="E30" s="16">
        <f t="shared" si="3"/>
        <v>48103.341233957508</v>
      </c>
      <c r="F30" s="16">
        <f t="shared" si="4"/>
        <v>173607.21550559733</v>
      </c>
      <c r="G30" s="16">
        <f t="shared" si="5"/>
        <v>312686.1811325181</v>
      </c>
      <c r="I30" s="12" t="s">
        <v>11</v>
      </c>
      <c r="J30" s="3">
        <v>5778082.4533333331</v>
      </c>
      <c r="K30" s="14">
        <f t="shared" si="6"/>
        <v>3.1900263925338269E-2</v>
      </c>
      <c r="L30" s="3">
        <v>6884632.6033333326</v>
      </c>
      <c r="M30" s="14">
        <f t="shared" si="7"/>
        <v>3.6441465568860874E-2</v>
      </c>
      <c r="N30" s="3">
        <v>5373791.7299999995</v>
      </c>
      <c r="O30" s="14">
        <f t="shared" si="8"/>
        <v>3.0729670726824549E-2</v>
      </c>
      <c r="P30" s="3">
        <v>9391982.4299999997</v>
      </c>
      <c r="Q30" s="14">
        <f t="shared" si="9"/>
        <v>4.7598166131383832E-2</v>
      </c>
    </row>
    <row r="31" spans="2:17" x14ac:dyDescent="0.25">
      <c r="B31" s="12" t="s">
        <v>12</v>
      </c>
      <c r="C31" s="16">
        <f t="shared" si="1"/>
        <v>93402.538466702186</v>
      </c>
      <c r="D31" s="16">
        <f t="shared" si="2"/>
        <v>74208.753126559895</v>
      </c>
      <c r="E31" s="16">
        <f t="shared" si="3"/>
        <v>104759.72246131439</v>
      </c>
      <c r="F31" s="16">
        <f t="shared" si="4"/>
        <v>235356.87252857108</v>
      </c>
      <c r="G31" s="16">
        <f t="shared" si="5"/>
        <v>507727.88658314757</v>
      </c>
      <c r="I31" s="12" t="s">
        <v>12</v>
      </c>
      <c r="J31" s="3">
        <v>10761147.35</v>
      </c>
      <c r="K31" s="14">
        <f t="shared" si="6"/>
        <v>5.9411308747665391E-2</v>
      </c>
      <c r="L31" s="3">
        <v>12514655.923333334</v>
      </c>
      <c r="M31" s="14">
        <f t="shared" si="7"/>
        <v>6.6242082796907076E-2</v>
      </c>
      <c r="N31" s="3">
        <v>11703073.336666668</v>
      </c>
      <c r="O31" s="14">
        <f t="shared" si="8"/>
        <v>6.6923246786798465E-2</v>
      </c>
      <c r="P31" s="3">
        <v>12732579.145</v>
      </c>
      <c r="Q31" s="14">
        <f t="shared" si="9"/>
        <v>6.4528167715567492E-2</v>
      </c>
    </row>
    <row r="32" spans="2:17" x14ac:dyDescent="0.25">
      <c r="B32" s="12" t="s">
        <v>22</v>
      </c>
      <c r="C32" s="16">
        <f t="shared" si="1"/>
        <v>4148.9386875600048</v>
      </c>
      <c r="D32" s="16">
        <f t="shared" si="2"/>
        <v>3013.1910145226752</v>
      </c>
      <c r="E32" s="16">
        <f t="shared" si="3"/>
        <v>8576.0474522532859</v>
      </c>
      <c r="F32" s="16">
        <f t="shared" si="4"/>
        <v>15128.278991898043</v>
      </c>
      <c r="G32" s="16">
        <f t="shared" si="5"/>
        <v>30866.45614623401</v>
      </c>
      <c r="I32" s="12" t="s">
        <v>22</v>
      </c>
      <c r="J32" s="3">
        <v>478009.9266666667</v>
      </c>
      <c r="K32" s="14">
        <f t="shared" si="6"/>
        <v>2.6390490171702952E-3</v>
      </c>
      <c r="L32" s="3">
        <v>508148.26</v>
      </c>
      <c r="M32" s="14">
        <f t="shared" si="7"/>
        <v>2.689710313909978E-3</v>
      </c>
      <c r="N32" s="3">
        <v>958060.12</v>
      </c>
      <c r="O32" s="14">
        <f t="shared" si="8"/>
        <v>5.47860309876617E-3</v>
      </c>
      <c r="P32" s="3">
        <v>818425.26</v>
      </c>
      <c r="Q32" s="14">
        <f t="shared" si="9"/>
        <v>4.1477442895515521E-3</v>
      </c>
    </row>
    <row r="33" spans="2:17" x14ac:dyDescent="0.25">
      <c r="B33" s="12" t="s">
        <v>21</v>
      </c>
      <c r="C33" s="16">
        <f t="shared" si="1"/>
        <v>0</v>
      </c>
      <c r="D33" s="16">
        <f t="shared" si="2"/>
        <v>0</v>
      </c>
      <c r="E33" s="16">
        <f t="shared" si="3"/>
        <v>0</v>
      </c>
      <c r="F33" s="16">
        <f t="shared" si="4"/>
        <v>0</v>
      </c>
      <c r="G33" s="16">
        <f t="shared" si="5"/>
        <v>0</v>
      </c>
      <c r="I33" s="12" t="s">
        <v>21</v>
      </c>
      <c r="J33" s="3">
        <v>0</v>
      </c>
      <c r="K33" s="14">
        <f t="shared" si="6"/>
        <v>0</v>
      </c>
      <c r="L33" s="3">
        <v>0</v>
      </c>
      <c r="M33" s="14">
        <f t="shared" si="7"/>
        <v>0</v>
      </c>
      <c r="N33" s="3">
        <v>0</v>
      </c>
      <c r="O33" s="14">
        <f t="shared" si="8"/>
        <v>0</v>
      </c>
      <c r="P33" s="3">
        <v>0</v>
      </c>
      <c r="Q33" s="14">
        <f t="shared" si="9"/>
        <v>0</v>
      </c>
    </row>
    <row r="34" spans="2:17" x14ac:dyDescent="0.25">
      <c r="B34" s="12" t="s">
        <v>13</v>
      </c>
      <c r="C34" s="16">
        <f t="shared" si="1"/>
        <v>144818.36756818698</v>
      </c>
      <c r="D34" s="16">
        <f t="shared" si="2"/>
        <v>98298.594549614354</v>
      </c>
      <c r="E34" s="16">
        <f t="shared" si="3"/>
        <v>124934.83558082623</v>
      </c>
      <c r="F34" s="16">
        <f t="shared" si="4"/>
        <v>256979.64592105706</v>
      </c>
      <c r="G34" s="16">
        <f t="shared" si="5"/>
        <v>625031.44361968467</v>
      </c>
      <c r="I34" s="12" t="s">
        <v>13</v>
      </c>
      <c r="J34" s="3">
        <v>16684897.626666665</v>
      </c>
      <c r="K34" s="14">
        <f t="shared" si="6"/>
        <v>9.2115791381769604E-2</v>
      </c>
      <c r="L34" s="3">
        <v>16577196.58</v>
      </c>
      <c r="M34" s="14">
        <f t="shared" si="7"/>
        <v>8.7745762657810158E-2</v>
      </c>
      <c r="N34" s="3">
        <v>13956905.466666669</v>
      </c>
      <c r="O34" s="14">
        <f t="shared" si="8"/>
        <v>7.981163597422937E-2</v>
      </c>
      <c r="P34" s="3">
        <v>13902350.27</v>
      </c>
      <c r="Q34" s="14">
        <f t="shared" si="9"/>
        <v>7.0456517854468437E-2</v>
      </c>
    </row>
    <row r="35" spans="2:17" x14ac:dyDescent="0.25">
      <c r="B35" s="12" t="s">
        <v>14</v>
      </c>
      <c r="C35" s="16">
        <f t="shared" si="1"/>
        <v>26408.196605932771</v>
      </c>
      <c r="D35" s="16">
        <f t="shared" si="2"/>
        <v>19618.295889920824</v>
      </c>
      <c r="E35" s="16">
        <f t="shared" si="3"/>
        <v>26634.511177586675</v>
      </c>
      <c r="F35" s="16">
        <f t="shared" si="4"/>
        <v>59937.972689746828</v>
      </c>
      <c r="G35" s="16">
        <f t="shared" si="5"/>
        <v>132598.9763631871</v>
      </c>
      <c r="I35" s="12" t="s">
        <v>14</v>
      </c>
      <c r="J35" s="3">
        <v>3042556.44</v>
      </c>
      <c r="K35" s="14">
        <f t="shared" si="6"/>
        <v>1.6797675392767265E-2</v>
      </c>
      <c r="L35" s="3">
        <v>3308453.686666667</v>
      </c>
      <c r="M35" s="14">
        <f t="shared" si="7"/>
        <v>1.7512176474088141E-2</v>
      </c>
      <c r="N35" s="3">
        <v>2975433.9766666666</v>
      </c>
      <c r="O35" s="14">
        <f t="shared" si="8"/>
        <v>1.7014821371272762E-2</v>
      </c>
      <c r="P35" s="3">
        <v>3242586.3449999997</v>
      </c>
      <c r="Q35" s="14">
        <f t="shared" si="9"/>
        <v>1.6433289211835404E-2</v>
      </c>
    </row>
    <row r="36" spans="2:17" x14ac:dyDescent="0.25">
      <c r="B36" s="12" t="s">
        <v>15</v>
      </c>
      <c r="C36" s="16">
        <f t="shared" si="1"/>
        <v>183636.97987120418</v>
      </c>
      <c r="D36" s="16">
        <f t="shared" si="2"/>
        <v>128150.70243034163</v>
      </c>
      <c r="E36" s="16">
        <f t="shared" si="3"/>
        <v>186510.25193003166</v>
      </c>
      <c r="F36" s="16">
        <f t="shared" si="4"/>
        <v>416698.0849109246</v>
      </c>
      <c r="G36" s="16">
        <f t="shared" si="5"/>
        <v>914996.01914250199</v>
      </c>
      <c r="I36" s="12" t="s">
        <v>27</v>
      </c>
      <c r="J36" s="3">
        <f>16157290.0666667+5000000</f>
        <v>21157290.0666667</v>
      </c>
      <c r="K36" s="14">
        <f t="shared" si="6"/>
        <v>0.1168074603508379</v>
      </c>
      <c r="L36" s="3">
        <f>16611492.98+5000000</f>
        <v>21611492.98</v>
      </c>
      <c r="M36" s="14">
        <f t="shared" si="7"/>
        <v>0.1143931016654452</v>
      </c>
      <c r="N36" s="3">
        <f>15835709.6133333+5000000</f>
        <v>20835709.6133333</v>
      </c>
      <c r="O36" s="14">
        <f t="shared" si="8"/>
        <v>0.11914762014371279</v>
      </c>
      <c r="P36" s="3">
        <f>17542963.325+5000000</f>
        <v>22542963.324999999</v>
      </c>
      <c r="Q36" s="14">
        <f t="shared" si="9"/>
        <v>0.11424677605972085</v>
      </c>
    </row>
    <row r="37" spans="2:17" x14ac:dyDescent="0.25">
      <c r="B37" s="12" t="s">
        <v>16</v>
      </c>
      <c r="C37" s="16">
        <f t="shared" si="1"/>
        <v>325943.14496149408</v>
      </c>
      <c r="D37" s="16">
        <f t="shared" si="2"/>
        <v>237464.73693443969</v>
      </c>
      <c r="E37" s="16">
        <f t="shared" si="3"/>
        <v>332535.32437780523</v>
      </c>
      <c r="F37" s="16">
        <f t="shared" si="4"/>
        <v>796375.38562767953</v>
      </c>
      <c r="G37" s="16">
        <f t="shared" si="5"/>
        <v>1692318.5919014185</v>
      </c>
      <c r="I37" s="12" t="s">
        <v>16</v>
      </c>
      <c r="J37" s="3">
        <v>37552750.366666667</v>
      </c>
      <c r="K37" s="14">
        <f t="shared" si="6"/>
        <v>0.20732529476590042</v>
      </c>
      <c r="L37" s="3">
        <v>40046346.979999997</v>
      </c>
      <c r="M37" s="14">
        <f t="shared" si="7"/>
        <v>0.21197174325958271</v>
      </c>
      <c r="N37" s="3">
        <v>37148678.869999997</v>
      </c>
      <c r="O37" s="14">
        <f t="shared" si="8"/>
        <v>0.21243225025612311</v>
      </c>
      <c r="P37" s="3">
        <v>43083138.034999996</v>
      </c>
      <c r="Q37" s="14">
        <f t="shared" si="9"/>
        <v>0.21834350489210522</v>
      </c>
    </row>
    <row r="38" spans="2:17" x14ac:dyDescent="0.25">
      <c r="B38" s="12" t="s">
        <v>17</v>
      </c>
      <c r="C38" s="16">
        <f t="shared" si="1"/>
        <v>31180.011289923284</v>
      </c>
      <c r="D38" s="16">
        <f t="shared" si="2"/>
        <v>23441.35770333387</v>
      </c>
      <c r="E38" s="16">
        <f t="shared" si="3"/>
        <v>61277.43148503259</v>
      </c>
      <c r="F38" s="16">
        <f t="shared" si="4"/>
        <v>115156.31025445093</v>
      </c>
      <c r="G38" s="16">
        <f t="shared" si="5"/>
        <v>231055.11073274066</v>
      </c>
      <c r="I38" s="12" t="s">
        <v>17</v>
      </c>
      <c r="J38" s="3">
        <v>3592329.5166666671</v>
      </c>
      <c r="K38" s="14">
        <f t="shared" si="6"/>
        <v>1.983292218724567E-2</v>
      </c>
      <c r="L38" s="3">
        <v>3953179.56</v>
      </c>
      <c r="M38" s="14">
        <f t="shared" si="7"/>
        <v>2.0924814020361119E-2</v>
      </c>
      <c r="N38" s="3">
        <v>6845515.2199999997</v>
      </c>
      <c r="O38" s="14">
        <f t="shared" si="8"/>
        <v>3.9145623655583307E-2</v>
      </c>
      <c r="P38" s="3">
        <v>6229844.9950000001</v>
      </c>
      <c r="Q38" s="14">
        <f t="shared" si="9"/>
        <v>3.1572588562091261E-2</v>
      </c>
    </row>
    <row r="39" spans="2:17" x14ac:dyDescent="0.25">
      <c r="B39" s="12" t="s">
        <v>18</v>
      </c>
      <c r="C39" s="16">
        <f t="shared" si="1"/>
        <v>248675.57038561237</v>
      </c>
      <c r="D39" s="16">
        <f t="shared" si="2"/>
        <v>174090.89514112016</v>
      </c>
      <c r="E39" s="16">
        <f t="shared" si="3"/>
        <v>241120.47570277852</v>
      </c>
      <c r="F39" s="16">
        <f t="shared" si="4"/>
        <v>540521.83932338841</v>
      </c>
      <c r="G39" s="16">
        <f t="shared" si="5"/>
        <v>1204408.7805528995</v>
      </c>
      <c r="I39" s="12" t="s">
        <v>18</v>
      </c>
      <c r="J39" s="3">
        <v>28650553.819999997</v>
      </c>
      <c r="K39" s="14">
        <f t="shared" si="6"/>
        <v>0.15817708311480597</v>
      </c>
      <c r="L39" s="3">
        <v>29358903.906666666</v>
      </c>
      <c r="M39" s="14">
        <f t="shared" si="7"/>
        <v>0.15540139140268486</v>
      </c>
      <c r="N39" s="3">
        <v>26936407.846666664</v>
      </c>
      <c r="O39" s="14">
        <f t="shared" si="8"/>
        <v>0.15403405738084303</v>
      </c>
      <c r="P39" s="3">
        <v>29241708.664999999</v>
      </c>
      <c r="Q39" s="14">
        <f t="shared" si="9"/>
        <v>0.14819573155890114</v>
      </c>
    </row>
    <row r="40" spans="2:17" x14ac:dyDescent="0.25">
      <c r="B40" s="15" t="s">
        <v>24</v>
      </c>
      <c r="C40" s="16">
        <f>$C$21-(C18+C19+C20)</f>
        <v>1572134</v>
      </c>
      <c r="D40" s="16">
        <f>$D$21-(D18+D19+D20)</f>
        <v>1120266</v>
      </c>
      <c r="E40" s="16">
        <f>$E$21-(E18+E19+E20)</f>
        <v>1565371.19</v>
      </c>
      <c r="F40" s="16">
        <f>$F$21-(F18+F19+F20)</f>
        <v>3647350.93</v>
      </c>
      <c r="G40" s="16">
        <f>$C$21-(G18+G19+G20)</f>
        <v>1533580.52</v>
      </c>
      <c r="I40" s="15" t="s">
        <v>24</v>
      </c>
      <c r="J40" s="3">
        <f t="shared" ref="J40:Q40" si="10">SUM(J26:J39)</f>
        <v>181129612.81000003</v>
      </c>
      <c r="K40" s="19">
        <f t="shared" si="10"/>
        <v>0.99999999999999989</v>
      </c>
      <c r="L40" s="3">
        <f t="shared" si="10"/>
        <v>188923044.00666669</v>
      </c>
      <c r="M40" s="19">
        <f t="shared" si="10"/>
        <v>0.99999999999999989</v>
      </c>
      <c r="N40" s="3">
        <f t="shared" si="10"/>
        <v>174873065.76666662</v>
      </c>
      <c r="O40" s="19">
        <f t="shared" si="10"/>
        <v>1</v>
      </c>
      <c r="P40" s="3">
        <f t="shared" si="10"/>
        <v>197318157.25999999</v>
      </c>
      <c r="Q40" s="19">
        <f t="shared" si="10"/>
        <v>1</v>
      </c>
    </row>
    <row r="43" spans="2:17" ht="15.75" x14ac:dyDescent="0.25">
      <c r="B43" s="44" t="s">
        <v>146</v>
      </c>
      <c r="C43" s="44"/>
      <c r="D43" s="44"/>
      <c r="E43" s="44"/>
      <c r="F43" s="44"/>
      <c r="G43" s="44"/>
      <c r="I43" s="44" t="s">
        <v>170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33441.010392371376</v>
      </c>
      <c r="D45" s="16">
        <f>D26-D4</f>
        <v>3917.500557533298</v>
      </c>
      <c r="E45" s="16">
        <f>E26-E4</f>
        <v>-1072.0966923940287</v>
      </c>
      <c r="F45" s="16">
        <f>F26-F4</f>
        <v>2506.5802839992975</v>
      </c>
      <c r="G45" s="16">
        <f t="shared" ref="G45:G59" si="11">SUM(C45+D45+E45+F45)</f>
        <v>38792.994541509943</v>
      </c>
      <c r="I45" s="15" t="s">
        <v>153</v>
      </c>
      <c r="J45" s="12" t="s">
        <v>155</v>
      </c>
    </row>
    <row r="46" spans="2:17" x14ac:dyDescent="0.25">
      <c r="B46" s="12" t="s">
        <v>8</v>
      </c>
      <c r="C46" s="16">
        <f t="shared" ref="C46:F58" si="12">C27-C5</f>
        <v>71042.652047643642</v>
      </c>
      <c r="D46" s="16">
        <f t="shared" si="12"/>
        <v>12847.040054688521</v>
      </c>
      <c r="E46" s="16">
        <f t="shared" si="12"/>
        <v>-2520.1729154351051</v>
      </c>
      <c r="F46" s="16">
        <f t="shared" si="12"/>
        <v>5842.9319250935805</v>
      </c>
      <c r="G46" s="16">
        <f t="shared" si="11"/>
        <v>87212.451111990638</v>
      </c>
      <c r="I46" s="15" t="s">
        <v>154</v>
      </c>
      <c r="J46" t="s">
        <v>188</v>
      </c>
    </row>
    <row r="47" spans="2:17" x14ac:dyDescent="0.25">
      <c r="B47" s="12" t="s">
        <v>9</v>
      </c>
      <c r="C47" s="16">
        <f t="shared" si="12"/>
        <v>45973.650487526873</v>
      </c>
      <c r="D47" s="16">
        <f t="shared" si="12"/>
        <v>8006.9369404704339</v>
      </c>
      <c r="E47" s="16">
        <f t="shared" si="12"/>
        <v>45220.663286848023</v>
      </c>
      <c r="F47" s="16">
        <f t="shared" si="12"/>
        <v>3582.4436113618431</v>
      </c>
      <c r="G47" s="16">
        <f t="shared" si="11"/>
        <v>102783.69432620717</v>
      </c>
    </row>
    <row r="48" spans="2:17" x14ac:dyDescent="0.25">
      <c r="B48" s="12" t="s">
        <v>10</v>
      </c>
      <c r="C48" s="16">
        <f t="shared" si="12"/>
        <v>11460.44970984447</v>
      </c>
      <c r="D48" s="16">
        <f t="shared" si="12"/>
        <v>1987.8607904890305</v>
      </c>
      <c r="E48" s="16">
        <f t="shared" si="12"/>
        <v>-311.66508060493652</v>
      </c>
      <c r="F48" s="16">
        <f t="shared" si="12"/>
        <v>959.41842623174307</v>
      </c>
      <c r="G48" s="16">
        <f t="shared" si="11"/>
        <v>14096.063845960307</v>
      </c>
    </row>
    <row r="49" spans="2:7" x14ac:dyDescent="0.25">
      <c r="B49" s="12" t="s">
        <v>11</v>
      </c>
      <c r="C49" s="16">
        <f t="shared" si="12"/>
        <v>17510.489525997757</v>
      </c>
      <c r="D49" s="16">
        <f t="shared" si="12"/>
        <v>3593.1348669654981</v>
      </c>
      <c r="E49" s="16">
        <f t="shared" si="12"/>
        <v>-13150.808766042494</v>
      </c>
      <c r="F49" s="16">
        <f t="shared" si="12"/>
        <v>2156.9555055973178</v>
      </c>
      <c r="G49" s="16">
        <f t="shared" si="11"/>
        <v>10109.771132518079</v>
      </c>
    </row>
    <row r="50" spans="2:7" x14ac:dyDescent="0.25">
      <c r="B50" s="12" t="s">
        <v>12</v>
      </c>
      <c r="C50" s="16">
        <f t="shared" si="12"/>
        <v>32610.538466702186</v>
      </c>
      <c r="D50" s="16">
        <f t="shared" si="12"/>
        <v>6541.7531265598955</v>
      </c>
      <c r="E50" s="16">
        <f t="shared" si="12"/>
        <v>-1308.5675386856019</v>
      </c>
      <c r="F50" s="16">
        <f t="shared" si="12"/>
        <v>29932.342528571084</v>
      </c>
      <c r="G50" s="16">
        <f t="shared" si="11"/>
        <v>67776.066583147564</v>
      </c>
    </row>
    <row r="51" spans="2:7" x14ac:dyDescent="0.25">
      <c r="B51" s="12" t="s">
        <v>22</v>
      </c>
      <c r="C51" s="16">
        <f t="shared" si="12"/>
        <v>1448.9386875600048</v>
      </c>
      <c r="D51" s="16">
        <f t="shared" si="12"/>
        <v>265.19101452267523</v>
      </c>
      <c r="E51" s="16">
        <f t="shared" si="12"/>
        <v>453.71745225328596</v>
      </c>
      <c r="F51" s="16">
        <f t="shared" si="12"/>
        <v>187.95899189804368</v>
      </c>
      <c r="G51" s="16">
        <f t="shared" si="11"/>
        <v>2355.8061462340097</v>
      </c>
    </row>
    <row r="52" spans="2:7" x14ac:dyDescent="0.25">
      <c r="B52" s="12" t="s">
        <v>21</v>
      </c>
      <c r="C52" s="16">
        <f t="shared" si="12"/>
        <v>0</v>
      </c>
      <c r="D52" s="16">
        <f t="shared" si="12"/>
        <v>0</v>
      </c>
      <c r="E52" s="16">
        <f t="shared" si="12"/>
        <v>0</v>
      </c>
      <c r="F52" s="16">
        <f t="shared" si="12"/>
        <v>0</v>
      </c>
      <c r="G52" s="16">
        <f t="shared" si="11"/>
        <v>0</v>
      </c>
    </row>
    <row r="53" spans="2:7" x14ac:dyDescent="0.25">
      <c r="B53" s="12" t="s">
        <v>13</v>
      </c>
      <c r="C53" s="16">
        <f t="shared" si="12"/>
        <v>50591.367568186979</v>
      </c>
      <c r="D53" s="16">
        <f t="shared" si="12"/>
        <v>8650.594549614354</v>
      </c>
      <c r="E53" s="16">
        <f t="shared" si="12"/>
        <v>-1560.5744191737758</v>
      </c>
      <c r="F53" s="16">
        <f t="shared" si="12"/>
        <v>-21807.194078942965</v>
      </c>
      <c r="G53" s="16">
        <f t="shared" si="11"/>
        <v>35874.193619684593</v>
      </c>
    </row>
    <row r="54" spans="2:7" x14ac:dyDescent="0.25">
      <c r="B54" s="12" t="s">
        <v>14</v>
      </c>
      <c r="C54" s="16">
        <f t="shared" si="12"/>
        <v>9220.1966059327715</v>
      </c>
      <c r="D54" s="16">
        <f t="shared" si="12"/>
        <v>861.29588992082427</v>
      </c>
      <c r="E54" s="16">
        <f t="shared" si="12"/>
        <v>-332.6988224133238</v>
      </c>
      <c r="F54" s="16">
        <f t="shared" si="12"/>
        <v>744.69268974682927</v>
      </c>
      <c r="G54" s="16">
        <f t="shared" si="11"/>
        <v>10493.486363187101</v>
      </c>
    </row>
    <row r="55" spans="2:7" x14ac:dyDescent="0.25">
      <c r="B55" s="12" t="s">
        <v>15</v>
      </c>
      <c r="C55" s="16">
        <f t="shared" si="12"/>
        <v>92359.979871204181</v>
      </c>
      <c r="D55" s="16">
        <f t="shared" si="12"/>
        <v>40119.702430341626</v>
      </c>
      <c r="E55" s="16">
        <f t="shared" si="12"/>
        <v>62308.261930031658</v>
      </c>
      <c r="F55" s="16">
        <f t="shared" si="12"/>
        <v>-39822.805089075409</v>
      </c>
      <c r="G55" s="16">
        <f t="shared" si="11"/>
        <v>154965.13914250204</v>
      </c>
    </row>
    <row r="56" spans="2:7" x14ac:dyDescent="0.25">
      <c r="B56" s="12" t="s">
        <v>16</v>
      </c>
      <c r="C56" s="16">
        <f t="shared" si="12"/>
        <v>-463366.85503850592</v>
      </c>
      <c r="D56" s="16">
        <f t="shared" si="12"/>
        <v>-104103.26306556031</v>
      </c>
      <c r="E56" s="16">
        <f t="shared" si="12"/>
        <v>-112554.99562219478</v>
      </c>
      <c r="F56" s="16">
        <f t="shared" si="12"/>
        <v>7570.3056276795687</v>
      </c>
      <c r="G56" s="16">
        <f t="shared" si="11"/>
        <v>-672454.8080985815</v>
      </c>
    </row>
    <row r="57" spans="2:7" x14ac:dyDescent="0.25">
      <c r="B57" s="12" t="s">
        <v>17</v>
      </c>
      <c r="C57" s="16">
        <f t="shared" si="12"/>
        <v>10886.011289923284</v>
      </c>
      <c r="D57" s="16">
        <f t="shared" si="12"/>
        <v>2063.3577033338697</v>
      </c>
      <c r="E57" s="16">
        <f t="shared" si="12"/>
        <v>-765.41851496740856</v>
      </c>
      <c r="F57" s="16">
        <f t="shared" si="12"/>
        <v>1430.7402544509241</v>
      </c>
      <c r="G57" s="16">
        <f t="shared" si="11"/>
        <v>13614.69073274067</v>
      </c>
    </row>
    <row r="58" spans="2:7" x14ac:dyDescent="0.25">
      <c r="B58" s="12" t="s">
        <v>18</v>
      </c>
      <c r="C58" s="16">
        <f t="shared" si="12"/>
        <v>86821.570385612373</v>
      </c>
      <c r="D58" s="16">
        <f t="shared" si="12"/>
        <v>15248.895141120156</v>
      </c>
      <c r="E58" s="16">
        <f t="shared" si="12"/>
        <v>25594.355702778528</v>
      </c>
      <c r="F58" s="16">
        <f t="shared" si="12"/>
        <v>6715.6293233884498</v>
      </c>
      <c r="G58" s="16">
        <f t="shared" si="11"/>
        <v>134380.45055289951</v>
      </c>
    </row>
    <row r="59" spans="2:7" x14ac:dyDescent="0.25">
      <c r="B59" s="15" t="s">
        <v>24</v>
      </c>
      <c r="C59" s="16">
        <f>SUM(C45:C58)</f>
        <v>0</v>
      </c>
      <c r="D59" s="16">
        <f>SUM(D45:D58)</f>
        <v>-1.4188117347657681E-10</v>
      </c>
      <c r="E59" s="16">
        <f>SUM(E45:E58)</f>
        <v>5.0931703299283981E-11</v>
      </c>
      <c r="F59" s="16">
        <f>SUM(F45:F58)</f>
        <v>3.0559021979570389E-10</v>
      </c>
      <c r="G59" s="16">
        <f t="shared" si="11"/>
        <v>2.1464074961841106E-10</v>
      </c>
    </row>
  </sheetData>
  <sheetProtection algorithmName="SHA-512" hashValue="ONNnS4unkriIEuEuVqrr3hv9JB+YOkumf9j5nRxYmCbMpZmpVAUFao8uY2waJddz2xSNoMZ3k9Cwb82PxkCCdg==" saltValue="x2aWzKaZM2PWDMgMi8+8BQ==" spinCount="100000" sheet="1" objects="1" scenarios="1"/>
  <mergeCells count="6">
    <mergeCell ref="B2:G2"/>
    <mergeCell ref="I2:Q2"/>
    <mergeCell ref="B24:G24"/>
    <mergeCell ref="I24:Q24"/>
    <mergeCell ref="B43:G43"/>
    <mergeCell ref="I43:Q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C6FC-BDD6-409C-82B3-D7B992C22921}">
  <dimension ref="B2:Q59"/>
  <sheetViews>
    <sheetView workbookViewId="0">
      <selection activeCell="B3" sqref="B3"/>
    </sheetView>
  </sheetViews>
  <sheetFormatPr defaultColWidth="9.140625" defaultRowHeight="15" x14ac:dyDescent="0.25"/>
  <cols>
    <col min="1" max="2" width="9.140625" style="12"/>
    <col min="3" max="3" width="13.42578125" style="12" bestFit="1" customWidth="1"/>
    <col min="4" max="4" width="14.28515625" style="12" bestFit="1" customWidth="1"/>
    <col min="5" max="5" width="12.5703125" style="12" bestFit="1" customWidth="1"/>
    <col min="6" max="7" width="14.28515625" style="12" bestFit="1" customWidth="1"/>
    <col min="8" max="8" width="9.140625" style="12"/>
    <col min="9" max="9" width="10.28515625" style="12" bestFit="1" customWidth="1"/>
    <col min="10" max="10" width="16.28515625" style="12" bestFit="1" customWidth="1"/>
    <col min="11" max="11" width="8.140625" style="12" bestFit="1" customWidth="1"/>
    <col min="12" max="12" width="16.28515625" style="12" bestFit="1" customWidth="1"/>
    <col min="13" max="13" width="8.140625" style="12" bestFit="1" customWidth="1"/>
    <col min="14" max="14" width="16.28515625" style="12" bestFit="1" customWidth="1"/>
    <col min="15" max="15" width="8.140625" style="12" bestFit="1" customWidth="1"/>
    <col min="16" max="16" width="16.28515625" style="12" bestFit="1" customWidth="1"/>
    <col min="17" max="17" width="8.140625" style="12" bestFit="1" customWidth="1"/>
    <col min="18" max="16384" width="9.140625" style="12"/>
  </cols>
  <sheetData>
    <row r="2" spans="2:17" ht="15.75" x14ac:dyDescent="0.25">
      <c r="B2" s="44" t="s">
        <v>44</v>
      </c>
      <c r="C2" s="44"/>
      <c r="D2" s="44"/>
      <c r="E2" s="44"/>
      <c r="F2" s="44"/>
      <c r="G2" s="44"/>
      <c r="H2" s="11"/>
      <c r="I2" s="44" t="s">
        <v>45</v>
      </c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13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I3" s="13"/>
      <c r="J3" s="13" t="s">
        <v>2</v>
      </c>
      <c r="K3" s="13"/>
      <c r="L3" s="13" t="s">
        <v>3</v>
      </c>
      <c r="M3" s="13"/>
      <c r="N3" s="13" t="s">
        <v>4</v>
      </c>
      <c r="O3" s="13"/>
      <c r="P3" s="13" t="s">
        <v>26</v>
      </c>
      <c r="Q3" s="13"/>
    </row>
    <row r="4" spans="2:17" x14ac:dyDescent="0.25">
      <c r="B4" s="12" t="s">
        <v>7</v>
      </c>
      <c r="C4" s="3">
        <v>41535</v>
      </c>
      <c r="D4" s="5">
        <v>59231</v>
      </c>
      <c r="E4" s="5">
        <v>44715</v>
      </c>
      <c r="F4" s="5">
        <v>98808</v>
      </c>
      <c r="G4" s="5">
        <f t="shared" ref="G4:G20" si="0">C4+D4+E4+F4</f>
        <v>244289</v>
      </c>
      <c r="I4" s="12" t="s">
        <v>7</v>
      </c>
      <c r="J4" s="3">
        <v>7687162.1166666672</v>
      </c>
      <c r="K4" s="14"/>
      <c r="L4" s="3">
        <v>8696751.660000002</v>
      </c>
      <c r="M4" s="14"/>
      <c r="N4" s="3">
        <v>9349441.6066666674</v>
      </c>
      <c r="O4" s="14"/>
      <c r="P4" s="3">
        <v>12210655.699999999</v>
      </c>
      <c r="Q4" s="14"/>
    </row>
    <row r="5" spans="2:17" x14ac:dyDescent="0.25">
      <c r="B5" s="12" t="s">
        <v>8</v>
      </c>
      <c r="C5" s="3">
        <v>106420</v>
      </c>
      <c r="D5" s="3">
        <v>141970</v>
      </c>
      <c r="E5" s="3">
        <v>105309</v>
      </c>
      <c r="F5" s="3">
        <v>248057</v>
      </c>
      <c r="G5" s="5">
        <f t="shared" si="0"/>
        <v>601756</v>
      </c>
      <c r="I5" s="12" t="s">
        <v>8</v>
      </c>
      <c r="J5" s="3">
        <v>19695727.446666669</v>
      </c>
      <c r="K5" s="14"/>
      <c r="L5" s="3">
        <v>20845344.293333333</v>
      </c>
      <c r="M5" s="14"/>
      <c r="N5" s="3">
        <v>22018964.096666668</v>
      </c>
      <c r="O5" s="14"/>
      <c r="P5" s="3">
        <v>24115827.335000001</v>
      </c>
      <c r="Q5" s="14"/>
    </row>
    <row r="6" spans="2:17" x14ac:dyDescent="0.25">
      <c r="B6" s="12" t="s">
        <v>9</v>
      </c>
      <c r="C6" s="3">
        <v>39699</v>
      </c>
      <c r="D6" s="3">
        <v>60872</v>
      </c>
      <c r="E6" s="3">
        <v>45316</v>
      </c>
      <c r="F6" s="3">
        <v>124614</v>
      </c>
      <c r="G6" s="5">
        <f t="shared" si="0"/>
        <v>270501</v>
      </c>
      <c r="I6" s="12" t="s">
        <v>9</v>
      </c>
      <c r="J6" s="3">
        <v>7126868.5300000003</v>
      </c>
      <c r="K6" s="14"/>
      <c r="L6" s="3">
        <v>8937734.4000000004</v>
      </c>
      <c r="M6" s="14"/>
      <c r="N6" s="3">
        <v>9475061.3166666683</v>
      </c>
      <c r="O6" s="14"/>
      <c r="P6" s="3">
        <v>13177278.965</v>
      </c>
      <c r="Q6" s="14"/>
    </row>
    <row r="7" spans="2:17" x14ac:dyDescent="0.25">
      <c r="B7" s="12" t="s">
        <v>10</v>
      </c>
      <c r="C7" s="3">
        <v>9200</v>
      </c>
      <c r="D7" s="3">
        <v>15620</v>
      </c>
      <c r="E7" s="3">
        <v>9152</v>
      </c>
      <c r="F7" s="3">
        <v>40993</v>
      </c>
      <c r="G7" s="5">
        <f t="shared" si="0"/>
        <v>74965</v>
      </c>
      <c r="I7" s="12" t="s">
        <v>10</v>
      </c>
      <c r="J7" s="3">
        <v>1702687.9766666668</v>
      </c>
      <c r="K7" s="14"/>
      <c r="L7" s="3">
        <v>2293384.5233333334</v>
      </c>
      <c r="M7" s="14"/>
      <c r="N7" s="3">
        <v>1972232.6000000003</v>
      </c>
      <c r="O7" s="14"/>
      <c r="P7" s="3">
        <v>4334811.5649999995</v>
      </c>
      <c r="Q7" s="14"/>
    </row>
    <row r="8" spans="2:17" x14ac:dyDescent="0.25">
      <c r="B8" s="12" t="s">
        <v>11</v>
      </c>
      <c r="C8" s="3">
        <v>12911</v>
      </c>
      <c r="D8" s="3">
        <v>30026</v>
      </c>
      <c r="E8" s="3">
        <v>26486</v>
      </c>
      <c r="F8" s="3">
        <v>66887</v>
      </c>
      <c r="G8" s="5">
        <f t="shared" si="0"/>
        <v>136310</v>
      </c>
      <c r="I8" s="12" t="s">
        <v>11</v>
      </c>
      <c r="J8" s="3">
        <v>2389492.8733333335</v>
      </c>
      <c r="K8" s="14"/>
      <c r="L8" s="3">
        <v>4407167.6733333329</v>
      </c>
      <c r="M8" s="14"/>
      <c r="N8" s="3">
        <v>5537838.8666666672</v>
      </c>
      <c r="O8" s="14"/>
      <c r="P8" s="3">
        <v>7073005.5700000003</v>
      </c>
      <c r="Q8" s="14"/>
    </row>
    <row r="9" spans="2:17" x14ac:dyDescent="0.25">
      <c r="B9" s="12" t="s">
        <v>12</v>
      </c>
      <c r="C9" s="3">
        <v>42488</v>
      </c>
      <c r="D9" s="3">
        <v>64135</v>
      </c>
      <c r="E9" s="3">
        <v>49429</v>
      </c>
      <c r="F9" s="3">
        <v>77032</v>
      </c>
      <c r="G9" s="5">
        <f t="shared" si="0"/>
        <v>233084</v>
      </c>
      <c r="I9" s="12" t="s">
        <v>12</v>
      </c>
      <c r="J9" s="3">
        <v>7863537.8799999999</v>
      </c>
      <c r="K9" s="14"/>
      <c r="L9" s="3">
        <v>9416555.7566666659</v>
      </c>
      <c r="M9" s="14"/>
      <c r="N9" s="3">
        <v>10335057.623333333</v>
      </c>
      <c r="O9" s="14"/>
      <c r="P9" s="3">
        <v>11253087.74</v>
      </c>
      <c r="Q9" s="14"/>
    </row>
    <row r="10" spans="2:17" x14ac:dyDescent="0.25">
      <c r="B10" s="12" t="s">
        <v>22</v>
      </c>
      <c r="C10" s="3">
        <v>2844</v>
      </c>
      <c r="D10" s="3">
        <v>2619</v>
      </c>
      <c r="E10" s="3">
        <v>4452</v>
      </c>
      <c r="F10" s="3">
        <v>4275</v>
      </c>
      <c r="G10" s="5">
        <f t="shared" si="0"/>
        <v>14190</v>
      </c>
      <c r="I10" s="12" t="s">
        <v>22</v>
      </c>
      <c r="J10" s="3">
        <v>526269.54</v>
      </c>
      <c r="K10" s="14"/>
      <c r="L10" s="3">
        <v>384607.49</v>
      </c>
      <c r="M10" s="14"/>
      <c r="N10" s="3">
        <v>931953.37000000011</v>
      </c>
      <c r="O10" s="14"/>
      <c r="P10" s="3">
        <v>754019.66500000004</v>
      </c>
      <c r="Q10" s="14"/>
    </row>
    <row r="11" spans="2:17" x14ac:dyDescent="0.25">
      <c r="B11" s="12" t="s">
        <v>21</v>
      </c>
      <c r="C11" s="3">
        <v>0</v>
      </c>
      <c r="D11" s="3">
        <v>0</v>
      </c>
      <c r="E11" s="3">
        <v>0</v>
      </c>
      <c r="F11" s="3">
        <v>0</v>
      </c>
      <c r="G11" s="5">
        <f t="shared" si="0"/>
        <v>0</v>
      </c>
      <c r="I11" s="12" t="s">
        <v>21</v>
      </c>
      <c r="J11" s="3">
        <v>0</v>
      </c>
      <c r="K11" s="14"/>
      <c r="L11" s="3">
        <v>0</v>
      </c>
      <c r="M11" s="14"/>
      <c r="N11" s="3">
        <v>0</v>
      </c>
      <c r="O11" s="14"/>
      <c r="P11" s="3">
        <v>0</v>
      </c>
      <c r="Q11" s="14"/>
    </row>
    <row r="12" spans="2:17" x14ac:dyDescent="0.25">
      <c r="B12" s="12" t="s">
        <v>13</v>
      </c>
      <c r="C12" s="3">
        <v>31286</v>
      </c>
      <c r="D12" s="3">
        <v>48461</v>
      </c>
      <c r="E12" s="3">
        <v>39141</v>
      </c>
      <c r="F12" s="3">
        <v>99449</v>
      </c>
      <c r="G12" s="5">
        <f t="shared" si="0"/>
        <v>218337</v>
      </c>
      <c r="I12" s="12" t="s">
        <v>13</v>
      </c>
      <c r="J12" s="3">
        <v>5790298.7766666673</v>
      </c>
      <c r="K12" s="14"/>
      <c r="L12" s="3">
        <v>7115496.5566666676</v>
      </c>
      <c r="M12" s="14"/>
      <c r="N12" s="3">
        <v>8183927.1366666667</v>
      </c>
      <c r="O12" s="14"/>
      <c r="P12" s="3">
        <v>8812845.6549999993</v>
      </c>
      <c r="Q12" s="14"/>
    </row>
    <row r="13" spans="2:17" x14ac:dyDescent="0.25">
      <c r="B13" s="12" t="s">
        <v>14</v>
      </c>
      <c r="C13" s="3">
        <v>17702</v>
      </c>
      <c r="D13" s="3">
        <v>20203</v>
      </c>
      <c r="E13" s="3">
        <v>12323</v>
      </c>
      <c r="F13" s="3">
        <v>27378</v>
      </c>
      <c r="G13" s="5">
        <f t="shared" si="0"/>
        <v>77606</v>
      </c>
      <c r="I13" s="12" t="s">
        <v>14</v>
      </c>
      <c r="J13" s="3">
        <v>3276259.9</v>
      </c>
      <c r="K13" s="14"/>
      <c r="L13" s="3">
        <v>2966412.4533333331</v>
      </c>
      <c r="M13" s="14"/>
      <c r="N13" s="3">
        <v>2576601.77</v>
      </c>
      <c r="O13" s="14"/>
      <c r="P13" s="3">
        <v>2895110.2249999996</v>
      </c>
      <c r="Q13" s="14"/>
    </row>
    <row r="14" spans="2:17" x14ac:dyDescent="0.25">
      <c r="B14" s="12" t="s">
        <v>15</v>
      </c>
      <c r="C14" s="3">
        <v>78684</v>
      </c>
      <c r="D14" s="3">
        <v>94311</v>
      </c>
      <c r="E14" s="3">
        <v>82676</v>
      </c>
      <c r="F14" s="3">
        <v>255357</v>
      </c>
      <c r="G14" s="5">
        <f t="shared" si="0"/>
        <v>511028</v>
      </c>
      <c r="I14" s="12" t="s">
        <v>15</v>
      </c>
      <c r="J14" s="3">
        <v>12562448.453333333</v>
      </c>
      <c r="K14" s="14"/>
      <c r="L14" s="3">
        <v>13847659.75</v>
      </c>
      <c r="M14" s="14"/>
      <c r="N14" s="3">
        <v>15286438.886666665</v>
      </c>
      <c r="O14" s="14"/>
      <c r="P14" s="3">
        <v>16715510.934999999</v>
      </c>
      <c r="Q14" s="14"/>
    </row>
    <row r="15" spans="2:17" x14ac:dyDescent="0.25">
      <c r="B15" s="12" t="s">
        <v>16</v>
      </c>
      <c r="C15" s="3">
        <v>198675</v>
      </c>
      <c r="D15" s="3">
        <v>260153</v>
      </c>
      <c r="E15" s="3">
        <v>190440</v>
      </c>
      <c r="F15" s="3">
        <v>537452</v>
      </c>
      <c r="G15" s="5">
        <f t="shared" si="0"/>
        <v>1186720</v>
      </c>
      <c r="I15" s="12" t="s">
        <v>16</v>
      </c>
      <c r="J15" s="3">
        <v>37134399.696666665</v>
      </c>
      <c r="K15" s="14"/>
      <c r="L15" s="3">
        <v>38197819.593333334</v>
      </c>
      <c r="M15" s="14"/>
      <c r="N15" s="3">
        <v>39818907.43333333</v>
      </c>
      <c r="O15" s="14"/>
      <c r="P15" s="3">
        <v>43210453.355000004</v>
      </c>
      <c r="Q15" s="14"/>
    </row>
    <row r="16" spans="2:17" x14ac:dyDescent="0.25">
      <c r="B16" s="12" t="s">
        <v>17</v>
      </c>
      <c r="C16" s="3">
        <v>15094</v>
      </c>
      <c r="D16" s="3">
        <v>34544</v>
      </c>
      <c r="E16" s="3">
        <v>28875</v>
      </c>
      <c r="F16" s="3">
        <v>55639</v>
      </c>
      <c r="G16" s="5">
        <f t="shared" si="0"/>
        <v>134152</v>
      </c>
      <c r="I16" s="12" t="s">
        <v>17</v>
      </c>
      <c r="J16" s="3">
        <v>2793459.4466666668</v>
      </c>
      <c r="K16" s="14"/>
      <c r="L16" s="3">
        <v>5071846.706666667</v>
      </c>
      <c r="M16" s="14"/>
      <c r="N16" s="3">
        <v>6037484.7666666666</v>
      </c>
      <c r="O16" s="14"/>
      <c r="P16" s="3">
        <v>6259091.8700000001</v>
      </c>
      <c r="Q16" s="14"/>
    </row>
    <row r="17" spans="2:17" x14ac:dyDescent="0.25">
      <c r="B17" s="12" t="s">
        <v>18</v>
      </c>
      <c r="C17" s="3">
        <v>114634</v>
      </c>
      <c r="D17" s="3">
        <v>163330</v>
      </c>
      <c r="E17" s="3">
        <v>118951</v>
      </c>
      <c r="F17" s="3">
        <v>154799</v>
      </c>
      <c r="G17" s="5">
        <f t="shared" si="0"/>
        <v>551714</v>
      </c>
      <c r="I17" s="12" t="s">
        <v>18</v>
      </c>
      <c r="J17" s="3">
        <v>21215790.026666667</v>
      </c>
      <c r="K17" s="14"/>
      <c r="L17" s="3">
        <v>23981274.996666666</v>
      </c>
      <c r="M17" s="14"/>
      <c r="N17" s="3">
        <v>24871296.310000002</v>
      </c>
      <c r="O17" s="14"/>
      <c r="P17" s="3">
        <v>28200160.314999998</v>
      </c>
      <c r="Q17" s="14"/>
    </row>
    <row r="18" spans="2:17" x14ac:dyDescent="0.25">
      <c r="B18" s="29" t="s">
        <v>19</v>
      </c>
      <c r="C18" s="30">
        <v>0</v>
      </c>
      <c r="D18" s="30">
        <v>0</v>
      </c>
      <c r="E18" s="30">
        <v>0</v>
      </c>
      <c r="F18" s="30">
        <v>0</v>
      </c>
      <c r="G18" s="31">
        <f t="shared" si="0"/>
        <v>0</v>
      </c>
      <c r="I18" s="29" t="s">
        <v>19</v>
      </c>
      <c r="J18" s="30">
        <v>152128.79</v>
      </c>
      <c r="K18" s="32"/>
      <c r="L18" s="30">
        <v>665979.27</v>
      </c>
      <c r="M18" s="32"/>
      <c r="N18" s="30">
        <v>480950.05333333329</v>
      </c>
      <c r="O18" s="32"/>
      <c r="P18" s="30">
        <v>754148.73</v>
      </c>
      <c r="Q18" s="14"/>
    </row>
    <row r="19" spans="2:17" x14ac:dyDescent="0.25">
      <c r="B19" s="29" t="s">
        <v>20</v>
      </c>
      <c r="C19" s="30">
        <v>824</v>
      </c>
      <c r="D19" s="30">
        <v>4535</v>
      </c>
      <c r="E19" s="30">
        <v>2301</v>
      </c>
      <c r="F19" s="30">
        <v>4280</v>
      </c>
      <c r="G19" s="31">
        <f t="shared" si="0"/>
        <v>11940</v>
      </c>
      <c r="I19" s="29" t="s">
        <v>20</v>
      </c>
      <c r="J19" s="30">
        <v>0</v>
      </c>
      <c r="K19" s="32"/>
      <c r="L19" s="30">
        <v>0</v>
      </c>
      <c r="M19" s="32"/>
      <c r="N19" s="30">
        <v>0</v>
      </c>
      <c r="O19" s="32"/>
      <c r="P19" s="30">
        <v>0</v>
      </c>
      <c r="Q19" s="14"/>
    </row>
    <row r="20" spans="2:17" x14ac:dyDescent="0.25">
      <c r="B20" s="29" t="s">
        <v>23</v>
      </c>
      <c r="C20" s="30">
        <v>0</v>
      </c>
      <c r="D20" s="30">
        <v>0</v>
      </c>
      <c r="E20" s="30">
        <v>0</v>
      </c>
      <c r="F20" s="30">
        <v>0</v>
      </c>
      <c r="G20" s="31">
        <f t="shared" si="0"/>
        <v>0</v>
      </c>
      <c r="I20" s="29" t="s">
        <v>23</v>
      </c>
      <c r="J20" s="30">
        <v>0</v>
      </c>
      <c r="K20" s="32"/>
      <c r="L20" s="30">
        <v>0</v>
      </c>
      <c r="M20" s="32"/>
      <c r="N20" s="30">
        <v>0</v>
      </c>
      <c r="O20" s="32"/>
      <c r="P20" s="30">
        <v>0</v>
      </c>
      <c r="Q20" s="14"/>
    </row>
    <row r="21" spans="2:17" x14ac:dyDescent="0.25">
      <c r="B21" s="15" t="s">
        <v>24</v>
      </c>
      <c r="C21" s="16">
        <f>SUM(C4:C20)</f>
        <v>711996</v>
      </c>
      <c r="D21" s="3">
        <f>SUM(D4:D20)</f>
        <v>1000010</v>
      </c>
      <c r="E21" s="3">
        <f>SUM(E4:E20)</f>
        <v>759566</v>
      </c>
      <c r="F21" s="3">
        <f>SUM(F4:F20)</f>
        <v>1795020</v>
      </c>
      <c r="G21" s="3">
        <f>SUM(G4:G20)</f>
        <v>4266592</v>
      </c>
      <c r="I21" s="15" t="s">
        <v>24</v>
      </c>
      <c r="J21" s="3">
        <f>SUM(J4:J20)</f>
        <v>129916531.45333335</v>
      </c>
      <c r="K21" s="17"/>
      <c r="L21" s="3">
        <f>SUM(L4:L20)</f>
        <v>146828035.12333333</v>
      </c>
      <c r="M21" s="14"/>
      <c r="N21" s="3">
        <f>SUM(N4:N20)</f>
        <v>156876155.8366667</v>
      </c>
      <c r="O21" s="14"/>
      <c r="P21" s="3">
        <f>SUM(P4:P20)</f>
        <v>179766007.625</v>
      </c>
      <c r="Q21" s="18"/>
    </row>
    <row r="24" spans="2:17" ht="15.75" x14ac:dyDescent="0.25">
      <c r="B24" s="44" t="s">
        <v>122</v>
      </c>
      <c r="C24" s="44"/>
      <c r="D24" s="44"/>
      <c r="E24" s="44"/>
      <c r="F24" s="44"/>
      <c r="G24" s="44"/>
      <c r="I24" s="44" t="s">
        <v>46</v>
      </c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C25" s="13" t="s">
        <v>2</v>
      </c>
      <c r="D25" s="13" t="s">
        <v>3</v>
      </c>
      <c r="E25" s="13" t="s">
        <v>4</v>
      </c>
      <c r="F25" s="13" t="s">
        <v>5</v>
      </c>
      <c r="G25" s="13" t="s">
        <v>6</v>
      </c>
      <c r="I25" s="13"/>
      <c r="J25" s="13" t="s">
        <v>2</v>
      </c>
      <c r="K25" s="13"/>
      <c r="L25" s="13" t="s">
        <v>3</v>
      </c>
      <c r="M25" s="13"/>
      <c r="N25" s="13" t="s">
        <v>4</v>
      </c>
      <c r="O25" s="13"/>
      <c r="P25" s="13" t="s">
        <v>26</v>
      </c>
    </row>
    <row r="26" spans="2:17" x14ac:dyDescent="0.25">
      <c r="B26" s="12" t="s">
        <v>7</v>
      </c>
      <c r="C26" s="16">
        <f t="shared" ref="C26:C39" si="1">$C$40*K26</f>
        <v>40566.309416971133</v>
      </c>
      <c r="D26" s="16">
        <f t="shared" ref="D26:D39" si="2">$D$40*M26</f>
        <v>57272.301635924036</v>
      </c>
      <c r="E26" s="16">
        <f t="shared" ref="E26:E39" si="3">$E$40*O26</f>
        <v>43867.504390291848</v>
      </c>
      <c r="F26" s="16">
        <f t="shared" ref="F26:F39" si="4">$F$40*Q26</f>
        <v>118829.8934618944</v>
      </c>
      <c r="G26" s="16">
        <f t="shared" ref="G26:G39" si="5">SUM(C26+D26+E26+F26)</f>
        <v>260536.00890508143</v>
      </c>
      <c r="I26" s="12" t="s">
        <v>7</v>
      </c>
      <c r="J26" s="3">
        <v>7687162.1166666672</v>
      </c>
      <c r="K26" s="14">
        <f t="shared" ref="K26:K39" si="6">J26/$J$40</f>
        <v>5.7041488440167966E-2</v>
      </c>
      <c r="L26" s="3">
        <v>8696751.660000002</v>
      </c>
      <c r="M26" s="14">
        <f t="shared" ref="M26:M39" si="7">L26/$L$40</f>
        <v>5.7532636817523325E-2</v>
      </c>
      <c r="N26" s="3">
        <v>9349441.6066666674</v>
      </c>
      <c r="O26" s="14">
        <f t="shared" ref="O26:O39" si="8">N26/$N$40</f>
        <v>5.7928868216927824E-2</v>
      </c>
      <c r="P26" s="3">
        <v>12210655.699999999</v>
      </c>
      <c r="Q26" s="14">
        <f t="shared" ref="Q26:Q39" si="9">P26/$P$40</f>
        <v>6.635798243290171E-2</v>
      </c>
    </row>
    <row r="27" spans="2:17" x14ac:dyDescent="0.25">
      <c r="B27" s="12" t="s">
        <v>8</v>
      </c>
      <c r="C27" s="16">
        <f t="shared" si="1"/>
        <v>103937.31284286593</v>
      </c>
      <c r="D27" s="16">
        <f t="shared" si="2"/>
        <v>137276.63991643451</v>
      </c>
      <c r="E27" s="16">
        <f t="shared" si="3"/>
        <v>103312.80142885234</v>
      </c>
      <c r="F27" s="16">
        <f t="shared" si="4"/>
        <v>234686.92127348174</v>
      </c>
      <c r="G27" s="16">
        <f t="shared" si="5"/>
        <v>579213.67546163453</v>
      </c>
      <c r="I27" s="12" t="s">
        <v>8</v>
      </c>
      <c r="J27" s="3">
        <v>19695727.446666669</v>
      </c>
      <c r="K27" s="14">
        <f t="shared" si="6"/>
        <v>0.14614933214871498</v>
      </c>
      <c r="L27" s="3">
        <v>20845344.293333333</v>
      </c>
      <c r="M27" s="14">
        <f t="shared" si="7"/>
        <v>0.13790064031385471</v>
      </c>
      <c r="N27" s="3">
        <v>22018964.096666668</v>
      </c>
      <c r="O27" s="14">
        <f t="shared" si="8"/>
        <v>0.13642886100486928</v>
      </c>
      <c r="P27" s="3">
        <v>24115827.335000001</v>
      </c>
      <c r="Q27" s="14">
        <f t="shared" si="9"/>
        <v>0.13105583237850371</v>
      </c>
    </row>
    <row r="28" spans="2:17" x14ac:dyDescent="0.25">
      <c r="B28" s="12" t="s">
        <v>9</v>
      </c>
      <c r="C28" s="16">
        <f t="shared" si="1"/>
        <v>37609.555981033402</v>
      </c>
      <c r="D28" s="16">
        <f t="shared" si="2"/>
        <v>58859.289135844359</v>
      </c>
      <c r="E28" s="16">
        <f t="shared" si="3"/>
        <v>44456.91105346656</v>
      </c>
      <c r="F28" s="16">
        <f t="shared" si="4"/>
        <v>128236.73797702872</v>
      </c>
      <c r="G28" s="16">
        <f t="shared" si="5"/>
        <v>269162.49414737301</v>
      </c>
      <c r="I28" s="12" t="s">
        <v>9</v>
      </c>
      <c r="J28" s="3">
        <v>7126868.5300000003</v>
      </c>
      <c r="K28" s="14">
        <f t="shared" si="6"/>
        <v>5.2883909913541874E-2</v>
      </c>
      <c r="L28" s="3">
        <v>8937734.4000000004</v>
      </c>
      <c r="M28" s="14">
        <f t="shared" si="7"/>
        <v>5.9126838078147982E-2</v>
      </c>
      <c r="N28" s="3">
        <v>9475061.3166666683</v>
      </c>
      <c r="O28" s="14">
        <f t="shared" si="8"/>
        <v>5.8707204285773883E-2</v>
      </c>
      <c r="P28" s="3">
        <v>13177278.965</v>
      </c>
      <c r="Q28" s="14">
        <f t="shared" si="9"/>
        <v>7.1611031180980333E-2</v>
      </c>
    </row>
    <row r="29" spans="2:17" x14ac:dyDescent="0.25">
      <c r="B29" s="12" t="s">
        <v>10</v>
      </c>
      <c r="C29" s="16">
        <f t="shared" si="1"/>
        <v>8985.3402665023623</v>
      </c>
      <c r="D29" s="16">
        <f t="shared" si="2"/>
        <v>15103.042529273107</v>
      </c>
      <c r="E29" s="16">
        <f t="shared" si="3"/>
        <v>9253.6994056934254</v>
      </c>
      <c r="F29" s="16">
        <f t="shared" si="4"/>
        <v>42184.892367928922</v>
      </c>
      <c r="G29" s="16">
        <f t="shared" si="5"/>
        <v>75526.974569397818</v>
      </c>
      <c r="I29" s="12" t="s">
        <v>10</v>
      </c>
      <c r="J29" s="3">
        <v>1702687.9766666668</v>
      </c>
      <c r="K29" s="14">
        <f t="shared" si="6"/>
        <v>1.2634552916175499E-2</v>
      </c>
      <c r="L29" s="3">
        <v>2293384.5233333334</v>
      </c>
      <c r="M29" s="14">
        <f t="shared" si="7"/>
        <v>1.5171694446644172E-2</v>
      </c>
      <c r="N29" s="3">
        <v>1972232.6000000003</v>
      </c>
      <c r="O29" s="14">
        <f t="shared" si="8"/>
        <v>1.2219895816779364E-2</v>
      </c>
      <c r="P29" s="3">
        <v>4334811.5649999995</v>
      </c>
      <c r="Q29" s="14">
        <f t="shared" si="9"/>
        <v>2.3557240229139305E-2</v>
      </c>
    </row>
    <row r="30" spans="2:17" x14ac:dyDescent="0.25">
      <c r="B30" s="12" t="s">
        <v>11</v>
      </c>
      <c r="C30" s="16">
        <f t="shared" si="1"/>
        <v>12609.712892502361</v>
      </c>
      <c r="D30" s="16">
        <f t="shared" si="2"/>
        <v>29023.32344479526</v>
      </c>
      <c r="E30" s="16">
        <f t="shared" si="3"/>
        <v>25983.495166492674</v>
      </c>
      <c r="F30" s="16">
        <f t="shared" si="4"/>
        <v>68832.052838774733</v>
      </c>
      <c r="G30" s="16">
        <f t="shared" si="5"/>
        <v>136448.58434256504</v>
      </c>
      <c r="I30" s="12" t="s">
        <v>11</v>
      </c>
      <c r="J30" s="3">
        <v>2389492.8733333335</v>
      </c>
      <c r="K30" s="14">
        <f t="shared" si="6"/>
        <v>1.7730890547578308E-2</v>
      </c>
      <c r="L30" s="3">
        <v>4407167.6733333329</v>
      </c>
      <c r="M30" s="14">
        <f t="shared" si="7"/>
        <v>2.9155250955368302E-2</v>
      </c>
      <c r="N30" s="3">
        <v>5537838.8666666672</v>
      </c>
      <c r="O30" s="14">
        <f t="shared" si="8"/>
        <v>3.4312288520521449E-2</v>
      </c>
      <c r="P30" s="3">
        <v>7073005.5700000003</v>
      </c>
      <c r="Q30" s="14">
        <f t="shared" si="9"/>
        <v>3.8437770328900195E-2</v>
      </c>
    </row>
    <row r="31" spans="2:17" x14ac:dyDescent="0.25">
      <c r="B31" s="12" t="s">
        <v>12</v>
      </c>
      <c r="C31" s="16">
        <f t="shared" si="1"/>
        <v>41497.070818961307</v>
      </c>
      <c r="D31" s="16">
        <f t="shared" si="2"/>
        <v>62012.558568024011</v>
      </c>
      <c r="E31" s="16">
        <f t="shared" si="3"/>
        <v>48492.00676778538</v>
      </c>
      <c r="F31" s="16">
        <f t="shared" si="4"/>
        <v>109511.17205454825</v>
      </c>
      <c r="G31" s="16">
        <f t="shared" si="5"/>
        <v>261512.80820931896</v>
      </c>
      <c r="I31" s="12" t="s">
        <v>12</v>
      </c>
      <c r="J31" s="3">
        <v>7863537.8799999999</v>
      </c>
      <c r="K31" s="14">
        <f t="shared" si="6"/>
        <v>5.8350259598186245E-2</v>
      </c>
      <c r="L31" s="3">
        <v>9416555.7566666659</v>
      </c>
      <c r="M31" s="14">
        <f t="shared" si="7"/>
        <v>6.2294440913156043E-2</v>
      </c>
      <c r="N31" s="3">
        <v>10335057.623333333</v>
      </c>
      <c r="O31" s="14">
        <f t="shared" si="8"/>
        <v>6.4035716384337554E-2</v>
      </c>
      <c r="P31" s="3">
        <v>11253087.74</v>
      </c>
      <c r="Q31" s="14">
        <f t="shared" si="9"/>
        <v>6.1154144127315103E-2</v>
      </c>
    </row>
    <row r="32" spans="2:17" x14ac:dyDescent="0.25">
      <c r="B32" s="12" t="s">
        <v>22</v>
      </c>
      <c r="C32" s="16">
        <f t="shared" si="1"/>
        <v>2777.2034298691765</v>
      </c>
      <c r="D32" s="16">
        <f t="shared" si="2"/>
        <v>2532.8257077902613</v>
      </c>
      <c r="E32" s="16">
        <f t="shared" si="3"/>
        <v>4372.7176734138684</v>
      </c>
      <c r="F32" s="16">
        <f t="shared" si="4"/>
        <v>7337.8595434578765</v>
      </c>
      <c r="G32" s="16">
        <f t="shared" si="5"/>
        <v>17020.606354531184</v>
      </c>
      <c r="I32" s="12" t="s">
        <v>22</v>
      </c>
      <c r="J32" s="3">
        <v>526269.54</v>
      </c>
      <c r="K32" s="14">
        <f t="shared" si="6"/>
        <v>3.9051079483854488E-3</v>
      </c>
      <c r="L32" s="3">
        <v>384607.49</v>
      </c>
      <c r="M32" s="14">
        <f t="shared" si="7"/>
        <v>2.5443388410459943E-3</v>
      </c>
      <c r="N32" s="3">
        <v>931953.37000000011</v>
      </c>
      <c r="O32" s="14">
        <f t="shared" si="8"/>
        <v>5.7743559697250877E-3</v>
      </c>
      <c r="P32" s="3">
        <v>754019.66500000004</v>
      </c>
      <c r="Q32" s="14">
        <f t="shared" si="9"/>
        <v>4.0976688650825226E-3</v>
      </c>
    </row>
    <row r="33" spans="2:17" x14ac:dyDescent="0.25">
      <c r="B33" s="12" t="s">
        <v>21</v>
      </c>
      <c r="C33" s="16">
        <f t="shared" si="1"/>
        <v>0</v>
      </c>
      <c r="D33" s="16">
        <f t="shared" si="2"/>
        <v>0</v>
      </c>
      <c r="E33" s="16">
        <f t="shared" si="3"/>
        <v>0</v>
      </c>
      <c r="F33" s="16">
        <f t="shared" si="4"/>
        <v>0</v>
      </c>
      <c r="G33" s="16">
        <f t="shared" si="5"/>
        <v>0</v>
      </c>
      <c r="I33" s="12" t="s">
        <v>21</v>
      </c>
      <c r="J33" s="3">
        <v>0</v>
      </c>
      <c r="K33" s="14">
        <f t="shared" si="6"/>
        <v>0</v>
      </c>
      <c r="L33" s="3">
        <v>0</v>
      </c>
      <c r="M33" s="14">
        <f t="shared" si="7"/>
        <v>0</v>
      </c>
      <c r="N33" s="3">
        <v>0</v>
      </c>
      <c r="O33" s="14">
        <f t="shared" si="8"/>
        <v>0</v>
      </c>
      <c r="P33" s="3">
        <v>0</v>
      </c>
      <c r="Q33" s="14">
        <f t="shared" si="9"/>
        <v>0</v>
      </c>
    </row>
    <row r="34" spans="2:17" x14ac:dyDescent="0.25">
      <c r="B34" s="12" t="s">
        <v>13</v>
      </c>
      <c r="C34" s="16">
        <f t="shared" si="1"/>
        <v>30556.276585047966</v>
      </c>
      <c r="D34" s="16">
        <f t="shared" si="2"/>
        <v>46858.974593600396</v>
      </c>
      <c r="E34" s="16">
        <f t="shared" si="3"/>
        <v>38398.91992496758</v>
      </c>
      <c r="F34" s="16">
        <f t="shared" si="4"/>
        <v>85763.576994458141</v>
      </c>
      <c r="G34" s="16">
        <f t="shared" si="5"/>
        <v>201577.74809807411</v>
      </c>
      <c r="I34" s="12" t="s">
        <v>13</v>
      </c>
      <c r="J34" s="3">
        <v>5790298.7766666673</v>
      </c>
      <c r="K34" s="14">
        <f t="shared" si="6"/>
        <v>4.2966084976697572E-2</v>
      </c>
      <c r="L34" s="3">
        <v>7115496.5566666676</v>
      </c>
      <c r="M34" s="14">
        <f t="shared" si="7"/>
        <v>4.707197528175032E-2</v>
      </c>
      <c r="N34" s="3">
        <v>8183927.1366666667</v>
      </c>
      <c r="O34" s="14">
        <f t="shared" si="8"/>
        <v>5.0707374465963143E-2</v>
      </c>
      <c r="P34" s="3">
        <v>8812845.6549999993</v>
      </c>
      <c r="Q34" s="14">
        <f t="shared" si="9"/>
        <v>4.7892813582350389E-2</v>
      </c>
    </row>
    <row r="35" spans="2:17" x14ac:dyDescent="0.25">
      <c r="B35" s="12" t="s">
        <v>14</v>
      </c>
      <c r="C35" s="16">
        <f t="shared" si="1"/>
        <v>17289.315721033076</v>
      </c>
      <c r="D35" s="16">
        <f t="shared" si="2"/>
        <v>19535.255857112519</v>
      </c>
      <c r="E35" s="16">
        <f t="shared" si="3"/>
        <v>12089.394662555331</v>
      </c>
      <c r="F35" s="16">
        <f t="shared" si="4"/>
        <v>28174.215050317987</v>
      </c>
      <c r="G35" s="16">
        <f t="shared" si="5"/>
        <v>77088.181291018904</v>
      </c>
      <c r="I35" s="12" t="s">
        <v>14</v>
      </c>
      <c r="J35" s="3">
        <v>3276259.9</v>
      </c>
      <c r="K35" s="14">
        <f t="shared" si="6"/>
        <v>2.4311018601734988E-2</v>
      </c>
      <c r="L35" s="3">
        <v>2966412.4533333331</v>
      </c>
      <c r="M35" s="14">
        <f t="shared" si="7"/>
        <v>1.9624054704651065E-2</v>
      </c>
      <c r="N35" s="3">
        <v>2576601.77</v>
      </c>
      <c r="O35" s="14">
        <f t="shared" si="8"/>
        <v>1.5964549612824216E-2</v>
      </c>
      <c r="P35" s="3">
        <v>2895110.2249999996</v>
      </c>
      <c r="Q35" s="14">
        <f t="shared" si="9"/>
        <v>1.5733280683023772E-2</v>
      </c>
    </row>
    <row r="36" spans="2:17" x14ac:dyDescent="0.25">
      <c r="B36" s="12" t="s">
        <v>15</v>
      </c>
      <c r="C36" s="16">
        <f t="shared" si="1"/>
        <v>92679.679088966193</v>
      </c>
      <c r="D36" s="16">
        <f t="shared" si="2"/>
        <v>124120.92428694972</v>
      </c>
      <c r="E36" s="16">
        <f t="shared" si="3"/>
        <v>95183.807158031777</v>
      </c>
      <c r="F36" s="16">
        <f t="shared" si="4"/>
        <v>211327.86922135996</v>
      </c>
      <c r="G36" s="16">
        <f t="shared" si="5"/>
        <v>523312.27975530765</v>
      </c>
      <c r="I36" s="12" t="s">
        <v>27</v>
      </c>
      <c r="J36" s="3">
        <f>12562448.4533333+5000000</f>
        <v>17562448.4533333</v>
      </c>
      <c r="K36" s="14">
        <f t="shared" si="6"/>
        <v>0.13031964009967517</v>
      </c>
      <c r="L36" s="3">
        <f>13847659.75+5000000</f>
        <v>18847659.75</v>
      </c>
      <c r="M36" s="14">
        <f t="shared" si="7"/>
        <v>0.1246851244752</v>
      </c>
      <c r="N36" s="3">
        <f>15286438.8866667+5000000</f>
        <v>20286438.8866667</v>
      </c>
      <c r="O36" s="14">
        <f t="shared" si="8"/>
        <v>0.12569418520337236</v>
      </c>
      <c r="P36" s="3">
        <f>16715510.935+5000000</f>
        <v>21715510.935000002</v>
      </c>
      <c r="Q36" s="14">
        <f t="shared" si="9"/>
        <v>0.1180114752679674</v>
      </c>
    </row>
    <row r="37" spans="2:17" x14ac:dyDescent="0.25">
      <c r="B37" s="12" t="s">
        <v>16</v>
      </c>
      <c r="C37" s="16">
        <f t="shared" si="1"/>
        <v>195963.80631057531</v>
      </c>
      <c r="D37" s="16">
        <f t="shared" si="2"/>
        <v>251551.05390050833</v>
      </c>
      <c r="E37" s="16">
        <f t="shared" si="3"/>
        <v>186829.99157969403</v>
      </c>
      <c r="F37" s="16">
        <f t="shared" si="4"/>
        <v>420509.2416629853</v>
      </c>
      <c r="G37" s="16">
        <f t="shared" si="5"/>
        <v>1054854.0934537631</v>
      </c>
      <c r="I37" s="12" t="s">
        <v>16</v>
      </c>
      <c r="J37" s="3">
        <v>37134399.696666665</v>
      </c>
      <c r="K37" s="14">
        <f t="shared" si="6"/>
        <v>0.27555050861194663</v>
      </c>
      <c r="L37" s="3">
        <v>38197819.593333334</v>
      </c>
      <c r="M37" s="14">
        <f t="shared" si="7"/>
        <v>0.25269449649715797</v>
      </c>
      <c r="N37" s="3">
        <v>39818907.43333333</v>
      </c>
      <c r="O37" s="14">
        <f t="shared" si="8"/>
        <v>0.24671679211332101</v>
      </c>
      <c r="P37" s="3">
        <v>43210453.355000004</v>
      </c>
      <c r="Q37" s="14">
        <f t="shared" si="9"/>
        <v>0.23482428586114415</v>
      </c>
    </row>
    <row r="38" spans="2:17" x14ac:dyDescent="0.25">
      <c r="B38" s="12" t="s">
        <v>17</v>
      </c>
      <c r="C38" s="16">
        <f t="shared" si="1"/>
        <v>14741.505192345197</v>
      </c>
      <c r="D38" s="16">
        <f t="shared" si="2"/>
        <v>33400.555263800779</v>
      </c>
      <c r="E38" s="16">
        <f t="shared" si="3"/>
        <v>28327.829687627331</v>
      </c>
      <c r="F38" s="16">
        <f t="shared" si="4"/>
        <v>60911.325186272305</v>
      </c>
      <c r="G38" s="16">
        <f t="shared" si="5"/>
        <v>137381.21533004561</v>
      </c>
      <c r="I38" s="12" t="s">
        <v>17</v>
      </c>
      <c r="J38" s="3">
        <v>2793459.4466666668</v>
      </c>
      <c r="K38" s="14">
        <f t="shared" si="6"/>
        <v>2.0728466801765533E-2</v>
      </c>
      <c r="L38" s="3">
        <v>5071846.706666667</v>
      </c>
      <c r="M38" s="14">
        <f t="shared" si="7"/>
        <v>3.3552379782315761E-2</v>
      </c>
      <c r="N38" s="3">
        <v>6037484.7666666666</v>
      </c>
      <c r="O38" s="14">
        <f t="shared" si="8"/>
        <v>3.7408079982076722E-2</v>
      </c>
      <c r="P38" s="3">
        <v>6259091.8700000001</v>
      </c>
      <c r="Q38" s="14">
        <f t="shared" si="9"/>
        <v>3.401461138203888E-2</v>
      </c>
    </row>
    <row r="39" spans="2:17" x14ac:dyDescent="0.25">
      <c r="B39" s="12" t="s">
        <v>18</v>
      </c>
      <c r="C39" s="16">
        <f t="shared" si="1"/>
        <v>111958.91145332663</v>
      </c>
      <c r="D39" s="16">
        <f t="shared" si="2"/>
        <v>157928.25515994278</v>
      </c>
      <c r="E39" s="16">
        <f t="shared" si="3"/>
        <v>116695.92110112777</v>
      </c>
      <c r="F39" s="16">
        <f t="shared" si="4"/>
        <v>274434.24236749159</v>
      </c>
      <c r="G39" s="16">
        <f t="shared" si="5"/>
        <v>661017.33008188871</v>
      </c>
      <c r="I39" s="12" t="s">
        <v>18</v>
      </c>
      <c r="J39" s="3">
        <v>21215790.026666667</v>
      </c>
      <c r="K39" s="14">
        <f t="shared" si="6"/>
        <v>0.15742873939542984</v>
      </c>
      <c r="L39" s="3">
        <v>23981274.996666666</v>
      </c>
      <c r="M39" s="14">
        <f t="shared" si="7"/>
        <v>0.15864612889318444</v>
      </c>
      <c r="N39" s="3">
        <v>24871296.310000002</v>
      </c>
      <c r="O39" s="14">
        <f t="shared" si="8"/>
        <v>0.15410182842350797</v>
      </c>
      <c r="P39" s="3">
        <v>28200160.314999998</v>
      </c>
      <c r="Q39" s="14">
        <f t="shared" si="9"/>
        <v>0.15325186368065247</v>
      </c>
    </row>
    <row r="40" spans="2:17" x14ac:dyDescent="0.25">
      <c r="B40" s="15" t="s">
        <v>24</v>
      </c>
      <c r="C40" s="16">
        <f>$C$21-(C18+C19+C20)</f>
        <v>711172</v>
      </c>
      <c r="D40" s="16">
        <f>$D$21-(D18+D19+D20)</f>
        <v>995475</v>
      </c>
      <c r="E40" s="16">
        <f>$E$21-(E18+E19+E20)</f>
        <v>757265</v>
      </c>
      <c r="F40" s="16">
        <f>$F$21-(F18+F19+F20)</f>
        <v>1790740</v>
      </c>
      <c r="G40" s="16">
        <f>$C$21-(G18+G19+G20)</f>
        <v>700056</v>
      </c>
      <c r="I40" s="15" t="s">
        <v>24</v>
      </c>
      <c r="J40" s="3">
        <f t="shared" ref="J40:Q40" si="10">SUM(J26:J39)</f>
        <v>134764402.6633333</v>
      </c>
      <c r="K40" s="19">
        <f t="shared" si="10"/>
        <v>1</v>
      </c>
      <c r="L40" s="3">
        <f t="shared" si="10"/>
        <v>151162055.85333332</v>
      </c>
      <c r="M40" s="19">
        <f t="shared" si="10"/>
        <v>1.0000000000000002</v>
      </c>
      <c r="N40" s="3">
        <f t="shared" si="10"/>
        <v>161395205.78333339</v>
      </c>
      <c r="O40" s="19">
        <f t="shared" si="10"/>
        <v>0.99999999999999978</v>
      </c>
      <c r="P40" s="3">
        <f t="shared" si="10"/>
        <v>184011858.89500001</v>
      </c>
      <c r="Q40" s="19">
        <f t="shared" si="10"/>
        <v>0.99999999999999989</v>
      </c>
    </row>
    <row r="43" spans="2:17" ht="15.75" x14ac:dyDescent="0.25">
      <c r="B43" s="44" t="s">
        <v>145</v>
      </c>
      <c r="C43" s="44"/>
      <c r="D43" s="44"/>
      <c r="E43" s="44"/>
      <c r="F43" s="44"/>
      <c r="G43" s="44"/>
      <c r="I43" s="44" t="s">
        <v>169</v>
      </c>
      <c r="J43" s="44"/>
      <c r="K43" s="44"/>
      <c r="L43" s="44"/>
      <c r="M43" s="44"/>
      <c r="N43" s="44"/>
      <c r="O43" s="44"/>
      <c r="P43" s="44"/>
      <c r="Q43" s="44"/>
    </row>
    <row r="44" spans="2:17" x14ac:dyDescent="0.25">
      <c r="B44" s="13"/>
      <c r="C44" s="13" t="s">
        <v>2</v>
      </c>
      <c r="D44" s="13" t="s">
        <v>3</v>
      </c>
      <c r="E44" s="13" t="s">
        <v>4</v>
      </c>
      <c r="F44" s="13" t="s">
        <v>5</v>
      </c>
      <c r="G44" s="13" t="s">
        <v>6</v>
      </c>
    </row>
    <row r="45" spans="2:17" x14ac:dyDescent="0.25">
      <c r="B45" s="12" t="s">
        <v>7</v>
      </c>
      <c r="C45" s="16">
        <f>C26-C4</f>
        <v>-968.69058302886697</v>
      </c>
      <c r="D45" s="16">
        <f>D26-D4</f>
        <v>-1958.6983640759645</v>
      </c>
      <c r="E45" s="16">
        <f>E26-E4</f>
        <v>-847.49560970815219</v>
      </c>
      <c r="F45" s="16">
        <f>F26-F4</f>
        <v>20021.893461894404</v>
      </c>
      <c r="G45" s="16">
        <f t="shared" ref="G45:G59" si="11">SUM(C45+D45+E45+F45)</f>
        <v>16247.00890508142</v>
      </c>
      <c r="I45" s="15" t="s">
        <v>153</v>
      </c>
      <c r="J45" s="12" t="s">
        <v>155</v>
      </c>
    </row>
    <row r="46" spans="2:17" x14ac:dyDescent="0.25">
      <c r="B46" s="12" t="s">
        <v>8</v>
      </c>
      <c r="C46" s="16">
        <f t="shared" ref="C46:F58" si="12">C27-C5</f>
        <v>-2482.6871571340744</v>
      </c>
      <c r="D46" s="16">
        <f t="shared" si="12"/>
        <v>-4693.3600835654943</v>
      </c>
      <c r="E46" s="16">
        <f t="shared" si="12"/>
        <v>-1996.1985711476591</v>
      </c>
      <c r="F46" s="16">
        <f t="shared" si="12"/>
        <v>-13370.078726518259</v>
      </c>
      <c r="G46" s="16">
        <f t="shared" si="11"/>
        <v>-22542.324538365487</v>
      </c>
      <c r="I46" s="15" t="s">
        <v>154</v>
      </c>
      <c r="J46" t="s">
        <v>188</v>
      </c>
    </row>
    <row r="47" spans="2:17" x14ac:dyDescent="0.25">
      <c r="B47" s="12" t="s">
        <v>9</v>
      </c>
      <c r="C47" s="16">
        <f t="shared" si="12"/>
        <v>-2089.4440189665984</v>
      </c>
      <c r="D47" s="16">
        <f t="shared" si="12"/>
        <v>-2012.7108641556406</v>
      </c>
      <c r="E47" s="16">
        <f t="shared" si="12"/>
        <v>-859.08894653344032</v>
      </c>
      <c r="F47" s="16">
        <f t="shared" si="12"/>
        <v>3622.7379770287225</v>
      </c>
      <c r="G47" s="16">
        <f t="shared" si="11"/>
        <v>-1338.5058526269568</v>
      </c>
    </row>
    <row r="48" spans="2:17" x14ac:dyDescent="0.25">
      <c r="B48" s="12" t="s">
        <v>10</v>
      </c>
      <c r="C48" s="16">
        <f t="shared" si="12"/>
        <v>-214.65973349763772</v>
      </c>
      <c r="D48" s="16">
        <f t="shared" si="12"/>
        <v>-516.95747072689301</v>
      </c>
      <c r="E48" s="16">
        <f t="shared" si="12"/>
        <v>101.69940569342543</v>
      </c>
      <c r="F48" s="16">
        <f t="shared" si="12"/>
        <v>1191.8923679289219</v>
      </c>
      <c r="G48" s="16">
        <f t="shared" si="11"/>
        <v>561.97456939781659</v>
      </c>
    </row>
    <row r="49" spans="2:7" x14ac:dyDescent="0.25">
      <c r="B49" s="12" t="s">
        <v>11</v>
      </c>
      <c r="C49" s="16">
        <f t="shared" si="12"/>
        <v>-301.28710749763923</v>
      </c>
      <c r="D49" s="16">
        <f t="shared" si="12"/>
        <v>-1002.67655520474</v>
      </c>
      <c r="E49" s="16">
        <f t="shared" si="12"/>
        <v>-502.50483350732611</v>
      </c>
      <c r="F49" s="16">
        <f t="shared" si="12"/>
        <v>1945.0528387747327</v>
      </c>
      <c r="G49" s="16">
        <f t="shared" si="11"/>
        <v>138.58434256502733</v>
      </c>
    </row>
    <row r="50" spans="2:7" x14ac:dyDescent="0.25">
      <c r="B50" s="12" t="s">
        <v>12</v>
      </c>
      <c r="C50" s="16">
        <f t="shared" si="12"/>
        <v>-990.92918103869306</v>
      </c>
      <c r="D50" s="16">
        <f t="shared" si="12"/>
        <v>-2122.441431975989</v>
      </c>
      <c r="E50" s="16">
        <f t="shared" si="12"/>
        <v>-936.99323221461964</v>
      </c>
      <c r="F50" s="16">
        <f t="shared" si="12"/>
        <v>32479.172054548253</v>
      </c>
      <c r="G50" s="16">
        <f t="shared" si="11"/>
        <v>28428.808209318951</v>
      </c>
    </row>
    <row r="51" spans="2:7" x14ac:dyDescent="0.25">
      <c r="B51" s="12" t="s">
        <v>22</v>
      </c>
      <c r="C51" s="16">
        <f t="shared" si="12"/>
        <v>-66.796570130823511</v>
      </c>
      <c r="D51" s="16">
        <f t="shared" si="12"/>
        <v>-86.174292209738724</v>
      </c>
      <c r="E51" s="16">
        <f t="shared" si="12"/>
        <v>-79.282326586131603</v>
      </c>
      <c r="F51" s="16">
        <f t="shared" si="12"/>
        <v>3062.8595434578765</v>
      </c>
      <c r="G51" s="16">
        <f t="shared" si="11"/>
        <v>2830.6063545311827</v>
      </c>
    </row>
    <row r="52" spans="2:7" x14ac:dyDescent="0.25">
      <c r="B52" s="12" t="s">
        <v>21</v>
      </c>
      <c r="C52" s="16">
        <f t="shared" si="12"/>
        <v>0</v>
      </c>
      <c r="D52" s="16">
        <f t="shared" si="12"/>
        <v>0</v>
      </c>
      <c r="E52" s="16">
        <f t="shared" si="12"/>
        <v>0</v>
      </c>
      <c r="F52" s="16">
        <f t="shared" si="12"/>
        <v>0</v>
      </c>
      <c r="G52" s="16">
        <f t="shared" si="11"/>
        <v>0</v>
      </c>
    </row>
    <row r="53" spans="2:7" x14ac:dyDescent="0.25">
      <c r="B53" s="12" t="s">
        <v>13</v>
      </c>
      <c r="C53" s="16">
        <f t="shared" si="12"/>
        <v>-729.72341495203364</v>
      </c>
      <c r="D53" s="16">
        <f t="shared" si="12"/>
        <v>-1602.0254063996035</v>
      </c>
      <c r="E53" s="16">
        <f t="shared" si="12"/>
        <v>-742.0800750324197</v>
      </c>
      <c r="F53" s="16">
        <f t="shared" si="12"/>
        <v>-13685.423005541859</v>
      </c>
      <c r="G53" s="16">
        <f t="shared" si="11"/>
        <v>-16759.251901925916</v>
      </c>
    </row>
    <row r="54" spans="2:7" x14ac:dyDescent="0.25">
      <c r="B54" s="12" t="s">
        <v>14</v>
      </c>
      <c r="C54" s="16">
        <f t="shared" si="12"/>
        <v>-412.68427896692447</v>
      </c>
      <c r="D54" s="16">
        <f t="shared" si="12"/>
        <v>-667.74414288748085</v>
      </c>
      <c r="E54" s="16">
        <f t="shared" si="12"/>
        <v>-233.6053374446692</v>
      </c>
      <c r="F54" s="16">
        <f t="shared" si="12"/>
        <v>796.21505031798733</v>
      </c>
      <c r="G54" s="16">
        <f t="shared" si="11"/>
        <v>-517.81870898108718</v>
      </c>
    </row>
    <row r="55" spans="2:7" x14ac:dyDescent="0.25">
      <c r="B55" s="12" t="s">
        <v>15</v>
      </c>
      <c r="C55" s="16">
        <f t="shared" si="12"/>
        <v>13995.679088966193</v>
      </c>
      <c r="D55" s="16">
        <f t="shared" si="12"/>
        <v>29809.924286949725</v>
      </c>
      <c r="E55" s="16">
        <f t="shared" si="12"/>
        <v>12507.807158031777</v>
      </c>
      <c r="F55" s="16">
        <f t="shared" si="12"/>
        <v>-44029.130778640043</v>
      </c>
      <c r="G55" s="16">
        <f t="shared" si="11"/>
        <v>12284.279755307653</v>
      </c>
    </row>
    <row r="56" spans="2:7" x14ac:dyDescent="0.25">
      <c r="B56" s="12" t="s">
        <v>16</v>
      </c>
      <c r="C56" s="16">
        <f t="shared" si="12"/>
        <v>-2711.1936894246901</v>
      </c>
      <c r="D56" s="16">
        <f t="shared" si="12"/>
        <v>-8601.9460994916735</v>
      </c>
      <c r="E56" s="16">
        <f t="shared" si="12"/>
        <v>-3610.0084203059669</v>
      </c>
      <c r="F56" s="16">
        <f t="shared" si="12"/>
        <v>-116942.7583370147</v>
      </c>
      <c r="G56" s="16">
        <f t="shared" si="11"/>
        <v>-131865.90654623703</v>
      </c>
    </row>
    <row r="57" spans="2:7" x14ac:dyDescent="0.25">
      <c r="B57" s="12" t="s">
        <v>17</v>
      </c>
      <c r="C57" s="16">
        <f t="shared" si="12"/>
        <v>-352.49480765480257</v>
      </c>
      <c r="D57" s="16">
        <f t="shared" si="12"/>
        <v>-1143.4447361992206</v>
      </c>
      <c r="E57" s="16">
        <f t="shared" si="12"/>
        <v>-547.17031237266929</v>
      </c>
      <c r="F57" s="16">
        <f t="shared" si="12"/>
        <v>5272.3251862723046</v>
      </c>
      <c r="G57" s="16">
        <f t="shared" si="11"/>
        <v>3229.2153300456121</v>
      </c>
    </row>
    <row r="58" spans="2:7" x14ac:dyDescent="0.25">
      <c r="B58" s="12" t="s">
        <v>18</v>
      </c>
      <c r="C58" s="16">
        <f t="shared" si="12"/>
        <v>-2675.0885466733744</v>
      </c>
      <c r="D58" s="16">
        <f t="shared" si="12"/>
        <v>-5401.7448400572175</v>
      </c>
      <c r="E58" s="16">
        <f t="shared" si="12"/>
        <v>-2255.0788988722343</v>
      </c>
      <c r="F58" s="16">
        <f t="shared" si="12"/>
        <v>119635.24236749159</v>
      </c>
      <c r="G58" s="16">
        <f t="shared" si="11"/>
        <v>109303.33008188877</v>
      </c>
    </row>
    <row r="59" spans="2:7" x14ac:dyDescent="0.25">
      <c r="B59" s="15" t="s">
        <v>24</v>
      </c>
      <c r="C59" s="16">
        <f>SUM(C45:C58)</f>
        <v>3.4560798667371273E-11</v>
      </c>
      <c r="D59" s="16">
        <f>SUM(D45:D58)</f>
        <v>6.9121597334742546E-11</v>
      </c>
      <c r="E59" s="16">
        <f>SUM(E45:E58)</f>
        <v>-8.5492501966655254E-11</v>
      </c>
      <c r="F59" s="16">
        <f>SUM(F45:F58)</f>
        <v>0</v>
      </c>
      <c r="G59" s="16">
        <f t="shared" si="11"/>
        <v>1.8189894035458565E-11</v>
      </c>
    </row>
  </sheetData>
  <sheetProtection algorithmName="SHA-512" hashValue="39ClqP82a2Rxb5XxMXKhB+fLQ6eYOPlTNw7rS3nL+/xZXsWIOEIm61Zsn2odZWyVMHYEmDuYgEWxcQrBi6lulg==" saltValue="pWxKilGz4JmYgw+wPkFx/g==" spinCount="100000" sheet="1" objects="1" scenarios="1"/>
  <mergeCells count="6">
    <mergeCell ref="B2:G2"/>
    <mergeCell ref="I2:Q2"/>
    <mergeCell ref="B24:G24"/>
    <mergeCell ref="I24:Q24"/>
    <mergeCell ref="B43:G43"/>
    <mergeCell ref="I43:Q4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08E23DCE64E346B73BFD882EA1D448" ma:contentTypeVersion="9" ma:contentTypeDescription="Create a new document." ma:contentTypeScope="" ma:versionID="abe9ccc7515efd3d9336c2b610c7c364">
  <xsd:schema xmlns:xsd="http://www.w3.org/2001/XMLSchema" xmlns:xs="http://www.w3.org/2001/XMLSchema" xmlns:p="http://schemas.microsoft.com/office/2006/metadata/properties" xmlns:ns3="fc304279-f9b8-4fe1-9761-def726cd9b60" xmlns:ns4="38a448a3-3401-4646-a6eb-d3230e74046c" targetNamespace="http://schemas.microsoft.com/office/2006/metadata/properties" ma:root="true" ma:fieldsID="42f72f480ec42fa69244de4d7056407e" ns3:_="" ns4:_="">
    <xsd:import namespace="fc304279-f9b8-4fe1-9761-def726cd9b60"/>
    <xsd:import namespace="38a448a3-3401-4646-a6eb-d3230e7404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04279-f9b8-4fe1-9761-def726cd9b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448a3-3401-4646-a6eb-d3230e7404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866E9E-0BF0-4EB1-BEDC-B0AC4A0E7C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9EBB87-5F37-4C07-96C9-D737A2D326E5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38a448a3-3401-4646-a6eb-d3230e74046c"/>
    <ds:schemaRef ds:uri="http://purl.org/dc/dcmitype/"/>
    <ds:schemaRef ds:uri="fc304279-f9b8-4fe1-9761-def726cd9b6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B0AD55F-D99E-4781-8B6A-3D0DFAC36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04279-f9b8-4fe1-9761-def726cd9b60"/>
    <ds:schemaRef ds:uri="38a448a3-3401-4646-a6eb-d3230e7404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Summary FY95-FY12</vt:lpstr>
      <vt:lpstr>Summary by FY</vt:lpstr>
      <vt:lpstr>FY2012</vt:lpstr>
      <vt:lpstr>FY2011</vt:lpstr>
      <vt:lpstr>FY2010</vt:lpstr>
      <vt:lpstr>FY2009</vt:lpstr>
      <vt:lpstr>FY2008</vt:lpstr>
      <vt:lpstr>FY2007</vt:lpstr>
      <vt:lpstr>FY2006</vt:lpstr>
      <vt:lpstr>FY2005</vt:lpstr>
      <vt:lpstr>FY2004</vt:lpstr>
      <vt:lpstr>FY2003</vt:lpstr>
      <vt:lpstr>FY2002</vt:lpstr>
      <vt:lpstr>FY2001</vt:lpstr>
      <vt:lpstr>FY2000</vt:lpstr>
      <vt:lpstr>FY1999</vt:lpstr>
      <vt:lpstr>FY1998</vt:lpstr>
      <vt:lpstr>FY1997</vt:lpstr>
      <vt:lpstr>FY1996</vt:lpstr>
      <vt:lpstr>FY1995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Getty</dc:creator>
  <cp:lastModifiedBy>Ken Getty</cp:lastModifiedBy>
  <dcterms:created xsi:type="dcterms:W3CDTF">2021-08-19T23:41:35Z</dcterms:created>
  <dcterms:modified xsi:type="dcterms:W3CDTF">2021-09-15T15:44:50Z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0x0101009A08E23DCE64E346B73BFD882EA1D448</vt:lpwstr>
  </property>
</Properties>
</file>